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e Users" sheetId="1" r:id="rId4"/>
    <sheet state="visible" name="Alumni" sheetId="2" r:id="rId5"/>
  </sheets>
  <definedNames/>
  <calcPr/>
</workbook>
</file>

<file path=xl/sharedStrings.xml><?xml version="1.0" encoding="utf-8"?>
<sst xmlns="http://schemas.openxmlformats.org/spreadsheetml/2006/main" count="1" uniqueCount="1">
  <si>
    <t>Team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</si>
</sst>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35434C"/>
      <name val="&quot;Source Code Pro&quot;"/>
    </font>
    <font>
      <color theme="1"/>
      <name val="Arial"/>
      <scheme val="minor"/>
    </font>
    <font>
      <u/>
      <color rgb="FF0000FF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0F0F1"/>
        <bgColor rgb="FFF0F0F1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3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rcid.org/0000-0003-0820-0085" TargetMode="External"/><Relationship Id="rId2" Type="http://schemas.openxmlformats.org/officeDocument/2006/relationships/hyperlink" Target="https://orcid.org/0000-0002-8558-1734" TargetMode="External"/><Relationship Id="rId3" Type="http://schemas.openxmlformats.org/officeDocument/2006/relationships/hyperlink" Target="https://orcid.org/0000-0003-0860-2615" TargetMode="External"/><Relationship Id="rId4" Type="http://schemas.openxmlformats.org/officeDocument/2006/relationships/hyperlink" Target="https://orcid.org/0009-0007-8432-7738" TargetMode="External"/><Relationship Id="rId5" Type="http://schemas.openxmlformats.org/officeDocument/2006/relationships/hyperlink" Target="https://orcid.org/0000-0002-1964-6886" TargetMode="External"/><Relationship Id="rId6" Type="http://schemas.openxmlformats.org/officeDocument/2006/relationships/hyperlink" Target="https://orcid.org/0000-0001-5478-8970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7.63"/>
    <col customWidth="1" min="3" max="3" width="20.25"/>
    <col customWidth="1" min="4" max="4" width="21.88"/>
    <col customWidth="1" min="5" max="5" width="20.88"/>
    <col customWidth="1" min="6" max="26" width="26.38"/>
  </cols>
  <sheetData>
    <row r="1">
      <c r="A1" s="1" t="str">
        <f>IFERROR(__xludf.DUMMYFUNCTION("query({importrange(""16F-8fUnnAWbdQ-Hx0DQxoIQKmb6m2Sm_kjky9ZN5yOg"", ""Roster!A1:G"");importrange(""1XLp-vJdsCn6qK-z1wFDN7l6HRxaq7DMsnQ7fuJ_N2C4"", ""Roster!A2:G"");importrange(""1WEJip1uQyytUyvaPwmyC1oroUKJUhHHfgc-M5AotUSc"", ""Roster!A2:G"");importrange"&amp;"(""1BglpnD-2cZGCuSO990omjaFpBVVqcOXiFWSjzXE_Uvc"", ""Roster!A2:G"");importrange(""1Hg7YE5HscTJWzlWlb0eacVyuJIpGhL_YRp2jDhc3taY"", ""Roster!A2:G"");importrange(""1G5_g8NNf79wKHl-vB_1Jsdb3u0XR9lthb7iEUYdSq8I"", ""Roster!A2:G"");importrange(""1CvOEY2OXEFPOKj"&amp;"akwLbR0h3sJe94G0XEoJa69qLAtnY"", ""Roster!A2:G"");importrange(""143vdso3q56xjOYj0gsYS1WJnvaqvv3KfEBP8_4wjgis"", ""Roster!A2:G"");importrange(""1OeIZE8aBsbwa0Trdwy9UsOyL6IhaZFumGYkzcCplqQE"", ""Roster!A2:G"");importrange(""1iazcyflhq4AXCUywPy0Ku1HBQq11WLbY"&amp;"ynnIwYownVU"", ""Roster!A2:G"");importrange(""1f1wfaivQhS7V93Oux3M81sZfdUg7xFabRMhCqAeq7UM"", ""Roster!A2:G"");importrange(""1TaX7cwq11IkMfXFGpKnYk6E0DgKpYUFo5e5k4lvfXjg"", ""Roster!A2:G"");importrange(""1uAO1m4i3OhK5aqJyOvdZX3xRywTnLxq-Gpyu50YwPrI"", ""R"&amp;"oster!A2:G"");importrange(""1T5mRkKWMnhYRdN2Rvgtw4iJnQdYUMdVFlWoQuLc7IzM"", ""Roster!A2:G"");importrange(""15I9VW9g7NQjp58hxGjVohOUZksx0zD6vRTx_et3iBtA"", ""Roster!A2:G"");importrange(""1aMaqEIKDR3PBfY5SubcEWUQTue5vzGvXJ1jvMnM9w3I"", ""Roster!A2:G"");impo"&amp;"rtrange(""1C4TjK3NowQaU57yT24BrFUTOdkvwgwKuW9ySe-6lkKQ"", ""Roster!A2:G"");importrange(""12OsFGeFbfo2NpwgsKSeRhWrAPyGYsBRMRtAlwiLw-9Q"", ""Roster!A2:G"");importrange(""1979mNNgNHVmcwUcu37dBthw0HQ8TbptcZNI8HmtEMIc"", ""Roster!A2:G"");importrange(""1ovlLI9r"&amp;"_AnjV4NTaPb3MPCVA-H2nn00hTihLlke3ewA"", ""Roster!A2:G"");importrange(""1qg80WJ_834T5gTYhwTTKkEePftDDgP21BB31nFKbp0Y"", ""Roster!A2:G"");importrange(""1uie6GM1VUVWC8af1jXHXEcZF0_ku4KxOpSDtpt-MzYQ"", ""Roster!A2:G"");importrange(""1_-a29ARHJiS7yaI2GVd9CiB5q"&amp;"K85jdCY2o-cRa6I7BQ"", ""Roster!A2:G"");importrange(""1E-9PfumHIQruTCTj9B4O1MULJRalf8reS9gr0aPu1QI"", ""Roster!A2:G"");importrange(""14f6z1-KJ-3DVMxq0eC7p64OP9-uOx-HHMfVUsq5feW4"", ""Roster!A2:G"");importrange(""1vexk6r-ZFjls_U11LJPyKt-2LXIZxTT-s7_bgT8eszY"&amp;""", ""Roster!A2:G"");importrange(""1mzoZ-JA8ybRp6a4pzC0q6vax1W2uFKILVhj1rkYmGcw"", ""Roster!A2:G"");importrange(""1Jjyjjl6Ozz6vALwbtyd0PHhtQdFmorkDtdglr1Kwazw"", ""Roster!A2:G"");importrange(""1SDdIfJ8y5XmoSosKn1tK4M5RMt_UNxLhvCGszt3JcYQ"", ""Roster!A2:G"&amp;""");importrange(""1P7-rujGgaTh9ti6QGrkvbrc-fa23V3VoMLPPiA1ED4Y"", ""Roster!A2:G"");importrange(""1cnW7Gy5SHii_4V0qlrONpOhRU6jZChLfN18eXJxjpqE"", ""Roster!A2:G"");importrange(""1sAvz4v3epAjMHSeRNnwamcRI2WPBUYrmqN67n4Ysk64"", ""Roster!A2:G"");importrange("""&amp;"1d3v5tSlUCSYeXG78mxjAbz0ySgmQetDrIXmrVmS3ZHA"", ""Roster!A2:G"");importrange(""1cE_h9NyowUgKuQHCmK6cYHh96ZeQEf1l-_qX-M1IuA4"", ""Roster!A2:G"");importrange(""1kahzrNyJmeQJxyPM_geuyYIirUQ6s4uzOTKSxcOyMrs"", ""Roster!A2:G"")},""Select * where Col1 is not nu"&amp;"ll"")"),"Last Name")</f>
        <v>Last Name</v>
      </c>
      <c r="B1" s="2" t="str">
        <f>IFERROR(__xludf.DUMMYFUNCTION("""COMPUTED_VALUE"""),"First Name")</f>
        <v>First Name</v>
      </c>
      <c r="C1" s="2" t="str">
        <f>IFERROR(__xludf.DUMMYFUNCTION("""COMPUTED_VALUE"""),"Role")</f>
        <v>Role</v>
      </c>
      <c r="D1" s="2" t="str">
        <f>IFERROR(__xludf.DUMMYFUNCTION("""COMPUTED_VALUE"""),"Lab 
(Alessi, Abu-Remaileh, Muqit, or Pfeffer)")</f>
        <v>Lab 
(Alessi, Abu-Remaileh, Muqit, or Pfeffer)</v>
      </c>
      <c r="E1" s="2" t="str">
        <f>IFERROR(__xludf.DUMMYFUNCTION("""COMPUTED_VALUE"""),"Lab Role 
(grad student, postdoc, research assoc, etc.)")</f>
        <v>Lab Role 
(grad student, postdoc, research assoc, etc.)</v>
      </c>
      <c r="F1" s="2" t="str">
        <f>IFERROR(__xludf.DUMMYFUNCTION("""COMPUTED_VALUE"""),"Email")</f>
        <v>Email</v>
      </c>
      <c r="G1" s="2" t="str">
        <f>IFERROR(__xludf.DUMMYFUNCTION("""COMPUTED_VALUE"""),"ORCID")</f>
        <v>ORCID</v>
      </c>
    </row>
    <row r="2">
      <c r="A2" s="2" t="str">
        <f>IFERROR(__xludf.DUMMYFUNCTION("""COMPUTED_VALUE"""),"Alessi")</f>
        <v>Alessi</v>
      </c>
      <c r="B2" s="2" t="str">
        <f>IFERROR(__xludf.DUMMYFUNCTION("""COMPUTED_VALUE"""),"Dario")</f>
        <v>Dario</v>
      </c>
      <c r="C2" s="2" t="str">
        <f>IFERROR(__xludf.DUMMYFUNCTION("""COMPUTED_VALUE"""),"Lead-PI")</f>
        <v>Lead-PI</v>
      </c>
      <c r="D2" s="2"/>
      <c r="E2" s="2"/>
      <c r="F2" s="2" t="str">
        <f>IFERROR(__xludf.DUMMYFUNCTION("""COMPUTED_VALUE"""),"d.r.alessi@dundee.ac.uk")</f>
        <v>d.r.alessi@dundee.ac.uk</v>
      </c>
      <c r="G2" s="2" t="str">
        <f>IFERROR(__xludf.DUMMYFUNCTION("""COMPUTED_VALUE"""),"0000-0002-2140-9185")</f>
        <v>0000-0002-2140-9185</v>
      </c>
    </row>
    <row r="3">
      <c r="A3" s="2" t="str">
        <f>IFERROR(__xludf.DUMMYFUNCTION("""COMPUTED_VALUE"""),"Abu-Remaileh")</f>
        <v>Abu-Remaileh</v>
      </c>
      <c r="B3" s="2" t="str">
        <f>IFERROR(__xludf.DUMMYFUNCTION("""COMPUTED_VALUE"""),"Monther")</f>
        <v>Monther</v>
      </c>
      <c r="C3" s="2" t="str">
        <f>IFERROR(__xludf.DUMMYFUNCTION("""COMPUTED_VALUE"""),"Co-PI")</f>
        <v>Co-PI</v>
      </c>
      <c r="D3" s="2"/>
      <c r="E3" s="2"/>
      <c r="F3" s="2" t="str">
        <f>IFERROR(__xludf.DUMMYFUNCTION("""COMPUTED_VALUE"""),"monther@stanford.edu")</f>
        <v>monther@stanford.edu</v>
      </c>
      <c r="G3" s="2" t="str">
        <f>IFERROR(__xludf.DUMMYFUNCTION("""COMPUTED_VALUE"""),"0000-0003-3772-0477")</f>
        <v>0000-0003-3772-0477</v>
      </c>
    </row>
    <row r="4">
      <c r="A4" s="2" t="str">
        <f>IFERROR(__xludf.DUMMYFUNCTION("""COMPUTED_VALUE"""),"Muqit")</f>
        <v>Muqit</v>
      </c>
      <c r="B4" s="2" t="str">
        <f>IFERROR(__xludf.DUMMYFUNCTION("""COMPUTED_VALUE"""),"Miratul")</f>
        <v>Miratul</v>
      </c>
      <c r="C4" s="2" t="str">
        <f>IFERROR(__xludf.DUMMYFUNCTION("""COMPUTED_VALUE"""),"Co-PI")</f>
        <v>Co-PI</v>
      </c>
      <c r="D4" s="2"/>
      <c r="E4" s="2"/>
      <c r="F4" s="2" t="str">
        <f>IFERROR(__xludf.DUMMYFUNCTION("""COMPUTED_VALUE"""),"m.muqit@dundee.ac.uk")</f>
        <v>m.muqit@dundee.ac.uk</v>
      </c>
      <c r="G4" s="2" t="str">
        <f>IFERROR(__xludf.DUMMYFUNCTION("""COMPUTED_VALUE"""),"0000-0001-9733-2404")</f>
        <v>0000-0001-9733-2404</v>
      </c>
    </row>
    <row r="5">
      <c r="A5" s="2" t="str">
        <f>IFERROR(__xludf.DUMMYFUNCTION("""COMPUTED_VALUE"""),"Pfeffer")</f>
        <v>Pfeffer</v>
      </c>
      <c r="B5" s="2" t="str">
        <f>IFERROR(__xludf.DUMMYFUNCTION("""COMPUTED_VALUE"""),"Suzanne")</f>
        <v>Suzanne</v>
      </c>
      <c r="C5" s="2" t="str">
        <f>IFERROR(__xludf.DUMMYFUNCTION("""COMPUTED_VALUE"""),"Co-PI")</f>
        <v>Co-PI</v>
      </c>
      <c r="D5" s="2"/>
      <c r="E5" s="2"/>
      <c r="F5" s="2" t="str">
        <f>IFERROR(__xludf.DUMMYFUNCTION("""COMPUTED_VALUE"""),"pfeffer@stanford.edu")</f>
        <v>pfeffer@stanford.edu</v>
      </c>
      <c r="G5" s="2" t="str">
        <f>IFERROR(__xludf.DUMMYFUNCTION("""COMPUTED_VALUE"""),"0000-0002-6462-984X")</f>
        <v>0000-0002-6462-984X</v>
      </c>
    </row>
    <row r="6">
      <c r="A6" s="2" t="str">
        <f>IFERROR(__xludf.DUMMYFUNCTION("""COMPUTED_VALUE"""),"Tonelli")</f>
        <v>Tonelli</v>
      </c>
      <c r="B6" s="2" t="str">
        <f>IFERROR(__xludf.DUMMYFUNCTION("""COMPUTED_VALUE"""),"Francesca")</f>
        <v>Francesca</v>
      </c>
      <c r="C6" s="2" t="str">
        <f>IFERROR(__xludf.DUMMYFUNCTION("""COMPUTED_VALUE"""),"Key Personnel")</f>
        <v>Key Personnel</v>
      </c>
      <c r="D6" s="2" t="str">
        <f>IFERROR(__xludf.DUMMYFUNCTION("""COMPUTED_VALUE"""),"Alessi")</f>
        <v>Alessi</v>
      </c>
      <c r="E6" s="2" t="str">
        <f>IFERROR(__xludf.DUMMYFUNCTION("""COMPUTED_VALUE"""),"Research Manager")</f>
        <v>Research Manager</v>
      </c>
      <c r="F6" s="2" t="str">
        <f>IFERROR(__xludf.DUMMYFUNCTION("""COMPUTED_VALUE"""),"f.tonelli@dundee.ac.uk")</f>
        <v>f.tonelli@dundee.ac.uk</v>
      </c>
      <c r="G6" s="2" t="str">
        <f>IFERROR(__xludf.DUMMYFUNCTION("""COMPUTED_VALUE"""),"0000-0002-4600-6630")</f>
        <v>0000-0002-4600-6630</v>
      </c>
    </row>
    <row r="7">
      <c r="A7" s="2" t="str">
        <f>IFERROR(__xludf.DUMMYFUNCTION("""COMPUTED_VALUE"""),"Adhikari")</f>
        <v>Adhikari</v>
      </c>
      <c r="B7" s="2" t="str">
        <f>IFERROR(__xludf.DUMMYFUNCTION("""COMPUTED_VALUE"""),"Ayan")</f>
        <v>Ayan</v>
      </c>
      <c r="C7" s="2" t="str">
        <f>IFERROR(__xludf.DUMMYFUNCTION("""COMPUTED_VALUE"""),"Key Personnel")</f>
        <v>Key Personnel</v>
      </c>
      <c r="D7" s="2" t="str">
        <f>IFERROR(__xludf.DUMMYFUNCTION("""COMPUTED_VALUE"""),"Pfeffer")</f>
        <v>Pfeffer</v>
      </c>
      <c r="E7" s="2" t="str">
        <f>IFERROR(__xludf.DUMMYFUNCTION("""COMPUTED_VALUE"""),"Postdoc")</f>
        <v>Postdoc</v>
      </c>
      <c r="F7" s="2" t="str">
        <f>IFERROR(__xludf.DUMMYFUNCTION("""COMPUTED_VALUE"""),"ayan88@stanford.edu")</f>
        <v>ayan88@stanford.edu</v>
      </c>
      <c r="G7" s="2" t="str">
        <f>IFERROR(__xludf.DUMMYFUNCTION("""COMPUTED_VALUE"""),"0000-0002-8525-3263")</f>
        <v>0000-0002-8525-3263</v>
      </c>
    </row>
    <row r="8">
      <c r="A8" s="2" t="str">
        <f>IFERROR(__xludf.DUMMYFUNCTION("""COMPUTED_VALUE"""),"Nirujogi")</f>
        <v>Nirujogi</v>
      </c>
      <c r="B8" s="2" t="str">
        <f>IFERROR(__xludf.DUMMYFUNCTION("""COMPUTED_VALUE"""),"Raja")</f>
        <v>Raja</v>
      </c>
      <c r="C8" s="2" t="str">
        <f>IFERROR(__xludf.DUMMYFUNCTION("""COMPUTED_VALUE"""),"Key Personnel")</f>
        <v>Key Personnel</v>
      </c>
      <c r="D8" s="2" t="str">
        <f>IFERROR(__xludf.DUMMYFUNCTION("""COMPUTED_VALUE"""),"Alessi")</f>
        <v>Alessi</v>
      </c>
      <c r="E8" s="2" t="str">
        <f>IFERROR(__xludf.DUMMYFUNCTION("""COMPUTED_VALUE"""),"Postdoc")</f>
        <v>Postdoc</v>
      </c>
      <c r="F8" s="2" t="str">
        <f>IFERROR(__xludf.DUMMYFUNCTION("""COMPUTED_VALUE"""),"r.nirujogi@dundee.ac.uk")</f>
        <v>r.nirujogi@dundee.ac.uk</v>
      </c>
      <c r="G8" s="2" t="str">
        <f>IFERROR(__xludf.DUMMYFUNCTION("""COMPUTED_VALUE"""),"0000-0002-3177-8566")</f>
        <v>0000-0002-3177-8566</v>
      </c>
    </row>
    <row r="9">
      <c r="A9" s="2" t="str">
        <f>IFERROR(__xludf.DUMMYFUNCTION("""COMPUTED_VALUE"""),"Lis")</f>
        <v>Lis</v>
      </c>
      <c r="B9" s="2" t="str">
        <f>IFERROR(__xludf.DUMMYFUNCTION("""COMPUTED_VALUE"""),"Pawel")</f>
        <v>Pawel</v>
      </c>
      <c r="C9" s="2" t="str">
        <f>IFERROR(__xludf.DUMMYFUNCTION("""COMPUTED_VALUE"""),"Key Personnel")</f>
        <v>Key Personnel</v>
      </c>
      <c r="D9" s="2" t="str">
        <f>IFERROR(__xludf.DUMMYFUNCTION("""COMPUTED_VALUE"""),"Alessi")</f>
        <v>Alessi</v>
      </c>
      <c r="E9" s="2" t="str">
        <f>IFERROR(__xludf.DUMMYFUNCTION("""COMPUTED_VALUE"""),"Postdoc")</f>
        <v>Postdoc</v>
      </c>
      <c r="F9" s="2" t="str">
        <f>IFERROR(__xludf.DUMMYFUNCTION("""COMPUTED_VALUE"""),"p.lis@dundee.ac.uk")</f>
        <v>p.lis@dundee.ac.uk</v>
      </c>
      <c r="G9" s="2" t="str">
        <f>IFERROR(__xludf.DUMMYFUNCTION("""COMPUTED_VALUE"""),"0000-0002-4978-7671")</f>
        <v>0000-0002-4978-7671</v>
      </c>
    </row>
    <row r="10">
      <c r="A10" s="2" t="str">
        <f>IFERROR(__xludf.DUMMYFUNCTION("""COMPUTED_VALUE"""),"Themistokleous")</f>
        <v>Themistokleous</v>
      </c>
      <c r="B10" s="2" t="str">
        <f>IFERROR(__xludf.DUMMYFUNCTION("""COMPUTED_VALUE"""),"Christos")</f>
        <v>Christos</v>
      </c>
      <c r="C10" s="2" t="str">
        <f>IFERROR(__xludf.DUMMYFUNCTION("""COMPUTED_VALUE"""),"Key Personnel")</f>
        <v>Key Personnel</v>
      </c>
      <c r="D10" s="2" t="str">
        <f>IFERROR(__xludf.DUMMYFUNCTION("""COMPUTED_VALUE"""),"Muqit")</f>
        <v>Muqit</v>
      </c>
      <c r="E10" s="2" t="str">
        <f>IFERROR(__xludf.DUMMYFUNCTION("""COMPUTED_VALUE"""),"PhD student")</f>
        <v>PhD student</v>
      </c>
      <c r="F10" s="2" t="str">
        <f>IFERROR(__xludf.DUMMYFUNCTION("""COMPUTED_VALUE"""),"2440390@dundee.ac.uk")</f>
        <v>2440390@dundee.ac.uk</v>
      </c>
      <c r="G10" s="2" t="str">
        <f>IFERROR(__xludf.DUMMYFUNCTION("""COMPUTED_VALUE"""),"0000-0002-1844-6639")</f>
        <v>0000-0002-1844-6639</v>
      </c>
    </row>
    <row r="11">
      <c r="A11" s="2" t="str">
        <f>IFERROR(__xludf.DUMMYFUNCTION("""COMPUTED_VALUE"""),"Saarela")</f>
        <v>Saarela</v>
      </c>
      <c r="B11" s="2" t="str">
        <f>IFERROR(__xludf.DUMMYFUNCTION("""COMPUTED_VALUE"""),"Daniel")</f>
        <v>Daniel</v>
      </c>
      <c r="C11" s="2" t="str">
        <f>IFERROR(__xludf.DUMMYFUNCTION("""COMPUTED_VALUE"""),"Key Personnel")</f>
        <v>Key Personnel</v>
      </c>
      <c r="D11" s="2" t="str">
        <f>IFERROR(__xludf.DUMMYFUNCTION("""COMPUTED_VALUE"""),"Alessi")</f>
        <v>Alessi</v>
      </c>
      <c r="E11" s="2" t="str">
        <f>IFERROR(__xludf.DUMMYFUNCTION("""COMPUTED_VALUE"""),"Postdoc")</f>
        <v>Postdoc</v>
      </c>
      <c r="F11" s="2" t="str">
        <f>IFERROR(__xludf.DUMMYFUNCTION("""COMPUTED_VALUE"""),"dsaarela001@dundee.ac.uk.")</f>
        <v>dsaarela001@dundee.ac.uk.</v>
      </c>
      <c r="G11" s="2" t="str">
        <f>IFERROR(__xludf.DUMMYFUNCTION("""COMPUTED_VALUE"""),"0000-0001-8854-7438")</f>
        <v>0000-0001-8854-7438</v>
      </c>
    </row>
    <row r="12">
      <c r="A12" s="2" t="str">
        <f>IFERROR(__xludf.DUMMYFUNCTION("""COMPUTED_VALUE"""),"Fasimoye")</f>
        <v>Fasimoye</v>
      </c>
      <c r="B12" s="2" t="str">
        <f>IFERROR(__xludf.DUMMYFUNCTION("""COMPUTED_VALUE"""),"Rotimi")</f>
        <v>Rotimi</v>
      </c>
      <c r="C12" s="2" t="str">
        <f>IFERROR(__xludf.DUMMYFUNCTION("""COMPUTED_VALUE"""),"Key Personnel")</f>
        <v>Key Personnel</v>
      </c>
      <c r="D12" s="2" t="str">
        <f>IFERROR(__xludf.DUMMYFUNCTION("""COMPUTED_VALUE"""),"Alessi")</f>
        <v>Alessi</v>
      </c>
      <c r="E12" s="2" t="str">
        <f>IFERROR(__xludf.DUMMYFUNCTION("""COMPUTED_VALUE"""),"Postdoc")</f>
        <v>Postdoc</v>
      </c>
      <c r="F12" s="2" t="str">
        <f>IFERROR(__xludf.DUMMYFUNCTION("""COMPUTED_VALUE"""),"RFasimoye001@dundee.ac.uk")</f>
        <v>RFasimoye001@dundee.ac.uk</v>
      </c>
      <c r="G12" s="2" t="str">
        <f>IFERROR(__xludf.DUMMYFUNCTION("""COMPUTED_VALUE"""),"0000-0001-8057-0879")</f>
        <v>0000-0001-8057-0879</v>
      </c>
    </row>
    <row r="13">
      <c r="A13" s="2" t="str">
        <f>IFERROR(__xludf.DUMMYFUNCTION("""COMPUTED_VALUE"""),"Sammler")</f>
        <v>Sammler</v>
      </c>
      <c r="B13" s="2" t="str">
        <f>IFERROR(__xludf.DUMMYFUNCTION("""COMPUTED_VALUE"""),"Esther")</f>
        <v>Esther</v>
      </c>
      <c r="C13" s="2" t="str">
        <f>IFERROR(__xludf.DUMMYFUNCTION("""COMPUTED_VALUE"""),"Key Personnel")</f>
        <v>Key Personnel</v>
      </c>
      <c r="D13" s="2"/>
      <c r="E13" s="2"/>
      <c r="F13" s="2" t="str">
        <f>IFERROR(__xludf.DUMMYFUNCTION("""COMPUTED_VALUE"""),"e.m.sammler@dundee.ac.uk")</f>
        <v>e.m.sammler@dundee.ac.uk</v>
      </c>
      <c r="G13" s="2" t="str">
        <f>IFERROR(__xludf.DUMMYFUNCTION("""COMPUTED_VALUE"""),"0000-0003-3218-7116")</f>
        <v>0000-0003-3218-7116</v>
      </c>
    </row>
    <row r="14">
      <c r="A14" s="2" t="str">
        <f>IFERROR(__xludf.DUMMYFUNCTION("""COMPUTED_VALUE"""),"Lin")</f>
        <v>Lin</v>
      </c>
      <c r="B14" s="2" t="str">
        <f>IFERROR(__xludf.DUMMYFUNCTION("""COMPUTED_VALUE"""),"Cindy")</f>
        <v>Cindy</v>
      </c>
      <c r="C14" s="2" t="str">
        <f>IFERROR(__xludf.DUMMYFUNCTION("""COMPUTED_VALUE"""),"Key Personnel")</f>
        <v>Key Personnel</v>
      </c>
      <c r="D14" s="2" t="str">
        <f>IFERROR(__xludf.DUMMYFUNCTION("""COMPUTED_VALUE"""),"Abu-Remaileh")</f>
        <v>Abu-Remaileh</v>
      </c>
      <c r="E14" s="2" t="str">
        <f>IFERROR(__xludf.DUMMYFUNCTION("""COMPUTED_VALUE"""),"Grad student")</f>
        <v>Grad student</v>
      </c>
      <c r="F14" s="2" t="str">
        <f>IFERROR(__xludf.DUMMYFUNCTION("""COMPUTED_VALUE"""),"clin5@stanford.edu")</f>
        <v>clin5@stanford.edu</v>
      </c>
      <c r="G14" s="2" t="str">
        <f>IFERROR(__xludf.DUMMYFUNCTION("""COMPUTED_VALUE"""),"0000-0003-4555-195X")</f>
        <v>0000-0003-4555-195X</v>
      </c>
    </row>
    <row r="15">
      <c r="A15" s="2" t="str">
        <f>IFERROR(__xludf.DUMMYFUNCTION("""COMPUTED_VALUE"""),"Ghoochani")</f>
        <v>Ghoochani</v>
      </c>
      <c r="B15" s="2" t="str">
        <f>IFERROR(__xludf.DUMMYFUNCTION("""COMPUTED_VALUE"""),"Ali")</f>
        <v>Ali</v>
      </c>
      <c r="C15" s="2" t="str">
        <f>IFERROR(__xludf.DUMMYFUNCTION("""COMPUTED_VALUE"""),"Key Personnel")</f>
        <v>Key Personnel</v>
      </c>
      <c r="D15" s="2" t="str">
        <f>IFERROR(__xludf.DUMMYFUNCTION("""COMPUTED_VALUE"""),"Abu-Remaileh")</f>
        <v>Abu-Remaileh</v>
      </c>
      <c r="E15" s="2" t="str">
        <f>IFERROR(__xludf.DUMMYFUNCTION("""COMPUTED_VALUE"""),"Postdoc")</f>
        <v>Postdoc</v>
      </c>
      <c r="F15" s="2" t="str">
        <f>IFERROR(__xludf.DUMMYFUNCTION("""COMPUTED_VALUE"""),"aligh@stanford.edu")</f>
        <v>aligh@stanford.edu</v>
      </c>
      <c r="G15" s="2" t="str">
        <f>IFERROR(__xludf.DUMMYFUNCTION("""COMPUTED_VALUE"""),"0000-0002-5352-0072")</f>
        <v>0000-0002-5352-0072</v>
      </c>
    </row>
    <row r="16">
      <c r="A16" s="2" t="str">
        <f>IFERROR(__xludf.DUMMYFUNCTION("""COMPUTED_VALUE"""),"Dong")</f>
        <v>Dong</v>
      </c>
      <c r="B16" s="2" t="str">
        <f>IFERROR(__xludf.DUMMYFUNCTION("""COMPUTED_VALUE"""),"Wentao")</f>
        <v>Wentao</v>
      </c>
      <c r="C16" s="2" t="str">
        <f>IFERROR(__xludf.DUMMYFUNCTION("""COMPUTED_VALUE"""),"Key Personnel")</f>
        <v>Key Personnel</v>
      </c>
      <c r="D16" s="2" t="str">
        <f>IFERROR(__xludf.DUMMYFUNCTION("""COMPUTED_VALUE"""),"Abu-Remaileh")</f>
        <v>Abu-Remaileh</v>
      </c>
      <c r="E16" s="2" t="str">
        <f>IFERROR(__xludf.DUMMYFUNCTION("""COMPUTED_VALUE"""),"Postdoc")</f>
        <v>Postdoc</v>
      </c>
      <c r="F16" s="2" t="str">
        <f>IFERROR(__xludf.DUMMYFUNCTION("""COMPUTED_VALUE"""),"wdong5@stanford.edu")</f>
        <v>wdong5@stanford.edu</v>
      </c>
      <c r="G16" s="2" t="str">
        <f>IFERROR(__xludf.DUMMYFUNCTION("""COMPUTED_VALUE"""),"0000-0001-5490-4265")</f>
        <v>0000-0001-5490-4265</v>
      </c>
    </row>
    <row r="17">
      <c r="A17" s="2" t="str">
        <f>IFERROR(__xludf.DUMMYFUNCTION("""COMPUTED_VALUE"""),"Pal")</f>
        <v>Pal</v>
      </c>
      <c r="B17" s="2" t="str">
        <f>IFERROR(__xludf.DUMMYFUNCTION("""COMPUTED_VALUE"""),"Prosenjit")</f>
        <v>Prosenjit</v>
      </c>
      <c r="C17" s="2" t="str">
        <f>IFERROR(__xludf.DUMMYFUNCTION("""COMPUTED_VALUE"""),"Key Personnel")</f>
        <v>Key Personnel</v>
      </c>
      <c r="D17" s="2" t="str">
        <f>IFERROR(__xludf.DUMMYFUNCTION("""COMPUTED_VALUE"""),"Alessi")</f>
        <v>Alessi</v>
      </c>
      <c r="E17" s="2" t="str">
        <f>IFERROR(__xludf.DUMMYFUNCTION("""COMPUTED_VALUE"""),"Postdoc")</f>
        <v>Postdoc</v>
      </c>
      <c r="F17" s="2" t="str">
        <f>IFERROR(__xludf.DUMMYFUNCTION("""COMPUTED_VALUE"""),"p.z.pal@dundee.ac.uk")</f>
        <v>p.z.pal@dundee.ac.uk</v>
      </c>
      <c r="G17" s="2" t="str">
        <f>IFERROR(__xludf.DUMMYFUNCTION("""COMPUTED_VALUE"""),"0000-0001-6848-4863")</f>
        <v>0000-0001-6848-4863</v>
      </c>
    </row>
    <row r="18">
      <c r="A18" s="2" t="str">
        <f>IFERROR(__xludf.DUMMYFUNCTION("""COMPUTED_VALUE"""),"Shi")</f>
        <v>Shi</v>
      </c>
      <c r="B18" s="2" t="str">
        <f>IFERROR(__xludf.DUMMYFUNCTION("""COMPUTED_VALUE"""),"Gloria")</f>
        <v>Gloria</v>
      </c>
      <c r="C18" s="2" t="str">
        <f>IFERROR(__xludf.DUMMYFUNCTION("""COMPUTED_VALUE"""),"Key Personnel")</f>
        <v>Key Personnel</v>
      </c>
      <c r="D18" s="2" t="str">
        <f>IFERROR(__xludf.DUMMYFUNCTION("""COMPUTED_VALUE"""),"Alessi")</f>
        <v>Alessi</v>
      </c>
      <c r="E18" s="2" t="str">
        <f>IFERROR(__xludf.DUMMYFUNCTION("""COMPUTED_VALUE"""),"PhD student")</f>
        <v>PhD student</v>
      </c>
      <c r="F18" s="2" t="str">
        <f>IFERROR(__xludf.DUMMYFUNCTION("""COMPUTED_VALUE"""),"2439490@dundee.ac.uk")</f>
        <v>2439490@dundee.ac.uk</v>
      </c>
      <c r="G18" s="2" t="str">
        <f>IFERROR(__xludf.DUMMYFUNCTION("""COMPUTED_VALUE"""),"0000-0002-6297-6194")</f>
        <v>0000-0002-6297-6194</v>
      </c>
    </row>
    <row r="19">
      <c r="A19" s="2" t="str">
        <f>IFERROR(__xludf.DUMMYFUNCTION("""COMPUTED_VALUE"""),"Lam")</f>
        <v>Lam</v>
      </c>
      <c r="B19" s="2" t="str">
        <f>IFERROR(__xludf.DUMMYFUNCTION("""COMPUTED_VALUE"""),"Pui Yiu")</f>
        <v>Pui Yiu</v>
      </c>
      <c r="C19" s="2" t="str">
        <f>IFERROR(__xludf.DUMMYFUNCTION("""COMPUTED_VALUE"""),"Key Personnel")</f>
        <v>Key Personnel</v>
      </c>
      <c r="D19" s="2" t="str">
        <f>IFERROR(__xludf.DUMMYFUNCTION("""COMPUTED_VALUE"""),"Alessi/Muqit")</f>
        <v>Alessi/Muqit</v>
      </c>
      <c r="E19" s="2" t="str">
        <f>IFERROR(__xludf.DUMMYFUNCTION("""COMPUTED_VALUE"""),"Postdoc")</f>
        <v>Postdoc</v>
      </c>
      <c r="F19" s="2" t="str">
        <f>IFERROR(__xludf.DUMMYFUNCTION("""COMPUTED_VALUE"""),"PLam001@dundee.ac.uk")</f>
        <v>PLam001@dundee.ac.uk</v>
      </c>
      <c r="G19" s="2" t="str">
        <f>IFERROR(__xludf.DUMMYFUNCTION("""COMPUTED_VALUE"""),"0000-0001-5486-091X")</f>
        <v>0000-0001-5486-091X</v>
      </c>
    </row>
    <row r="20">
      <c r="A20" s="2" t="str">
        <f>IFERROR(__xludf.DUMMYFUNCTION("""COMPUTED_VALUE"""),"Scharenberg")</f>
        <v>Scharenberg</v>
      </c>
      <c r="B20" s="2" t="str">
        <f>IFERROR(__xludf.DUMMYFUNCTION("""COMPUTED_VALUE"""),"Sam")</f>
        <v>Sam</v>
      </c>
      <c r="C20" s="2" t="str">
        <f>IFERROR(__xludf.DUMMYFUNCTION("""COMPUTED_VALUE"""),"Key Personnel")</f>
        <v>Key Personnel</v>
      </c>
      <c r="D20" s="2" t="str">
        <f>IFERROR(__xludf.DUMMYFUNCTION("""COMPUTED_VALUE"""),"Abu-Remaileh")</f>
        <v>Abu-Remaileh</v>
      </c>
      <c r="E20" s="2" t="str">
        <f>IFERROR(__xludf.DUMMYFUNCTION("""COMPUTED_VALUE"""),"Grad student")</f>
        <v>Grad student</v>
      </c>
      <c r="F20" s="2" t="str">
        <f>IFERROR(__xludf.DUMMYFUNCTION("""COMPUTED_VALUE"""),"sscharen@stanford.edu")</f>
        <v>sscharen@stanford.edu</v>
      </c>
      <c r="G20" s="2" t="str">
        <f>IFERROR(__xludf.DUMMYFUNCTION("""COMPUTED_VALUE"""),"0000-0002-3730-1662")</f>
        <v>0000-0002-3730-1662</v>
      </c>
    </row>
    <row r="21">
      <c r="A21" s="2" t="str">
        <f>IFERROR(__xludf.DUMMYFUNCTION("""COMPUTED_VALUE"""),"Bagnoli")</f>
        <v>Bagnoli</v>
      </c>
      <c r="B21" s="2" t="str">
        <f>IFERROR(__xludf.DUMMYFUNCTION("""COMPUTED_VALUE"""),"Enrico")</f>
        <v>Enrico</v>
      </c>
      <c r="C21" s="2" t="str">
        <f>IFERROR(__xludf.DUMMYFUNCTION("""COMPUTED_VALUE"""),"Project Manager")</f>
        <v>Project Manager</v>
      </c>
      <c r="D21" s="2" t="str">
        <f>IFERROR(__xludf.DUMMYFUNCTION("""COMPUTED_VALUE"""),"Muqit")</f>
        <v>Muqit</v>
      </c>
      <c r="E21" s="2" t="str">
        <f>IFERROR(__xludf.DUMMYFUNCTION("""COMPUTED_VALUE"""),"Postdoc")</f>
        <v>Postdoc</v>
      </c>
      <c r="F21" s="2" t="str">
        <f>IFERROR(__xludf.DUMMYFUNCTION("""COMPUTED_VALUE"""),"EBagnoli001@dundee.ac.uk")</f>
        <v>EBagnoli001@dundee.ac.uk</v>
      </c>
      <c r="G21" s="2" t="str">
        <f>IFERROR(__xludf.DUMMYFUNCTION("""COMPUTED_VALUE"""),"0000-0002-0664-9981")</f>
        <v>0000-0002-0664-9981</v>
      </c>
    </row>
    <row r="22">
      <c r="A22" s="2" t="str">
        <f>IFERROR(__xludf.DUMMYFUNCTION("""COMPUTED_VALUE"""),"Phung")</f>
        <v>Phung</v>
      </c>
      <c r="B22" s="2" t="str">
        <f>IFERROR(__xludf.DUMMYFUNCTION("""COMPUTED_VALUE"""),"Toan")</f>
        <v>Toan</v>
      </c>
      <c r="C22" s="2" t="str">
        <f>IFERROR(__xludf.DUMMYFUNCTION("""COMPUTED_VALUE"""),"Key Personnel")</f>
        <v>Key Personnel</v>
      </c>
      <c r="D22" s="2" t="str">
        <f>IFERROR(__xludf.DUMMYFUNCTION("""COMPUTED_VALUE"""),"Alessi/Muqit")</f>
        <v>Alessi/Muqit</v>
      </c>
      <c r="E22" s="2" t="str">
        <f>IFERROR(__xludf.DUMMYFUNCTION("""COMPUTED_VALUE"""),"Data scientist")</f>
        <v>Data scientist</v>
      </c>
      <c r="F22" s="2" t="str">
        <f>IFERROR(__xludf.DUMMYFUNCTION("""COMPUTED_VALUE"""),"TPhung001@dundee.ac.uk")</f>
        <v>TPhung001@dundee.ac.uk</v>
      </c>
      <c r="G22" s="2" t="str">
        <f>IFERROR(__xludf.DUMMYFUNCTION("""COMPUTED_VALUE"""),"0000-0002-2964-6070")</f>
        <v>0000-0002-2964-6070</v>
      </c>
    </row>
    <row r="23">
      <c r="A23" s="2" t="str">
        <f>IFERROR(__xludf.DUMMYFUNCTION("""COMPUTED_VALUE"""),"Krishnan")</f>
        <v>Krishnan</v>
      </c>
      <c r="B23" s="2" t="str">
        <f>IFERROR(__xludf.DUMMYFUNCTION("""COMPUTED_VALUE"""),"Aswini ")</f>
        <v>Aswini </v>
      </c>
      <c r="C23" s="2" t="str">
        <f>IFERROR(__xludf.DUMMYFUNCTION("""COMPUTED_VALUE"""),"Key Personnel")</f>
        <v>Key Personnel</v>
      </c>
      <c r="D23" s="2" t="str">
        <f>IFERROR(__xludf.DUMMYFUNCTION("""COMPUTED_VALUE"""),"Abu-Remaileh ")</f>
        <v>Abu-Remaileh </v>
      </c>
      <c r="E23" s="2" t="str">
        <f>IFERROR(__xludf.DUMMYFUNCTION("""COMPUTED_VALUE"""),"Grad student")</f>
        <v>Grad student</v>
      </c>
      <c r="F23" s="2" t="str">
        <f>IFERROR(__xludf.DUMMYFUNCTION("""COMPUTED_VALUE"""),"aswinik@stanford.edu")</f>
        <v>aswinik@stanford.edu</v>
      </c>
      <c r="G23" s="2" t="str">
        <f>IFERROR(__xludf.DUMMYFUNCTION("""COMPUTED_VALUE"""),"0000-0003-0764-5111")</f>
        <v>0000-0003-0764-5111</v>
      </c>
    </row>
    <row r="24">
      <c r="A24" s="2" t="str">
        <f>IFERROR(__xludf.DUMMYFUNCTION("""COMPUTED_VALUE"""),"Antico")</f>
        <v>Antico</v>
      </c>
      <c r="B24" s="2" t="str">
        <f>IFERROR(__xludf.DUMMYFUNCTION("""COMPUTED_VALUE"""),"Odetta")</f>
        <v>Odetta</v>
      </c>
      <c r="C24" s="2" t="str">
        <f>IFERROR(__xludf.DUMMYFUNCTION("""COMPUTED_VALUE"""),"Key Personnel")</f>
        <v>Key Personnel</v>
      </c>
      <c r="D24" s="2" t="str">
        <f>IFERROR(__xludf.DUMMYFUNCTION("""COMPUTED_VALUE"""),"Muqit")</f>
        <v>Muqit</v>
      </c>
      <c r="E24" s="2" t="str">
        <f>IFERROR(__xludf.DUMMYFUNCTION("""COMPUTED_VALUE"""),"PhD student")</f>
        <v>PhD student</v>
      </c>
      <c r="F24" s="2" t="str">
        <f>IFERROR(__xludf.DUMMYFUNCTION("""COMPUTED_VALUE"""),"o.z.antico@dundee.ac.uk")</f>
        <v>o.z.antico@dundee.ac.uk</v>
      </c>
      <c r="G24" s="2" t="str">
        <f>IFERROR(__xludf.DUMMYFUNCTION("""COMPUTED_VALUE"""),"0000-0002-7325-3303")</f>
        <v>0000-0002-7325-3303</v>
      </c>
    </row>
    <row r="25">
      <c r="A25" s="2" t="str">
        <f>IFERROR(__xludf.DUMMYFUNCTION("""COMPUTED_VALUE"""),"Agarwal")</f>
        <v>Agarwal</v>
      </c>
      <c r="B25" s="2" t="str">
        <f>IFERROR(__xludf.DUMMYFUNCTION("""COMPUTED_VALUE"""),"Shalini")</f>
        <v>Shalini</v>
      </c>
      <c r="C25" s="2" t="str">
        <f>IFERROR(__xludf.DUMMYFUNCTION("""COMPUTED_VALUE"""),"Key Personnel")</f>
        <v>Key Personnel</v>
      </c>
      <c r="D25" s="2" t="str">
        <f>IFERROR(__xludf.DUMMYFUNCTION("""COMPUTED_VALUE"""),"Muqit")</f>
        <v>Muqit</v>
      </c>
      <c r="E25" s="2" t="str">
        <f>IFERROR(__xludf.DUMMYFUNCTION("""COMPUTED_VALUE"""),"Postdoc")</f>
        <v>Postdoc</v>
      </c>
      <c r="F25" s="2" t="str">
        <f>IFERROR(__xludf.DUMMYFUNCTION("""COMPUTED_VALUE"""),"SAgarwal001@dundee.ac.uk")</f>
        <v>SAgarwal001@dundee.ac.uk</v>
      </c>
      <c r="G25" s="2" t="str">
        <f>IFERROR(__xludf.DUMMYFUNCTION("""COMPUTED_VALUE"""),"0000-0002-5526-6872")</f>
        <v>0000-0002-5526-6872</v>
      </c>
    </row>
    <row r="26">
      <c r="A26" s="2" t="str">
        <f>IFERROR(__xludf.DUMMYFUNCTION("""COMPUTED_VALUE"""),"Dickie")</f>
        <v>Dickie</v>
      </c>
      <c r="B26" s="2" t="str">
        <f>IFERROR(__xludf.DUMMYFUNCTION("""COMPUTED_VALUE"""),"Emily")</f>
        <v>Emily</v>
      </c>
      <c r="C26" s="2" t="str">
        <f>IFERROR(__xludf.DUMMYFUNCTION("""COMPUTED_VALUE"""),"Key Personnel")</f>
        <v>Key Personnel</v>
      </c>
      <c r="D26" s="2" t="str">
        <f>IFERROR(__xludf.DUMMYFUNCTION("""COMPUTED_VALUE"""),"Alessi")</f>
        <v>Alessi</v>
      </c>
      <c r="E26" s="2" t="str">
        <f>IFERROR(__xludf.DUMMYFUNCTION("""COMPUTED_VALUE"""),"Postdoc")</f>
        <v>Postdoc</v>
      </c>
      <c r="F26" s="2" t="str">
        <f>IFERROR(__xludf.DUMMYFUNCTION("""COMPUTED_VALUE"""),"EDickie001@dundee.ac.uk")</f>
        <v>EDickie001@dundee.ac.uk</v>
      </c>
      <c r="G26" s="2" t="str">
        <f>IFERROR(__xludf.DUMMYFUNCTION("""COMPUTED_VALUE"""),"0000-0002-4509-5045")</f>
        <v>0000-0002-4509-5045</v>
      </c>
    </row>
    <row r="27">
      <c r="A27" s="2" t="str">
        <f>IFERROR(__xludf.DUMMYFUNCTION("""COMPUTED_VALUE"""),"Nair")</f>
        <v>Nair</v>
      </c>
      <c r="B27" s="2" t="str">
        <f>IFERROR(__xludf.DUMMYFUNCTION("""COMPUTED_VALUE"""),"Sreeja")</f>
        <v>Sreeja</v>
      </c>
      <c r="C27" s="2" t="str">
        <f>IFERROR(__xludf.DUMMYFUNCTION("""COMPUTED_VALUE"""),"Key Personnel")</f>
        <v>Key Personnel</v>
      </c>
      <c r="D27" s="2" t="str">
        <f>IFERROR(__xludf.DUMMYFUNCTION("""COMPUTED_VALUE"""),"Pfeffer")</f>
        <v>Pfeffer</v>
      </c>
      <c r="E27" s="2" t="str">
        <f>IFERROR(__xludf.DUMMYFUNCTION("""COMPUTED_VALUE"""),"Postdoc")</f>
        <v>Postdoc</v>
      </c>
      <c r="F27" s="2" t="str">
        <f>IFERROR(__xludf.DUMMYFUNCTION("""COMPUTED_VALUE"""),"sreejavn@stanford.edu")</f>
        <v>sreejavn@stanford.edu</v>
      </c>
      <c r="G27" s="2" t="str">
        <f>IFERROR(__xludf.DUMMYFUNCTION("""COMPUTED_VALUE"""),"0000-0003-2765-1244")</f>
        <v>0000-0003-2765-1244</v>
      </c>
    </row>
    <row r="28">
      <c r="A28" s="2" t="str">
        <f>IFERROR(__xludf.DUMMYFUNCTION("""COMPUTED_VALUE"""),"Jaimon")</f>
        <v>Jaimon</v>
      </c>
      <c r="B28" s="2" t="str">
        <f>IFERROR(__xludf.DUMMYFUNCTION("""COMPUTED_VALUE"""),"Ebsy")</f>
        <v>Ebsy</v>
      </c>
      <c r="C28" s="2" t="str">
        <f>IFERROR(__xludf.DUMMYFUNCTION("""COMPUTED_VALUE"""),"Key Personnel")</f>
        <v>Key Personnel</v>
      </c>
      <c r="D28" s="2" t="str">
        <f>IFERROR(__xludf.DUMMYFUNCTION("""COMPUTED_VALUE"""),"Pfeffer")</f>
        <v>Pfeffer</v>
      </c>
      <c r="E28" s="2" t="str">
        <f>IFERROR(__xludf.DUMMYFUNCTION("""COMPUTED_VALUE"""),"Postdoc")</f>
        <v>Postdoc</v>
      </c>
      <c r="F28" s="2" t="str">
        <f>IFERROR(__xludf.DUMMYFUNCTION("""COMPUTED_VALUE"""),"ebsy@stanford.edu")</f>
        <v>ebsy@stanford.edu</v>
      </c>
      <c r="G28" s="2" t="str">
        <f>IFERROR(__xludf.DUMMYFUNCTION("""COMPUTED_VALUE"""),"0000-0001-6845-2095")</f>
        <v>0000-0001-6845-2095</v>
      </c>
    </row>
    <row r="29">
      <c r="A29" s="2" t="str">
        <f>IFERROR(__xludf.DUMMYFUNCTION("""COMPUTED_VALUE"""),"Pratuseviciute")</f>
        <v>Pratuseviciute</v>
      </c>
      <c r="B29" s="2" t="str">
        <f>IFERROR(__xludf.DUMMYFUNCTION("""COMPUTED_VALUE"""),"Neringa")</f>
        <v>Neringa</v>
      </c>
      <c r="C29" s="2" t="str">
        <f>IFERROR(__xludf.DUMMYFUNCTION("""COMPUTED_VALUE"""),"Key Personnel")</f>
        <v>Key Personnel</v>
      </c>
      <c r="D29" s="2" t="str">
        <f>IFERROR(__xludf.DUMMYFUNCTION("""COMPUTED_VALUE"""),"Sammler")</f>
        <v>Sammler</v>
      </c>
      <c r="E29" s="2" t="str">
        <f>IFERROR(__xludf.DUMMYFUNCTION("""COMPUTED_VALUE"""),"PhD student")</f>
        <v>PhD student</v>
      </c>
      <c r="F29" s="2" t="str">
        <f>IFERROR(__xludf.DUMMYFUNCTION("""COMPUTED_VALUE"""),"n.pratuseviciute@dundee.ac.uk")</f>
        <v>n.pratuseviciute@dundee.ac.uk</v>
      </c>
      <c r="G29" s="2" t="str">
        <f>IFERROR(__xludf.DUMMYFUNCTION("""COMPUTED_VALUE"""),"0000-0002-1124-8699")</f>
        <v>0000-0002-1124-8699</v>
      </c>
    </row>
    <row r="30">
      <c r="A30" s="2" t="str">
        <f>IFERROR(__xludf.DUMMYFUNCTION("""COMPUTED_VALUE"""),"Chiang")</f>
        <v>Chiang</v>
      </c>
      <c r="B30" s="2" t="str">
        <f>IFERROR(__xludf.DUMMYFUNCTION("""COMPUTED_VALUE"""),"Claire")</f>
        <v>Claire</v>
      </c>
      <c r="C30" s="2" t="str">
        <f>IFERROR(__xludf.DUMMYFUNCTION("""COMPUTED_VALUE"""),"Key Personnel")</f>
        <v>Key Personnel</v>
      </c>
      <c r="D30" s="2" t="str">
        <f>IFERROR(__xludf.DUMMYFUNCTION("""COMPUTED_VALUE"""),"Pfeffer")</f>
        <v>Pfeffer</v>
      </c>
      <c r="E30" s="2" t="str">
        <f>IFERROR(__xludf.DUMMYFUNCTION("""COMPUTED_VALUE"""),"PhD student")</f>
        <v>PhD student</v>
      </c>
      <c r="F30" s="2" t="str">
        <f>IFERROR(__xludf.DUMMYFUNCTION("""COMPUTED_VALUE"""),"cychiang@stanford.edu")</f>
        <v>cychiang@stanford.edu</v>
      </c>
      <c r="G30" s="2" t="str">
        <f>IFERROR(__xludf.DUMMYFUNCTION("""COMPUTED_VALUE"""),"0000-0002-0999-9856")</f>
        <v>0000-0002-0999-9856</v>
      </c>
    </row>
    <row r="31">
      <c r="A31" s="2" t="str">
        <f>IFERROR(__xludf.DUMMYFUNCTION("""COMPUTED_VALUE"""),"Levina")</f>
        <v>Levina</v>
      </c>
      <c r="B31" s="2" t="str">
        <f>IFERROR(__xludf.DUMMYFUNCTION("""COMPUTED_VALUE"""),"Aleksandra")</f>
        <v>Aleksandra</v>
      </c>
      <c r="C31" s="2" t="str">
        <f>IFERROR(__xludf.DUMMYFUNCTION("""COMPUTED_VALUE"""),"Key Personnel")</f>
        <v>Key Personnel</v>
      </c>
      <c r="D31" s="2" t="str">
        <f>IFERROR(__xludf.DUMMYFUNCTION("""COMPUTED_VALUE"""),"Abu-Remaileh ")</f>
        <v>Abu-Remaileh </v>
      </c>
      <c r="E31" s="2" t="str">
        <f>IFERROR(__xludf.DUMMYFUNCTION("""COMPUTED_VALUE"""),"Postdoc")</f>
        <v>Postdoc</v>
      </c>
      <c r="F31" s="2" t="str">
        <f>IFERROR(__xludf.DUMMYFUNCTION("""COMPUTED_VALUE"""),"alevina@stanford.edu")</f>
        <v>alevina@stanford.edu</v>
      </c>
      <c r="G31" s="2" t="str">
        <f>IFERROR(__xludf.DUMMYFUNCTION("""COMPUTED_VALUE"""),"0009-0001-4653-9090")</f>
        <v>0009-0001-4653-9090</v>
      </c>
    </row>
    <row r="32">
      <c r="A32" s="2" t="str">
        <f>IFERROR(__xludf.DUMMYFUNCTION("""COMPUTED_VALUE"""),"Lin")</f>
        <v>Lin</v>
      </c>
      <c r="B32" s="2" t="str">
        <f>IFERROR(__xludf.DUMMYFUNCTION("""COMPUTED_VALUE"""),"Yu-En")</f>
        <v>Yu-En</v>
      </c>
      <c r="C32" s="2" t="str">
        <f>IFERROR(__xludf.DUMMYFUNCTION("""COMPUTED_VALUE"""),"Key Personnel")</f>
        <v>Key Personnel</v>
      </c>
      <c r="D32" s="2" t="str">
        <f>IFERROR(__xludf.DUMMYFUNCTION("""COMPUTED_VALUE"""),"Pfeffer")</f>
        <v>Pfeffer</v>
      </c>
      <c r="E32" s="2" t="str">
        <f>IFERROR(__xludf.DUMMYFUNCTION("""COMPUTED_VALUE"""),"Postdoc")</f>
        <v>Postdoc</v>
      </c>
      <c r="F32" s="2" t="str">
        <f>IFERROR(__xludf.DUMMYFUNCTION("""COMPUTED_VALUE"""),"yuenlin@stanford.edu")</f>
        <v>yuenlin@stanford.edu</v>
      </c>
      <c r="G32" s="2" t="str">
        <f>IFERROR(__xludf.DUMMYFUNCTION("""COMPUTED_VALUE"""),"0000-0002-5848-5405")</f>
        <v>0000-0002-5848-5405</v>
      </c>
    </row>
    <row r="33">
      <c r="A33" s="2" t="str">
        <f>IFERROR(__xludf.DUMMYFUNCTION("""COMPUTED_VALUE"""),"Rawat")</f>
        <v>Rawat</v>
      </c>
      <c r="B33" s="2" t="str">
        <f>IFERROR(__xludf.DUMMYFUNCTION("""COMPUTED_VALUE"""),"Eshaan")</f>
        <v>Eshaan</v>
      </c>
      <c r="C33" s="2" t="str">
        <f>IFERROR(__xludf.DUMMYFUNCTION("""COMPUTED_VALUE"""),"Key Personnel")</f>
        <v>Key Personnel</v>
      </c>
      <c r="D33" s="2" t="str">
        <f>IFERROR(__xludf.DUMMYFUNCTION("""COMPUTED_VALUE"""),"Abu-Remaileh ")</f>
        <v>Abu-Remaileh </v>
      </c>
      <c r="E33" s="2" t="str">
        <f>IFERROR(__xludf.DUMMYFUNCTION("""COMPUTED_VALUE"""),"Grad student")</f>
        <v>Grad student</v>
      </c>
      <c r="F33" s="2" t="str">
        <f>IFERROR(__xludf.DUMMYFUNCTION("""COMPUTED_VALUE"""),"erawat@stanford.edu")</f>
        <v>erawat@stanford.edu</v>
      </c>
      <c r="G33" s="2" t="str">
        <f>IFERROR(__xludf.DUMMYFUNCTION("""COMPUTED_VALUE"""),"0000-0002-2595-7605")</f>
        <v>0000-0002-2595-7605</v>
      </c>
    </row>
    <row r="34">
      <c r="A34" s="2" t="str">
        <f>IFERROR(__xludf.DUMMYFUNCTION("""COMPUTED_VALUE"""),"Nyame")</f>
        <v>Nyame</v>
      </c>
      <c r="B34" s="2" t="str">
        <f>IFERROR(__xludf.DUMMYFUNCTION("""COMPUTED_VALUE"""),"Kwamina")</f>
        <v>Kwamina</v>
      </c>
      <c r="C34" s="2" t="str">
        <f>IFERROR(__xludf.DUMMYFUNCTION("""COMPUTED_VALUE"""),"Key Personnel")</f>
        <v>Key Personnel</v>
      </c>
      <c r="D34" s="2" t="str">
        <f>IFERROR(__xludf.DUMMYFUNCTION("""COMPUTED_VALUE"""),"Abu-Remaileh ")</f>
        <v>Abu-Remaileh </v>
      </c>
      <c r="E34" s="2" t="str">
        <f>IFERROR(__xludf.DUMMYFUNCTION("""COMPUTED_VALUE"""),"Grad student")</f>
        <v>Grad student</v>
      </c>
      <c r="F34" s="2" t="str">
        <f>IFERROR(__xludf.DUMMYFUNCTION("""COMPUTED_VALUE"""),"kwaminanyame@stanford.edu")</f>
        <v>kwaminanyame@stanford.edu</v>
      </c>
      <c r="G34" s="2" t="str">
        <f>IFERROR(__xludf.DUMMYFUNCTION("""COMPUTED_VALUE"""),"0000-0001-8898-4689")</f>
        <v>0000-0001-8898-4689</v>
      </c>
    </row>
    <row r="35">
      <c r="A35" s="2" t="str">
        <f>IFERROR(__xludf.DUMMYFUNCTION("""COMPUTED_VALUE"""),"Sherpa")</f>
        <v>Sherpa</v>
      </c>
      <c r="B35" s="2" t="str">
        <f>IFERROR(__xludf.DUMMYFUNCTION("""COMPUTED_VALUE"""),"Pemba")</f>
        <v>Pemba</v>
      </c>
      <c r="C35" s="2" t="str">
        <f>IFERROR(__xludf.DUMMYFUNCTION("""COMPUTED_VALUE"""),"Key Personnel")</f>
        <v>Key Personnel</v>
      </c>
      <c r="D35" s="2" t="str">
        <f>IFERROR(__xludf.DUMMYFUNCTION("""COMPUTED_VALUE"""),"Pfeffer")</f>
        <v>Pfeffer</v>
      </c>
      <c r="E35" s="2" t="str">
        <f>IFERROR(__xludf.DUMMYFUNCTION("""COMPUTED_VALUE"""),"Tech")</f>
        <v>Tech</v>
      </c>
      <c r="F35" s="2" t="str">
        <f>IFERROR(__xludf.DUMMYFUNCTION("""COMPUTED_VALUE"""),"plsherpa@stanford.edu")</f>
        <v>plsherpa@stanford.edu</v>
      </c>
      <c r="G35" s="2" t="str">
        <f>IFERROR(__xludf.DUMMYFUNCTION("""COMPUTED_VALUE"""),"0000-0002-4678-0001")</f>
        <v>0000-0002-4678-0001</v>
      </c>
    </row>
    <row r="36">
      <c r="A36" s="2" t="str">
        <f>IFERROR(__xludf.DUMMYFUNCTION("""COMPUTED_VALUE"""),"Jaconelli")</f>
        <v>Jaconelli</v>
      </c>
      <c r="B36" s="2" t="str">
        <f>IFERROR(__xludf.DUMMYFUNCTION("""COMPUTED_VALUE"""),"Matthew")</f>
        <v>Matthew</v>
      </c>
      <c r="C36" s="2" t="str">
        <f>IFERROR(__xludf.DUMMYFUNCTION("""COMPUTED_VALUE"""),"Key Personnel")</f>
        <v>Key Personnel</v>
      </c>
      <c r="D36" s="2" t="str">
        <f>IFERROR(__xludf.DUMMYFUNCTION("""COMPUTED_VALUE"""),"Alessi")</f>
        <v>Alessi</v>
      </c>
      <c r="E36" s="2" t="str">
        <f>IFERROR(__xludf.DUMMYFUNCTION("""COMPUTED_VALUE"""),"Postdoc")</f>
        <v>Postdoc</v>
      </c>
      <c r="F36" s="2" t="str">
        <f>IFERROR(__xludf.DUMMYFUNCTION("""COMPUTED_VALUE"""),"MJaconelli001@dundee.ac.uk")</f>
        <v>MJaconelli001@dundee.ac.uk</v>
      </c>
      <c r="G36" s="2" t="str">
        <f>IFERROR(__xludf.DUMMYFUNCTION("""COMPUTED_VALUE"""),"0009-0003-1536-435X")</f>
        <v>0009-0003-1536-435X</v>
      </c>
    </row>
    <row r="37">
      <c r="A37" s="2" t="str">
        <f>IFERROR(__xludf.DUMMYFUNCTION("""COMPUTED_VALUE"""),"Viskontas")</f>
        <v>Viskontas</v>
      </c>
      <c r="B37" s="2" t="str">
        <f>IFERROR(__xludf.DUMMYFUNCTION("""COMPUTED_VALUE"""),"Mindaugas")</f>
        <v>Mindaugas</v>
      </c>
      <c r="C37" s="2" t="str">
        <f>IFERROR(__xludf.DUMMYFUNCTION("""COMPUTED_VALUE"""),"Key Personnel")</f>
        <v>Key Personnel</v>
      </c>
      <c r="D37" s="2" t="str">
        <f>IFERROR(__xludf.DUMMYFUNCTION("""COMPUTED_VALUE"""),"Alessi")</f>
        <v>Alessi</v>
      </c>
      <c r="E37" s="2" t="str">
        <f>IFERROR(__xludf.DUMMYFUNCTION("""COMPUTED_VALUE"""),"Postdoc")</f>
        <v>Postdoc</v>
      </c>
      <c r="F37" s="2" t="str">
        <f>IFERROR(__xludf.DUMMYFUNCTION("""COMPUTED_VALUE"""),"mviskontas001@dundee.ac.uk")</f>
        <v>mviskontas001@dundee.ac.uk</v>
      </c>
      <c r="G37" s="2" t="str">
        <f>IFERROR(__xludf.DUMMYFUNCTION("""COMPUTED_VALUE"""),"0009-0003-2364-7261")</f>
        <v>0009-0003-2364-7261</v>
      </c>
    </row>
    <row r="38">
      <c r="A38" s="2" t="str">
        <f>IFERROR(__xludf.DUMMYFUNCTION("""COMPUTED_VALUE"""),"Zhu")</f>
        <v>Zhu</v>
      </c>
      <c r="B38" s="2" t="str">
        <f>IFERROR(__xludf.DUMMYFUNCTION("""COMPUTED_VALUE"""),"Zhijun")</f>
        <v>Zhijun</v>
      </c>
      <c r="C38" s="2" t="str">
        <f>IFERROR(__xludf.DUMMYFUNCTION("""COMPUTED_VALUE"""),"Key Personnel")</f>
        <v>Key Personnel</v>
      </c>
      <c r="D38" s="2" t="str">
        <f>IFERROR(__xludf.DUMMYFUNCTION("""COMPUTED_VALUE"""),"Abu-Remaileh ")</f>
        <v>Abu-Remaileh </v>
      </c>
      <c r="E38" s="2" t="str">
        <f>IFERROR(__xludf.DUMMYFUNCTION("""COMPUTED_VALUE"""),"Postdoc")</f>
        <v>Postdoc</v>
      </c>
      <c r="F38" s="2" t="str">
        <f>IFERROR(__xludf.DUMMYFUNCTION("""COMPUTED_VALUE"""),"zjzhu@stanford.edu")</f>
        <v>zjzhu@stanford.edu</v>
      </c>
      <c r="G38" s="2" t="str">
        <f>IFERROR(__xludf.DUMMYFUNCTION("""COMPUTED_VALUE"""),"0009-0002-9465-498X.")</f>
        <v>0009-0002-9465-498X.</v>
      </c>
    </row>
    <row r="39">
      <c r="A39" s="2" t="str">
        <f>IFERROR(__xludf.DUMMYFUNCTION("""COMPUTED_VALUE"""),"Elshani")</f>
        <v>Elshani</v>
      </c>
      <c r="B39" s="2" t="str">
        <f>IFERROR(__xludf.DUMMYFUNCTION("""COMPUTED_VALUE"""),"Sadik")</f>
        <v>Sadik</v>
      </c>
      <c r="C39" s="2" t="str">
        <f>IFERROR(__xludf.DUMMYFUNCTION("""COMPUTED_VALUE"""),"Key Personnel")</f>
        <v>Key Personnel</v>
      </c>
      <c r="D39" s="2" t="str">
        <f>IFERROR(__xludf.DUMMYFUNCTION("""COMPUTED_VALUE"""),"Alessi")</f>
        <v>Alessi</v>
      </c>
      <c r="E39" s="2" t="str">
        <f>IFERROR(__xludf.DUMMYFUNCTION("""COMPUTED_VALUE"""),"PhD student")</f>
        <v>PhD student</v>
      </c>
      <c r="F39" s="2" t="str">
        <f>IFERROR(__xludf.DUMMYFUNCTION("""COMPUTED_VALUE"""),"2525178@dundee.ac.uk")</f>
        <v>2525178@dundee.ac.uk</v>
      </c>
      <c r="G39" s="2" t="str">
        <f>IFERROR(__xludf.DUMMYFUNCTION("""COMPUTED_VALUE"""),"0009-0009-9416-6151")</f>
        <v>0009-0009-9416-6151</v>
      </c>
    </row>
    <row r="40">
      <c r="A40" s="2" t="str">
        <f>IFERROR(__xludf.DUMMYFUNCTION("""COMPUTED_VALUE"""),"Eade")</f>
        <v>Eade</v>
      </c>
      <c r="B40" s="2" t="str">
        <f>IFERROR(__xludf.DUMMYFUNCTION("""COMPUTED_VALUE"""),"Liam")</f>
        <v>Liam</v>
      </c>
      <c r="C40" s="2" t="str">
        <f>IFERROR(__xludf.DUMMYFUNCTION("""COMPUTED_VALUE"""),"Key Personnel")</f>
        <v>Key Personnel</v>
      </c>
      <c r="D40" s="2" t="str">
        <f>IFERROR(__xludf.DUMMYFUNCTION("""COMPUTED_VALUE"""),"Alessi")</f>
        <v>Alessi</v>
      </c>
      <c r="E40" s="2" t="str">
        <f>IFERROR(__xludf.DUMMYFUNCTION("""COMPUTED_VALUE"""),"Postdoc")</f>
        <v>Postdoc</v>
      </c>
      <c r="F40" s="2" t="str">
        <f>IFERROR(__xludf.DUMMYFUNCTION("""COMPUTED_VALUE"""),"LEade001@dundee.ac.uk")</f>
        <v>LEade001@dundee.ac.uk</v>
      </c>
      <c r="G40" s="2" t="str">
        <f>IFERROR(__xludf.DUMMYFUNCTION("""COMPUTED_VALUE"""),"0000-0002-0758-0912")</f>
        <v>0000-0002-0758-0912</v>
      </c>
    </row>
    <row r="41">
      <c r="A41" s="2" t="str">
        <f>IFERROR(__xludf.DUMMYFUNCTION("""COMPUTED_VALUE"""),"Matrongolo")</f>
        <v>Matrongolo</v>
      </c>
      <c r="B41" s="2" t="str">
        <f>IFERROR(__xludf.DUMMYFUNCTION("""COMPUTED_VALUE"""),"Matthew")</f>
        <v>Matthew</v>
      </c>
      <c r="C41" s="2" t="str">
        <f>IFERROR(__xludf.DUMMYFUNCTION("""COMPUTED_VALUE"""),"Key Personnel")</f>
        <v>Key Personnel</v>
      </c>
      <c r="D41" s="2" t="str">
        <f>IFERROR(__xludf.DUMMYFUNCTION("""COMPUTED_VALUE"""),"Abu-Remaileh ")</f>
        <v>Abu-Remaileh </v>
      </c>
      <c r="E41" s="2" t="str">
        <f>IFERROR(__xludf.DUMMYFUNCTION("""COMPUTED_VALUE"""),"Phd student")</f>
        <v>Phd student</v>
      </c>
      <c r="F41" s="2" t="str">
        <f>IFERROR(__xludf.DUMMYFUNCTION("""COMPUTED_VALUE"""),"mjm4@stanford.edu")</f>
        <v>mjm4@stanford.edu</v>
      </c>
      <c r="G41" s="2" t="str">
        <f>IFERROR(__xludf.DUMMYFUNCTION("""COMPUTED_VALUE"""),"0009-0006-2920-392X")</f>
        <v>0009-0006-2920-392X</v>
      </c>
    </row>
    <row r="42">
      <c r="A42" s="2" t="str">
        <f>IFERROR(__xludf.DUMMYFUNCTION("""COMPUTED_VALUE"""),"Kiely")</f>
        <v>Kiely</v>
      </c>
      <c r="B42" s="2" t="str">
        <f>IFERROR(__xludf.DUMMYFUNCTION("""COMPUTED_VALUE"""),"Matthew")</f>
        <v>Matthew</v>
      </c>
      <c r="C42" s="2" t="str">
        <f>IFERROR(__xludf.DUMMYFUNCTION("""COMPUTED_VALUE"""),"Key Personnel")</f>
        <v>Key Personnel</v>
      </c>
      <c r="D42" s="2" t="str">
        <f>IFERROR(__xludf.DUMMYFUNCTION("""COMPUTED_VALUE"""),"Muqit")</f>
        <v>Muqit</v>
      </c>
      <c r="E42" s="2" t="str">
        <f>IFERROR(__xludf.DUMMYFUNCTION("""COMPUTED_VALUE"""),"PhD student")</f>
        <v>PhD student</v>
      </c>
      <c r="F42" s="2" t="str">
        <f>IFERROR(__xludf.DUMMYFUNCTION("""COMPUTED_VALUE"""),"2660481@dundee.ac.uk")</f>
        <v>2660481@dundee.ac.uk</v>
      </c>
      <c r="G42" s="2" t="str">
        <f>IFERROR(__xludf.DUMMYFUNCTION("""COMPUTED_VALUE"""),"0009-0000-6015-1618")</f>
        <v>0009-0000-6015-1618</v>
      </c>
    </row>
    <row r="43">
      <c r="A43" s="2" t="str">
        <f>IFERROR(__xludf.DUMMYFUNCTION("""COMPUTED_VALUE"""),"Flitton")</f>
        <v>Flitton</v>
      </c>
      <c r="B43" s="2" t="str">
        <f>IFERROR(__xludf.DUMMYFUNCTION("""COMPUTED_VALUE"""),"Chloe")</f>
        <v>Chloe</v>
      </c>
      <c r="C43" s="2" t="str">
        <f>IFERROR(__xludf.DUMMYFUNCTION("""COMPUTED_VALUE"""),"Key Personnel")</f>
        <v>Key Personnel</v>
      </c>
      <c r="D43" s="2" t="str">
        <f>IFERROR(__xludf.DUMMYFUNCTION("""COMPUTED_VALUE"""),"Alessi")</f>
        <v>Alessi</v>
      </c>
      <c r="E43" s="2" t="str">
        <f>IFERROR(__xludf.DUMMYFUNCTION("""COMPUTED_VALUE"""),"PhD student")</f>
        <v>PhD student</v>
      </c>
      <c r="F43" s="2" t="str">
        <f>IFERROR(__xludf.DUMMYFUNCTION("""COMPUTED_VALUE"""),"2656849@dundee.ac.uk")</f>
        <v>2656849@dundee.ac.uk</v>
      </c>
      <c r="G43" s="2" t="str">
        <f>IFERROR(__xludf.DUMMYFUNCTION("""COMPUTED_VALUE"""),"0009-0005-2778-8381")</f>
        <v>0009-0005-2778-8381</v>
      </c>
    </row>
    <row r="44">
      <c r="A44" s="2" t="str">
        <f>IFERROR(__xludf.DUMMYFUNCTION("""COMPUTED_VALUE"""),"Singh")</f>
        <v>Singh</v>
      </c>
      <c r="B44" s="2" t="str">
        <f>IFERROR(__xludf.DUMMYFUNCTION("""COMPUTED_VALUE"""),"Jaijeet")</f>
        <v>Jaijeet</v>
      </c>
      <c r="C44" s="2" t="str">
        <f>IFERROR(__xludf.DUMMYFUNCTION("""COMPUTED_VALUE"""),"Key Personnel")</f>
        <v>Key Personnel</v>
      </c>
      <c r="D44" s="2" t="str">
        <f>IFERROR(__xludf.DUMMYFUNCTION("""COMPUTED_VALUE"""),"Alessi")</f>
        <v>Alessi</v>
      </c>
      <c r="E44" s="2" t="str">
        <f>IFERROR(__xludf.DUMMYFUNCTION("""COMPUTED_VALUE"""),"PhD student")</f>
        <v>PhD student</v>
      </c>
      <c r="F44" s="2" t="str">
        <f>IFERROR(__xludf.DUMMYFUNCTION("""COMPUTED_VALUE"""),"2660361@dundee.ac.uk")</f>
        <v>2660361@dundee.ac.uk</v>
      </c>
      <c r="G44" s="2" t="str">
        <f>IFERROR(__xludf.DUMMYFUNCTION("""COMPUTED_VALUE"""),"0009-0000-0237-7993")</f>
        <v>0009-0000-0237-7993</v>
      </c>
    </row>
    <row r="45">
      <c r="A45" s="2" t="str">
        <f>IFERROR(__xludf.DUMMYFUNCTION("""COMPUTED_VALUE"""),"Tripathi")</f>
        <v>Tripathi</v>
      </c>
      <c r="B45" s="2" t="str">
        <f>IFERROR(__xludf.DUMMYFUNCTION("""COMPUTED_VALUE"""),"Aashutosh")</f>
        <v>Aashutosh</v>
      </c>
      <c r="C45" s="2" t="str">
        <f>IFERROR(__xludf.DUMMYFUNCTION("""COMPUTED_VALUE"""),"Key Personnel")</f>
        <v>Key Personnel</v>
      </c>
      <c r="D45" s="2" t="str">
        <f>IFERROR(__xludf.DUMMYFUNCTION("""COMPUTED_VALUE"""),"Pfeffer")</f>
        <v>Pfeffer</v>
      </c>
      <c r="E45" s="2" t="str">
        <f>IFERROR(__xludf.DUMMYFUNCTION("""COMPUTED_VALUE"""),"Postdoc")</f>
        <v>Postdoc</v>
      </c>
      <c r="F45" s="2" t="str">
        <f>IFERROR(__xludf.DUMMYFUNCTION("""COMPUTED_VALUE"""),"aashut@stanford.edu")</f>
        <v>aashut@stanford.edu</v>
      </c>
      <c r="G45" s="2" t="str">
        <f>IFERROR(__xludf.DUMMYFUNCTION("""COMPUTED_VALUE"""),"0000-0002-1356-656X")</f>
        <v>0000-0002-1356-656X</v>
      </c>
    </row>
    <row r="46">
      <c r="A46" s="2" t="str">
        <f>IFERROR(__xludf.DUMMYFUNCTION("""COMPUTED_VALUE"""),"Awatramani")</f>
        <v>Awatramani</v>
      </c>
      <c r="B46" s="2" t="str">
        <f>IFERROR(__xludf.DUMMYFUNCTION("""COMPUTED_VALUE"""),"Rajeshwar")</f>
        <v>Rajeshwar</v>
      </c>
      <c r="C46" s="2" t="str">
        <f>IFERROR(__xludf.DUMMYFUNCTION("""COMPUTED_VALUE"""),"Lead-PI")</f>
        <v>Lead-PI</v>
      </c>
      <c r="D46" s="2" t="str">
        <f>IFERROR(__xludf.DUMMYFUNCTION("""COMPUTED_VALUE"""),"Awatramani")</f>
        <v>Awatramani</v>
      </c>
      <c r="E46" s="2" t="str">
        <f>IFERROR(__xludf.DUMMYFUNCTION("""COMPUTED_VALUE"""),"PI")</f>
        <v>PI</v>
      </c>
      <c r="F46" s="2" t="str">
        <f>IFERROR(__xludf.DUMMYFUNCTION("""COMPUTED_VALUE"""),"r-awatramani@northwestern.edu")</f>
        <v>r-awatramani@northwestern.edu</v>
      </c>
      <c r="G46" s="2" t="str">
        <f>IFERROR(__xludf.DUMMYFUNCTION("""COMPUTED_VALUE"""),"0000-0002-0713-2140")</f>
        <v>0000-0002-0713-2140</v>
      </c>
    </row>
    <row r="47">
      <c r="A47" s="2" t="str">
        <f>IFERROR(__xludf.DUMMYFUNCTION("""COMPUTED_VALUE"""),"Bevan")</f>
        <v>Bevan</v>
      </c>
      <c r="B47" s="2" t="str">
        <f>IFERROR(__xludf.DUMMYFUNCTION("""COMPUTED_VALUE"""),"Mark")</f>
        <v>Mark</v>
      </c>
      <c r="C47" s="2" t="str">
        <f>IFERROR(__xludf.DUMMYFUNCTION("""COMPUTED_VALUE"""),"Co-PI")</f>
        <v>Co-PI</v>
      </c>
      <c r="D47" s="2" t="str">
        <f>IFERROR(__xludf.DUMMYFUNCTION("""COMPUTED_VALUE"""),"Bevan")</f>
        <v>Bevan</v>
      </c>
      <c r="E47" s="2" t="str">
        <f>IFERROR(__xludf.DUMMYFUNCTION("""COMPUTED_VALUE"""),"PI")</f>
        <v>PI</v>
      </c>
      <c r="F47" s="2" t="str">
        <f>IFERROR(__xludf.DUMMYFUNCTION("""COMPUTED_VALUE"""),"m-bevan@northwestern.edu")</f>
        <v>m-bevan@northwestern.edu</v>
      </c>
      <c r="G47" s="2" t="str">
        <f>IFERROR(__xludf.DUMMYFUNCTION("""COMPUTED_VALUE"""),"0000-0001-9759-0163")</f>
        <v>0000-0001-9759-0163</v>
      </c>
    </row>
    <row r="48">
      <c r="A48" s="2" t="str">
        <f>IFERROR(__xludf.DUMMYFUNCTION("""COMPUTED_VALUE"""),"Dombeck")</f>
        <v>Dombeck</v>
      </c>
      <c r="B48" s="2" t="str">
        <f>IFERROR(__xludf.DUMMYFUNCTION("""COMPUTED_VALUE"""),"Daniel")</f>
        <v>Daniel</v>
      </c>
      <c r="C48" s="2" t="str">
        <f>IFERROR(__xludf.DUMMYFUNCTION("""COMPUTED_VALUE"""),"Co-PI")</f>
        <v>Co-PI</v>
      </c>
      <c r="D48" s="2" t="str">
        <f>IFERROR(__xludf.DUMMYFUNCTION("""COMPUTED_VALUE"""),"Dombeck")</f>
        <v>Dombeck</v>
      </c>
      <c r="E48" s="2" t="str">
        <f>IFERROR(__xludf.DUMMYFUNCTION("""COMPUTED_VALUE"""),"PI")</f>
        <v>PI</v>
      </c>
      <c r="F48" s="2" t="str">
        <f>IFERROR(__xludf.DUMMYFUNCTION("""COMPUTED_VALUE"""),"d-dombeck@northwestern.edu")</f>
        <v>d-dombeck@northwestern.edu</v>
      </c>
      <c r="G48" s="2" t="str">
        <f>IFERROR(__xludf.DUMMYFUNCTION("""COMPUTED_VALUE"""),"0000-0003-2576-5918")</f>
        <v>0000-0003-2576-5918</v>
      </c>
    </row>
    <row r="49">
      <c r="A49" s="2" t="str">
        <f>IFERROR(__xludf.DUMMYFUNCTION("""COMPUTED_VALUE"""),"Hnasko")</f>
        <v>Hnasko</v>
      </c>
      <c r="B49" s="2" t="str">
        <f>IFERROR(__xludf.DUMMYFUNCTION("""COMPUTED_VALUE"""),"Tom")</f>
        <v>Tom</v>
      </c>
      <c r="C49" s="2" t="str">
        <f>IFERROR(__xludf.DUMMYFUNCTION("""COMPUTED_VALUE"""),"Co-PI")</f>
        <v>Co-PI</v>
      </c>
      <c r="D49" s="2" t="str">
        <f>IFERROR(__xludf.DUMMYFUNCTION("""COMPUTED_VALUE"""),"Hnasko")</f>
        <v>Hnasko</v>
      </c>
      <c r="E49" s="2" t="str">
        <f>IFERROR(__xludf.DUMMYFUNCTION("""COMPUTED_VALUE"""),"PI")</f>
        <v>PI</v>
      </c>
      <c r="F49" s="2" t="str">
        <f>IFERROR(__xludf.DUMMYFUNCTION("""COMPUTED_VALUE"""),"thnasko@health.ucsd.edu")</f>
        <v>thnasko@health.ucsd.edu</v>
      </c>
      <c r="G49" s="2" t="str">
        <f>IFERROR(__xludf.DUMMYFUNCTION("""COMPUTED_VALUE"""),"0000-0001-6176-8513")</f>
        <v>0000-0001-6176-8513</v>
      </c>
    </row>
    <row r="50">
      <c r="A50" s="2" t="str">
        <f>IFERROR(__xludf.DUMMYFUNCTION("""COMPUTED_VALUE"""),"Parisiadou")</f>
        <v>Parisiadou</v>
      </c>
      <c r="B50" s="2" t="str">
        <f>IFERROR(__xludf.DUMMYFUNCTION("""COMPUTED_VALUE"""),"Loukia")</f>
        <v>Loukia</v>
      </c>
      <c r="C50" s="2" t="str">
        <f>IFERROR(__xludf.DUMMYFUNCTION("""COMPUTED_VALUE"""),"Co-PI")</f>
        <v>Co-PI</v>
      </c>
      <c r="D50" s="2" t="str">
        <f>IFERROR(__xludf.DUMMYFUNCTION("""COMPUTED_VALUE"""),"Parisiadou")</f>
        <v>Parisiadou</v>
      </c>
      <c r="E50" s="2" t="str">
        <f>IFERROR(__xludf.DUMMYFUNCTION("""COMPUTED_VALUE"""),"PI")</f>
        <v>PI</v>
      </c>
      <c r="F50" s="2" t="str">
        <f>IFERROR(__xludf.DUMMYFUNCTION("""COMPUTED_VALUE"""),"Loukia.Parisiadou@northwestern.edu")</f>
        <v>Loukia.Parisiadou@northwestern.edu</v>
      </c>
      <c r="G50" s="2" t="str">
        <f>IFERROR(__xludf.DUMMYFUNCTION("""COMPUTED_VALUE"""),"0000-0002-2569-4200")</f>
        <v>0000-0002-2569-4200</v>
      </c>
    </row>
    <row r="51">
      <c r="A51" s="2" t="str">
        <f>IFERROR(__xludf.DUMMYFUNCTION("""COMPUTED_VALUE"""),"D. A. Raj")</f>
        <v>D. A. Raj</v>
      </c>
      <c r="B51" s="2" t="str">
        <f>IFERROR(__xludf.DUMMYFUNCTION("""COMPUTED_VALUE"""),"Divya")</f>
        <v>Divya</v>
      </c>
      <c r="C51" s="2" t="str">
        <f>IFERROR(__xludf.DUMMYFUNCTION("""COMPUTED_VALUE"""),"Key Personnel")</f>
        <v>Key Personnel</v>
      </c>
      <c r="D51" s="2" t="str">
        <f>IFERROR(__xludf.DUMMYFUNCTION("""COMPUTED_VALUE"""),"Awatramani")</f>
        <v>Awatramani</v>
      </c>
      <c r="E51" s="2" t="str">
        <f>IFERROR(__xludf.DUMMYFUNCTION("""COMPUTED_VALUE"""),"Research Assistant Professor")</f>
        <v>Research Assistant Professor</v>
      </c>
      <c r="F51" s="2" t="str">
        <f>IFERROR(__xludf.DUMMYFUNCTION("""COMPUTED_VALUE"""),"divya.darwinarulseeli@northwestern.edu")</f>
        <v>divya.darwinarulseeli@northwestern.edu</v>
      </c>
      <c r="G51" s="2" t="str">
        <f>IFERROR(__xludf.DUMMYFUNCTION("""COMPUTED_VALUE"""),"0000-0003-0268-1500")</f>
        <v>0000-0003-0268-1500</v>
      </c>
    </row>
    <row r="52">
      <c r="A52" s="2" t="str">
        <f>IFERROR(__xludf.DUMMYFUNCTION("""COMPUTED_VALUE"""),"Gaertner")</f>
        <v>Gaertner</v>
      </c>
      <c r="B52" s="2" t="str">
        <f>IFERROR(__xludf.DUMMYFUNCTION("""COMPUTED_VALUE"""),"Zachary")</f>
        <v>Zachary</v>
      </c>
      <c r="C52" s="2" t="str">
        <f>IFERROR(__xludf.DUMMYFUNCTION("""COMPUTED_VALUE"""),"Key Personnel")</f>
        <v>Key Personnel</v>
      </c>
      <c r="D52" s="2" t="str">
        <f>IFERROR(__xludf.DUMMYFUNCTION("""COMPUTED_VALUE"""),"Awatramani")</f>
        <v>Awatramani</v>
      </c>
      <c r="E52" s="2" t="str">
        <f>IFERROR(__xludf.DUMMYFUNCTION("""COMPUTED_VALUE"""),"Grad student")</f>
        <v>Grad student</v>
      </c>
      <c r="F52" s="2" t="str">
        <f>IFERROR(__xludf.DUMMYFUNCTION("""COMPUTED_VALUE"""),"zachary.gaertner@northwestern.edu")</f>
        <v>zachary.gaertner@northwestern.edu</v>
      </c>
      <c r="G52" s="2" t="str">
        <f>IFERROR(__xludf.DUMMYFUNCTION("""COMPUTED_VALUE"""),"0000-0002-1760-6549")</f>
        <v>0000-0002-1760-6549</v>
      </c>
    </row>
    <row r="53">
      <c r="A53" s="2" t="str">
        <f>IFERROR(__xludf.DUMMYFUNCTION("""COMPUTED_VALUE"""),"Andrés Moreno Ramos")</f>
        <v>Andrés Moreno Ramos</v>
      </c>
      <c r="B53" s="2" t="str">
        <f>IFERROR(__xludf.DUMMYFUNCTION("""COMPUTED_VALUE"""),"Oscar ")</f>
        <v>Oscar </v>
      </c>
      <c r="C53" s="2" t="str">
        <f>IFERROR(__xludf.DUMMYFUNCTION("""COMPUTED_VALUE"""),"Key Personnel")</f>
        <v>Key Personnel</v>
      </c>
      <c r="D53" s="2" t="str">
        <f>IFERROR(__xludf.DUMMYFUNCTION("""COMPUTED_VALUE"""),"Awatramani")</f>
        <v>Awatramani</v>
      </c>
      <c r="E53" s="2" t="str">
        <f>IFERROR(__xludf.DUMMYFUNCTION("""COMPUTED_VALUE"""),"Grad student")</f>
        <v>Grad student</v>
      </c>
      <c r="F53" s="2" t="str">
        <f>IFERROR(__xludf.DUMMYFUNCTION("""COMPUTED_VALUE"""),"oscarandresmr@u.northwestern.edu")</f>
        <v>oscarandresmr@u.northwestern.edu</v>
      </c>
      <c r="G53" s="2" t="str">
        <f>IFERROR(__xludf.DUMMYFUNCTION("""COMPUTED_VALUE"""),"0000-0002-1378-2545")</f>
        <v>0000-0002-1378-2545</v>
      </c>
    </row>
    <row r="54">
      <c r="A54" s="2" t="str">
        <f>IFERROR(__xludf.DUMMYFUNCTION("""COMPUTED_VALUE"""),"Hollon")</f>
        <v>Hollon</v>
      </c>
      <c r="B54" s="2" t="str">
        <f>IFERROR(__xludf.DUMMYFUNCTION("""COMPUTED_VALUE"""),"Nicholas")</f>
        <v>Nicholas</v>
      </c>
      <c r="C54" s="2" t="str">
        <f>IFERROR(__xludf.DUMMYFUNCTION("""COMPUTED_VALUE"""),"Key Personnel")</f>
        <v>Key Personnel</v>
      </c>
      <c r="D54" s="2" t="str">
        <f>IFERROR(__xludf.DUMMYFUNCTION("""COMPUTED_VALUE"""),"Hnasko")</f>
        <v>Hnasko</v>
      </c>
      <c r="E54" s="2" t="str">
        <f>IFERROR(__xludf.DUMMYFUNCTION("""COMPUTED_VALUE"""),"Project Scientist")</f>
        <v>Project Scientist</v>
      </c>
      <c r="F54" s="2" t="str">
        <f>IFERROR(__xludf.DUMMYFUNCTION("""COMPUTED_VALUE"""),"nghollon@health.ucsd.edu")</f>
        <v>nghollon@health.ucsd.edu</v>
      </c>
      <c r="G54" s="2" t="str">
        <f>IFERROR(__xludf.DUMMYFUNCTION("""COMPUTED_VALUE"""),"0000-0003-4827-1582")</f>
        <v>0000-0003-4827-1582</v>
      </c>
    </row>
    <row r="55">
      <c r="A55" s="2" t="str">
        <f>IFERROR(__xludf.DUMMYFUNCTION("""COMPUTED_VALUE"""),"Hadjas")</f>
        <v>Hadjas</v>
      </c>
      <c r="B55" s="2" t="str">
        <f>IFERROR(__xludf.DUMMYFUNCTION("""COMPUTED_VALUE"""),"Lotfi")</f>
        <v>Lotfi</v>
      </c>
      <c r="C55" s="2" t="str">
        <f>IFERROR(__xludf.DUMMYFUNCTION("""COMPUTED_VALUE"""),"Key Personnel")</f>
        <v>Key Personnel</v>
      </c>
      <c r="D55" s="2" t="str">
        <f>IFERROR(__xludf.DUMMYFUNCTION("""COMPUTED_VALUE"""),"Hnasko")</f>
        <v>Hnasko</v>
      </c>
      <c r="E55" s="2" t="str">
        <f>IFERROR(__xludf.DUMMYFUNCTION("""COMPUTED_VALUE"""),"Post-doctoral fellow")</f>
        <v>Post-doctoral fellow</v>
      </c>
      <c r="F55" s="2" t="str">
        <f>IFERROR(__xludf.DUMMYFUNCTION("""COMPUTED_VALUE"""),"lhadjas@health.ucsd.edu")</f>
        <v>lhadjas@health.ucsd.edu</v>
      </c>
      <c r="G55" s="2" t="str">
        <f>IFERROR(__xludf.DUMMYFUNCTION("""COMPUTED_VALUE"""),"0000-0003-1605-3601")</f>
        <v>0000-0003-1605-3601</v>
      </c>
    </row>
    <row r="56">
      <c r="A56" s="2" t="str">
        <f>IFERROR(__xludf.DUMMYFUNCTION("""COMPUTED_VALUE"""),"Nagappan")</f>
        <v>Nagappan</v>
      </c>
      <c r="B56" s="2" t="str">
        <f>IFERROR(__xludf.DUMMYFUNCTION("""COMPUTED_VALUE"""),"Shiva ")</f>
        <v>Shiva </v>
      </c>
      <c r="C56" s="2" t="str">
        <f>IFERROR(__xludf.DUMMYFUNCTION("""COMPUTED_VALUE"""),"Key Personnel")</f>
        <v>Key Personnel</v>
      </c>
      <c r="D56" s="2" t="str">
        <f>IFERROR(__xludf.DUMMYFUNCTION("""COMPUTED_VALUE"""),"Dombeck")</f>
        <v>Dombeck</v>
      </c>
      <c r="E56" s="2" t="str">
        <f>IFERROR(__xludf.DUMMYFUNCTION("""COMPUTED_VALUE"""),"Post-doctoral fellow")</f>
        <v>Post-doctoral fellow</v>
      </c>
      <c r="F56" s="2" t="str">
        <f>IFERROR(__xludf.DUMMYFUNCTION("""COMPUTED_VALUE"""),"shiva.nagappan@northwestern.edu")</f>
        <v>shiva.nagappan@northwestern.edu</v>
      </c>
      <c r="G56" s="2" t="str">
        <f>IFERROR(__xludf.DUMMYFUNCTION("""COMPUTED_VALUE"""),"0000-0001-5910-040X")</f>
        <v>0000-0001-5910-040X</v>
      </c>
    </row>
    <row r="57">
      <c r="A57" s="2" t="str">
        <f>IFERROR(__xludf.DUMMYFUNCTION("""COMPUTED_VALUE"""),"He")</f>
        <v>He</v>
      </c>
      <c r="B57" s="2" t="str">
        <f>IFERROR(__xludf.DUMMYFUNCTION("""COMPUTED_VALUE"""),"Elena ")</f>
        <v>Elena </v>
      </c>
      <c r="C57" s="2" t="str">
        <f>IFERROR(__xludf.DUMMYFUNCTION("""COMPUTED_VALUE"""),"Key Personnel")</f>
        <v>Key Personnel</v>
      </c>
      <c r="D57" s="2" t="str">
        <f>IFERROR(__xludf.DUMMYFUNCTION("""COMPUTED_VALUE"""),"Dombeck")</f>
        <v>Dombeck</v>
      </c>
      <c r="E57" s="2" t="str">
        <f>IFERROR(__xludf.DUMMYFUNCTION("""COMPUTED_VALUE"""),"Grad student")</f>
        <v>Grad student</v>
      </c>
      <c r="F57" s="2" t="str">
        <f>IFERROR(__xludf.DUMMYFUNCTION("""COMPUTED_VALUE"""),"qianzihe2025@u.northwestern.edu")</f>
        <v>qianzihe2025@u.northwestern.edu</v>
      </c>
      <c r="G57" s="2" t="str">
        <f>IFERROR(__xludf.DUMMYFUNCTION("""COMPUTED_VALUE"""),"0000-0002-4607-166X")</f>
        <v>0000-0002-4607-166X</v>
      </c>
    </row>
    <row r="58">
      <c r="A58" s="2" t="str">
        <f>IFERROR(__xludf.DUMMYFUNCTION("""COMPUTED_VALUE"""),"Datunashvili")</f>
        <v>Datunashvili</v>
      </c>
      <c r="B58" s="2" t="str">
        <f>IFERROR(__xludf.DUMMYFUNCTION("""COMPUTED_VALUE"""),"Maia")</f>
        <v>Maia</v>
      </c>
      <c r="C58" s="2" t="str">
        <f>IFERROR(__xludf.DUMMYFUNCTION("""COMPUTED_VALUE"""),"Key Personnel")</f>
        <v>Key Personnel</v>
      </c>
      <c r="D58" s="2" t="str">
        <f>IFERROR(__xludf.DUMMYFUNCTION("""COMPUTED_VALUE"""),"Bevan")</f>
        <v>Bevan</v>
      </c>
      <c r="E58" s="2" t="str">
        <f>IFERROR(__xludf.DUMMYFUNCTION("""COMPUTED_VALUE"""),"Post-doctoral fellow")</f>
        <v>Post-doctoral fellow</v>
      </c>
      <c r="F58" s="2" t="str">
        <f>IFERROR(__xludf.DUMMYFUNCTION("""COMPUTED_VALUE"""),"maia.datunashvili@northwestern.edu")</f>
        <v>maia.datunashvili@northwestern.edu</v>
      </c>
      <c r="G58" s="2" t="str">
        <f>IFERROR(__xludf.DUMMYFUNCTION("""COMPUTED_VALUE"""),"0000-0003-4245-779X")</f>
        <v>0000-0003-4245-779X</v>
      </c>
    </row>
    <row r="59">
      <c r="A59" s="2" t="str">
        <f>IFERROR(__xludf.DUMMYFUNCTION("""COMPUTED_VALUE"""),"Liu")</f>
        <v>Liu</v>
      </c>
      <c r="B59" s="2" t="str">
        <f>IFERROR(__xludf.DUMMYFUNCTION("""COMPUTED_VALUE"""),"Yuejun")</f>
        <v>Yuejun</v>
      </c>
      <c r="C59" s="2" t="str">
        <f>IFERROR(__xludf.DUMMYFUNCTION("""COMPUTED_VALUE"""),"Key Personnel")</f>
        <v>Key Personnel</v>
      </c>
      <c r="D59" s="2" t="str">
        <f>IFERROR(__xludf.DUMMYFUNCTION("""COMPUTED_VALUE"""),"Bevan")</f>
        <v>Bevan</v>
      </c>
      <c r="E59" s="2" t="str">
        <f>IFERROR(__xludf.DUMMYFUNCTION("""COMPUTED_VALUE"""),"Grad student")</f>
        <v>Grad student</v>
      </c>
      <c r="F59" s="2" t="str">
        <f>IFERROR(__xludf.DUMMYFUNCTION("""COMPUTED_VALUE"""),"yj.liu@u.northwestern.edu")</f>
        <v>yj.liu@u.northwestern.edu</v>
      </c>
      <c r="G59" s="2" t="str">
        <f>IFERROR(__xludf.DUMMYFUNCTION("""COMPUTED_VALUE"""),"0000-0002-8008-7278")</f>
        <v>0000-0002-8008-7278</v>
      </c>
    </row>
    <row r="60">
      <c r="A60" s="2" t="str">
        <f>IFERROR(__xludf.DUMMYFUNCTION("""COMPUTED_VALUE"""),"Hunter")</f>
        <v>Hunter</v>
      </c>
      <c r="B60" s="2" t="str">
        <f>IFERROR(__xludf.DUMMYFUNCTION("""COMPUTED_VALUE"""),"Andrew")</f>
        <v>Andrew</v>
      </c>
      <c r="C60" s="2" t="str">
        <f>IFERROR(__xludf.DUMMYFUNCTION("""COMPUTED_VALUE"""),"Key Personnel")</f>
        <v>Key Personnel</v>
      </c>
      <c r="D60" s="2" t="str">
        <f>IFERROR(__xludf.DUMMYFUNCTION("""COMPUTED_VALUE"""),"Bevan")</f>
        <v>Bevan</v>
      </c>
      <c r="E60" s="2" t="str">
        <f>IFERROR(__xludf.DUMMYFUNCTION("""COMPUTED_VALUE"""),"Grad student")</f>
        <v>Grad student</v>
      </c>
      <c r="F60" s="2" t="str">
        <f>IFERROR(__xludf.DUMMYFUNCTION("""COMPUTED_VALUE"""),"andrew.hunter@northwestern.edu")</f>
        <v>andrew.hunter@northwestern.edu</v>
      </c>
      <c r="G60" s="2" t="str">
        <f>IFERROR(__xludf.DUMMYFUNCTION("""COMPUTED_VALUE"""),"0000-0001-7621-1160")</f>
        <v>0000-0001-7621-1160</v>
      </c>
    </row>
    <row r="61">
      <c r="A61" s="2" t="str">
        <f>IFERROR(__xludf.DUMMYFUNCTION("""COMPUTED_VALUE"""),"Aluisi")</f>
        <v>Aluisi</v>
      </c>
      <c r="B61" s="2" t="str">
        <f>IFERROR(__xludf.DUMMYFUNCTION("""COMPUTED_VALUE"""),"Flavia ")</f>
        <v>Flavia </v>
      </c>
      <c r="C61" s="2" t="str">
        <f>IFERROR(__xludf.DUMMYFUNCTION("""COMPUTED_VALUE"""),"Key Personnel")</f>
        <v>Key Personnel</v>
      </c>
      <c r="D61" s="2" t="str">
        <f>IFERROR(__xludf.DUMMYFUNCTION("""COMPUTED_VALUE"""),"Bevan")</f>
        <v>Bevan</v>
      </c>
      <c r="E61" s="2" t="str">
        <f>IFERROR(__xludf.DUMMYFUNCTION("""COMPUTED_VALUE"""),"Post-doctoral fellow")</f>
        <v>Post-doctoral fellow</v>
      </c>
      <c r="F61" s="2" t="str">
        <f>IFERROR(__xludf.DUMMYFUNCTION("""COMPUTED_VALUE"""),"flavia.aluisi@northwestern.edu")</f>
        <v>flavia.aluisi@northwestern.edu</v>
      </c>
      <c r="G61" s="2" t="str">
        <f>IFERROR(__xludf.DUMMYFUNCTION("""COMPUTED_VALUE"""),"0000-0003-2850-7180")</f>
        <v>0000-0003-2850-7180</v>
      </c>
    </row>
    <row r="62">
      <c r="A62" s="2" t="str">
        <f>IFERROR(__xludf.DUMMYFUNCTION("""COMPUTED_VALUE"""),"Callahan")</f>
        <v>Callahan</v>
      </c>
      <c r="B62" s="2" t="str">
        <f>IFERROR(__xludf.DUMMYFUNCTION("""COMPUTED_VALUE"""),"Joshua")</f>
        <v>Joshua</v>
      </c>
      <c r="C62" s="2" t="str">
        <f>IFERROR(__xludf.DUMMYFUNCTION("""COMPUTED_VALUE"""),"Key Personnel")</f>
        <v>Key Personnel</v>
      </c>
      <c r="D62" s="2" t="str">
        <f>IFERROR(__xludf.DUMMYFUNCTION("""COMPUTED_VALUE"""),"Bevan")</f>
        <v>Bevan</v>
      </c>
      <c r="E62" s="2" t="str">
        <f>IFERROR(__xludf.DUMMYFUNCTION("""COMPUTED_VALUE"""),"Research Assistant Professor")</f>
        <v>Research Assistant Professor</v>
      </c>
      <c r="F62" s="2" t="str">
        <f>IFERROR(__xludf.DUMMYFUNCTION("""COMPUTED_VALUE"""),"joshua.callahan@northwestern.edu")</f>
        <v>joshua.callahan@northwestern.edu</v>
      </c>
      <c r="G62" s="2" t="str">
        <f>IFERROR(__xludf.DUMMYFUNCTION("""COMPUTED_VALUE"""),"0000-0001-7567-5676")</f>
        <v>0000-0001-7567-5676</v>
      </c>
    </row>
    <row r="63">
      <c r="A63" s="2" t="str">
        <f>IFERROR(__xludf.DUMMYFUNCTION("""COMPUTED_VALUE"""),"Chen")</f>
        <v>Chen</v>
      </c>
      <c r="B63" s="2" t="str">
        <f>IFERROR(__xludf.DUMMYFUNCTION("""COMPUTED_VALUE"""),"Chuyu ")</f>
        <v>Chuyu </v>
      </c>
      <c r="C63" s="2" t="str">
        <f>IFERROR(__xludf.DUMMYFUNCTION("""COMPUTED_VALUE"""),"Key Personnel")</f>
        <v>Key Personnel</v>
      </c>
      <c r="D63" s="2" t="str">
        <f>IFERROR(__xludf.DUMMYFUNCTION("""COMPUTED_VALUE"""),"Parisiadou")</f>
        <v>Parisiadou</v>
      </c>
      <c r="E63" s="2" t="str">
        <f>IFERROR(__xludf.DUMMYFUNCTION("""COMPUTED_VALUE"""),"Post-doctoral fellow")</f>
        <v>Post-doctoral fellow</v>
      </c>
      <c r="F63" s="2" t="str">
        <f>IFERROR(__xludf.DUMMYFUNCTION("""COMPUTED_VALUE"""),"chuyu.chen@northwestern.edu")</f>
        <v>chuyu.chen@northwestern.edu</v>
      </c>
      <c r="G63" s="2" t="str">
        <f>IFERROR(__xludf.DUMMYFUNCTION("""COMPUTED_VALUE"""),"0000-0001-5666-5173")</f>
        <v>0000-0001-5666-5173</v>
      </c>
    </row>
    <row r="64">
      <c r="A64" s="2" t="str">
        <f>IFERROR(__xludf.DUMMYFUNCTION("""COMPUTED_VALUE"""),"Lopez Gonzales del Rey")</f>
        <v>Lopez Gonzales del Rey</v>
      </c>
      <c r="B64" s="2" t="str">
        <f>IFERROR(__xludf.DUMMYFUNCTION("""COMPUTED_VALUE"""),"Natalia ")</f>
        <v>Natalia </v>
      </c>
      <c r="C64" s="2" t="str">
        <f>IFERROR(__xludf.DUMMYFUNCTION("""COMPUTED_VALUE"""),"Key Personnel")</f>
        <v>Key Personnel</v>
      </c>
      <c r="D64" s="2" t="str">
        <f>IFERROR(__xludf.DUMMYFUNCTION("""COMPUTED_VALUE"""),"Awatramani")</f>
        <v>Awatramani</v>
      </c>
      <c r="E64" s="2" t="str">
        <f>IFERROR(__xludf.DUMMYFUNCTION("""COMPUTED_VALUE"""),"Post-doctoral fellow")</f>
        <v>Post-doctoral fellow</v>
      </c>
      <c r="F64" s="2" t="str">
        <f>IFERROR(__xludf.DUMMYFUNCTION("""COMPUTED_VALUE"""),"natalia.lopezgonzalezdelrey@northwestern.edu")</f>
        <v>natalia.lopezgonzalezdelrey@northwestern.edu</v>
      </c>
      <c r="G64" s="2" t="str">
        <f>IFERROR(__xludf.DUMMYFUNCTION("""COMPUTED_VALUE"""),"0000-0002-1546-1825")</f>
        <v>0000-0002-1546-1825</v>
      </c>
    </row>
    <row r="65">
      <c r="A65" s="2" t="str">
        <f>IFERROR(__xludf.DUMMYFUNCTION("""COMPUTED_VALUE"""),"Tombesi")</f>
        <v>Tombesi</v>
      </c>
      <c r="B65" s="2" t="str">
        <f>IFERROR(__xludf.DUMMYFUNCTION("""COMPUTED_VALUE"""),"Giulia")</f>
        <v>Giulia</v>
      </c>
      <c r="C65" s="2" t="str">
        <f>IFERROR(__xludf.DUMMYFUNCTION("""COMPUTED_VALUE"""),"Key Personnel")</f>
        <v>Key Personnel</v>
      </c>
      <c r="D65" s="2" t="str">
        <f>IFERROR(__xludf.DUMMYFUNCTION("""COMPUTED_VALUE"""),"Parisiadou")</f>
        <v>Parisiadou</v>
      </c>
      <c r="E65" s="2" t="str">
        <f>IFERROR(__xludf.DUMMYFUNCTION("""COMPUTED_VALUE"""),"Post-doctoral fellow")</f>
        <v>Post-doctoral fellow</v>
      </c>
      <c r="F65" s="2" t="str">
        <f>IFERROR(__xludf.DUMMYFUNCTION("""COMPUTED_VALUE"""),"giulia.tombesi@northwestern.edu")</f>
        <v>giulia.tombesi@northwestern.edu</v>
      </c>
      <c r="G65" s="2" t="str">
        <f>IFERROR(__xludf.DUMMYFUNCTION("""COMPUTED_VALUE"""),"0000-0003-0683-8050")</f>
        <v>0000-0003-0683-8050</v>
      </c>
    </row>
    <row r="66">
      <c r="A66" s="2" t="str">
        <f>IFERROR(__xludf.DUMMYFUNCTION("""COMPUTED_VALUE"""),"F Atherton")</f>
        <v>F Atherton</v>
      </c>
      <c r="B66" s="2" t="str">
        <f>IFERROR(__xludf.DUMMYFUNCTION("""COMPUTED_VALUE"""),"Jeremy")</f>
        <v>Jeremy</v>
      </c>
      <c r="C66" s="2" t="str">
        <f>IFERROR(__xludf.DUMMYFUNCTION("""COMPUTED_VALUE"""),"Key Personnel")</f>
        <v>Key Personnel</v>
      </c>
      <c r="D66" s="2" t="str">
        <f>IFERROR(__xludf.DUMMYFUNCTION("""COMPUTED_VALUE"""),"Bevan")</f>
        <v>Bevan</v>
      </c>
      <c r="E66" s="2" t="str">
        <f>IFERROR(__xludf.DUMMYFUNCTION("""COMPUTED_VALUE"""),"Research Assistant Professor")</f>
        <v>Research Assistant Professor</v>
      </c>
      <c r="F66" s="2" t="str">
        <f>IFERROR(__xludf.DUMMYFUNCTION("""COMPUTED_VALUE"""),"j-atherton@northwestern.edu")</f>
        <v>j-atherton@northwestern.edu</v>
      </c>
      <c r="G66" s="2" t="str">
        <f>IFERROR(__xludf.DUMMYFUNCTION("""COMPUTED_VALUE"""),"0000-0002-4144-0657")</f>
        <v>0000-0002-4144-0657</v>
      </c>
    </row>
    <row r="67">
      <c r="A67" s="2" t="str">
        <f>IFERROR(__xludf.DUMMYFUNCTION("""COMPUTED_VALUE"""),"Schneeweis")</f>
        <v>Schneeweis</v>
      </c>
      <c r="B67" s="2" t="str">
        <f>IFERROR(__xludf.DUMMYFUNCTION("""COMPUTED_VALUE"""),"Amanda")</f>
        <v>Amanda</v>
      </c>
      <c r="C67" s="2" t="str">
        <f>IFERROR(__xludf.DUMMYFUNCTION("""COMPUTED_VALUE"""),"Project Manager")</f>
        <v>Project Manager</v>
      </c>
      <c r="D67" s="2" t="str">
        <f>IFERROR(__xludf.DUMMYFUNCTION("""COMPUTED_VALUE"""),"Awatramani")</f>
        <v>Awatramani</v>
      </c>
      <c r="E67" s="2" t="str">
        <f>IFERROR(__xludf.DUMMYFUNCTION("""COMPUTED_VALUE"""),"Project Manager")</f>
        <v>Project Manager</v>
      </c>
      <c r="F67" s="2" t="str">
        <f>IFERROR(__xludf.DUMMYFUNCTION("""COMPUTED_VALUE"""),"amanda.schneeweis@northwestern.edu")</f>
        <v>amanda.schneeweis@northwestern.edu</v>
      </c>
      <c r="G67" s="2" t="str">
        <f>IFERROR(__xludf.DUMMYFUNCTION("""COMPUTED_VALUE"""),"0000-0003-4141-6064")</f>
        <v>0000-0003-4141-6064</v>
      </c>
    </row>
    <row r="68">
      <c r="A68" s="2" t="str">
        <f>IFERROR(__xludf.DUMMYFUNCTION("""COMPUTED_VALUE"""),"Wallén-Mackenzie")</f>
        <v>Wallén-Mackenzie</v>
      </c>
      <c r="B68" s="2" t="str">
        <f>IFERROR(__xludf.DUMMYFUNCTION("""COMPUTED_VALUE"""),"Åsa")</f>
        <v>Åsa</v>
      </c>
      <c r="C68" s="2" t="str">
        <f>IFERROR(__xludf.DUMMYFUNCTION("""COMPUTED_VALUE"""),"Collaborating PI")</f>
        <v>Collaborating PI</v>
      </c>
      <c r="D68" s="2" t="str">
        <f>IFERROR(__xludf.DUMMYFUNCTION("""COMPUTED_VALUE"""),"Wallén-Mackenzie")</f>
        <v>Wallén-Mackenzie</v>
      </c>
      <c r="E68" s="2" t="str">
        <f>IFERROR(__xludf.DUMMYFUNCTION("""COMPUTED_VALUE"""),"PI")</f>
        <v>PI</v>
      </c>
      <c r="F68" s="2" t="str">
        <f>IFERROR(__xludf.DUMMYFUNCTION("""COMPUTED_VALUE"""),"asa.mackenzie@med.lu.se")</f>
        <v>asa.mackenzie@med.lu.se</v>
      </c>
      <c r="G68" s="2" t="str">
        <f>IFERROR(__xludf.DUMMYFUNCTION("""COMPUTED_VALUE"""),"0000-0002-8713-070x")</f>
        <v>0000-0002-8713-070x</v>
      </c>
    </row>
    <row r="69">
      <c r="A69" s="2" t="str">
        <f>IFERROR(__xludf.DUMMYFUNCTION("""COMPUTED_VALUE"""),"Doster")</f>
        <v>Doster</v>
      </c>
      <c r="B69" s="2" t="str">
        <f>IFERROR(__xludf.DUMMYFUNCTION("""COMPUTED_VALUE"""),"Luan")</f>
        <v>Luan</v>
      </c>
      <c r="C69" s="2" t="str">
        <f>IFERROR(__xludf.DUMMYFUNCTION("""COMPUTED_VALUE"""),"Key Personnel")</f>
        <v>Key Personnel</v>
      </c>
      <c r="D69" s="2" t="str">
        <f>IFERROR(__xludf.DUMMYFUNCTION("""COMPUTED_VALUE"""),"Awatramani")</f>
        <v>Awatramani</v>
      </c>
      <c r="E69" s="2" t="str">
        <f>IFERROR(__xludf.DUMMYFUNCTION("""COMPUTED_VALUE"""),"research technologist")</f>
        <v>research technologist</v>
      </c>
      <c r="F69" s="2" t="str">
        <f>IFERROR(__xludf.DUMMYFUNCTION("""COMPUTED_VALUE"""),"luan.doster@northwestern.edu")</f>
        <v>luan.doster@northwestern.edu</v>
      </c>
      <c r="G69" s="2" t="str">
        <f>IFERROR(__xludf.DUMMYFUNCTION("""COMPUTED_VALUE"""),"0009-0007-5886-2673")</f>
        <v>0009-0007-5886-2673</v>
      </c>
    </row>
    <row r="70">
      <c r="A70" s="2" t="str">
        <f>IFERROR(__xludf.DUMMYFUNCTION("""COMPUTED_VALUE"""),"Lyman")</f>
        <v>Lyman</v>
      </c>
      <c r="B70" s="2" t="str">
        <f>IFERROR(__xludf.DUMMYFUNCTION("""COMPUTED_VALUE"""),"James")</f>
        <v>James</v>
      </c>
      <c r="C70" s="2" t="str">
        <f>IFERROR(__xludf.DUMMYFUNCTION("""COMPUTED_VALUE"""),"Key Personnel")</f>
        <v>Key Personnel</v>
      </c>
      <c r="D70" s="2" t="str">
        <f>IFERROR(__xludf.DUMMYFUNCTION("""COMPUTED_VALUE"""),"Awatramani")</f>
        <v>Awatramani</v>
      </c>
      <c r="E70" s="2" t="str">
        <f>IFERROR(__xludf.DUMMYFUNCTION("""COMPUTED_VALUE"""),"research technologist")</f>
        <v>research technologist</v>
      </c>
      <c r="F70" s="2" t="str">
        <f>IFERROR(__xludf.DUMMYFUNCTION("""COMPUTED_VALUE"""),"james.lymaniii@northwestern.edu")</f>
        <v>james.lymaniii@northwestern.edu</v>
      </c>
      <c r="G70" s="2" t="str">
        <f>IFERROR(__xludf.DUMMYFUNCTION("""COMPUTED_VALUE"""),"0009-0005-8313-5246")</f>
        <v>0009-0005-8313-5246</v>
      </c>
    </row>
    <row r="71">
      <c r="A71" s="2" t="str">
        <f>IFERROR(__xludf.DUMMYFUNCTION("""COMPUTED_VALUE"""),"Kim")</f>
        <v>Kim</v>
      </c>
      <c r="B71" s="2" t="str">
        <f>IFERROR(__xludf.DUMMYFUNCTION("""COMPUTED_VALUE"""),"Lisa")</f>
        <v>Lisa</v>
      </c>
      <c r="C71" s="2" t="str">
        <f>IFERROR(__xludf.DUMMYFUNCTION("""COMPUTED_VALUE"""),"Key Personnel")</f>
        <v>Key Personnel</v>
      </c>
      <c r="D71" s="2" t="str">
        <f>IFERROR(__xludf.DUMMYFUNCTION("""COMPUTED_VALUE"""),"Awatramani")</f>
        <v>Awatramani</v>
      </c>
      <c r="E71" s="2" t="str">
        <f>IFERROR(__xludf.DUMMYFUNCTION("""COMPUTED_VALUE"""),"Grad student")</f>
        <v>Grad student</v>
      </c>
      <c r="F71" s="2" t="str">
        <f>IFERROR(__xludf.DUMMYFUNCTION("""COMPUTED_VALUE"""),"lisa.kim@northwestern.edu")</f>
        <v>lisa.kim@northwestern.edu</v>
      </c>
      <c r="G71" s="2" t="str">
        <f>IFERROR(__xludf.DUMMYFUNCTION("""COMPUTED_VALUE"""),"0009-0008-6749-198X")</f>
        <v>0009-0008-6749-198X</v>
      </c>
    </row>
    <row r="72">
      <c r="A72" s="2" t="str">
        <f>IFERROR(__xludf.DUMMYFUNCTION("""COMPUTED_VALUE"""),"Sneed")</f>
        <v>Sneed</v>
      </c>
      <c r="B72" s="2" t="str">
        <f>IFERROR(__xludf.DUMMYFUNCTION("""COMPUTED_VALUE"""),"Sydney")</f>
        <v>Sydney</v>
      </c>
      <c r="C72" s="2" t="str">
        <f>IFERROR(__xludf.DUMMYFUNCTION("""COMPUTED_VALUE"""),"Key Personnel")</f>
        <v>Key Personnel</v>
      </c>
      <c r="D72" s="2" t="str">
        <f>IFERROR(__xludf.DUMMYFUNCTION("""COMPUTED_VALUE"""),"Awatramani")</f>
        <v>Awatramani</v>
      </c>
      <c r="E72" s="2" t="str">
        <f>IFERROR(__xludf.DUMMYFUNCTION("""COMPUTED_VALUE"""),"research technologist")</f>
        <v>research technologist</v>
      </c>
      <c r="F72" s="2" t="str">
        <f>IFERROR(__xludf.DUMMYFUNCTION("""COMPUTED_VALUE"""),"sydney.sneed@northwestern.edu")</f>
        <v>sydney.sneed@northwestern.edu</v>
      </c>
      <c r="G72" s="2" t="str">
        <f>IFERROR(__xludf.DUMMYFUNCTION("""COMPUTED_VALUE"""),"0009-0001-5811-0187")</f>
        <v>0009-0001-5811-0187</v>
      </c>
    </row>
    <row r="73">
      <c r="A73" s="2" t="str">
        <f>IFERROR(__xludf.DUMMYFUNCTION("""COMPUTED_VALUE"""),"Nasios")</f>
        <v>Nasios</v>
      </c>
      <c r="B73" s="2" t="str">
        <f>IFERROR(__xludf.DUMMYFUNCTION("""COMPUTED_VALUE"""),"Chris")</f>
        <v>Chris</v>
      </c>
      <c r="C73" s="2" t="str">
        <f>IFERROR(__xludf.DUMMYFUNCTION("""COMPUTED_VALUE"""),"Key Personnel")</f>
        <v>Key Personnel</v>
      </c>
      <c r="D73" s="2" t="str">
        <f>IFERROR(__xludf.DUMMYFUNCTION("""COMPUTED_VALUE"""),"Parisiadou")</f>
        <v>Parisiadou</v>
      </c>
      <c r="E73" s="2" t="str">
        <f>IFERROR(__xludf.DUMMYFUNCTION("""COMPUTED_VALUE"""),"research technologist")</f>
        <v>research technologist</v>
      </c>
      <c r="F73" s="2" t="str">
        <f>IFERROR(__xludf.DUMMYFUNCTION("""COMPUTED_VALUE"""),"christopher.nasios@northwestern.edu")</f>
        <v>christopher.nasios@northwestern.edu</v>
      </c>
      <c r="G73" s="2" t="str">
        <f>IFERROR(__xludf.DUMMYFUNCTION("""COMPUTED_VALUE"""),"0009-0005-2246-787X")</f>
        <v>0009-0005-2246-787X</v>
      </c>
    </row>
    <row r="74">
      <c r="A74" s="2" t="str">
        <f>IFERROR(__xludf.DUMMYFUNCTION("""COMPUTED_VALUE"""),"Xu")</f>
        <v>Xu</v>
      </c>
      <c r="B74" s="2" t="str">
        <f>IFERROR(__xludf.DUMMYFUNCTION("""COMPUTED_VALUE"""),"Shudi ")</f>
        <v>Shudi </v>
      </c>
      <c r="C74" s="2" t="str">
        <f>IFERROR(__xludf.DUMMYFUNCTION("""COMPUTED_VALUE"""),"Key Personnel")</f>
        <v>Key Personnel</v>
      </c>
      <c r="D74" s="2" t="str">
        <f>IFERROR(__xludf.DUMMYFUNCTION("""COMPUTED_VALUE"""),"Dombeck")</f>
        <v>Dombeck</v>
      </c>
      <c r="E74" s="2" t="str">
        <f>IFERROR(__xludf.DUMMYFUNCTION("""COMPUTED_VALUE"""),"Grad student")</f>
        <v>Grad student</v>
      </c>
      <c r="F74" s="2" t="str">
        <f>IFERROR(__xludf.DUMMYFUNCTION("""COMPUTED_VALUE"""),"shudi.xu@northwestern.edu")</f>
        <v>shudi.xu@northwestern.edu</v>
      </c>
      <c r="G74" s="2" t="str">
        <f>IFERROR(__xludf.DUMMYFUNCTION("""COMPUTED_VALUE"""),"0009-0000-2573-6856")</f>
        <v>0009-0000-2573-6856</v>
      </c>
    </row>
    <row r="75">
      <c r="A75" s="2" t="str">
        <f>IFERROR(__xludf.DUMMYFUNCTION("""COMPUTED_VALUE"""),"Pantazopoulos")</f>
        <v>Pantazopoulos</v>
      </c>
      <c r="B75" s="2" t="str">
        <f>IFERROR(__xludf.DUMMYFUNCTION("""COMPUTED_VALUE"""),"Roman")</f>
        <v>Roman</v>
      </c>
      <c r="C75" s="2" t="str">
        <f>IFERROR(__xludf.DUMMYFUNCTION("""COMPUTED_VALUE"""),"Key Personnel")</f>
        <v>Key Personnel</v>
      </c>
      <c r="D75" s="2" t="str">
        <f>IFERROR(__xludf.DUMMYFUNCTION("""COMPUTED_VALUE"""),"Parisiadou")</f>
        <v>Parisiadou</v>
      </c>
      <c r="E75" s="2" t="str">
        <f>IFERROR(__xludf.DUMMYFUNCTION("""COMPUTED_VALUE"""),"Undergraduate student")</f>
        <v>Undergraduate student</v>
      </c>
      <c r="F75" s="2" t="str">
        <f>IFERROR(__xludf.DUMMYFUNCTION("""COMPUTED_VALUE"""),"romanpantazopoulos2027@u.northwestern.edu")</f>
        <v>romanpantazopoulos2027@u.northwestern.edu</v>
      </c>
      <c r="G75" s="2" t="str">
        <f>IFERROR(__xludf.DUMMYFUNCTION("""COMPUTED_VALUE"""),"0009-0003-4140-6509")</f>
        <v>0009-0003-4140-6509</v>
      </c>
    </row>
    <row r="76">
      <c r="A76" s="2" t="str">
        <f>IFERROR(__xludf.DUMMYFUNCTION("""COMPUTED_VALUE"""),"Silva De Sousa")</f>
        <v>Silva De Sousa</v>
      </c>
      <c r="B76" s="2" t="str">
        <f>IFERROR(__xludf.DUMMYFUNCTION("""COMPUTED_VALUE"""),"Ana Isabel")</f>
        <v>Ana Isabel</v>
      </c>
      <c r="C76" s="2" t="str">
        <f>IFERROR(__xludf.DUMMYFUNCTION("""COMPUTED_VALUE"""),"Key Personnel")</f>
        <v>Key Personnel</v>
      </c>
      <c r="D76" s="2" t="str">
        <f>IFERROR(__xludf.DUMMYFUNCTION("""COMPUTED_VALUE"""),"Awatramani")</f>
        <v>Awatramani</v>
      </c>
      <c r="E76" s="2" t="str">
        <f>IFERROR(__xludf.DUMMYFUNCTION("""COMPUTED_VALUE"""),"Grad student")</f>
        <v>Grad student</v>
      </c>
      <c r="F76" s="2" t="str">
        <f>IFERROR(__xludf.DUMMYFUNCTION("""COMPUTED_VALUE"""),"anaisabel.silvadesousa@northwestern.edu")</f>
        <v>anaisabel.silvadesousa@northwestern.edu</v>
      </c>
      <c r="G76" s="2" t="str">
        <f>IFERROR(__xludf.DUMMYFUNCTION("""COMPUTED_VALUE"""),"0000-0003-3749-043X.")</f>
        <v>0000-0003-3749-043X.</v>
      </c>
    </row>
    <row r="77">
      <c r="A77" s="2" t="str">
        <f>IFERROR(__xludf.DUMMYFUNCTION("""COMPUTED_VALUE"""),"Linderhof")</f>
        <v>Linderhof</v>
      </c>
      <c r="B77" s="2" t="str">
        <f>IFERROR(__xludf.DUMMYFUNCTION("""COMPUTED_VALUE"""),"Lexe")</f>
        <v>Lexe</v>
      </c>
      <c r="C77" s="2" t="str">
        <f>IFERROR(__xludf.DUMMYFUNCTION("""COMPUTED_VALUE"""),"Key Personnel")</f>
        <v>Key Personnel</v>
      </c>
      <c r="D77" s="2" t="str">
        <f>IFERROR(__xludf.DUMMYFUNCTION("""COMPUTED_VALUE"""),"Hnasko")</f>
        <v>Hnasko</v>
      </c>
      <c r="E77" s="2" t="str">
        <f>IFERROR(__xludf.DUMMYFUNCTION("""COMPUTED_VALUE"""),"Staff Research Associate")</f>
        <v>Staff Research Associate</v>
      </c>
      <c r="F77" s="2" t="str">
        <f>IFERROR(__xludf.DUMMYFUNCTION("""COMPUTED_VALUE"""),"m1alarco@health.ucsd.edu")</f>
        <v>m1alarco@health.ucsd.edu</v>
      </c>
      <c r="G77" s="2" t="str">
        <f>IFERROR(__xludf.DUMMYFUNCTION("""COMPUTED_VALUE"""),"0009-0006-2046-295X")</f>
        <v>0009-0006-2046-295X</v>
      </c>
    </row>
    <row r="78">
      <c r="A78" s="2" t="str">
        <f>IFERROR(__xludf.DUMMYFUNCTION("""COMPUTED_VALUE"""),"Garcia")</f>
        <v>Garcia</v>
      </c>
      <c r="B78" s="2" t="str">
        <f>IFERROR(__xludf.DUMMYFUNCTION("""COMPUTED_VALUE"""),"Alex")</f>
        <v>Alex</v>
      </c>
      <c r="C78" s="2" t="str">
        <f>IFERROR(__xludf.DUMMYFUNCTION("""COMPUTED_VALUE"""),"Key Personnel")</f>
        <v>Key Personnel</v>
      </c>
      <c r="D78" s="2" t="str">
        <f>IFERROR(__xludf.DUMMYFUNCTION("""COMPUTED_VALUE"""),"Hnasko")</f>
        <v>Hnasko</v>
      </c>
      <c r="E78" s="2" t="str">
        <f>IFERROR(__xludf.DUMMYFUNCTION("""COMPUTED_VALUE"""),"Staff Research Associate")</f>
        <v>Staff Research Associate</v>
      </c>
      <c r="F78" s="2" t="str">
        <f>IFERROR(__xludf.DUMMYFUNCTION("""COMPUTED_VALUE"""),"alg013@ucsd.edu")</f>
        <v>alg013@ucsd.edu</v>
      </c>
      <c r="G78" s="2" t="str">
        <f>IFERROR(__xludf.DUMMYFUNCTION("""COMPUTED_VALUE"""),"0009-0004-2840-5672")</f>
        <v>0009-0004-2840-5672</v>
      </c>
    </row>
    <row r="79">
      <c r="A79" s="2" t="str">
        <f>IFERROR(__xludf.DUMMYFUNCTION("""COMPUTED_VALUE"""),"Gate")</f>
        <v>Gate</v>
      </c>
      <c r="B79" s="2" t="str">
        <f>IFERROR(__xludf.DUMMYFUNCTION("""COMPUTED_VALUE"""),"David")</f>
        <v>David</v>
      </c>
      <c r="C79" s="2" t="str">
        <f>IFERROR(__xludf.DUMMYFUNCTION("""COMPUTED_VALUE"""),"Collaborating PI")</f>
        <v>Collaborating PI</v>
      </c>
      <c r="D79" s="2" t="str">
        <f>IFERROR(__xludf.DUMMYFUNCTION("""COMPUTED_VALUE"""),"Gate")</f>
        <v>Gate</v>
      </c>
      <c r="E79" s="2" t="str">
        <f>IFERROR(__xludf.DUMMYFUNCTION("""COMPUTED_VALUE"""),"PI")</f>
        <v>PI</v>
      </c>
      <c r="F79" s="2" t="str">
        <f>IFERROR(__xludf.DUMMYFUNCTION("""COMPUTED_VALUE"""),"dgate@northwestern.edu")</f>
        <v>dgate@northwestern.edu</v>
      </c>
      <c r="G79" s="2" t="str">
        <f>IFERROR(__xludf.DUMMYFUNCTION("""COMPUTED_VALUE"""),"0000-0003-0481-9657")</f>
        <v>0000-0003-0481-9657</v>
      </c>
    </row>
    <row r="80">
      <c r="A80" s="2" t="str">
        <f>IFERROR(__xludf.DUMMYFUNCTION("""COMPUTED_VALUE"""),"Quinn")</f>
        <v>Quinn</v>
      </c>
      <c r="B80" s="2" t="str">
        <f>IFERROR(__xludf.DUMMYFUNCTION("""COMPUTED_VALUE"""),"Kaitlyn")</f>
        <v>Kaitlyn</v>
      </c>
      <c r="C80" s="2" t="str">
        <f>IFERROR(__xludf.DUMMYFUNCTION("""COMPUTED_VALUE"""),"Key Personnel")</f>
        <v>Key Personnel</v>
      </c>
      <c r="D80" s="2" t="str">
        <f>IFERROR(__xludf.DUMMYFUNCTION("""COMPUTED_VALUE"""),"Dombeck")</f>
        <v>Dombeck</v>
      </c>
      <c r="E80" s="2" t="str">
        <f>IFERROR(__xludf.DUMMYFUNCTION("""COMPUTED_VALUE"""),"research technologist")</f>
        <v>research technologist</v>
      </c>
      <c r="F80" s="2" t="str">
        <f>IFERROR(__xludf.DUMMYFUNCTION("""COMPUTED_VALUE"""),"kaitlyn.quinn@northwestern.edu")</f>
        <v>kaitlyn.quinn@northwestern.edu</v>
      </c>
      <c r="G80" s="2" t="str">
        <f>IFERROR(__xludf.DUMMYFUNCTION("""COMPUTED_VALUE"""),"0009-0000-7931-742X")</f>
        <v>0009-0000-7931-742X</v>
      </c>
    </row>
    <row r="81">
      <c r="A81" s="2" t="str">
        <f>IFERROR(__xludf.DUMMYFUNCTION("""COMPUTED_VALUE"""),"Schowalter")</f>
        <v>Schowalter</v>
      </c>
      <c r="B81" s="2" t="str">
        <f>IFERROR(__xludf.DUMMYFUNCTION("""COMPUTED_VALUE"""),"Danielle")</f>
        <v>Danielle</v>
      </c>
      <c r="C81" s="2" t="str">
        <f>IFERROR(__xludf.DUMMYFUNCTION("""COMPUTED_VALUE"""),"Key Personnel")</f>
        <v>Key Personnel</v>
      </c>
      <c r="D81" s="2" t="str">
        <f>IFERROR(__xludf.DUMMYFUNCTION("""COMPUTED_VALUE"""),"Bevan")</f>
        <v>Bevan</v>
      </c>
      <c r="E81" s="2" t="str">
        <f>IFERROR(__xludf.DUMMYFUNCTION("""COMPUTED_VALUE"""),"research technologist")</f>
        <v>research technologist</v>
      </c>
      <c r="F81" s="2" t="str">
        <f>IFERROR(__xludf.DUMMYFUNCTION("""COMPUTED_VALUE"""),"d-wise@northwestern.edu")</f>
        <v>d-wise@northwestern.edu</v>
      </c>
      <c r="G81" s="2" t="str">
        <f>IFERROR(__xludf.DUMMYFUNCTION("""COMPUTED_VALUE"""),"0009-0003-1427-3878")</f>
        <v>0009-0003-1427-3878</v>
      </c>
    </row>
    <row r="82">
      <c r="A82" s="2" t="str">
        <f>IFERROR(__xludf.DUMMYFUNCTION("""COMPUTED_VALUE"""),"Deo Sorigotto")</f>
        <v>Deo Sorigotto</v>
      </c>
      <c r="B82" s="2" t="str">
        <f>IFERROR(__xludf.DUMMYFUNCTION("""COMPUTED_VALUE"""),"Beatriz")</f>
        <v>Beatriz</v>
      </c>
      <c r="C82" s="2" t="str">
        <f>IFERROR(__xludf.DUMMYFUNCTION("""COMPUTED_VALUE"""),"Key Personnel")</f>
        <v>Key Personnel</v>
      </c>
      <c r="D82" s="2" t="str">
        <f>IFERROR(__xludf.DUMMYFUNCTION("""COMPUTED_VALUE"""),"Bevan")</f>
        <v>Bevan</v>
      </c>
      <c r="E82" s="2" t="str">
        <f>IFERROR(__xludf.DUMMYFUNCTION("""COMPUTED_VALUE"""),"Grad student")</f>
        <v>Grad student</v>
      </c>
      <c r="F82" s="2" t="str">
        <f>IFERROR(__xludf.DUMMYFUNCTION("""COMPUTED_VALUE"""),"beatriz.sorigotto@northwestern.edu")</f>
        <v>beatriz.sorigotto@northwestern.edu</v>
      </c>
      <c r="G82" s="2" t="str">
        <f>IFERROR(__xludf.DUMMYFUNCTION("""COMPUTED_VALUE"""),"0000-0003-0908-0265")</f>
        <v>0000-0003-0908-0265</v>
      </c>
    </row>
    <row r="83">
      <c r="A83" s="2" t="str">
        <f>IFERROR(__xludf.DUMMYFUNCTION("""COMPUTED_VALUE"""),"Bayasgalan")</f>
        <v>Bayasgalan</v>
      </c>
      <c r="B83" s="2" t="str">
        <f>IFERROR(__xludf.DUMMYFUNCTION("""COMPUTED_VALUE"""),"Tsogbadrakh")</f>
        <v>Tsogbadrakh</v>
      </c>
      <c r="C83" s="2" t="str">
        <f>IFERROR(__xludf.DUMMYFUNCTION("""COMPUTED_VALUE"""),"Key Personnel")</f>
        <v>Key Personnel</v>
      </c>
      <c r="D83" s="2" t="str">
        <f>IFERROR(__xludf.DUMMYFUNCTION("""COMPUTED_VALUE"""),"Bevan")</f>
        <v>Bevan</v>
      </c>
      <c r="E83" s="2" t="str">
        <f>IFERROR(__xludf.DUMMYFUNCTION("""COMPUTED_VALUE"""),"Post-Doctoral Fellow")</f>
        <v>Post-Doctoral Fellow</v>
      </c>
      <c r="F83" s="2" t="str">
        <f>IFERROR(__xludf.DUMMYFUNCTION("""COMPUTED_VALUE"""),"tsogbadrakh.bayasgalan@northwestern.edu")</f>
        <v>tsogbadrakh.bayasgalan@northwestern.edu</v>
      </c>
      <c r="G83" s="2" t="str">
        <f>IFERROR(__xludf.DUMMYFUNCTION("""COMPUTED_VALUE"""),"0009-0005-2603-3892")</f>
        <v>0009-0005-2603-3892</v>
      </c>
    </row>
    <row r="84">
      <c r="A84" s="2" t="str">
        <f>IFERROR(__xludf.DUMMYFUNCTION("""COMPUTED_VALUE"""),"Xia")</f>
        <v>Xia</v>
      </c>
      <c r="B84" s="2" t="str">
        <f>IFERROR(__xludf.DUMMYFUNCTION("""COMPUTED_VALUE"""),"Lilian")</f>
        <v>Lilian</v>
      </c>
      <c r="C84" s="2" t="str">
        <f>IFERROR(__xludf.DUMMYFUNCTION("""COMPUTED_VALUE"""),"Key Personnel")</f>
        <v>Key Personnel</v>
      </c>
      <c r="D84" s="2" t="str">
        <f>IFERROR(__xludf.DUMMYFUNCTION("""COMPUTED_VALUE"""),"Hnasko")</f>
        <v>Hnasko</v>
      </c>
      <c r="E84" s="2" t="str">
        <f>IFERROR(__xludf.DUMMYFUNCTION("""COMPUTED_VALUE"""),"research technologist")</f>
        <v>research technologist</v>
      </c>
      <c r="F84" s="2" t="str">
        <f>IFERROR(__xludf.DUMMYFUNCTION("""COMPUTED_VALUE"""),"m1xia@ucsd.edu")</f>
        <v>m1xia@ucsd.edu</v>
      </c>
      <c r="G84" s="2" t="str">
        <f>IFERROR(__xludf.DUMMYFUNCTION("""COMPUTED_VALUE"""),"0009-0007-8743-6446")</f>
        <v>0009-0007-8743-6446</v>
      </c>
    </row>
    <row r="85">
      <c r="A85" s="2" t="str">
        <f>IFERROR(__xludf.DUMMYFUNCTION("""COMPUTED_VALUE"""),"Biederer")</f>
        <v>Biederer</v>
      </c>
      <c r="B85" s="2" t="str">
        <f>IFERROR(__xludf.DUMMYFUNCTION("""COMPUTED_VALUE"""),"Thomas")</f>
        <v>Thomas</v>
      </c>
      <c r="C85" s="2" t="str">
        <f>IFERROR(__xludf.DUMMYFUNCTION("""COMPUTED_VALUE"""),"Lead-PI")</f>
        <v>Lead-PI</v>
      </c>
      <c r="D85" s="2" t="str">
        <f>IFERROR(__xludf.DUMMYFUNCTION("""COMPUTED_VALUE"""),"Biederer")</f>
        <v>Biederer</v>
      </c>
      <c r="E85" s="2"/>
      <c r="F85" s="2" t="str">
        <f>IFERROR(__xludf.DUMMYFUNCTION("""COMPUTED_VALUE"""),"thomas.biederer@yale.edu")</f>
        <v>thomas.biederer@yale.edu</v>
      </c>
      <c r="G85" s="2" t="str">
        <f>IFERROR(__xludf.DUMMYFUNCTION("""COMPUTED_VALUE"""),"0000-0003-0912-1514")</f>
        <v>0000-0003-0912-1514</v>
      </c>
    </row>
    <row r="86">
      <c r="A86" s="2" t="str">
        <f>IFERROR(__xludf.DUMMYFUNCTION("""COMPUTED_VALUE"""),"Bassett")</f>
        <v>Bassett</v>
      </c>
      <c r="B86" s="2" t="str">
        <f>IFERROR(__xludf.DUMMYFUNCTION("""COMPUTED_VALUE"""),"Danielle")</f>
        <v>Danielle</v>
      </c>
      <c r="C86" s="2" t="str">
        <f>IFERROR(__xludf.DUMMYFUNCTION("""COMPUTED_VALUE"""),"Collaborating PI")</f>
        <v>Collaborating PI</v>
      </c>
      <c r="D86" s="2" t="str">
        <f>IFERROR(__xludf.DUMMYFUNCTION("""COMPUTED_VALUE"""),"Bassett")</f>
        <v>Bassett</v>
      </c>
      <c r="E86" s="2"/>
      <c r="F86" s="2" t="str">
        <f>IFERROR(__xludf.DUMMYFUNCTION("""COMPUTED_VALUE"""),"dsb@seas.upenn.edu")</f>
        <v>dsb@seas.upenn.edu</v>
      </c>
      <c r="G86" s="2" t="str">
        <f>IFERROR(__xludf.DUMMYFUNCTION("""COMPUTED_VALUE"""),"0000-0002-6183-4493")</f>
        <v>0000-0002-6183-4493</v>
      </c>
    </row>
    <row r="87">
      <c r="A87" s="2" t="str">
        <f>IFERROR(__xludf.DUMMYFUNCTION("""COMPUTED_VALUE"""),"Gracheva")</f>
        <v>Gracheva</v>
      </c>
      <c r="B87" s="2" t="str">
        <f>IFERROR(__xludf.DUMMYFUNCTION("""COMPUTED_VALUE"""),"Elena")</f>
        <v>Elena</v>
      </c>
      <c r="C87" s="2" t="str">
        <f>IFERROR(__xludf.DUMMYFUNCTION("""COMPUTED_VALUE"""),"Co-PI")</f>
        <v>Co-PI</v>
      </c>
      <c r="D87" s="2" t="str">
        <f>IFERROR(__xludf.DUMMYFUNCTION("""COMPUTED_VALUE"""),"Gracheva")</f>
        <v>Gracheva</v>
      </c>
      <c r="E87" s="2"/>
      <c r="F87" s="2" t="str">
        <f>IFERROR(__xludf.DUMMYFUNCTION("""COMPUTED_VALUE"""),"elena.gracheva@yale.edu")</f>
        <v>elena.gracheva@yale.edu</v>
      </c>
      <c r="G87" s="2" t="str">
        <f>IFERROR(__xludf.DUMMYFUNCTION("""COMPUTED_VALUE"""),"0000-0002-0846-3427")</f>
        <v>0000-0002-0846-3427</v>
      </c>
    </row>
    <row r="88">
      <c r="A88" s="2" t="str">
        <f>IFERROR(__xludf.DUMMYFUNCTION("""COMPUTED_VALUE"""),"Henderson")</f>
        <v>Henderson</v>
      </c>
      <c r="B88" s="2" t="str">
        <f>IFERROR(__xludf.DUMMYFUNCTION("""COMPUTED_VALUE"""),"Michael")</f>
        <v>Michael</v>
      </c>
      <c r="C88" s="2" t="str">
        <f>IFERROR(__xludf.DUMMYFUNCTION("""COMPUTED_VALUE"""),"Co-PI")</f>
        <v>Co-PI</v>
      </c>
      <c r="D88" s="2" t="str">
        <f>IFERROR(__xludf.DUMMYFUNCTION("""COMPUTED_VALUE"""),"Henderson")</f>
        <v>Henderson</v>
      </c>
      <c r="E88" s="2"/>
      <c r="F88" s="2" t="str">
        <f>IFERROR(__xludf.DUMMYFUNCTION("""COMPUTED_VALUE"""),"Michael.Henderson@vai.org")</f>
        <v>Michael.Henderson@vai.org</v>
      </c>
      <c r="G88" s="2" t="str">
        <f>IFERROR(__xludf.DUMMYFUNCTION("""COMPUTED_VALUE"""),"0000-0001-9710-0726")</f>
        <v>0000-0001-9710-0726</v>
      </c>
    </row>
    <row r="89">
      <c r="A89" s="2" t="str">
        <f>IFERROR(__xludf.DUMMYFUNCTION("""COMPUTED_VALUE"""),"Higley")</f>
        <v>Higley</v>
      </c>
      <c r="B89" s="2" t="str">
        <f>IFERROR(__xludf.DUMMYFUNCTION("""COMPUTED_VALUE"""),"Michael")</f>
        <v>Michael</v>
      </c>
      <c r="C89" s="2" t="str">
        <f>IFERROR(__xludf.DUMMYFUNCTION("""COMPUTED_VALUE"""),"Co-PI")</f>
        <v>Co-PI</v>
      </c>
      <c r="D89" s="2" t="str">
        <f>IFERROR(__xludf.DUMMYFUNCTION("""COMPUTED_VALUE"""),"Higley")</f>
        <v>Higley</v>
      </c>
      <c r="E89" s="2"/>
      <c r="F89" s="2" t="str">
        <f>IFERROR(__xludf.DUMMYFUNCTION("""COMPUTED_VALUE"""),"michael.higley@yale.edu")</f>
        <v>michael.higley@yale.edu</v>
      </c>
      <c r="G89" s="2" t="str">
        <f>IFERROR(__xludf.DUMMYFUNCTION("""COMPUTED_VALUE"""),"0000-0002-5424-6730")</f>
        <v>0000-0002-5424-6730</v>
      </c>
    </row>
    <row r="90">
      <c r="A90" s="2" t="str">
        <f>IFERROR(__xludf.DUMMYFUNCTION("""COMPUTED_VALUE"""),"Matos")</f>
        <v>Matos</v>
      </c>
      <c r="B90" s="2" t="str">
        <f>IFERROR(__xludf.DUMMYFUNCTION("""COMPUTED_VALUE"""),"Tina")</f>
        <v>Tina</v>
      </c>
      <c r="C90" s="2" t="str">
        <f>IFERROR(__xludf.DUMMYFUNCTION("""COMPUTED_VALUE"""),"Project Manager")</f>
        <v>Project Manager</v>
      </c>
      <c r="D90" s="2" t="str">
        <f>IFERROR(__xludf.DUMMYFUNCTION("""COMPUTED_VALUE"""),"Biederer")</f>
        <v>Biederer</v>
      </c>
      <c r="E90" s="2"/>
      <c r="F90" s="2" t="str">
        <f>IFERROR(__xludf.DUMMYFUNCTION("""COMPUTED_VALUE"""),"maria.matos@yale.edu")</f>
        <v>maria.matos@yale.edu</v>
      </c>
      <c r="G90" s="2" t="str">
        <f>IFERROR(__xludf.DUMMYFUNCTION("""COMPUTED_VALUE"""),"0000-0003-1279-471X")</f>
        <v>0000-0003-1279-471X</v>
      </c>
    </row>
    <row r="91">
      <c r="A91" s="2" t="str">
        <f>IFERROR(__xludf.DUMMYFUNCTION("""COMPUTED_VALUE"""),"Meyerdirk")</f>
        <v>Meyerdirk</v>
      </c>
      <c r="B91" s="2" t="str">
        <f>IFERROR(__xludf.DUMMYFUNCTION("""COMPUTED_VALUE"""),"Lindsay")</f>
        <v>Lindsay</v>
      </c>
      <c r="C91" s="2" t="str">
        <f>IFERROR(__xludf.DUMMYFUNCTION("""COMPUTED_VALUE"""),"Key Personnel")</f>
        <v>Key Personnel</v>
      </c>
      <c r="D91" s="2" t="str">
        <f>IFERROR(__xludf.DUMMYFUNCTION("""COMPUTED_VALUE"""),"Henderson")</f>
        <v>Henderson</v>
      </c>
      <c r="E91" s="2"/>
      <c r="F91" s="2" t="str">
        <f>IFERROR(__xludf.DUMMYFUNCTION("""COMPUTED_VALUE"""),"lindsay.meyerdirk@vai.org")</f>
        <v>lindsay.meyerdirk@vai.org</v>
      </c>
      <c r="G91" s="2" t="str">
        <f>IFERROR(__xludf.DUMMYFUNCTION("""COMPUTED_VALUE"""),"0000-0003-4640-9517")</f>
        <v>0000-0003-4640-9517</v>
      </c>
    </row>
    <row r="92">
      <c r="A92" s="2" t="str">
        <f>IFERROR(__xludf.DUMMYFUNCTION("""COMPUTED_VALUE"""),"Mastrotto")</f>
        <v>Mastrotto</v>
      </c>
      <c r="B92" s="2" t="str">
        <f>IFERROR(__xludf.DUMMYFUNCTION("""COMPUTED_VALUE"""),"Marco")</f>
        <v>Marco</v>
      </c>
      <c r="C92" s="2" t="str">
        <f>IFERROR(__xludf.DUMMYFUNCTION("""COMPUTED_VALUE"""),"Key Personnel")</f>
        <v>Key Personnel</v>
      </c>
      <c r="D92" s="2" t="str">
        <f>IFERROR(__xludf.DUMMYFUNCTION("""COMPUTED_VALUE"""),"Gracheva")</f>
        <v>Gracheva</v>
      </c>
      <c r="E92" s="2"/>
      <c r="F92" s="2" t="str">
        <f>IFERROR(__xludf.DUMMYFUNCTION("""COMPUTED_VALUE"""),"marco.mastrotto@yale.edu")</f>
        <v>marco.mastrotto@yale.edu</v>
      </c>
      <c r="G92" s="2" t="str">
        <f>IFERROR(__xludf.DUMMYFUNCTION("""COMPUTED_VALUE"""),"0000-0002-3180-7400")</f>
        <v>0000-0002-3180-7400</v>
      </c>
    </row>
    <row r="93">
      <c r="A93" s="2" t="str">
        <f>IFERROR(__xludf.DUMMYFUNCTION("""COMPUTED_VALUE"""),"Feketa")</f>
        <v>Feketa</v>
      </c>
      <c r="B93" s="2" t="str">
        <f>IFERROR(__xludf.DUMMYFUNCTION("""COMPUTED_VALUE"""),"Viktor")</f>
        <v>Viktor</v>
      </c>
      <c r="C93" s="2" t="str">
        <f>IFERROR(__xludf.DUMMYFUNCTION("""COMPUTED_VALUE"""),"Key Personnel")</f>
        <v>Key Personnel</v>
      </c>
      <c r="D93" s="2" t="str">
        <f>IFERROR(__xludf.DUMMYFUNCTION("""COMPUTED_VALUE"""),"Gracheva")</f>
        <v>Gracheva</v>
      </c>
      <c r="E93" s="2" t="str">
        <f>IFERROR(__xludf.DUMMYFUNCTION("""COMPUTED_VALUE"""),"Associate Research Scientist")</f>
        <v>Associate Research Scientist</v>
      </c>
      <c r="F93" s="2" t="str">
        <f>IFERROR(__xludf.DUMMYFUNCTION("""COMPUTED_VALUE"""),"viktor.feketa@yale.edu")</f>
        <v>viktor.feketa@yale.edu</v>
      </c>
      <c r="G93" s="2" t="str">
        <f>IFERROR(__xludf.DUMMYFUNCTION("""COMPUTED_VALUE"""),"0000-0003-4978-0581")</f>
        <v>0000-0003-4978-0581</v>
      </c>
    </row>
    <row r="94">
      <c r="A94" s="2" t="str">
        <f>IFERROR(__xludf.DUMMYFUNCTION("""COMPUTED_VALUE"""),"Kummer")</f>
        <v>Kummer</v>
      </c>
      <c r="B94" s="2" t="str">
        <f>IFERROR(__xludf.DUMMYFUNCTION("""COMPUTED_VALUE"""),"Terrance")</f>
        <v>Terrance</v>
      </c>
      <c r="C94" s="2" t="str">
        <f>IFERROR(__xludf.DUMMYFUNCTION("""COMPUTED_VALUE"""),"Collaborating PI")</f>
        <v>Collaborating PI</v>
      </c>
      <c r="D94" s="2" t="str">
        <f>IFERROR(__xludf.DUMMYFUNCTION("""COMPUTED_VALUE"""),"Kummer")</f>
        <v>Kummer</v>
      </c>
      <c r="E94" s="2"/>
      <c r="F94" s="2" t="str">
        <f>IFERROR(__xludf.DUMMYFUNCTION("""COMPUTED_VALUE"""),"kummert@wustl.edu")</f>
        <v>kummert@wustl.edu</v>
      </c>
      <c r="G94" s="2" t="str">
        <f>IFERROR(__xludf.DUMMYFUNCTION("""COMPUTED_VALUE"""),"0000-0001-8938-8280")</f>
        <v>0000-0001-8938-8280</v>
      </c>
    </row>
    <row r="95">
      <c r="A95" s="2" t="str">
        <f>IFERROR(__xludf.DUMMYFUNCTION("""COMPUTED_VALUE"""),"Sauerbeck")</f>
        <v>Sauerbeck</v>
      </c>
      <c r="B95" s="2" t="str">
        <f>IFERROR(__xludf.DUMMYFUNCTION("""COMPUTED_VALUE"""),"Andrew")</f>
        <v>Andrew</v>
      </c>
      <c r="C95" s="2" t="str">
        <f>IFERROR(__xludf.DUMMYFUNCTION("""COMPUTED_VALUE"""),"Key Personnel")</f>
        <v>Key Personnel</v>
      </c>
      <c r="D95" s="2" t="str">
        <f>IFERROR(__xludf.DUMMYFUNCTION("""COMPUTED_VALUE"""),"Kummer")</f>
        <v>Kummer</v>
      </c>
      <c r="E95" s="2"/>
      <c r="F95" s="2" t="str">
        <f>IFERROR(__xludf.DUMMYFUNCTION("""COMPUTED_VALUE"""),"andrew.sauerbeck@wustl.edu")</f>
        <v>andrew.sauerbeck@wustl.edu</v>
      </c>
      <c r="G95" s="2" t="str">
        <f>IFERROR(__xludf.DUMMYFUNCTION("""COMPUTED_VALUE"""),"0000-0002-4586-0579")</f>
        <v>0000-0002-4586-0579</v>
      </c>
    </row>
    <row r="96">
      <c r="A96" s="2" t="str">
        <f>IFERROR(__xludf.DUMMYFUNCTION("""COMPUTED_VALUE"""),"Volpicelli‐Daley")</f>
        <v>Volpicelli‐Daley</v>
      </c>
      <c r="B96" s="2" t="str">
        <f>IFERROR(__xludf.DUMMYFUNCTION("""COMPUTED_VALUE"""),"Laura")</f>
        <v>Laura</v>
      </c>
      <c r="C96" s="2" t="str">
        <f>IFERROR(__xludf.DUMMYFUNCTION("""COMPUTED_VALUE"""),"Co-PI")</f>
        <v>Co-PI</v>
      </c>
      <c r="D96" s="2" t="str">
        <f>IFERROR(__xludf.DUMMYFUNCTION("""COMPUTED_VALUE"""),"Volpicelli‐Daley")</f>
        <v>Volpicelli‐Daley</v>
      </c>
      <c r="E96" s="2"/>
      <c r="F96" s="2" t="str">
        <f>IFERROR(__xludf.DUMMYFUNCTION("""COMPUTED_VALUE"""),"lvolpicellidaley@uabmc.edu")</f>
        <v>lvolpicellidaley@uabmc.edu</v>
      </c>
      <c r="G96" s="2" t="str">
        <f>IFERROR(__xludf.DUMMYFUNCTION("""COMPUTED_VALUE"""),"0000-0001-8934-4018")</f>
        <v>0000-0001-8934-4018</v>
      </c>
    </row>
    <row r="97">
      <c r="A97" s="2" t="str">
        <f>IFERROR(__xludf.DUMMYFUNCTION("""COMPUTED_VALUE"""),"Boyden")</f>
        <v>Boyden</v>
      </c>
      <c r="B97" s="2" t="str">
        <f>IFERROR(__xludf.DUMMYFUNCTION("""COMPUTED_VALUE"""),"Ed")</f>
        <v>Ed</v>
      </c>
      <c r="C97" s="2" t="str">
        <f>IFERROR(__xludf.DUMMYFUNCTION("""COMPUTED_VALUE"""),"Collaborating PI")</f>
        <v>Collaborating PI</v>
      </c>
      <c r="D97" s="2" t="str">
        <f>IFERROR(__xludf.DUMMYFUNCTION("""COMPUTED_VALUE"""),"Boyden")</f>
        <v>Boyden</v>
      </c>
      <c r="E97" s="2"/>
      <c r="F97" s="2" t="str">
        <f>IFERROR(__xludf.DUMMYFUNCTION("""COMPUTED_VALUE"""),"eboyden3@gmail.com")</f>
        <v>eboyden3@gmail.com</v>
      </c>
      <c r="G97" s="2" t="str">
        <f>IFERROR(__xludf.DUMMYFUNCTION("""COMPUTED_VALUE"""),"0000-0002-0419-3351")</f>
        <v>0000-0002-0419-3351</v>
      </c>
    </row>
    <row r="98">
      <c r="A98" s="2" t="str">
        <f>IFERROR(__xludf.DUMMYFUNCTION("""COMPUTED_VALUE"""),"An")</f>
        <v>An</v>
      </c>
      <c r="B98" s="2" t="str">
        <f>IFERROR(__xludf.DUMMYFUNCTION("""COMPUTED_VALUE"""),"Bobae")</f>
        <v>Bobae</v>
      </c>
      <c r="C98" s="2" t="str">
        <f>IFERROR(__xludf.DUMMYFUNCTION("""COMPUTED_VALUE"""),"Key Personnel")</f>
        <v>Key Personnel</v>
      </c>
      <c r="D98" s="2" t="str">
        <f>IFERROR(__xludf.DUMMYFUNCTION("""COMPUTED_VALUE"""),"Boyden")</f>
        <v>Boyden</v>
      </c>
      <c r="E98" s="2"/>
      <c r="F98" s="2" t="str">
        <f>IFERROR(__xludf.DUMMYFUNCTION("""COMPUTED_VALUE"""),"bobaean@mit.edu")</f>
        <v>bobaean@mit.edu</v>
      </c>
      <c r="G98" s="2" t="str">
        <f>IFERROR(__xludf.DUMMYFUNCTION("""COMPUTED_VALUE"""),"0000-0003-2748-1943")</f>
        <v>0000-0003-2748-1943</v>
      </c>
    </row>
    <row r="99">
      <c r="A99" s="2" t="str">
        <f>IFERROR(__xludf.DUMMYFUNCTION("""COMPUTED_VALUE"""),"Kang")</f>
        <v>Kang</v>
      </c>
      <c r="B99" s="2" t="str">
        <f>IFERROR(__xludf.DUMMYFUNCTION("""COMPUTED_VALUE"""),"Jinyoung")</f>
        <v>Jinyoung</v>
      </c>
      <c r="C99" s="2" t="str">
        <f>IFERROR(__xludf.DUMMYFUNCTION("""COMPUTED_VALUE"""),"Key Personnel")</f>
        <v>Key Personnel</v>
      </c>
      <c r="D99" s="2" t="str">
        <f>IFERROR(__xludf.DUMMYFUNCTION("""COMPUTED_VALUE"""),"Boyden")</f>
        <v>Boyden</v>
      </c>
      <c r="E99" s="2"/>
      <c r="F99" s="2" t="str">
        <f>IFERROR(__xludf.DUMMYFUNCTION("""COMPUTED_VALUE"""),"jinkang@mit.edu")</f>
        <v>jinkang@mit.edu</v>
      </c>
      <c r="G99" s="2" t="str">
        <f>IFERROR(__xludf.DUMMYFUNCTION("""COMPUTED_VALUE"""),"0000-0001-6116-3477")</f>
        <v>0000-0001-6116-3477</v>
      </c>
    </row>
    <row r="100">
      <c r="A100" s="2" t="str">
        <f>IFERROR(__xludf.DUMMYFUNCTION("""COMPUTED_VALUE"""),"Schroeder")</f>
        <v>Schroeder</v>
      </c>
      <c r="B100" s="2" t="str">
        <f>IFERROR(__xludf.DUMMYFUNCTION("""COMPUTED_VALUE"""),"Margaret")</f>
        <v>Margaret</v>
      </c>
      <c r="C100" s="2" t="str">
        <f>IFERROR(__xludf.DUMMYFUNCTION("""COMPUTED_VALUE"""),"Key Personnel")</f>
        <v>Key Personnel</v>
      </c>
      <c r="D100" s="2" t="str">
        <f>IFERROR(__xludf.DUMMYFUNCTION("""COMPUTED_VALUE"""),"Boyden")</f>
        <v>Boyden</v>
      </c>
      <c r="E100" s="2"/>
      <c r="F100" s="2" t="str">
        <f>IFERROR(__xludf.DUMMYFUNCTION("""COMPUTED_VALUE"""),"mschro@mit.edu")</f>
        <v>mschro@mit.edu</v>
      </c>
      <c r="G100" s="2" t="str">
        <f>IFERROR(__xludf.DUMMYFUNCTION("""COMPUTED_VALUE"""),"0000-0002-2228-7482")</f>
        <v>0000-0002-2228-7482</v>
      </c>
    </row>
    <row r="101">
      <c r="A101" s="2" t="str">
        <f>IFERROR(__xludf.DUMMYFUNCTION("""COMPUTED_VALUE"""),"Iuliano")</f>
        <v>Iuliano</v>
      </c>
      <c r="B101" s="2" t="str">
        <f>IFERROR(__xludf.DUMMYFUNCTION("""COMPUTED_VALUE"""),"Maria")</f>
        <v>Maria</v>
      </c>
      <c r="C101" s="2" t="str">
        <f>IFERROR(__xludf.DUMMYFUNCTION("""COMPUTED_VALUE"""),"Key Personnel")</f>
        <v>Key Personnel</v>
      </c>
      <c r="D101" s="2" t="str">
        <f>IFERROR(__xludf.DUMMYFUNCTION("""COMPUTED_VALUE"""),"Biederer")</f>
        <v>Biederer</v>
      </c>
      <c r="E101" s="2" t="str">
        <f>IFERROR(__xludf.DUMMYFUNCTION("""COMPUTED_VALUE"""),"grad student")</f>
        <v>grad student</v>
      </c>
      <c r="F101" s="2" t="str">
        <f>IFERROR(__xludf.DUMMYFUNCTION("""COMPUTED_VALUE"""),"maria.iuliano@yale.edu")</f>
        <v>maria.iuliano@yale.edu</v>
      </c>
      <c r="G101" s="2" t="str">
        <f>IFERROR(__xludf.DUMMYFUNCTION("""COMPUTED_VALUE"""),"0000-0003-4072-3724")</f>
        <v>0000-0003-4072-3724</v>
      </c>
    </row>
    <row r="102">
      <c r="A102" s="2" t="str">
        <f>IFERROR(__xludf.DUMMYFUNCTION("""COMPUTED_VALUE"""),"Brzozowski")</f>
        <v>Brzozowski</v>
      </c>
      <c r="B102" s="2" t="str">
        <f>IFERROR(__xludf.DUMMYFUNCTION("""COMPUTED_VALUE"""),"Charlotte")</f>
        <v>Charlotte</v>
      </c>
      <c r="C102" s="2" t="str">
        <f>IFERROR(__xludf.DUMMYFUNCTION("""COMPUTED_VALUE"""),"Key Personnel")</f>
        <v>Key Personnel</v>
      </c>
      <c r="D102" s="2" t="str">
        <f>IFERROR(__xludf.DUMMYFUNCTION("""COMPUTED_VALUE"""),"Volpicelli‐Daley")</f>
        <v>Volpicelli‐Daley</v>
      </c>
      <c r="E102" s="2" t="str">
        <f>IFERROR(__xludf.DUMMYFUNCTION("""COMPUTED_VALUE"""),"grad student")</f>
        <v>grad student</v>
      </c>
      <c r="F102" s="2" t="str">
        <f>IFERROR(__xludf.DUMMYFUNCTION("""COMPUTED_VALUE"""),"cfbrzozo@uab.edu")</f>
        <v>cfbrzozo@uab.edu</v>
      </c>
      <c r="G102" s="2" t="str">
        <f>IFERROR(__xludf.DUMMYFUNCTION("""COMPUTED_VALUE"""),"0000-0002-8871-2453")</f>
        <v>0000-0002-8871-2453</v>
      </c>
    </row>
    <row r="103">
      <c r="A103" s="2" t="str">
        <f>IFERROR(__xludf.DUMMYFUNCTION("""COMPUTED_VALUE"""),"Ilona")</f>
        <v>Ilona</v>
      </c>
      <c r="B103" s="2" t="str">
        <f>IFERROR(__xludf.DUMMYFUNCTION("""COMPUTED_VALUE"""),"Kondratiuk")</f>
        <v>Kondratiuk</v>
      </c>
      <c r="C103" s="2" t="str">
        <f>IFERROR(__xludf.DUMMYFUNCTION("""COMPUTED_VALUE"""),"Key Personnel")</f>
        <v>Key Personnel</v>
      </c>
      <c r="D103" s="2" t="str">
        <f>IFERROR(__xludf.DUMMYFUNCTION("""COMPUTED_VALUE"""),"Biederer")</f>
        <v>Biederer</v>
      </c>
      <c r="E103" s="2" t="str">
        <f>IFERROR(__xludf.DUMMYFUNCTION("""COMPUTED_VALUE"""),"Postdoc")</f>
        <v>Postdoc</v>
      </c>
      <c r="F103" s="2" t="str">
        <f>IFERROR(__xludf.DUMMYFUNCTION("""COMPUTED_VALUE"""),"ilona.kondratiuk@yale.edu")</f>
        <v>ilona.kondratiuk@yale.edu</v>
      </c>
      <c r="G103" s="2" t="str">
        <f>IFERROR(__xludf.DUMMYFUNCTION("""COMPUTED_VALUE"""),"0000-0002-7740-8923")</f>
        <v>0000-0002-7740-8923</v>
      </c>
    </row>
    <row r="104">
      <c r="A104" s="2" t="str">
        <f>IFERROR(__xludf.DUMMYFUNCTION("""COMPUTED_VALUE"""),"Sah")</f>
        <v>Sah</v>
      </c>
      <c r="B104" s="2" t="str">
        <f>IFERROR(__xludf.DUMMYFUNCTION("""COMPUTED_VALUE"""),"Saroj")</f>
        <v>Saroj</v>
      </c>
      <c r="C104" s="2" t="str">
        <f>IFERROR(__xludf.DUMMYFUNCTION("""COMPUTED_VALUE"""),"Key Personnel")</f>
        <v>Key Personnel</v>
      </c>
      <c r="D104" s="2" t="str">
        <f>IFERROR(__xludf.DUMMYFUNCTION("""COMPUTED_VALUE"""),"Biederer")</f>
        <v>Biederer</v>
      </c>
      <c r="E104" s="2" t="str">
        <f>IFERROR(__xludf.DUMMYFUNCTION("""COMPUTED_VALUE"""),"Postdoc")</f>
        <v>Postdoc</v>
      </c>
      <c r="F104" s="2" t="str">
        <f>IFERROR(__xludf.DUMMYFUNCTION("""COMPUTED_VALUE"""),"saroj.sah@yale.edu")</f>
        <v>saroj.sah@yale.edu</v>
      </c>
      <c r="G104" s="2" t="str">
        <f>IFERROR(__xludf.DUMMYFUNCTION("""COMPUTED_VALUE"""),"0000-0001-8782-9126")</f>
        <v>0000-0001-8782-9126</v>
      </c>
    </row>
    <row r="105">
      <c r="A105" s="2" t="str">
        <f>IFERROR(__xludf.DUMMYFUNCTION("""COMPUTED_VALUE"""),"Goralski")</f>
        <v>Goralski</v>
      </c>
      <c r="B105" s="2" t="str">
        <f>IFERROR(__xludf.DUMMYFUNCTION("""COMPUTED_VALUE"""),"Thomas")</f>
        <v>Thomas</v>
      </c>
      <c r="C105" s="2" t="str">
        <f>IFERROR(__xludf.DUMMYFUNCTION("""COMPUTED_VALUE"""),"Key Personnel")</f>
        <v>Key Personnel</v>
      </c>
      <c r="D105" s="2" t="str">
        <f>IFERROR(__xludf.DUMMYFUNCTION("""COMPUTED_VALUE"""),"Henderson")</f>
        <v>Henderson</v>
      </c>
      <c r="E105" s="2" t="str">
        <f>IFERROR(__xludf.DUMMYFUNCTION("""COMPUTED_VALUE"""),"Graduate Student")</f>
        <v>Graduate Student</v>
      </c>
      <c r="F105" s="2" t="str">
        <f>IFERROR(__xludf.DUMMYFUNCTION("""COMPUTED_VALUE"""),"thomas.goralski@vai.org")</f>
        <v>thomas.goralski@vai.org</v>
      </c>
      <c r="G105" s="2" t="str">
        <f>IFERROR(__xludf.DUMMYFUNCTION("""COMPUTED_VALUE"""),"0000-0003-2625-9195")</f>
        <v>0000-0003-2625-9195</v>
      </c>
    </row>
    <row r="106">
      <c r="A106" s="2" t="str">
        <f>IFERROR(__xludf.DUMMYFUNCTION("""COMPUTED_VALUE"""),"DeWeerd")</f>
        <v>DeWeerd</v>
      </c>
      <c r="B106" s="2" t="str">
        <f>IFERROR(__xludf.DUMMYFUNCTION("""COMPUTED_VALUE"""),"Daniella")</f>
        <v>Daniella</v>
      </c>
      <c r="C106" s="2" t="str">
        <f>IFERROR(__xludf.DUMMYFUNCTION("""COMPUTED_VALUE"""),"Key Personnel")</f>
        <v>Key Personnel</v>
      </c>
      <c r="D106" s="2" t="str">
        <f>IFERROR(__xludf.DUMMYFUNCTION("""COMPUTED_VALUE"""),"Henderson")</f>
        <v>Henderson</v>
      </c>
      <c r="E106" s="2" t="str">
        <f>IFERROR(__xludf.DUMMYFUNCTION("""COMPUTED_VALUE"""),"Graduate Student intern")</f>
        <v>Graduate Student intern</v>
      </c>
      <c r="F106" s="2" t="str">
        <f>IFERROR(__xludf.DUMMYFUNCTION("""COMPUTED_VALUE"""),"daniella.deweerd@vai.org")</f>
        <v>daniella.deweerd@vai.org</v>
      </c>
      <c r="G106" s="2" t="str">
        <f>IFERROR(__xludf.DUMMYFUNCTION("""COMPUTED_VALUE"""),"0000-0002-2675-5132")</f>
        <v>0000-0002-2675-5132</v>
      </c>
    </row>
    <row r="107">
      <c r="A107" s="2" t="str">
        <f>IFERROR(__xludf.DUMMYFUNCTION("""COMPUTED_VALUE"""),"Breton")</f>
        <v>Breton</v>
      </c>
      <c r="B107" s="2" t="str">
        <f>IFERROR(__xludf.DUMMYFUNCTION("""COMPUTED_VALUE"""),"Libby")</f>
        <v>Libby</v>
      </c>
      <c r="C107" s="2" t="str">
        <f>IFERROR(__xludf.DUMMYFUNCTION("""COMPUTED_VALUE"""),"Key Personnel")</f>
        <v>Key Personnel</v>
      </c>
      <c r="D107" s="2" t="str">
        <f>IFERROR(__xludf.DUMMYFUNCTION("""COMPUTED_VALUE"""),"Henderson")</f>
        <v>Henderson</v>
      </c>
      <c r="E107" s="2" t="str">
        <f>IFERROR(__xludf.DUMMYFUNCTION("""COMPUTED_VALUE"""),"Research Technician")</f>
        <v>Research Technician</v>
      </c>
      <c r="F107" s="2" t="str">
        <f>IFERROR(__xludf.DUMMYFUNCTION("""COMPUTED_VALUE"""),"elizabeth.breton@vai.org")</f>
        <v>elizabeth.breton@vai.org</v>
      </c>
      <c r="G107" s="2" t="str">
        <f>IFERROR(__xludf.DUMMYFUNCTION("""COMPUTED_VALUE"""),"0000-0001-9968-1878")</f>
        <v>0000-0001-9968-1878</v>
      </c>
    </row>
    <row r="108">
      <c r="A108" s="2" t="str">
        <f>IFERROR(__xludf.DUMMYFUNCTION("""COMPUTED_VALUE"""),"Correa-Chavez")</f>
        <v>Correa-Chavez</v>
      </c>
      <c r="B108" s="2" t="str">
        <f>IFERROR(__xludf.DUMMYFUNCTION("""COMPUTED_VALUE"""),"Estela")</f>
        <v>Estela</v>
      </c>
      <c r="C108" s="2" t="str">
        <f>IFERROR(__xludf.DUMMYFUNCTION("""COMPUTED_VALUE"""),"Key Personnel")</f>
        <v>Key Personnel</v>
      </c>
      <c r="D108" s="2" t="str">
        <f>IFERROR(__xludf.DUMMYFUNCTION("""COMPUTED_VALUE"""),"Higley")</f>
        <v>Higley</v>
      </c>
      <c r="E108" s="2" t="str">
        <f>IFERROR(__xludf.DUMMYFUNCTION("""COMPUTED_VALUE"""),"Research Technician")</f>
        <v>Research Technician</v>
      </c>
      <c r="F108" s="2" t="str">
        <f>IFERROR(__xludf.DUMMYFUNCTION("""COMPUTED_VALUE"""),"estela.correachavez@yale.edu")</f>
        <v>estela.correachavez@yale.edu</v>
      </c>
      <c r="G108" s="2" t="str">
        <f>IFERROR(__xludf.DUMMYFUNCTION("""COMPUTED_VALUE"""),"0000-0001-9901-205X")</f>
        <v>0000-0001-9901-205X</v>
      </c>
    </row>
    <row r="109">
      <c r="A109" s="2" t="str">
        <f>IFERROR(__xludf.DUMMYFUNCTION("""COMPUTED_VALUE"""),"Patel")</f>
        <v>Patel</v>
      </c>
      <c r="B109" s="2" t="str">
        <f>IFERROR(__xludf.DUMMYFUNCTION("""COMPUTED_VALUE"""),"Paras")</f>
        <v>Paras</v>
      </c>
      <c r="C109" s="2" t="str">
        <f>IFERROR(__xludf.DUMMYFUNCTION("""COMPUTED_VALUE"""),"Key Personnel")</f>
        <v>Key Personnel</v>
      </c>
      <c r="D109" s="2" t="str">
        <f>IFERROR(__xludf.DUMMYFUNCTION("""COMPUTED_VALUE"""),"Higley")</f>
        <v>Higley</v>
      </c>
      <c r="E109" s="2" t="str">
        <f>IFERROR(__xludf.DUMMYFUNCTION("""COMPUTED_VALUE"""),"Postdoc")</f>
        <v>Postdoc</v>
      </c>
      <c r="F109" s="2" t="str">
        <f>IFERROR(__xludf.DUMMYFUNCTION("""COMPUTED_VALUE"""),"paras.patel@yale.edu")</f>
        <v>paras.patel@yale.edu</v>
      </c>
      <c r="G109" s="2" t="str">
        <f>IFERROR(__xludf.DUMMYFUNCTION("""COMPUTED_VALUE"""),"0000-0002-2399-025X")</f>
        <v>0000-0002-2399-025X</v>
      </c>
    </row>
    <row r="110">
      <c r="A110" s="2" t="str">
        <f>IFERROR(__xludf.DUMMYFUNCTION("""COMPUTED_VALUE"""),"Dong")</f>
        <v>Dong</v>
      </c>
      <c r="B110" s="2" t="str">
        <f>IFERROR(__xludf.DUMMYFUNCTION("""COMPUTED_VALUE"""),"Hao")</f>
        <v>Hao</v>
      </c>
      <c r="C110" s="2" t="str">
        <f>IFERROR(__xludf.DUMMYFUNCTION("""COMPUTED_VALUE"""),"Key Personnel")</f>
        <v>Key Personnel</v>
      </c>
      <c r="D110" s="2" t="str">
        <f>IFERROR(__xludf.DUMMYFUNCTION("""COMPUTED_VALUE"""),"Higley")</f>
        <v>Higley</v>
      </c>
      <c r="E110" s="2" t="str">
        <f>IFERROR(__xludf.DUMMYFUNCTION("""COMPUTED_VALUE"""),"Grad student")</f>
        <v>Grad student</v>
      </c>
      <c r="F110" s="2" t="str">
        <f>IFERROR(__xludf.DUMMYFUNCTION("""COMPUTED_VALUE"""),"hao.dong@yale.edu")</f>
        <v>hao.dong@yale.edu</v>
      </c>
      <c r="G110" s="2" t="str">
        <f>IFERROR(__xludf.DUMMYFUNCTION("""COMPUTED_VALUE"""),"0000-0001-9115-538X")</f>
        <v>0000-0001-9115-538X</v>
      </c>
    </row>
    <row r="111">
      <c r="A111" s="2" t="str">
        <f>IFERROR(__xludf.DUMMYFUNCTION("""COMPUTED_VALUE"""),"Pant")</f>
        <v>Pant</v>
      </c>
      <c r="B111" s="2" t="str">
        <f>IFERROR(__xludf.DUMMYFUNCTION("""COMPUTED_VALUE"""),"Rima")</f>
        <v>Rima</v>
      </c>
      <c r="C111" s="2" t="str">
        <f>IFERROR(__xludf.DUMMYFUNCTION("""COMPUTED_VALUE"""),"Key Personnel")</f>
        <v>Key Personnel</v>
      </c>
      <c r="D111" s="2" t="str">
        <f>IFERROR(__xludf.DUMMYFUNCTION("""COMPUTED_VALUE"""),"Higley")</f>
        <v>Higley</v>
      </c>
      <c r="E111" s="2" t="str">
        <f>IFERROR(__xludf.DUMMYFUNCTION("""COMPUTED_VALUE"""),"Research Technician")</f>
        <v>Research Technician</v>
      </c>
      <c r="F111" s="2" t="str">
        <f>IFERROR(__xludf.DUMMYFUNCTION("""COMPUTED_VALUE"""),"rima.pant@yale.edu")</f>
        <v>rima.pant@yale.edu</v>
      </c>
      <c r="G111" s="2" t="str">
        <f>IFERROR(__xludf.DUMMYFUNCTION("""COMPUTED_VALUE"""),"000-0003-0679-3569")</f>
        <v>000-0003-0679-3569</v>
      </c>
    </row>
    <row r="112">
      <c r="A112" s="2" t="str">
        <f>IFERROR(__xludf.DUMMYFUNCTION("""COMPUTED_VALUE"""),"Brynildsen")</f>
        <v>Brynildsen</v>
      </c>
      <c r="B112" s="2" t="str">
        <f>IFERROR(__xludf.DUMMYFUNCTION("""COMPUTED_VALUE"""),"Kate")</f>
        <v>Kate</v>
      </c>
      <c r="C112" s="2" t="str">
        <f>IFERROR(__xludf.DUMMYFUNCTION("""COMPUTED_VALUE"""),"Key Personnel")</f>
        <v>Key Personnel</v>
      </c>
      <c r="D112" s="2" t="str">
        <f>IFERROR(__xludf.DUMMYFUNCTION("""COMPUTED_VALUE"""),"Bassett")</f>
        <v>Bassett</v>
      </c>
      <c r="E112" s="2" t="str">
        <f>IFERROR(__xludf.DUMMYFUNCTION("""COMPUTED_VALUE"""),"Postdoc")</f>
        <v>Postdoc</v>
      </c>
      <c r="F112" s="2" t="str">
        <f>IFERROR(__xludf.DUMMYFUNCTION("""COMPUTED_VALUE"""),"kate.brynildsen@gmail.com")</f>
        <v>kate.brynildsen@gmail.com</v>
      </c>
      <c r="G112" s="2" t="str">
        <f>IFERROR(__xludf.DUMMYFUNCTION("""COMPUTED_VALUE"""),"0000-0002-1627-6576")</f>
        <v>0000-0002-1627-6576</v>
      </c>
    </row>
    <row r="113">
      <c r="A113" s="2" t="str">
        <f>IFERROR(__xludf.DUMMYFUNCTION("""COMPUTED_VALUE"""),"Kurgat")</f>
        <v>Kurgat</v>
      </c>
      <c r="B113" s="2" t="str">
        <f>IFERROR(__xludf.DUMMYFUNCTION("""COMPUTED_VALUE"""),"Kevin")</f>
        <v>Kevin</v>
      </c>
      <c r="C113" s="2" t="str">
        <f>IFERROR(__xludf.DUMMYFUNCTION("""COMPUTED_VALUE"""),"Key Personnel")</f>
        <v>Key Personnel</v>
      </c>
      <c r="D113" s="2" t="str">
        <f>IFERROR(__xludf.DUMMYFUNCTION("""COMPUTED_VALUE"""),"Henderson")</f>
        <v>Henderson</v>
      </c>
      <c r="E113" s="2" t="str">
        <f>IFERROR(__xludf.DUMMYFUNCTION("""COMPUTED_VALUE"""),"Research Technician")</f>
        <v>Research Technician</v>
      </c>
      <c r="F113" s="2" t="str">
        <f>IFERROR(__xludf.DUMMYFUNCTION("""COMPUTED_VALUE"""),"kevin.kurgat@vai.org")</f>
        <v>kevin.kurgat@vai.org</v>
      </c>
      <c r="G113" s="2" t="str">
        <f>IFERROR(__xludf.DUMMYFUNCTION("""COMPUTED_VALUE"""),"0000-0003-3237-7390")</f>
        <v>0000-0003-3237-7390</v>
      </c>
    </row>
    <row r="114">
      <c r="A114" s="2" t="str">
        <f>IFERROR(__xludf.DUMMYFUNCTION("""COMPUTED_VALUE"""),"Yu")</f>
        <v>Yu</v>
      </c>
      <c r="B114" s="2" t="str">
        <f>IFERROR(__xludf.DUMMYFUNCTION("""COMPUTED_VALUE"""),"Eunah")</f>
        <v>Eunah</v>
      </c>
      <c r="C114" s="2" t="str">
        <f>IFERROR(__xludf.DUMMYFUNCTION("""COMPUTED_VALUE"""),"Key Personnel")</f>
        <v>Key Personnel</v>
      </c>
      <c r="D114" s="2" t="str">
        <f>IFERROR(__xludf.DUMMYFUNCTION("""COMPUTED_VALUE"""),"Boyden")</f>
        <v>Boyden</v>
      </c>
      <c r="E114" s="2" t="str">
        <f>IFERROR(__xludf.DUMMYFUNCTION("""COMPUTED_VALUE"""),"research scientist")</f>
        <v>research scientist</v>
      </c>
      <c r="F114" s="2" t="str">
        <f>IFERROR(__xludf.DUMMYFUNCTION("""COMPUTED_VALUE"""),"neurite@gmail.com")</f>
        <v>neurite@gmail.com</v>
      </c>
      <c r="G114" s="2" t="str">
        <f>IFERROR(__xludf.DUMMYFUNCTION("""COMPUTED_VALUE"""),"0000-0002-0937-1663")</f>
        <v>0000-0002-0937-1663</v>
      </c>
    </row>
    <row r="115">
      <c r="A115" s="2" t="str">
        <f>IFERROR(__xludf.DUMMYFUNCTION("""COMPUTED_VALUE"""),"Murphy")</f>
        <v>Murphy</v>
      </c>
      <c r="B115" s="2" t="str">
        <f>IFERROR(__xludf.DUMMYFUNCTION("""COMPUTED_VALUE"""),"Kieran")</f>
        <v>Kieran</v>
      </c>
      <c r="C115" s="2" t="str">
        <f>IFERROR(__xludf.DUMMYFUNCTION("""COMPUTED_VALUE"""),"Key Personnel")</f>
        <v>Key Personnel</v>
      </c>
      <c r="D115" s="2" t="str">
        <f>IFERROR(__xludf.DUMMYFUNCTION("""COMPUTED_VALUE"""),"Bassett")</f>
        <v>Bassett</v>
      </c>
      <c r="E115" s="2" t="str">
        <f>IFERROR(__xludf.DUMMYFUNCTION("""COMPUTED_VALUE"""),"Postdoc")</f>
        <v>Postdoc</v>
      </c>
      <c r="F115" s="2" t="str">
        <f>IFERROR(__xludf.DUMMYFUNCTION("""COMPUTED_VALUE"""),"kieranm@seas.upenn.edu")</f>
        <v>kieranm@seas.upenn.edu</v>
      </c>
      <c r="G115" s="2" t="str">
        <f>IFERROR(__xludf.DUMMYFUNCTION("""COMPUTED_VALUE"""),"0000-0003-0960-6685")</f>
        <v>0000-0003-0960-6685</v>
      </c>
    </row>
    <row r="116">
      <c r="A116" s="2" t="str">
        <f>IFERROR(__xludf.DUMMYFUNCTION("""COMPUTED_VALUE"""),"Patankar")</f>
        <v>Patankar</v>
      </c>
      <c r="B116" s="2" t="str">
        <f>IFERROR(__xludf.DUMMYFUNCTION("""COMPUTED_VALUE"""),"Shubhankar")</f>
        <v>Shubhankar</v>
      </c>
      <c r="C116" s="2" t="str">
        <f>IFERROR(__xludf.DUMMYFUNCTION("""COMPUTED_VALUE"""),"Key Personnel")</f>
        <v>Key Personnel</v>
      </c>
      <c r="D116" s="2" t="str">
        <f>IFERROR(__xludf.DUMMYFUNCTION("""COMPUTED_VALUE"""),"Bassett")</f>
        <v>Bassett</v>
      </c>
      <c r="E116" s="2" t="str">
        <f>IFERROR(__xludf.DUMMYFUNCTION("""COMPUTED_VALUE"""),"grad student")</f>
        <v>grad student</v>
      </c>
      <c r="F116" s="2" t="str">
        <f>IFERROR(__xludf.DUMMYFUNCTION("""COMPUTED_VALUE"""),"spatank@seas.upenn.edu")</f>
        <v>spatank@seas.upenn.edu</v>
      </c>
      <c r="G116" s="2" t="str">
        <f>IFERROR(__xludf.DUMMYFUNCTION("""COMPUTED_VALUE"""),"0000-0001-7753-1326")</f>
        <v>0000-0001-7753-1326</v>
      </c>
    </row>
    <row r="117">
      <c r="A117" s="2" t="str">
        <f>IFERROR(__xludf.DUMMYFUNCTION("""COMPUTED_VALUE"""),"Kulkarni")</f>
        <v>Kulkarni</v>
      </c>
      <c r="B117" s="2" t="str">
        <f>IFERROR(__xludf.DUMMYFUNCTION("""COMPUTED_VALUE"""),"Suman")</f>
        <v>Suman</v>
      </c>
      <c r="C117" s="2" t="str">
        <f>IFERROR(__xludf.DUMMYFUNCTION("""COMPUTED_VALUE"""),"Key Personnel")</f>
        <v>Key Personnel</v>
      </c>
      <c r="D117" s="2" t="str">
        <f>IFERROR(__xludf.DUMMYFUNCTION("""COMPUTED_VALUE"""),"Bassett")</f>
        <v>Bassett</v>
      </c>
      <c r="E117" s="2" t="str">
        <f>IFERROR(__xludf.DUMMYFUNCTION("""COMPUTED_VALUE"""),"Postdoc")</f>
        <v>Postdoc</v>
      </c>
      <c r="F117" s="2" t="str">
        <f>IFERROR(__xludf.DUMMYFUNCTION("""COMPUTED_VALUE"""),"sumank@sas.upenn.edu")</f>
        <v>sumank@sas.upenn.edu</v>
      </c>
      <c r="G117" s="2" t="str">
        <f>IFERROR(__xludf.DUMMYFUNCTION("""COMPUTED_VALUE"""),"0000-0001-8645-0771")</f>
        <v>0000-0001-8645-0771</v>
      </c>
    </row>
    <row r="118">
      <c r="A118" s="2" t="str">
        <f>IFERROR(__xludf.DUMMYFUNCTION("""COMPUTED_VALUE"""),"Brasseur")</f>
        <v>Brasseur</v>
      </c>
      <c r="B118" s="2" t="str">
        <f>IFERROR(__xludf.DUMMYFUNCTION("""COMPUTED_VALUE"""),"Laura")</f>
        <v>Laura</v>
      </c>
      <c r="C118" s="2" t="str">
        <f>IFERROR(__xludf.DUMMYFUNCTION("""COMPUTED_VALUE"""),"Key Personnel")</f>
        <v>Key Personnel</v>
      </c>
      <c r="D118" s="2" t="str">
        <f>IFERROR(__xludf.DUMMYFUNCTION("""COMPUTED_VALUE"""),"Henderson")</f>
        <v>Henderson</v>
      </c>
      <c r="E118" s="2" t="str">
        <f>IFERROR(__xludf.DUMMYFUNCTION("""COMPUTED_VALUE"""),"technician")</f>
        <v>technician</v>
      </c>
      <c r="F118" s="2" t="str">
        <f>IFERROR(__xludf.DUMMYFUNCTION("""COMPUTED_VALUE"""),"Laura.Brasseur@vai.org")</f>
        <v>Laura.Brasseur@vai.org</v>
      </c>
      <c r="G118" s="2" t="str">
        <f>IFERROR(__xludf.DUMMYFUNCTION("""COMPUTED_VALUE"""),"0009-0003-5331-138X")</f>
        <v>0009-0003-5331-138X</v>
      </c>
    </row>
    <row r="119">
      <c r="A119" s="2" t="str">
        <f>IFERROR(__xludf.DUMMYFUNCTION("""COMPUTED_VALUE"""),"Musarat")</f>
        <v>Musarat</v>
      </c>
      <c r="B119" s="2" t="str">
        <f>IFERROR(__xludf.DUMMYFUNCTION("""COMPUTED_VALUE"""),"Lamisa")</f>
        <v>Lamisa</v>
      </c>
      <c r="C119" s="2" t="str">
        <f>IFERROR(__xludf.DUMMYFUNCTION("""COMPUTED_VALUE"""),"Key Personnel")</f>
        <v>Key Personnel</v>
      </c>
      <c r="D119" s="2" t="str">
        <f>IFERROR(__xludf.DUMMYFUNCTION("""COMPUTED_VALUE"""),"Higley")</f>
        <v>Higley</v>
      </c>
      <c r="E119" s="2" t="str">
        <f>IFERROR(__xludf.DUMMYFUNCTION("""COMPUTED_VALUE"""),"Grad student")</f>
        <v>Grad student</v>
      </c>
      <c r="F119" s="2" t="str">
        <f>IFERROR(__xludf.DUMMYFUNCTION("""COMPUTED_VALUE"""),"lamisa.musarat@yale.edu")</f>
        <v>lamisa.musarat@yale.edu</v>
      </c>
      <c r="G119" s="2" t="str">
        <f>IFERROR(__xludf.DUMMYFUNCTION("""COMPUTED_VALUE"""),"0009-0004-5619-3152")</f>
        <v>0009-0004-5619-3152</v>
      </c>
    </row>
    <row r="120">
      <c r="A120" s="2" t="str">
        <f>IFERROR(__xludf.DUMMYFUNCTION("""COMPUTED_VALUE"""),"Vatsa")</f>
        <v>Vatsa</v>
      </c>
      <c r="B120" s="2" t="str">
        <f>IFERROR(__xludf.DUMMYFUNCTION("""COMPUTED_VALUE"""),"Naman")</f>
        <v>Naman</v>
      </c>
      <c r="C120" s="2" t="str">
        <f>IFERROR(__xludf.DUMMYFUNCTION("""COMPUTED_VALUE"""),"Key Personnel")</f>
        <v>Key Personnel</v>
      </c>
      <c r="D120" s="2" t="str">
        <f>IFERROR(__xludf.DUMMYFUNCTION("""COMPUTED_VALUE"""),"Henderson")</f>
        <v>Henderson</v>
      </c>
      <c r="E120" s="2" t="str">
        <f>IFERROR(__xludf.DUMMYFUNCTION("""COMPUTED_VALUE"""),"Postdoc")</f>
        <v>Postdoc</v>
      </c>
      <c r="F120" s="2" t="str">
        <f>IFERROR(__xludf.DUMMYFUNCTION("""COMPUTED_VALUE"""),"naman.vatsa@vai.org")</f>
        <v>naman.vatsa@vai.org</v>
      </c>
      <c r="G120" s="2" t="str">
        <f>IFERROR(__xludf.DUMMYFUNCTION("""COMPUTED_VALUE"""),"0000-0003-4683-3086")</f>
        <v>0000-0003-4683-3086</v>
      </c>
    </row>
    <row r="121">
      <c r="A121" s="2" t="str">
        <f>IFERROR(__xludf.DUMMYFUNCTION("""COMPUTED_VALUE"""),"Pérez-Acuña")</f>
        <v>Pérez-Acuña</v>
      </c>
      <c r="B121" s="2" t="str">
        <f>IFERROR(__xludf.DUMMYFUNCTION("""COMPUTED_VALUE"""),"Dayana")</f>
        <v>Dayana</v>
      </c>
      <c r="C121" s="2" t="str">
        <f>IFERROR(__xludf.DUMMYFUNCTION("""COMPUTED_VALUE"""),"Key Personnel")</f>
        <v>Key Personnel</v>
      </c>
      <c r="D121" s="2" t="str">
        <f>IFERROR(__xludf.DUMMYFUNCTION("""COMPUTED_VALUE"""),"Biederer")</f>
        <v>Biederer</v>
      </c>
      <c r="E121" s="2" t="str">
        <f>IFERROR(__xludf.DUMMYFUNCTION("""COMPUTED_VALUE"""),"Postdoc")</f>
        <v>Postdoc</v>
      </c>
      <c r="F121" s="2" t="str">
        <f>IFERROR(__xludf.DUMMYFUNCTION("""COMPUTED_VALUE"""),"dayana.perezacuna@yale.edu")</f>
        <v>dayana.perezacuna@yale.edu</v>
      </c>
      <c r="G121" s="2" t="str">
        <f>IFERROR(__xludf.DUMMYFUNCTION("""COMPUTED_VALUE"""),"0000-0002-9471-5378")</f>
        <v>0000-0002-9471-5378</v>
      </c>
    </row>
    <row r="122">
      <c r="A122" s="2" t="str">
        <f>IFERROR(__xludf.DUMMYFUNCTION("""COMPUTED_VALUE"""),"Shedge")</f>
        <v>Shedge</v>
      </c>
      <c r="B122" s="2" t="str">
        <f>IFERROR(__xludf.DUMMYFUNCTION("""COMPUTED_VALUE"""),"Pranav")</f>
        <v>Pranav</v>
      </c>
      <c r="C122" s="2" t="str">
        <f>IFERROR(__xludf.DUMMYFUNCTION("""COMPUTED_VALUE"""),"Key Personnel")</f>
        <v>Key Personnel</v>
      </c>
      <c r="D122" s="2" t="str">
        <f>IFERROR(__xludf.DUMMYFUNCTION("""COMPUTED_VALUE"""),"Biederer")</f>
        <v>Biederer</v>
      </c>
      <c r="E122" s="2" t="str">
        <f>IFERROR(__xludf.DUMMYFUNCTION("""COMPUTED_VALUE"""),"Postgrad trainee")</f>
        <v>Postgrad trainee</v>
      </c>
      <c r="F122" s="2" t="str">
        <f>IFERROR(__xludf.DUMMYFUNCTION("""COMPUTED_VALUE"""),"pranav.shedge@yale.edu")</f>
        <v>pranav.shedge@yale.edu</v>
      </c>
      <c r="G122" s="2" t="str">
        <f>IFERROR(__xludf.DUMMYFUNCTION("""COMPUTED_VALUE"""),"0009-0000-5276-2857")</f>
        <v>0009-0000-5276-2857</v>
      </c>
    </row>
    <row r="123">
      <c r="A123" s="2" t="str">
        <f>IFERROR(__xludf.DUMMYFUNCTION("""COMPUTED_VALUE"""),"Platt")</f>
        <v>Platt</v>
      </c>
      <c r="B123" s="2" t="str">
        <f>IFERROR(__xludf.DUMMYFUNCTION("""COMPUTED_VALUE"""),"Maryann")</f>
        <v>Maryann</v>
      </c>
      <c r="C123" s="2" t="str">
        <f>IFERROR(__xludf.DUMMYFUNCTION("""COMPUTED_VALUE"""),"Key Personnel")</f>
        <v>Key Personnel</v>
      </c>
      <c r="D123" s="2" t="str">
        <f>IFERROR(__xludf.DUMMYFUNCTION("""COMPUTED_VALUE"""),"Gracheva")</f>
        <v>Gracheva</v>
      </c>
      <c r="E123" s="2" t="str">
        <f>IFERROR(__xludf.DUMMYFUNCTION("""COMPUTED_VALUE"""),"Postdoc")</f>
        <v>Postdoc</v>
      </c>
      <c r="F123" s="2" t="str">
        <f>IFERROR(__xludf.DUMMYFUNCTION("""COMPUTED_VALUE"""),"maryann.platt@yale.edu")</f>
        <v>maryann.platt@yale.edu</v>
      </c>
      <c r="G123" s="2" t="str">
        <f>IFERROR(__xludf.DUMMYFUNCTION("""COMPUTED_VALUE"""),"0000-0001-8900-1226")</f>
        <v>0000-0001-8900-1226</v>
      </c>
    </row>
    <row r="124">
      <c r="A124" s="2" t="str">
        <f>IFERROR(__xludf.DUMMYFUNCTION("""COMPUTED_VALUE"""),"Alexandersen")</f>
        <v>Alexandersen</v>
      </c>
      <c r="B124" s="2" t="str">
        <f>IFERROR(__xludf.DUMMYFUNCTION("""COMPUTED_VALUE"""),"Christoffer Gretarsson")</f>
        <v>Christoffer Gretarsson</v>
      </c>
      <c r="C124" s="2" t="str">
        <f>IFERROR(__xludf.DUMMYFUNCTION("""COMPUTED_VALUE"""),"Key Personnel")</f>
        <v>Key Personnel</v>
      </c>
      <c r="D124" s="2" t="str">
        <f>IFERROR(__xludf.DUMMYFUNCTION("""COMPUTED_VALUE"""),"Bassett")</f>
        <v>Bassett</v>
      </c>
      <c r="E124" s="2" t="str">
        <f>IFERROR(__xludf.DUMMYFUNCTION("""COMPUTED_VALUE"""),"Postdoc")</f>
        <v>Postdoc</v>
      </c>
      <c r="F124" s="2" t="str">
        <f>IFERROR(__xludf.DUMMYFUNCTION("""COMPUTED_VALUE"""),"chrisgal@seas.upenn.edu")</f>
        <v>chrisgal@seas.upenn.edu</v>
      </c>
      <c r="G124" s="2" t="str">
        <f>IFERROR(__xludf.DUMMYFUNCTION("""COMPUTED_VALUE"""),"0000-0002-9645-7552")</f>
        <v>0000-0002-9645-7552</v>
      </c>
    </row>
    <row r="125">
      <c r="A125" s="2" t="str">
        <f>IFERROR(__xludf.DUMMYFUNCTION("""COMPUTED_VALUE"""),"Nguyen")</f>
        <v>Nguyen</v>
      </c>
      <c r="B125" s="2" t="str">
        <f>IFERROR(__xludf.DUMMYFUNCTION("""COMPUTED_VALUE"""),"Giang")</f>
        <v>Giang</v>
      </c>
      <c r="C125" s="2" t="str">
        <f>IFERROR(__xludf.DUMMYFUNCTION("""COMPUTED_VALUE"""),"Key Personnel")</f>
        <v>Key Personnel</v>
      </c>
      <c r="D125" s="2" t="str">
        <f>IFERROR(__xludf.DUMMYFUNCTION("""COMPUTED_VALUE"""),"Henderson")</f>
        <v>Henderson</v>
      </c>
      <c r="E125" s="2" t="str">
        <f>IFERROR(__xludf.DUMMYFUNCTION("""COMPUTED_VALUE"""),"Undergrad")</f>
        <v>Undergrad</v>
      </c>
      <c r="F125" s="2" t="str">
        <f>IFERROR(__xludf.DUMMYFUNCTION("""COMPUTED_VALUE"""),"Giang.Nguyen@vai.org")</f>
        <v>Giang.Nguyen@vai.org</v>
      </c>
      <c r="G125" s="2" t="str">
        <f>IFERROR(__xludf.DUMMYFUNCTION("""COMPUTED_VALUE"""),"0009-0006-7951-9180")</f>
        <v>0009-0006-7951-9180</v>
      </c>
    </row>
    <row r="126">
      <c r="A126" s="2" t="str">
        <f>IFERROR(__xludf.DUMMYFUNCTION("""COMPUTED_VALUE"""),"Wang")</f>
        <v>Wang</v>
      </c>
      <c r="B126" s="2" t="str">
        <f>IFERROR(__xludf.DUMMYFUNCTION("""COMPUTED_VALUE"""),"Na")</f>
        <v>Na</v>
      </c>
      <c r="C126" s="2" t="str">
        <f>IFERROR(__xludf.DUMMYFUNCTION("""COMPUTED_VALUE"""),"Key Personnel")</f>
        <v>Key Personnel</v>
      </c>
      <c r="D126" s="2" t="str">
        <f>IFERROR(__xludf.DUMMYFUNCTION("""COMPUTED_VALUE"""),"Biederer")</f>
        <v>Biederer</v>
      </c>
      <c r="E126" s="2" t="str">
        <f>IFERROR(__xludf.DUMMYFUNCTION("""COMPUTED_VALUE"""),"Associate Research Scientist")</f>
        <v>Associate Research Scientist</v>
      </c>
      <c r="F126" s="2" t="str">
        <f>IFERROR(__xludf.DUMMYFUNCTION("""COMPUTED_VALUE"""),"na.wang@yale.edu")</f>
        <v>na.wang@yale.edu</v>
      </c>
      <c r="G126" s="2" t="str">
        <f>IFERROR(__xludf.DUMMYFUNCTION("""COMPUTED_VALUE"""),"0000-0001-9500-1142")</f>
        <v>0000-0001-9500-1142</v>
      </c>
    </row>
    <row r="127">
      <c r="A127" s="2" t="str">
        <f>IFERROR(__xludf.DUMMYFUNCTION("""COMPUTED_VALUE"""),"Kennedy")</f>
        <v>Kennedy</v>
      </c>
      <c r="B127" s="2" t="str">
        <f>IFERROR(__xludf.DUMMYFUNCTION("""COMPUTED_VALUE"""),"Robert E")</f>
        <v>Robert E</v>
      </c>
      <c r="C127" s="2" t="str">
        <f>IFERROR(__xludf.DUMMYFUNCTION("""COMPUTED_VALUE"""),"Collaborating PI")</f>
        <v>Collaborating PI</v>
      </c>
      <c r="D127" s="2" t="str">
        <f>IFERROR(__xludf.DUMMYFUNCTION("""COMPUTED_VALUE"""),"Kennedy")</f>
        <v>Kennedy</v>
      </c>
      <c r="E127" s="2"/>
      <c r="F127" s="2" t="str">
        <f>IFERROR(__xludf.DUMMYFUNCTION("""COMPUTED_VALUE"""),"rekenned@uab.edu")</f>
        <v>rekenned@uab.edu</v>
      </c>
      <c r="G127" s="2" t="str">
        <f>IFERROR(__xludf.DUMMYFUNCTION("""COMPUTED_VALUE"""),"0000-0003-4638-126X")</f>
        <v>0000-0003-4638-126X</v>
      </c>
    </row>
    <row r="128">
      <c r="A128" s="2" t="str">
        <f>IFERROR(__xludf.DUMMYFUNCTION("""COMPUTED_VALUE"""),"Lubben")</f>
        <v>Lubben</v>
      </c>
      <c r="B128" s="2" t="str">
        <f>IFERROR(__xludf.DUMMYFUNCTION("""COMPUTED_VALUE"""),"Noah")</f>
        <v>Noah</v>
      </c>
      <c r="C128" s="2" t="str">
        <f>IFERROR(__xludf.DUMMYFUNCTION("""COMPUTED_VALUE"""),"Key Personnel")</f>
        <v>Key Personnel</v>
      </c>
      <c r="D128" s="2" t="str">
        <f>IFERROR(__xludf.DUMMYFUNCTION("""COMPUTED_VALUE"""),"Henderson")</f>
        <v>Henderson</v>
      </c>
      <c r="E128" s="2" t="str">
        <f>IFERROR(__xludf.DUMMYFUNCTION("""COMPUTED_VALUE"""),"MD/PhD Grad Student")</f>
        <v>MD/PhD Grad Student</v>
      </c>
      <c r="F128" s="2" t="str">
        <f>IFERROR(__xludf.DUMMYFUNCTION("""COMPUTED_VALUE"""),"noah.lubben@vai.org")</f>
        <v>noah.lubben@vai.org</v>
      </c>
      <c r="G128" s="2" t="str">
        <f>IFERROR(__xludf.DUMMYFUNCTION("""COMPUTED_VALUE"""),"0000-0002-5266-5472")</f>
        <v>0000-0002-5266-5472</v>
      </c>
    </row>
    <row r="129">
      <c r="A129" s="2" t="str">
        <f>IFERROR(__xludf.DUMMYFUNCTION("""COMPUTED_VALUE"""),"Singh")</f>
        <v>Singh</v>
      </c>
      <c r="B129" s="2" t="str">
        <f>IFERROR(__xludf.DUMMYFUNCTION("""COMPUTED_VALUE"""),"Vijay")</f>
        <v>Vijay</v>
      </c>
      <c r="C129" s="2" t="str">
        <f>IFERROR(__xludf.DUMMYFUNCTION("""COMPUTED_VALUE"""),"Key Personnel")</f>
        <v>Key Personnel</v>
      </c>
      <c r="D129" s="2" t="str">
        <f>IFERROR(__xludf.DUMMYFUNCTION("""COMPUTED_VALUE"""),"Volpicelli‐Daley")</f>
        <v>Volpicelli‐Daley</v>
      </c>
      <c r="E129" s="2" t="str">
        <f>IFERROR(__xludf.DUMMYFUNCTION("""COMPUTED_VALUE"""),"Senior Scientist")</f>
        <v>Senior Scientist</v>
      </c>
      <c r="F129" s="2" t="str">
        <f>IFERROR(__xludf.DUMMYFUNCTION("""COMPUTED_VALUE"""),"vijaysingh@uabmc.edu")</f>
        <v>vijaysingh@uabmc.edu</v>
      </c>
      <c r="G129" s="2" t="str">
        <f>IFERROR(__xludf.DUMMYFUNCTION("""COMPUTED_VALUE"""),"0000-0002-5163-0876")</f>
        <v>0000-0002-5163-0876</v>
      </c>
    </row>
    <row r="130">
      <c r="A130" s="2" t="str">
        <f>IFERROR(__xludf.DUMMYFUNCTION("""COMPUTED_VALUE"""),"Reiber")</f>
        <v>Reiber</v>
      </c>
      <c r="B130" s="2" t="str">
        <f>IFERROR(__xludf.DUMMYFUNCTION("""COMPUTED_VALUE"""),"Jacob")</f>
        <v>Jacob</v>
      </c>
      <c r="C130" s="2" t="str">
        <f>IFERROR(__xludf.DUMMYFUNCTION("""COMPUTED_VALUE"""),"Key Personnel")</f>
        <v>Key Personnel</v>
      </c>
      <c r="D130" s="2" t="str">
        <f>IFERROR(__xludf.DUMMYFUNCTION("""COMPUTED_VALUE"""),"Volpicelli‐Daley")</f>
        <v>Volpicelli‐Daley</v>
      </c>
      <c r="E130" s="2" t="str">
        <f>IFERROR(__xludf.DUMMYFUNCTION("""COMPUTED_VALUE"""),"Post bac Student")</f>
        <v>Post bac Student</v>
      </c>
      <c r="F130" s="2" t="str">
        <f>IFERROR(__xludf.DUMMYFUNCTION("""COMPUTED_VALUE"""),"jereiber@uabmc.edu")</f>
        <v>jereiber@uabmc.edu</v>
      </c>
      <c r="G130" s="2"/>
    </row>
    <row r="131">
      <c r="A131" s="2" t="str">
        <f>IFERROR(__xludf.DUMMYFUNCTION("""COMPUTED_VALUE"""),"Calakos")</f>
        <v>Calakos</v>
      </c>
      <c r="B131" s="2" t="str">
        <f>IFERROR(__xludf.DUMMYFUNCTION("""COMPUTED_VALUE"""),"Nicole ")</f>
        <v>Nicole </v>
      </c>
      <c r="C131" s="2" t="str">
        <f>IFERROR(__xludf.DUMMYFUNCTION("""COMPUTED_VALUE"""),"Lead-PI")</f>
        <v>Lead-PI</v>
      </c>
      <c r="D131" s="2" t="str">
        <f>IFERROR(__xludf.DUMMYFUNCTION("""COMPUTED_VALUE"""),"Calakos")</f>
        <v>Calakos</v>
      </c>
      <c r="E131" s="2"/>
      <c r="F131" s="2" t="str">
        <f>IFERROR(__xludf.DUMMYFUNCTION("""COMPUTED_VALUE"""),"nicole.calakos@duke.edu")</f>
        <v>nicole.calakos@duke.edu</v>
      </c>
      <c r="G131" s="2" t="str">
        <f>IFERROR(__xludf.DUMMYFUNCTION("""COMPUTED_VALUE"""),"0000-0002-9918-3294")</f>
        <v>0000-0002-9918-3294</v>
      </c>
    </row>
    <row r="132">
      <c r="A132" s="2" t="str">
        <f>IFERROR(__xludf.DUMMYFUNCTION("""COMPUTED_VALUE"""),"Eroglu")</f>
        <v>Eroglu</v>
      </c>
      <c r="B132" s="2" t="str">
        <f>IFERROR(__xludf.DUMMYFUNCTION("""COMPUTED_VALUE"""),"Cagla")</f>
        <v>Cagla</v>
      </c>
      <c r="C132" s="2" t="str">
        <f>IFERROR(__xludf.DUMMYFUNCTION("""COMPUTED_VALUE"""),"Co-PI")</f>
        <v>Co-PI</v>
      </c>
      <c r="D132" s="2" t="str">
        <f>IFERROR(__xludf.DUMMYFUNCTION("""COMPUTED_VALUE"""),"Eroglu")</f>
        <v>Eroglu</v>
      </c>
      <c r="E132" s="2"/>
      <c r="F132" s="2" t="str">
        <f>IFERROR(__xludf.DUMMYFUNCTION("""COMPUTED_VALUE"""),"cagla.eroglu@duke.edu")</f>
        <v>cagla.eroglu@duke.edu</v>
      </c>
      <c r="G132" s="2" t="str">
        <f>IFERROR(__xludf.DUMMYFUNCTION("""COMPUTED_VALUE"""),"0000-0002-7204-0218")</f>
        <v>0000-0002-7204-0218</v>
      </c>
    </row>
    <row r="133">
      <c r="A133" s="2" t="str">
        <f>IFERROR(__xludf.DUMMYFUNCTION("""COMPUTED_VALUE"""),"Pasca")</f>
        <v>Pasca</v>
      </c>
      <c r="B133" s="2" t="str">
        <f>IFERROR(__xludf.DUMMYFUNCTION("""COMPUTED_VALUE"""),"Sergiu")</f>
        <v>Sergiu</v>
      </c>
      <c r="C133" s="2" t="str">
        <f>IFERROR(__xludf.DUMMYFUNCTION("""COMPUTED_VALUE"""),"Co-PI")</f>
        <v>Co-PI</v>
      </c>
      <c r="D133" s="2" t="str">
        <f>IFERROR(__xludf.DUMMYFUNCTION("""COMPUTED_VALUE"""),"Pasca")</f>
        <v>Pasca</v>
      </c>
      <c r="E133" s="2"/>
      <c r="F133" s="2" t="str">
        <f>IFERROR(__xludf.DUMMYFUNCTION("""COMPUTED_VALUE"""),"spasca@stanford.edu")</f>
        <v>spasca@stanford.edu</v>
      </c>
      <c r="G133" s="2" t="str">
        <f>IFERROR(__xludf.DUMMYFUNCTION("""COMPUTED_VALUE"""),"0000-0002-3216-3248")</f>
        <v>0000-0002-3216-3248</v>
      </c>
    </row>
    <row r="134">
      <c r="A134" s="2" t="str">
        <f>IFERROR(__xludf.DUMMYFUNCTION("""COMPUTED_VALUE"""),"Soderling")</f>
        <v>Soderling</v>
      </c>
      <c r="B134" s="2" t="str">
        <f>IFERROR(__xludf.DUMMYFUNCTION("""COMPUTED_VALUE"""),"Scott ")</f>
        <v>Scott </v>
      </c>
      <c r="C134" s="2" t="str">
        <f>IFERROR(__xludf.DUMMYFUNCTION("""COMPUTED_VALUE"""),"Co-PI")</f>
        <v>Co-PI</v>
      </c>
      <c r="D134" s="2" t="str">
        <f>IFERROR(__xludf.DUMMYFUNCTION("""COMPUTED_VALUE"""),"Soderling")</f>
        <v>Soderling</v>
      </c>
      <c r="E134" s="2"/>
      <c r="F134" s="2" t="str">
        <f>IFERROR(__xludf.DUMMYFUNCTION("""COMPUTED_VALUE"""),"scott.soderling@duke.edu")</f>
        <v>scott.soderling@duke.edu</v>
      </c>
      <c r="G134" s="2" t="str">
        <f>IFERROR(__xludf.DUMMYFUNCTION("""COMPUTED_VALUE"""),"0000-0001-7808-197X")</f>
        <v>0000-0001-7808-197X</v>
      </c>
    </row>
    <row r="135">
      <c r="A135" s="2" t="str">
        <f>IFERROR(__xludf.DUMMYFUNCTION("""COMPUTED_VALUE"""),"Tadross")</f>
        <v>Tadross</v>
      </c>
      <c r="B135" s="2" t="str">
        <f>IFERROR(__xludf.DUMMYFUNCTION("""COMPUTED_VALUE"""),"Michael")</f>
        <v>Michael</v>
      </c>
      <c r="C135" s="2" t="str">
        <f>IFERROR(__xludf.DUMMYFUNCTION("""COMPUTED_VALUE"""),"Co-PI")</f>
        <v>Co-PI</v>
      </c>
      <c r="D135" s="2" t="str">
        <f>IFERROR(__xludf.DUMMYFUNCTION("""COMPUTED_VALUE"""),"Tadross")</f>
        <v>Tadross</v>
      </c>
      <c r="E135" s="2"/>
      <c r="F135" s="2" t="str">
        <f>IFERROR(__xludf.DUMMYFUNCTION("""COMPUTED_VALUE"""),"michael.tadross@duke.edu")</f>
        <v>michael.tadross@duke.edu</v>
      </c>
      <c r="G135" s="2" t="str">
        <f>IFERROR(__xludf.DUMMYFUNCTION("""COMPUTED_VALUE"""),"0000-0002-7752-6380")</f>
        <v>0000-0002-7752-6380</v>
      </c>
    </row>
    <row r="136">
      <c r="A136" s="2" t="str">
        <f>IFERROR(__xludf.DUMMYFUNCTION("""COMPUTED_VALUE"""),"Lockshin")</f>
        <v>Lockshin</v>
      </c>
      <c r="B136" s="2" t="str">
        <f>IFERROR(__xludf.DUMMYFUNCTION("""COMPUTED_VALUE"""),"Elana")</f>
        <v>Elana</v>
      </c>
      <c r="C136" s="2" t="str">
        <f>IFERROR(__xludf.DUMMYFUNCTION("""COMPUTED_VALUE"""),"Key Personnel")</f>
        <v>Key Personnel</v>
      </c>
      <c r="D136" s="2" t="str">
        <f>IFERROR(__xludf.DUMMYFUNCTION("""COMPUTED_VALUE"""),"Calakos")</f>
        <v>Calakos</v>
      </c>
      <c r="E136" s="2"/>
      <c r="F136" s="2" t="str">
        <f>IFERROR(__xludf.DUMMYFUNCTION("""COMPUTED_VALUE"""),"elana.lockshin@duke.edu")</f>
        <v>elana.lockshin@duke.edu</v>
      </c>
      <c r="G136" s="2" t="str">
        <f>IFERROR(__xludf.DUMMYFUNCTION("""COMPUTED_VALUE"""),"0000-0001-5808-7995")</f>
        <v>0000-0001-5808-7995</v>
      </c>
    </row>
    <row r="137">
      <c r="A137" s="2" t="str">
        <f>IFERROR(__xludf.DUMMYFUNCTION("""COMPUTED_VALUE"""),"Sanders")</f>
        <v>Sanders</v>
      </c>
      <c r="B137" s="2" t="str">
        <f>IFERROR(__xludf.DUMMYFUNCTION("""COMPUTED_VALUE"""),"Laurie ")</f>
        <v>Laurie </v>
      </c>
      <c r="C137" s="2" t="str">
        <f>IFERROR(__xludf.DUMMYFUNCTION("""COMPUTED_VALUE"""),"Collaborating PI")</f>
        <v>Collaborating PI</v>
      </c>
      <c r="D137" s="2" t="str">
        <f>IFERROR(__xludf.DUMMYFUNCTION("""COMPUTED_VALUE"""),"Sanders")</f>
        <v>Sanders</v>
      </c>
      <c r="E137" s="2"/>
      <c r="F137" s="2" t="str">
        <f>IFERROR(__xludf.DUMMYFUNCTION("""COMPUTED_VALUE"""),"laurie.sanders@duke.edu")</f>
        <v>laurie.sanders@duke.edu</v>
      </c>
      <c r="G137" s="2" t="str">
        <f>IFERROR(__xludf.DUMMYFUNCTION("""COMPUTED_VALUE"""),"0000-0003-1617-9562")</f>
        <v>0000-0003-1617-9562</v>
      </c>
    </row>
    <row r="138">
      <c r="A138" s="2" t="str">
        <f>IFERROR(__xludf.DUMMYFUNCTION("""COMPUTED_VALUE"""),"Gregory")</f>
        <v>Gregory</v>
      </c>
      <c r="B138" s="2" t="str">
        <f>IFERROR(__xludf.DUMMYFUNCTION("""COMPUTED_VALUE"""),"Simon ")</f>
        <v>Simon </v>
      </c>
      <c r="C138" s="2" t="str">
        <f>IFERROR(__xludf.DUMMYFUNCTION("""COMPUTED_VALUE"""),"Collaborating PI")</f>
        <v>Collaborating PI</v>
      </c>
      <c r="D138" s="2" t="str">
        <f>IFERROR(__xludf.DUMMYFUNCTION("""COMPUTED_VALUE"""),"Gregory")</f>
        <v>Gregory</v>
      </c>
      <c r="E138" s="2"/>
      <c r="F138" s="2" t="str">
        <f>IFERROR(__xludf.DUMMYFUNCTION("""COMPUTED_VALUE"""),"simon.gregory@duke.edu")</f>
        <v>simon.gregory@duke.edu</v>
      </c>
      <c r="G138" s="2" t="str">
        <f>IFERROR(__xludf.DUMMYFUNCTION("""COMPUTED_VALUE"""),"0000-0002-7805-1743")</f>
        <v>0000-0002-7805-1743</v>
      </c>
    </row>
    <row r="139">
      <c r="A139" s="2" t="str">
        <f>IFERROR(__xludf.DUMMYFUNCTION("""COMPUTED_VALUE"""),"Shonai")</f>
        <v>Shonai</v>
      </c>
      <c r="B139" s="2" t="str">
        <f>IFERROR(__xludf.DUMMYFUNCTION("""COMPUTED_VALUE"""),"Daichi ")</f>
        <v>Daichi </v>
      </c>
      <c r="C139" s="2" t="str">
        <f>IFERROR(__xludf.DUMMYFUNCTION("""COMPUTED_VALUE"""),"Key Personnel")</f>
        <v>Key Personnel</v>
      </c>
      <c r="D139" s="2" t="str">
        <f>IFERROR(__xludf.DUMMYFUNCTION("""COMPUTED_VALUE"""),"Soderling")</f>
        <v>Soderling</v>
      </c>
      <c r="E139" s="2"/>
      <c r="F139" s="2" t="str">
        <f>IFERROR(__xludf.DUMMYFUNCTION("""COMPUTED_VALUE"""),"daichi.shonai@duke.edu")</f>
        <v>daichi.shonai@duke.edu</v>
      </c>
      <c r="G139" s="2" t="str">
        <f>IFERROR(__xludf.DUMMYFUNCTION("""COMPUTED_VALUE"""),"0000-0001-5430-6185")</f>
        <v>0000-0001-5430-6185</v>
      </c>
    </row>
    <row r="140">
      <c r="A140" s="2" t="str">
        <f>IFERROR(__xludf.DUMMYFUNCTION("""COMPUTED_VALUE"""),"Choudhury")</f>
        <v>Choudhury</v>
      </c>
      <c r="B140" s="2" t="str">
        <f>IFERROR(__xludf.DUMMYFUNCTION("""COMPUTED_VALUE"""),"Ankit")</f>
        <v>Ankit</v>
      </c>
      <c r="C140" s="2" t="str">
        <f>IFERROR(__xludf.DUMMYFUNCTION("""COMPUTED_VALUE"""),"Key Personnel")</f>
        <v>Key Personnel</v>
      </c>
      <c r="D140" s="2" t="str">
        <f>IFERROR(__xludf.DUMMYFUNCTION("""COMPUTED_VALUE"""),"Tadross")</f>
        <v>Tadross</v>
      </c>
      <c r="E140" s="2"/>
      <c r="F140" s="2" t="str">
        <f>IFERROR(__xludf.DUMMYFUNCTION("""COMPUTED_VALUE"""),"ankit.choudhury@duke.edu")</f>
        <v>ankit.choudhury@duke.edu</v>
      </c>
      <c r="G140" s="2" t="str">
        <f>IFERROR(__xludf.DUMMYFUNCTION("""COMPUTED_VALUE"""),"0000-0001-9863-9862")</f>
        <v>0000-0001-9863-9862</v>
      </c>
    </row>
    <row r="141">
      <c r="A141" s="2" t="str">
        <f>IFERROR(__xludf.DUMMYFUNCTION("""COMPUTED_VALUE"""),"Shields")</f>
        <v>Shields</v>
      </c>
      <c r="B141" s="2" t="str">
        <f>IFERROR(__xludf.DUMMYFUNCTION("""COMPUTED_VALUE"""),"Brenda")</f>
        <v>Brenda</v>
      </c>
      <c r="C141" s="2" t="str">
        <f>IFERROR(__xludf.DUMMYFUNCTION("""COMPUTED_VALUE"""),"Key Personnel")</f>
        <v>Key Personnel</v>
      </c>
      <c r="D141" s="2" t="str">
        <f>IFERROR(__xludf.DUMMYFUNCTION("""COMPUTED_VALUE"""),"Tadross")</f>
        <v>Tadross</v>
      </c>
      <c r="E141" s="2"/>
      <c r="F141" s="2" t="str">
        <f>IFERROR(__xludf.DUMMYFUNCTION("""COMPUTED_VALUE"""),"brenda.shields@duke.edu")</f>
        <v>brenda.shields@duke.edu</v>
      </c>
      <c r="G141" s="2" t="str">
        <f>IFERROR(__xludf.DUMMYFUNCTION("""COMPUTED_VALUE"""),"0000-0001-9036-2686")</f>
        <v>0000-0001-9036-2686</v>
      </c>
    </row>
    <row r="142">
      <c r="A142" s="2" t="str">
        <f>IFERROR(__xludf.DUMMYFUNCTION("""COMPUTED_VALUE"""),"Lim")</f>
        <v>Lim</v>
      </c>
      <c r="B142" s="2" t="str">
        <f>IFERROR(__xludf.DUMMYFUNCTION("""COMPUTED_VALUE"""),"Shaun")</f>
        <v>Shaun</v>
      </c>
      <c r="C142" s="2" t="str">
        <f>IFERROR(__xludf.DUMMYFUNCTION("""COMPUTED_VALUE"""),"Key Personnel")</f>
        <v>Key Personnel</v>
      </c>
      <c r="D142" s="2" t="str">
        <f>IFERROR(__xludf.DUMMYFUNCTION("""COMPUTED_VALUE"""),"Tadross")</f>
        <v>Tadross</v>
      </c>
      <c r="E142" s="2"/>
      <c r="F142" s="2" t="str">
        <f>IFERROR(__xludf.DUMMYFUNCTION("""COMPUTED_VALUE"""),"sze.xian.lim@duke.edu")</f>
        <v>sze.xian.lim@duke.edu</v>
      </c>
      <c r="G142" s="2" t="str">
        <f>IFERROR(__xludf.DUMMYFUNCTION("""COMPUTED_VALUE"""),"0000-0001-9312-6275")</f>
        <v>0000-0001-9312-6275</v>
      </c>
    </row>
    <row r="143">
      <c r="A143" s="2" t="str">
        <f>IFERROR(__xludf.DUMMYFUNCTION("""COMPUTED_VALUE"""),"Anastasya")</f>
        <v>Anastasya</v>
      </c>
      <c r="B143" s="2" t="str">
        <f>IFERROR(__xludf.DUMMYFUNCTION("""COMPUTED_VALUE"""),"Birger")</f>
        <v>Birger</v>
      </c>
      <c r="C143" s="2" t="str">
        <f>IFERROR(__xludf.DUMMYFUNCTION("""COMPUTED_VALUE"""),"Key Personnel")</f>
        <v>Key Personnel</v>
      </c>
      <c r="D143" s="2" t="str">
        <f>IFERROR(__xludf.DUMMYFUNCTION("""COMPUTED_VALUE"""),"Eroglu")</f>
        <v>Eroglu</v>
      </c>
      <c r="E143" s="2"/>
      <c r="F143" s="2" t="str">
        <f>IFERROR(__xludf.DUMMYFUNCTION("""COMPUTED_VALUE"""),"anastasya.birger@duke.edu")</f>
        <v>anastasya.birger@duke.edu</v>
      </c>
      <c r="G143" s="2" t="str">
        <f>IFERROR(__xludf.DUMMYFUNCTION("""COMPUTED_VALUE"""),"0000-0002-6468-4283.")</f>
        <v>0000-0002-6468-4283.</v>
      </c>
    </row>
    <row r="144">
      <c r="A144" s="2" t="str">
        <f>IFERROR(__xludf.DUMMYFUNCTION("""COMPUTED_VALUE"""),"Dhanseh")</f>
        <v>Dhanseh</v>
      </c>
      <c r="B144" s="2" t="str">
        <f>IFERROR(__xludf.DUMMYFUNCTION("""COMPUTED_VALUE"""),"SB")</f>
        <v>SB</v>
      </c>
      <c r="C144" s="2" t="str">
        <f>IFERROR(__xludf.DUMMYFUNCTION("""COMPUTED_VALUE"""),"Key Personnel")</f>
        <v>Key Personnel</v>
      </c>
      <c r="D144" s="2" t="str">
        <f>IFERROR(__xludf.DUMMYFUNCTION("""COMPUTED_VALUE"""),"Eroglu")</f>
        <v>Eroglu</v>
      </c>
      <c r="E144" s="2"/>
      <c r="F144" s="2" t="str">
        <f>IFERROR(__xludf.DUMMYFUNCTION("""COMPUTED_VALUE"""),"dhanesh.sb@duke.edu")</f>
        <v>dhanesh.sb@duke.edu</v>
      </c>
      <c r="G144" s="2" t="str">
        <f>IFERROR(__xludf.DUMMYFUNCTION("""COMPUTED_VALUE"""),"0000-0002-1545-1547")</f>
        <v>0000-0002-1545-1547</v>
      </c>
    </row>
    <row r="145">
      <c r="A145" s="2" t="str">
        <f>IFERROR(__xludf.DUMMYFUNCTION("""COMPUTED_VALUE"""),"Gabrielle")</f>
        <v>Gabrielle</v>
      </c>
      <c r="B145" s="2" t="str">
        <f>IFERROR(__xludf.DUMMYFUNCTION("""COMPUTED_VALUE"""),"Sejourne")</f>
        <v>Sejourne</v>
      </c>
      <c r="C145" s="2" t="str">
        <f>IFERROR(__xludf.DUMMYFUNCTION("""COMPUTED_VALUE"""),"Key Personnel")</f>
        <v>Key Personnel</v>
      </c>
      <c r="D145" s="2" t="str">
        <f>IFERROR(__xludf.DUMMYFUNCTION("""COMPUTED_VALUE"""),"Eroglu")</f>
        <v>Eroglu</v>
      </c>
      <c r="E145" s="2"/>
      <c r="F145" s="2" t="str">
        <f>IFERROR(__xludf.DUMMYFUNCTION("""COMPUTED_VALUE"""),"gabrielle.sejourne@duke.edu")</f>
        <v>gabrielle.sejourne@duke.edu</v>
      </c>
      <c r="G145" s="2" t="str">
        <f>IFERROR(__xludf.DUMMYFUNCTION("""COMPUTED_VALUE"""),"0000-0002-4633-2700")</f>
        <v>0000-0002-4633-2700</v>
      </c>
    </row>
    <row r="146">
      <c r="A146" s="2" t="str">
        <f>IFERROR(__xludf.DUMMYFUNCTION("""COMPUTED_VALUE"""),"Nicholas")</f>
        <v>Nicholas</v>
      </c>
      <c r="B146" s="2" t="str">
        <f>IFERROR(__xludf.DUMMYFUNCTION("""COMPUTED_VALUE"""),"Brose")</f>
        <v>Brose</v>
      </c>
      <c r="C146" s="2" t="str">
        <f>IFERROR(__xludf.DUMMYFUNCTION("""COMPUTED_VALUE"""),"Key Personnel")</f>
        <v>Key Personnel</v>
      </c>
      <c r="D146" s="2" t="str">
        <f>IFERROR(__xludf.DUMMYFUNCTION("""COMPUTED_VALUE"""),"Eroglu")</f>
        <v>Eroglu</v>
      </c>
      <c r="E146" s="2"/>
      <c r="F146" s="2" t="str">
        <f>IFERROR(__xludf.DUMMYFUNCTION("""COMPUTED_VALUE"""),"Nicholas.brose@duke.edu")</f>
        <v>Nicholas.brose@duke.edu</v>
      </c>
      <c r="G146" s="2" t="str">
        <f>IFERROR(__xludf.DUMMYFUNCTION("""COMPUTED_VALUE"""),"0000-0003-1559-0237")</f>
        <v>0000-0003-1559-0237</v>
      </c>
    </row>
    <row r="147">
      <c r="A147" s="2" t="str">
        <f>IFERROR(__xludf.DUMMYFUNCTION("""COMPUTED_VALUE"""),"Nimrod")</f>
        <v>Nimrod</v>
      </c>
      <c r="B147" s="2" t="str">
        <f>IFERROR(__xludf.DUMMYFUNCTION("""COMPUTED_VALUE"""),"Elazar")</f>
        <v>Elazar</v>
      </c>
      <c r="C147" s="2" t="str">
        <f>IFERROR(__xludf.DUMMYFUNCTION("""COMPUTED_VALUE"""),"Key Personnel")</f>
        <v>Key Personnel</v>
      </c>
      <c r="D147" s="2" t="str">
        <f>IFERROR(__xludf.DUMMYFUNCTION("""COMPUTED_VALUE"""),"Eroglu")</f>
        <v>Eroglu</v>
      </c>
      <c r="E147" s="2"/>
      <c r="F147" s="2" t="str">
        <f>IFERROR(__xludf.DUMMYFUNCTION("""COMPUTED_VALUE"""),"nimrod.elazar@duke.edu")</f>
        <v>nimrod.elazar@duke.edu</v>
      </c>
      <c r="G147" s="2" t="str">
        <f>IFERROR(__xludf.DUMMYFUNCTION("""COMPUTED_VALUE"""),"0000-0002-2981-5794")</f>
        <v>0000-0002-2981-5794</v>
      </c>
    </row>
    <row r="148">
      <c r="A148" s="2" t="str">
        <f>IFERROR(__xludf.DUMMYFUNCTION("""COMPUTED_VALUE"""),"Ryan")</f>
        <v>Ryan</v>
      </c>
      <c r="B148" s="2" t="str">
        <f>IFERROR(__xludf.DUMMYFUNCTION("""COMPUTED_VALUE"""),"Baumert")</f>
        <v>Baumert</v>
      </c>
      <c r="C148" s="2" t="str">
        <f>IFERROR(__xludf.DUMMYFUNCTION("""COMPUTED_VALUE"""),"Key Personnel")</f>
        <v>Key Personnel</v>
      </c>
      <c r="D148" s="2" t="str">
        <f>IFERROR(__xludf.DUMMYFUNCTION("""COMPUTED_VALUE"""),"Eroglu")</f>
        <v>Eroglu</v>
      </c>
      <c r="E148" s="2"/>
      <c r="F148" s="2" t="str">
        <f>IFERROR(__xludf.DUMMYFUNCTION("""COMPUTED_VALUE"""),"ryan.baumert@duke.edu")</f>
        <v>ryan.baumert@duke.edu</v>
      </c>
      <c r="G148" s="2" t="str">
        <f>IFERROR(__xludf.DUMMYFUNCTION("""COMPUTED_VALUE"""),"0000-0003-0487-4912")</f>
        <v>0000-0003-0487-4912</v>
      </c>
    </row>
    <row r="149">
      <c r="A149" s="2" t="str">
        <f>IFERROR(__xludf.DUMMYFUNCTION("""COMPUTED_VALUE"""),"Shiyi")</f>
        <v>Shiyi</v>
      </c>
      <c r="B149" s="2" t="str">
        <f>IFERROR(__xludf.DUMMYFUNCTION("""COMPUTED_VALUE"""),"Wang")</f>
        <v>Wang</v>
      </c>
      <c r="C149" s="2" t="str">
        <f>IFERROR(__xludf.DUMMYFUNCTION("""COMPUTED_VALUE"""),"Key Personnel")</f>
        <v>Key Personnel</v>
      </c>
      <c r="D149" s="2" t="str">
        <f>IFERROR(__xludf.DUMMYFUNCTION("""COMPUTED_VALUE"""),"Eroglu")</f>
        <v>Eroglu</v>
      </c>
      <c r="E149" s="2"/>
      <c r="F149" s="2" t="str">
        <f>IFERROR(__xludf.DUMMYFUNCTION("""COMPUTED_VALUE"""),"shiyi.wang@duke.edu")</f>
        <v>shiyi.wang@duke.edu</v>
      </c>
      <c r="G149" s="2" t="str">
        <f>IFERROR(__xludf.DUMMYFUNCTION("""COMPUTED_VALUE"""),"0000-0003-3433-3025")</f>
        <v>0000-0003-3433-3025</v>
      </c>
    </row>
    <row r="150">
      <c r="A150" s="2" t="str">
        <f>IFERROR(__xludf.DUMMYFUNCTION("""COMPUTED_VALUE"""),"Schiapparelli")</f>
        <v>Schiapparelli</v>
      </c>
      <c r="B150" s="2" t="str">
        <f>IFERROR(__xludf.DUMMYFUNCTION("""COMPUTED_VALUE"""),"Lucio")</f>
        <v>Lucio</v>
      </c>
      <c r="C150" s="2" t="str">
        <f>IFERROR(__xludf.DUMMYFUNCTION("""COMPUTED_VALUE"""),"Key Personnel")</f>
        <v>Key Personnel</v>
      </c>
      <c r="D150" s="2" t="str">
        <f>IFERROR(__xludf.DUMMYFUNCTION("""COMPUTED_VALUE"""),"Soderling")</f>
        <v>Soderling</v>
      </c>
      <c r="E150" s="2"/>
      <c r="F150" s="2" t="str">
        <f>IFERROR(__xludf.DUMMYFUNCTION("""COMPUTED_VALUE"""),"lucio.schiapparelli@duke.edu")</f>
        <v>lucio.schiapparelli@duke.edu</v>
      </c>
      <c r="G150" s="2" t="str">
        <f>IFERROR(__xludf.DUMMYFUNCTION("""COMPUTED_VALUE"""),"0000-0001-6156-7682")</f>
        <v>0000-0001-6156-7682</v>
      </c>
    </row>
    <row r="151">
      <c r="A151" s="2" t="str">
        <f>IFERROR(__xludf.DUMMYFUNCTION("""COMPUTED_VALUE"""),"Yan")</f>
        <v>Yan</v>
      </c>
      <c r="B151" s="2" t="str">
        <f>IFERROR(__xludf.DUMMYFUNCTION("""COMPUTED_VALUE"""),"Haidun")</f>
        <v>Haidun</v>
      </c>
      <c r="C151" s="2" t="str">
        <f>IFERROR(__xludf.DUMMYFUNCTION("""COMPUTED_VALUE"""),"Key Personnel")</f>
        <v>Key Personnel</v>
      </c>
      <c r="D151" s="2" t="str">
        <f>IFERROR(__xludf.DUMMYFUNCTION("""COMPUTED_VALUE"""),"Tadross")</f>
        <v>Tadross</v>
      </c>
      <c r="E151" s="2" t="str">
        <f>IFERROR(__xludf.DUMMYFUNCTION("""COMPUTED_VALUE"""),"senior research scientist")</f>
        <v>senior research scientist</v>
      </c>
      <c r="F151" s="2" t="str">
        <f>IFERROR(__xludf.DUMMYFUNCTION("""COMPUTED_VALUE"""),"haidun.yan@duke.edu")</f>
        <v>haidun.yan@duke.edu</v>
      </c>
      <c r="G151" s="2"/>
    </row>
    <row r="152">
      <c r="A152" s="2" t="str">
        <f>IFERROR(__xludf.DUMMYFUNCTION("""COMPUTED_VALUE"""),"Kavya")</f>
        <v>Kavya</v>
      </c>
      <c r="B152" s="2" t="str">
        <f>IFERROR(__xludf.DUMMYFUNCTION("""COMPUTED_VALUE"""),"Raghunathan")</f>
        <v>Raghunathan</v>
      </c>
      <c r="C152" s="2" t="str">
        <f>IFERROR(__xludf.DUMMYFUNCTION("""COMPUTED_VALUE"""),"Key Personnel")</f>
        <v>Key Personnel</v>
      </c>
      <c r="D152" s="2" t="str">
        <f>IFERROR(__xludf.DUMMYFUNCTION("""COMPUTED_VALUE"""),"Eroglu")</f>
        <v>Eroglu</v>
      </c>
      <c r="E152" s="2"/>
      <c r="F152" s="2" t="str">
        <f>IFERROR(__xludf.DUMMYFUNCTION("""COMPUTED_VALUE"""),"kavya.raghunathan@duke.edu")</f>
        <v>kavya.raghunathan@duke.edu</v>
      </c>
      <c r="G152" s="2" t="str">
        <f>IFERROR(__xludf.DUMMYFUNCTION("""COMPUTED_VALUE"""),"0000-0002-9003-9472")</f>
        <v>0000-0002-9003-9472</v>
      </c>
    </row>
    <row r="153">
      <c r="A153" s="2" t="str">
        <f>IFERROR(__xludf.DUMMYFUNCTION("""COMPUTED_VALUE"""),"Yuki")</f>
        <v>Yuki</v>
      </c>
      <c r="B153" s="2" t="str">
        <f>IFERROR(__xludf.DUMMYFUNCTION("""COMPUTED_VALUE"""),"Miura")</f>
        <v>Miura</v>
      </c>
      <c r="C153" s="2" t="str">
        <f>IFERROR(__xludf.DUMMYFUNCTION("""COMPUTED_VALUE"""),"Key Personnel")</f>
        <v>Key Personnel</v>
      </c>
      <c r="D153" s="2" t="str">
        <f>IFERROR(__xludf.DUMMYFUNCTION("""COMPUTED_VALUE"""),"Pasca")</f>
        <v>Pasca</v>
      </c>
      <c r="E153" s="2"/>
      <c r="F153" s="2" t="str">
        <f>IFERROR(__xludf.DUMMYFUNCTION("""COMPUTED_VALUE"""),"ykmiura@stanford.edu")</f>
        <v>ykmiura@stanford.edu</v>
      </c>
      <c r="G153" s="2" t="str">
        <f>IFERROR(__xludf.DUMMYFUNCTION("""COMPUTED_VALUE"""),"0000-0002-1410-3612")</f>
        <v>0000-0002-1410-3612</v>
      </c>
    </row>
    <row r="154">
      <c r="A154" s="2" t="str">
        <f>IFERROR(__xludf.DUMMYFUNCTION("""COMPUTED_VALUE"""),"Morris")</f>
        <v>Morris</v>
      </c>
      <c r="B154" s="2" t="str">
        <f>IFERROR(__xludf.DUMMYFUNCTION("""COMPUTED_VALUE"""),"Cameron")</f>
        <v>Cameron</v>
      </c>
      <c r="C154" s="2" t="str">
        <f>IFERROR(__xludf.DUMMYFUNCTION("""COMPUTED_VALUE"""),"Key Personnel")</f>
        <v>Key Personnel</v>
      </c>
      <c r="D154" s="2" t="str">
        <f>IFERROR(__xludf.DUMMYFUNCTION("""COMPUTED_VALUE"""),"Calakos")</f>
        <v>Calakos</v>
      </c>
      <c r="E154" s="2"/>
      <c r="F154" s="2" t="str">
        <f>IFERROR(__xludf.DUMMYFUNCTION("""COMPUTED_VALUE"""),"cameron.morris@duke.edu")</f>
        <v>cameron.morris@duke.edu</v>
      </c>
      <c r="G154" s="2" t="str">
        <f>IFERROR(__xludf.DUMMYFUNCTION("""COMPUTED_VALUE"""),"0000-0002-4975-9929")</f>
        <v>0000-0002-4975-9929</v>
      </c>
    </row>
    <row r="155">
      <c r="A155" s="2" t="str">
        <f>IFERROR(__xludf.DUMMYFUNCTION("""COMPUTED_VALUE"""),"Ji")</f>
        <v>Ji</v>
      </c>
      <c r="B155" s="2" t="str">
        <f>IFERROR(__xludf.DUMMYFUNCTION("""COMPUTED_VALUE"""),"Il")</f>
        <v>Il</v>
      </c>
      <c r="C155" s="2" t="str">
        <f>IFERROR(__xludf.DUMMYFUNCTION("""COMPUTED_VALUE"""),"Key Personnel")</f>
        <v>Key Personnel</v>
      </c>
      <c r="D155" s="2" t="str">
        <f>IFERROR(__xludf.DUMMYFUNCTION("""COMPUTED_VALUE"""),"Pasca")</f>
        <v>Pasca</v>
      </c>
      <c r="E155" s="2"/>
      <c r="F155" s="2" t="str">
        <f>IFERROR(__xludf.DUMMYFUNCTION("""COMPUTED_VALUE"""),"kimjiil@stanford.edu")</f>
        <v>kimjiil@stanford.edu</v>
      </c>
      <c r="G155" s="2" t="str">
        <f>IFERROR(__xludf.DUMMYFUNCTION("""COMPUTED_VALUE"""),"0000-0002-5710-7090")</f>
        <v>0000-0002-5710-7090</v>
      </c>
    </row>
    <row r="156">
      <c r="A156" s="2" t="str">
        <f>IFERROR(__xludf.DUMMYFUNCTION("""COMPUTED_VALUE"""),"Vazquez")</f>
        <v>Vazquez</v>
      </c>
      <c r="B156" s="2" t="str">
        <f>IFERROR(__xludf.DUMMYFUNCTION("""COMPUTED_VALUE"""),"Leslie")</f>
        <v>Leslie</v>
      </c>
      <c r="C156" s="2" t="str">
        <f>IFERROR(__xludf.DUMMYFUNCTION("""COMPUTED_VALUE"""),"Key Personnel")</f>
        <v>Key Personnel</v>
      </c>
      <c r="D156" s="2" t="str">
        <f>IFERROR(__xludf.DUMMYFUNCTION("""COMPUTED_VALUE"""),"Eroglu")</f>
        <v>Eroglu</v>
      </c>
      <c r="E156" s="2"/>
      <c r="F156" s="2" t="str">
        <f>IFERROR(__xludf.DUMMYFUNCTION("""COMPUTED_VALUE"""),"lv107@duke.edu")</f>
        <v>lv107@duke.edu</v>
      </c>
      <c r="G156" s="2" t="str">
        <f>IFERROR(__xludf.DUMMYFUNCTION("""COMPUTED_VALUE"""),"0000-0002-5609-980X")</f>
        <v>0000-0002-5609-980X</v>
      </c>
    </row>
    <row r="157">
      <c r="A157" s="2" t="str">
        <f>IFERROR(__xludf.DUMMYFUNCTION("""COMPUTED_VALUE"""),"Vignali")</f>
        <v>Vignali</v>
      </c>
      <c r="B157" s="2" t="str">
        <f>IFERROR(__xludf.DUMMYFUNCTION("""COMPUTED_VALUE"""),"Carlo")</f>
        <v>Carlo</v>
      </c>
      <c r="C157" s="2" t="str">
        <f>IFERROR(__xludf.DUMMYFUNCTION("""COMPUTED_VALUE"""),"Key Personnel")</f>
        <v>Key Personnel</v>
      </c>
      <c r="D157" s="2" t="str">
        <f>IFERROR(__xludf.DUMMYFUNCTION("""COMPUTED_VALUE"""),"Calakos")</f>
        <v>Calakos</v>
      </c>
      <c r="E157" s="2"/>
      <c r="F157" s="2" t="str">
        <f>IFERROR(__xludf.DUMMYFUNCTION("""COMPUTED_VALUE"""),"carlo.vignali@duke.edu")</f>
        <v>carlo.vignali@duke.edu</v>
      </c>
      <c r="G157" s="2" t="str">
        <f>IFERROR(__xludf.DUMMYFUNCTION("""COMPUTED_VALUE"""),"0000-0003-3325-8684")</f>
        <v>0000-0003-3325-8684</v>
      </c>
    </row>
    <row r="158">
      <c r="A158" s="2" t="str">
        <f>IFERROR(__xludf.DUMMYFUNCTION("""COMPUTED_VALUE"""),"Savage")</f>
        <v>Savage</v>
      </c>
      <c r="B158" s="2" t="str">
        <f>IFERROR(__xludf.DUMMYFUNCTION("""COMPUTED_VALUE"""),"Justin")</f>
        <v>Justin</v>
      </c>
      <c r="C158" s="2" t="str">
        <f>IFERROR(__xludf.DUMMYFUNCTION("""COMPUTED_VALUE"""),"Key Personnel")</f>
        <v>Key Personnel</v>
      </c>
      <c r="D158" s="2" t="str">
        <f>IFERROR(__xludf.DUMMYFUNCTION("""COMPUTED_VALUE"""),"Eroglu")</f>
        <v>Eroglu</v>
      </c>
      <c r="E158" s="2"/>
      <c r="F158" s="2" t="str">
        <f>IFERROR(__xludf.DUMMYFUNCTION("""COMPUTED_VALUE"""),"js664@duke.edu")</f>
        <v>js664@duke.edu</v>
      </c>
      <c r="G158" s="2" t="str">
        <f>IFERROR(__xludf.DUMMYFUNCTION("""COMPUTED_VALUE"""),"0000-0002-1530-4942")</f>
        <v>0000-0002-1530-4942</v>
      </c>
    </row>
    <row r="159">
      <c r="A159" s="2" t="str">
        <f>IFERROR(__xludf.DUMMYFUNCTION("""COMPUTED_VALUE"""),"Lehrman")</f>
        <v>Lehrman</v>
      </c>
      <c r="B159" s="2" t="str">
        <f>IFERROR(__xludf.DUMMYFUNCTION("""COMPUTED_VALUE"""),"Sophia")</f>
        <v>Sophia</v>
      </c>
      <c r="C159" s="2" t="str">
        <f>IFERROR(__xludf.DUMMYFUNCTION("""COMPUTED_VALUE"""),"Key Personnel")</f>
        <v>Key Personnel</v>
      </c>
      <c r="D159" s="2" t="str">
        <f>IFERROR(__xludf.DUMMYFUNCTION("""COMPUTED_VALUE"""),"Sanders")</f>
        <v>Sanders</v>
      </c>
      <c r="E159" s="2"/>
      <c r="F159" s="2" t="str">
        <f>IFERROR(__xludf.DUMMYFUNCTION("""COMPUTED_VALUE"""),"sgl14@duke.edu")</f>
        <v>sgl14@duke.edu</v>
      </c>
      <c r="G159" s="2" t="str">
        <f>IFERROR(__xludf.DUMMYFUNCTION("""COMPUTED_VALUE"""),"0009-0001-6223-9338")</f>
        <v>0009-0001-6223-9338</v>
      </c>
    </row>
    <row r="160">
      <c r="A160" s="2" t="str">
        <f>IFERROR(__xludf.DUMMYFUNCTION("""COMPUTED_VALUE"""),"Bradley")</f>
        <v>Bradley</v>
      </c>
      <c r="B160" s="2" t="str">
        <f>IFERROR(__xludf.DUMMYFUNCTION("""COMPUTED_VALUE"""),"Luke")</f>
        <v>Luke</v>
      </c>
      <c r="C160" s="2" t="str">
        <f>IFERROR(__xludf.DUMMYFUNCTION("""COMPUTED_VALUE"""),"Key Personnel")</f>
        <v>Key Personnel</v>
      </c>
      <c r="D160" s="2" t="str">
        <f>IFERROR(__xludf.DUMMYFUNCTION("""COMPUTED_VALUE"""),"Eroglu")</f>
        <v>Eroglu</v>
      </c>
      <c r="E160" s="2"/>
      <c r="F160" s="2" t="str">
        <f>IFERROR(__xludf.DUMMYFUNCTION("""COMPUTED_VALUE"""),"luke.bradley@duke.edu")</f>
        <v>luke.bradley@duke.edu</v>
      </c>
      <c r="G160" s="2" t="str">
        <f>IFERROR(__xludf.DUMMYFUNCTION("""COMPUTED_VALUE"""),"0009-0009-8953-5661")</f>
        <v>0009-0009-8953-5661</v>
      </c>
    </row>
    <row r="161">
      <c r="A161" s="2" t="str">
        <f>IFERROR(__xludf.DUMMYFUNCTION("""COMPUTED_VALUE"""),"Richbourg")</f>
        <v>Richbourg</v>
      </c>
      <c r="B161" s="2" t="str">
        <f>IFERROR(__xludf.DUMMYFUNCTION("""COMPUTED_VALUE"""),"Tara")</f>
        <v>Tara</v>
      </c>
      <c r="C161" s="2" t="str">
        <f>IFERROR(__xludf.DUMMYFUNCTION("""COMPUTED_VALUE"""),"Key Personnel")</f>
        <v>Key Personnel</v>
      </c>
      <c r="D161" s="2" t="str">
        <f>IFERROR(__xludf.DUMMYFUNCTION("""COMPUTED_VALUE"""),"Sanders")</f>
        <v>Sanders</v>
      </c>
      <c r="E161" s="2"/>
      <c r="F161" s="2" t="str">
        <f>IFERROR(__xludf.DUMMYFUNCTION("""COMPUTED_VALUE"""),"tara.richbourg@duke.edu")</f>
        <v>tara.richbourg@duke.edu</v>
      </c>
      <c r="G161" s="2" t="str">
        <f>IFERROR(__xludf.DUMMYFUNCTION("""COMPUTED_VALUE"""),"0000-0002-2729-9837")</f>
        <v>0000-0002-2729-9837</v>
      </c>
    </row>
    <row r="162">
      <c r="A162" s="2" t="str">
        <f>IFERROR(__xludf.DUMMYFUNCTION("""COMPUTED_VALUE"""),"Quintero")</f>
        <v>Quintero</v>
      </c>
      <c r="B162" s="2" t="str">
        <f>IFERROR(__xludf.DUMMYFUNCTION("""COMPUTED_VALUE"""),"Daniel")</f>
        <v>Daniel</v>
      </c>
      <c r="C162" s="2" t="str">
        <f>IFERROR(__xludf.DUMMYFUNCTION("""COMPUTED_VALUE"""),"Key Personnel")</f>
        <v>Key Personnel</v>
      </c>
      <c r="D162" s="2" t="str">
        <f>IFERROR(__xludf.DUMMYFUNCTION("""COMPUTED_VALUE"""),"Eroglu")</f>
        <v>Eroglu</v>
      </c>
      <c r="E162" s="2"/>
      <c r="F162" s="2" t="str">
        <f>IFERROR(__xludf.DUMMYFUNCTION("""COMPUTED_VALUE"""),"daniel.quintero@duke.edu")</f>
        <v>daniel.quintero@duke.edu</v>
      </c>
      <c r="G162" s="2" t="str">
        <f>IFERROR(__xludf.DUMMYFUNCTION("""COMPUTED_VALUE"""),"0000-0001-8243-7107")</f>
        <v>0000-0001-8243-7107</v>
      </c>
    </row>
    <row r="163">
      <c r="A163" s="2" t="str">
        <f>IFERROR(__xludf.DUMMYFUNCTION("""COMPUTED_VALUE"""),"Oliver")</f>
        <v>Oliver</v>
      </c>
      <c r="B163" s="2" t="str">
        <f>IFERROR(__xludf.DUMMYFUNCTION("""COMPUTED_VALUE"""),"Matt")</f>
        <v>Matt</v>
      </c>
      <c r="C163" s="2" t="str">
        <f>IFERROR(__xludf.DUMMYFUNCTION("""COMPUTED_VALUE"""),"Key Personnel")</f>
        <v>Key Personnel</v>
      </c>
      <c r="D163" s="2" t="str">
        <f>IFERROR(__xludf.DUMMYFUNCTION("""COMPUTED_VALUE"""),"Calakos")</f>
        <v>Calakos</v>
      </c>
      <c r="E163" s="2"/>
      <c r="F163" s="2" t="str">
        <f>IFERROR(__xludf.DUMMYFUNCTION("""COMPUTED_VALUE"""),"mlo12@duke.edu")</f>
        <v>mlo12@duke.edu</v>
      </c>
      <c r="G163" s="2" t="str">
        <f>IFERROR(__xludf.DUMMYFUNCTION("""COMPUTED_VALUE"""),"0000-0002-8474-4589")</f>
        <v>0000-0002-8474-4589</v>
      </c>
    </row>
    <row r="164">
      <c r="A164" s="2" t="str">
        <f>IFERROR(__xludf.DUMMYFUNCTION("""COMPUTED_VALUE"""),"Caffall")</f>
        <v>Caffall</v>
      </c>
      <c r="B164" s="2" t="str">
        <f>IFERROR(__xludf.DUMMYFUNCTION("""COMPUTED_VALUE"""),"Zachary")</f>
        <v>Zachary</v>
      </c>
      <c r="C164" s="2" t="str">
        <f>IFERROR(__xludf.DUMMYFUNCTION("""COMPUTED_VALUE"""),"Key Personnel")</f>
        <v>Key Personnel</v>
      </c>
      <c r="D164" s="2" t="str">
        <f>IFERROR(__xludf.DUMMYFUNCTION("""COMPUTED_VALUE"""),"Calakos")</f>
        <v>Calakos</v>
      </c>
      <c r="E164" s="2"/>
      <c r="F164" s="2" t="str">
        <f>IFERROR(__xludf.DUMMYFUNCTION("""COMPUTED_VALUE"""),"zachary.caffall@duke.edu")</f>
        <v>zachary.caffall@duke.edu</v>
      </c>
      <c r="G164" s="2" t="str">
        <f>IFERROR(__xludf.DUMMYFUNCTION("""COMPUTED_VALUE"""),"0000-0003-4601-6799")</f>
        <v>0000-0003-4601-6799</v>
      </c>
    </row>
    <row r="165">
      <c r="A165" s="2" t="str">
        <f>IFERROR(__xludf.DUMMYFUNCTION("""COMPUTED_VALUE"""),"Perez")</f>
        <v>Perez</v>
      </c>
      <c r="B165" s="2" t="str">
        <f>IFERROR(__xludf.DUMMYFUNCTION("""COMPUTED_VALUE"""),"Daisy")</f>
        <v>Daisy</v>
      </c>
      <c r="C165" s="2" t="str">
        <f>IFERROR(__xludf.DUMMYFUNCTION("""COMPUTED_VALUE"""),"Key Personnel")</f>
        <v>Key Personnel</v>
      </c>
      <c r="D165" s="2" t="str">
        <f>IFERROR(__xludf.DUMMYFUNCTION("""COMPUTED_VALUE"""),"Calakos")</f>
        <v>Calakos</v>
      </c>
      <c r="E165" s="2"/>
      <c r="F165" s="2" t="str">
        <f>IFERROR(__xludf.DUMMYFUNCTION("""COMPUTED_VALUE"""),"daisy.perez@duke.edu")</f>
        <v>daisy.perez@duke.edu</v>
      </c>
      <c r="G165" s="2" t="str">
        <f>IFERROR(__xludf.DUMMYFUNCTION("""COMPUTED_VALUE"""),"0009-0001-5148-5269")</f>
        <v>0009-0001-5148-5269</v>
      </c>
    </row>
    <row r="166">
      <c r="A166" s="2" t="str">
        <f>IFERROR(__xludf.DUMMYFUNCTION("""COMPUTED_VALUE"""),"Rittiner")</f>
        <v>Rittiner</v>
      </c>
      <c r="B166" s="2" t="str">
        <f>IFERROR(__xludf.DUMMYFUNCTION("""COMPUTED_VALUE"""),"Joseph")</f>
        <v>Joseph</v>
      </c>
      <c r="C166" s="2" t="str">
        <f>IFERROR(__xludf.DUMMYFUNCTION("""COMPUTED_VALUE"""),"Key Personnel")</f>
        <v>Key Personnel</v>
      </c>
      <c r="D166" s="2" t="str">
        <f>IFERROR(__xludf.DUMMYFUNCTION("""COMPUTED_VALUE"""),"Calakos")</f>
        <v>Calakos</v>
      </c>
      <c r="E166" s="2"/>
      <c r="F166" s="2" t="str">
        <f>IFERROR(__xludf.DUMMYFUNCTION("""COMPUTED_VALUE"""),"joseph.rittiner@duke.edu")</f>
        <v>joseph.rittiner@duke.edu</v>
      </c>
      <c r="G166" s="2" t="str">
        <f>IFERROR(__xludf.DUMMYFUNCTION("""COMPUTED_VALUE"""),"0000-0003-3592-6500")</f>
        <v>0000-0003-3592-6500</v>
      </c>
    </row>
    <row r="167">
      <c r="A167" s="2" t="str">
        <f>IFERROR(__xludf.DUMMYFUNCTION("""COMPUTED_VALUE"""),"Xu")</f>
        <v>Xu</v>
      </c>
      <c r="B167" s="2" t="str">
        <f>IFERROR(__xludf.DUMMYFUNCTION("""COMPUTED_VALUE"""),"Yirong")</f>
        <v>Yirong</v>
      </c>
      <c r="C167" s="2" t="str">
        <f>IFERROR(__xludf.DUMMYFUNCTION("""COMPUTED_VALUE"""),"Key Personnel")</f>
        <v>Key Personnel</v>
      </c>
      <c r="D167" s="2" t="str">
        <f>IFERROR(__xludf.DUMMYFUNCTION("""COMPUTED_VALUE"""),"Sanders")</f>
        <v>Sanders</v>
      </c>
      <c r="E167" s="2"/>
      <c r="F167" s="2" t="str">
        <f>IFERROR(__xludf.DUMMYFUNCTION("""COMPUTED_VALUE"""),"yirong.xu@duke.edu")</f>
        <v>yirong.xu@duke.edu</v>
      </c>
      <c r="G167" s="2" t="str">
        <f>IFERROR(__xludf.DUMMYFUNCTION("""COMPUTED_VALUE"""),"0009-0008-8441-4003")</f>
        <v>0009-0008-8441-4003</v>
      </c>
    </row>
    <row r="168">
      <c r="A168" s="2" t="str">
        <f>IFERROR(__xludf.DUMMYFUNCTION("""COMPUTED_VALUE"""),"Roach")</f>
        <v>Roach</v>
      </c>
      <c r="B168" s="2" t="str">
        <f>IFERROR(__xludf.DUMMYFUNCTION("""COMPUTED_VALUE"""),"Jim")</f>
        <v>Jim</v>
      </c>
      <c r="C168" s="2" t="str">
        <f>IFERROR(__xludf.DUMMYFUNCTION("""COMPUTED_VALUE"""),"Key Personnel")</f>
        <v>Key Personnel</v>
      </c>
      <c r="D168" s="2" t="str">
        <f>IFERROR(__xludf.DUMMYFUNCTION("""COMPUTED_VALUE"""),"Tadross")</f>
        <v>Tadross</v>
      </c>
      <c r="E168" s="2"/>
      <c r="F168" s="2" t="str">
        <f>IFERROR(__xludf.DUMMYFUNCTION("""COMPUTED_VALUE"""),"james.m.roach@duke.edu")</f>
        <v>james.m.roach@duke.edu</v>
      </c>
      <c r="G168" s="2" t="str">
        <f>IFERROR(__xludf.DUMMYFUNCTION("""COMPUTED_VALUE"""),"0000-0003-4802-1516")</f>
        <v>0000-0003-4802-1516</v>
      </c>
    </row>
    <row r="169">
      <c r="A169" s="2" t="str">
        <f>IFERROR(__xludf.DUMMYFUNCTION("""COMPUTED_VALUE"""),"Yousefzadeh")</f>
        <v>Yousefzadeh</v>
      </c>
      <c r="B169" s="2" t="str">
        <f>IFERROR(__xludf.DUMMYFUNCTION("""COMPUTED_VALUE"""),"Aryana")</f>
        <v>Aryana</v>
      </c>
      <c r="C169" s="2" t="str">
        <f>IFERROR(__xludf.DUMMYFUNCTION("""COMPUTED_VALUE"""),"Key Personnel")</f>
        <v>Key Personnel</v>
      </c>
      <c r="D169" s="2" t="str">
        <f>IFERROR(__xludf.DUMMYFUNCTION("""COMPUTED_VALUE"""),"Tadross")</f>
        <v>Tadross</v>
      </c>
      <c r="E169" s="2"/>
      <c r="F169" s="2" t="str">
        <f>IFERROR(__xludf.DUMMYFUNCTION("""COMPUTED_VALUE"""),"aryana.yz@duke.edu")</f>
        <v>aryana.yz@duke.edu</v>
      </c>
      <c r="G169" s="2" t="str">
        <f>IFERROR(__xludf.DUMMYFUNCTION("""COMPUTED_VALUE"""),"0000-0003-2842-7121")</f>
        <v>0000-0003-2842-7121</v>
      </c>
    </row>
    <row r="170">
      <c r="A170" s="2" t="str">
        <f>IFERROR(__xludf.DUMMYFUNCTION("""COMPUTED_VALUE"""),"Ravenel")</f>
        <v>Ravenel</v>
      </c>
      <c r="B170" s="2" t="str">
        <f>IFERROR(__xludf.DUMMYFUNCTION("""COMPUTED_VALUE"""),"Russell")</f>
        <v>Russell</v>
      </c>
      <c r="C170" s="2" t="str">
        <f>IFERROR(__xludf.DUMMYFUNCTION("""COMPUTED_VALUE"""),"Key Personnel")</f>
        <v>Key Personnel</v>
      </c>
      <c r="D170" s="2" t="str">
        <f>IFERROR(__xludf.DUMMYFUNCTION("""COMPUTED_VALUE"""),"Tadross")</f>
        <v>Tadross</v>
      </c>
      <c r="E170" s="2"/>
      <c r="F170" s="2" t="str">
        <f>IFERROR(__xludf.DUMMYFUNCTION("""COMPUTED_VALUE"""),"james.ravenel@duke.edu")</f>
        <v>james.ravenel@duke.edu</v>
      </c>
      <c r="G170" s="2" t="str">
        <f>IFERROR(__xludf.DUMMYFUNCTION("""COMPUTED_VALUE"""),"0000-0001-7788-7891")</f>
        <v>0000-0001-7788-7891</v>
      </c>
    </row>
    <row r="171">
      <c r="A171" s="2" t="str">
        <f>IFERROR(__xludf.DUMMYFUNCTION("""COMPUTED_VALUE"""),"Chantell")</f>
        <v>Chantell</v>
      </c>
      <c r="B171" s="2" t="str">
        <f>IFERROR(__xludf.DUMMYFUNCTION("""COMPUTED_VALUE"""),"Evans")</f>
        <v>Evans</v>
      </c>
      <c r="C171" s="2" t="str">
        <f>IFERROR(__xludf.DUMMYFUNCTION("""COMPUTED_VALUE"""),"Collaborating PI")</f>
        <v>Collaborating PI</v>
      </c>
      <c r="D171" s="2" t="str">
        <f>IFERROR(__xludf.DUMMYFUNCTION("""COMPUTED_VALUE"""),"Evans")</f>
        <v>Evans</v>
      </c>
      <c r="E171" s="2"/>
      <c r="F171" s="2" t="str">
        <f>IFERROR(__xludf.DUMMYFUNCTION("""COMPUTED_VALUE"""),"chantell.evans@duke.edu")</f>
        <v>chantell.evans@duke.edu</v>
      </c>
      <c r="G171" s="2" t="str">
        <f>IFERROR(__xludf.DUMMYFUNCTION("""COMPUTED_VALUE"""),"0000-0001-9401-8604")</f>
        <v>0000-0001-9401-8604</v>
      </c>
    </row>
    <row r="172">
      <c r="A172" s="2" t="str">
        <f>IFERROR(__xludf.DUMMYFUNCTION("""COMPUTED_VALUE"""),"Lola")</f>
        <v>Lola</v>
      </c>
      <c r="B172" s="2" t="str">
        <f>IFERROR(__xludf.DUMMYFUNCTION("""COMPUTED_VALUE"""),"Kalejaiye")</f>
        <v>Kalejaiye</v>
      </c>
      <c r="C172" s="2" t="str">
        <f>IFERROR(__xludf.DUMMYFUNCTION("""COMPUTED_VALUE"""),"Key Personnel")</f>
        <v>Key Personnel</v>
      </c>
      <c r="D172" s="2" t="str">
        <f>IFERROR(__xludf.DUMMYFUNCTION("""COMPUTED_VALUE"""),"Evans")</f>
        <v>Evans</v>
      </c>
      <c r="E172" s="2"/>
      <c r="F172" s="2" t="str">
        <f>IFERROR(__xludf.DUMMYFUNCTION("""COMPUTED_VALUE"""),"titilola.kalejaiye@duke.edu")</f>
        <v>titilola.kalejaiye@duke.edu</v>
      </c>
      <c r="G172" s="2" t="str">
        <f>IFERROR(__xludf.DUMMYFUNCTION("""COMPUTED_VALUE"""),"0000-0003-3934-4575")</f>
        <v>0000-0003-3934-4575</v>
      </c>
    </row>
    <row r="173">
      <c r="A173" s="2" t="str">
        <f>IFERROR(__xludf.DUMMYFUNCTION("""COMPUTED_VALUE"""),"Gangadharan")</f>
        <v>Gangadharan</v>
      </c>
      <c r="B173" s="2" t="str">
        <f>IFERROR(__xludf.DUMMYFUNCTION("""COMPUTED_VALUE"""),"Harini")</f>
        <v>Harini</v>
      </c>
      <c r="C173" s="2" t="str">
        <f>IFERROR(__xludf.DUMMYFUNCTION("""COMPUTED_VALUE"""),"Project Manager")</f>
        <v>Project Manager</v>
      </c>
      <c r="D173" s="2" t="str">
        <f>IFERROR(__xludf.DUMMYFUNCTION("""COMPUTED_VALUE"""),"Calakos")</f>
        <v>Calakos</v>
      </c>
      <c r="E173" s="2"/>
      <c r="F173" s="2" t="str">
        <f>IFERROR(__xludf.DUMMYFUNCTION("""COMPUTED_VALUE"""),"harini.gangadharan@duke.edu")</f>
        <v>harini.gangadharan@duke.edu</v>
      </c>
      <c r="G173" s="2" t="str">
        <f>IFERROR(__xludf.DUMMYFUNCTION("""COMPUTED_VALUE"""),"0009-0006-9078-1868")</f>
        <v>0009-0006-9078-1868</v>
      </c>
    </row>
    <row r="174">
      <c r="A174" s="2" t="str">
        <f>IFERROR(__xludf.DUMMYFUNCTION("""COMPUTED_VALUE"""),"Kim")</f>
        <v>Kim</v>
      </c>
      <c r="B174" s="2" t="str">
        <f>IFERROR(__xludf.DUMMYFUNCTION("""COMPUTED_VALUE"""),"Jinhu")</f>
        <v>Jinhu</v>
      </c>
      <c r="C174" s="2" t="str">
        <f>IFERROR(__xludf.DUMMYFUNCTION("""COMPUTED_VALUE"""),"Key Personnel")</f>
        <v>Key Personnel</v>
      </c>
      <c r="D174" s="2" t="str">
        <f>IFERROR(__xludf.DUMMYFUNCTION("""COMPUTED_VALUE"""),"Eroglu")</f>
        <v>Eroglu</v>
      </c>
      <c r="E174" s="2"/>
      <c r="F174" s="2" t="str">
        <f>IFERROR(__xludf.DUMMYFUNCTION("""COMPUTED_VALUE"""),"Jinhu.Kim@duke.edu")</f>
        <v>Jinhu.Kim@duke.edu</v>
      </c>
      <c r="G174" s="2" t="str">
        <f>IFERROR(__xludf.DUMMYFUNCTION("""COMPUTED_VALUE"""),"0000-0001-5482-2817")</f>
        <v>0000-0001-5482-2817</v>
      </c>
    </row>
    <row r="175">
      <c r="A175" s="2" t="str">
        <f>IFERROR(__xludf.DUMMYFUNCTION("""COMPUTED_VALUE"""),"Chen")</f>
        <v>Chen</v>
      </c>
      <c r="B175" s="2" t="str">
        <f>IFERROR(__xludf.DUMMYFUNCTION("""COMPUTED_VALUE"""),"Xiqun")</f>
        <v>Xiqun</v>
      </c>
      <c r="C175" s="2" t="str">
        <f>IFERROR(__xludf.DUMMYFUNCTION("""COMPUTED_VALUE"""),"Lead-PI")</f>
        <v>Lead-PI</v>
      </c>
      <c r="D175" s="2"/>
      <c r="E175" s="2"/>
      <c r="F175" s="2" t="str">
        <f>IFERROR(__xludf.DUMMYFUNCTION("""COMPUTED_VALUE"""),"xchen17@mgh.harvard.edu")</f>
        <v>xchen17@mgh.harvard.edu</v>
      </c>
      <c r="G175" s="2" t="str">
        <f>IFERROR(__xludf.DUMMYFUNCTION("""COMPUTED_VALUE"""),"0000-0001-8582-8891")</f>
        <v>0000-0001-8582-8891</v>
      </c>
    </row>
    <row r="176">
      <c r="A176" s="2" t="str">
        <f>IFERROR(__xludf.DUMMYFUNCTION("""COMPUTED_VALUE"""),"Chan")</f>
        <v>Chan</v>
      </c>
      <c r="B176" s="2" t="str">
        <f>IFERROR(__xludf.DUMMYFUNCTION("""COMPUTED_VALUE"""),"Timothy")</f>
        <v>Timothy</v>
      </c>
      <c r="C176" s="2" t="str">
        <f>IFERROR(__xludf.DUMMYFUNCTION("""COMPUTED_VALUE"""),"Co-PI")</f>
        <v>Co-PI</v>
      </c>
      <c r="D176" s="2"/>
      <c r="E176" s="2"/>
      <c r="F176" s="2" t="str">
        <f>IFERROR(__xludf.DUMMYFUNCTION("""COMPUTED_VALUE"""),"chant2@ccf.org")</f>
        <v>chant2@ccf.org</v>
      </c>
      <c r="G176" s="2" t="str">
        <f>IFERROR(__xludf.DUMMYFUNCTION("""COMPUTED_VALUE"""),"0000-0002-9265-0283")</f>
        <v>0000-0002-9265-0283</v>
      </c>
    </row>
    <row r="177">
      <c r="A177" s="2" t="str">
        <f>IFERROR(__xludf.DUMMYFUNCTION("""COMPUTED_VALUE"""),"Peng")</f>
        <v>Peng</v>
      </c>
      <c r="B177" s="2" t="str">
        <f>IFERROR(__xludf.DUMMYFUNCTION("""COMPUTED_VALUE"""),"Weiyi")</f>
        <v>Weiyi</v>
      </c>
      <c r="C177" s="2" t="str">
        <f>IFERROR(__xludf.DUMMYFUNCTION("""COMPUTED_VALUE"""),"Co-PI")</f>
        <v>Co-PI</v>
      </c>
      <c r="D177" s="2"/>
      <c r="E177" s="2"/>
      <c r="F177" s="2" t="str">
        <f>IFERROR(__xludf.DUMMYFUNCTION("""COMPUTED_VALUE"""),"wpeng2@central.uh.edu")</f>
        <v>wpeng2@central.uh.edu</v>
      </c>
      <c r="G177" s="2" t="str">
        <f>IFERROR(__xludf.DUMMYFUNCTION("""COMPUTED_VALUE"""),"0000-0002-7785-6240")</f>
        <v>0000-0002-7785-6240</v>
      </c>
    </row>
    <row r="178">
      <c r="A178" s="2" t="str">
        <f>IFERROR(__xludf.DUMMYFUNCTION("""COMPUTED_VALUE"""),"Schwarzschild")</f>
        <v>Schwarzschild</v>
      </c>
      <c r="B178" s="2" t="str">
        <f>IFERROR(__xludf.DUMMYFUNCTION("""COMPUTED_VALUE"""),"Michael")</f>
        <v>Michael</v>
      </c>
      <c r="C178" s="2" t="str">
        <f>IFERROR(__xludf.DUMMYFUNCTION("""COMPUTED_VALUE"""),"Co-PI")</f>
        <v>Co-PI</v>
      </c>
      <c r="D178" s="2"/>
      <c r="E178" s="2"/>
      <c r="F178" s="2" t="str">
        <f>IFERROR(__xludf.DUMMYFUNCTION("""COMPUTED_VALUE"""),"michaels@helix.mgh.harvard.edu")</f>
        <v>michaels@helix.mgh.harvard.edu</v>
      </c>
      <c r="G178" s="2" t="str">
        <f>IFERROR(__xludf.DUMMYFUNCTION("""COMPUTED_VALUE"""),"0000-0001-6019-8280")</f>
        <v>0000-0001-6019-8280</v>
      </c>
    </row>
    <row r="179">
      <c r="A179" s="2" t="str">
        <f>IFERROR(__xludf.DUMMYFUNCTION("""COMPUTED_VALUE"""),"Tawbi")</f>
        <v>Tawbi</v>
      </c>
      <c r="B179" s="2" t="str">
        <f>IFERROR(__xludf.DUMMYFUNCTION("""COMPUTED_VALUE"""),"Hussein")</f>
        <v>Hussein</v>
      </c>
      <c r="C179" s="2" t="str">
        <f>IFERROR(__xludf.DUMMYFUNCTION("""COMPUTED_VALUE"""),"Collaborating PI")</f>
        <v>Collaborating PI</v>
      </c>
      <c r="D179" s="2"/>
      <c r="E179" s="2"/>
      <c r="F179" s="2" t="str">
        <f>IFERROR(__xludf.DUMMYFUNCTION("""COMPUTED_VALUE"""),"HTawbi@mdanderson.org")</f>
        <v>HTawbi@mdanderson.org</v>
      </c>
      <c r="G179" s="2" t="str">
        <f>IFERROR(__xludf.DUMMYFUNCTION("""COMPUTED_VALUE"""),"0000-0003-1942-851X")</f>
        <v>0000-0003-1942-851X</v>
      </c>
    </row>
    <row r="180">
      <c r="A180" s="2" t="str">
        <f>IFERROR(__xludf.DUMMYFUNCTION("""COMPUTED_VALUE"""),"Bakshi")</f>
        <v>Bakshi</v>
      </c>
      <c r="B180" s="2" t="str">
        <f>IFERROR(__xludf.DUMMYFUNCTION("""COMPUTED_VALUE"""),"Rachit")</f>
        <v>Rachit</v>
      </c>
      <c r="C180" s="2" t="str">
        <f>IFERROR(__xludf.DUMMYFUNCTION("""COMPUTED_VALUE"""),"Key Personnel")</f>
        <v>Key Personnel</v>
      </c>
      <c r="D180" s="2" t="str">
        <f>IFERROR(__xludf.DUMMYFUNCTION("""COMPUTED_VALUE"""),"Schwarzschild")</f>
        <v>Schwarzschild</v>
      </c>
      <c r="E180" s="2" t="str">
        <f>IFERROR(__xludf.DUMMYFUNCTION("""COMPUTED_VALUE"""),"Staff scientist")</f>
        <v>Staff scientist</v>
      </c>
      <c r="F180" s="2" t="str">
        <f>IFERROR(__xludf.DUMMYFUNCTION("""COMPUTED_VALUE"""),"rbakshi1@mgh.harvard.edu")</f>
        <v>rbakshi1@mgh.harvard.edu</v>
      </c>
      <c r="G180" s="2" t="str">
        <f>IFERROR(__xludf.DUMMYFUNCTION("""COMPUTED_VALUE"""),"0000-0002-8531-7941")</f>
        <v>0000-0002-8531-7941</v>
      </c>
    </row>
    <row r="181">
      <c r="A181" s="2" t="str">
        <f>IFERROR(__xludf.DUMMYFUNCTION("""COMPUTED_VALUE"""),"Mohan")</f>
        <v>Mohan</v>
      </c>
      <c r="B181" s="2" t="str">
        <f>IFERROR(__xludf.DUMMYFUNCTION("""COMPUTED_VALUE"""),"Chandra")</f>
        <v>Chandra</v>
      </c>
      <c r="C181" s="2" t="str">
        <f>IFERROR(__xludf.DUMMYFUNCTION("""COMPUTED_VALUE"""),"Key Personnel")</f>
        <v>Key Personnel</v>
      </c>
      <c r="D181" s="2" t="str">
        <f>IFERROR(__xludf.DUMMYFUNCTION("""COMPUTED_VALUE"""),"Peng ")</f>
        <v>Peng </v>
      </c>
      <c r="E181" s="2" t="str">
        <f>IFERROR(__xludf.DUMMYFUNCTION("""COMPUTED_VALUE"""),"Collaborator ")</f>
        <v>Collaborator </v>
      </c>
      <c r="F181" s="2" t="str">
        <f>IFERROR(__xludf.DUMMYFUNCTION("""COMPUTED_VALUE"""),"cmohan@Central.UH.EDU")</f>
        <v>cmohan@Central.UH.EDU</v>
      </c>
      <c r="G181" s="2" t="str">
        <f>IFERROR(__xludf.DUMMYFUNCTION("""COMPUTED_VALUE"""),"0000-0001-7896-5740")</f>
        <v>0000-0001-7896-5740</v>
      </c>
    </row>
    <row r="182">
      <c r="A182" s="2" t="str">
        <f>IFERROR(__xludf.DUMMYFUNCTION("""COMPUTED_VALUE"""),"Makarov")</f>
        <v>Makarov</v>
      </c>
      <c r="B182" s="2" t="str">
        <f>IFERROR(__xludf.DUMMYFUNCTION("""COMPUTED_VALUE"""),"Vladimir")</f>
        <v>Vladimir</v>
      </c>
      <c r="C182" s="2" t="str">
        <f>IFERROR(__xludf.DUMMYFUNCTION("""COMPUTED_VALUE"""),"Key Personnel")</f>
        <v>Key Personnel</v>
      </c>
      <c r="D182" s="2" t="str">
        <f>IFERROR(__xludf.DUMMYFUNCTION("""COMPUTED_VALUE"""),"Chan")</f>
        <v>Chan</v>
      </c>
      <c r="E182" s="2" t="str">
        <f>IFERROR(__xludf.DUMMYFUNCTION("""COMPUTED_VALUE"""),"Computational Biologist ")</f>
        <v>Computational Biologist </v>
      </c>
      <c r="F182" s="2" t="str">
        <f>IFERROR(__xludf.DUMMYFUNCTION("""COMPUTED_VALUE"""),"makarov@ccf.org")</f>
        <v>makarov@ccf.org</v>
      </c>
      <c r="G182" s="2" t="str">
        <f>IFERROR(__xludf.DUMMYFUNCTION("""COMPUTED_VALUE"""),"0000-0001-8026-824X")</f>
        <v>0000-0001-8026-824X</v>
      </c>
    </row>
    <row r="183">
      <c r="A183" s="2" t="str">
        <f>IFERROR(__xludf.DUMMYFUNCTION("""COMPUTED_VALUE"""),"Macklin")</f>
        <v>Macklin</v>
      </c>
      <c r="B183" s="2" t="str">
        <f>IFERROR(__xludf.DUMMYFUNCTION("""COMPUTED_VALUE"""),"Eric")</f>
        <v>Eric</v>
      </c>
      <c r="C183" s="2" t="str">
        <f>IFERROR(__xludf.DUMMYFUNCTION("""COMPUTED_VALUE"""),"Key Personnel")</f>
        <v>Key Personnel</v>
      </c>
      <c r="D183" s="2" t="str">
        <f>IFERROR(__xludf.DUMMYFUNCTION("""COMPUTED_VALUE"""),"Chen")</f>
        <v>Chen</v>
      </c>
      <c r="E183" s="2" t="str">
        <f>IFERROR(__xludf.DUMMYFUNCTION("""COMPUTED_VALUE"""),"Biostatician ")</f>
        <v>Biostatician </v>
      </c>
      <c r="F183" s="2" t="str">
        <f>IFERROR(__xludf.DUMMYFUNCTION("""COMPUTED_VALUE"""),"EMACKLIN@mgh.harvard.edu")</f>
        <v>EMACKLIN@mgh.harvard.edu</v>
      </c>
      <c r="G183" s="2" t="str">
        <f>IFERROR(__xludf.DUMMYFUNCTION("""COMPUTED_VALUE"""),"0000-0003-1618-3502")</f>
        <v>0000-0003-1618-3502</v>
      </c>
    </row>
    <row r="184">
      <c r="A184" s="2" t="str">
        <f>IFERROR(__xludf.DUMMYFUNCTION("""COMPUTED_VALUE"""),"Shi")</f>
        <v>Shi</v>
      </c>
      <c r="B184" s="2" t="str">
        <f>IFERROR(__xludf.DUMMYFUNCTION("""COMPUTED_VALUE"""),"Leilei")</f>
        <v>Leilei</v>
      </c>
      <c r="C184" s="2" t="str">
        <f>IFERROR(__xludf.DUMMYFUNCTION("""COMPUTED_VALUE"""),"Key Personnel")</f>
        <v>Key Personnel</v>
      </c>
      <c r="D184" s="2" t="str">
        <f>IFERROR(__xludf.DUMMYFUNCTION("""COMPUTED_VALUE"""),"Peng ")</f>
        <v>Peng </v>
      </c>
      <c r="E184" s="2" t="str">
        <f>IFERROR(__xludf.DUMMYFUNCTION("""COMPUTED_VALUE"""),"Postdoc ")</f>
        <v>Postdoc </v>
      </c>
      <c r="F184" s="2" t="str">
        <f>IFERROR(__xludf.DUMMYFUNCTION("""COMPUTED_VALUE"""),"LShi1@mdanderson.org")</f>
        <v>LShi1@mdanderson.org</v>
      </c>
      <c r="G184" s="2" t="str">
        <f>IFERROR(__xludf.DUMMYFUNCTION("""COMPUTED_VALUE"""),"0000-0002-8895-1403")</f>
        <v>0000-0002-8895-1403</v>
      </c>
    </row>
    <row r="185">
      <c r="A185" s="2" t="str">
        <f>IFERROR(__xludf.DUMMYFUNCTION("""COMPUTED_VALUE"""),"Varadarajan")</f>
        <v>Varadarajan</v>
      </c>
      <c r="B185" s="2" t="str">
        <f>IFERROR(__xludf.DUMMYFUNCTION("""COMPUTED_VALUE"""),"Navin")</f>
        <v>Navin</v>
      </c>
      <c r="C185" s="2" t="str">
        <f>IFERROR(__xludf.DUMMYFUNCTION("""COMPUTED_VALUE"""),"Key Personnel")</f>
        <v>Key Personnel</v>
      </c>
      <c r="D185" s="2" t="str">
        <f>IFERROR(__xludf.DUMMYFUNCTION("""COMPUTED_VALUE"""),"Peng ")</f>
        <v>Peng </v>
      </c>
      <c r="E185" s="2" t="str">
        <f>IFERROR(__xludf.DUMMYFUNCTION("""COMPUTED_VALUE"""),"Collaborator")</f>
        <v>Collaborator</v>
      </c>
      <c r="F185" s="2" t="str">
        <f>IFERROR(__xludf.DUMMYFUNCTION("""COMPUTED_VALUE"""),"nvaradar@Central.UH.EDU")</f>
        <v>nvaradar@Central.UH.EDU</v>
      </c>
      <c r="G185" s="2" t="str">
        <f>IFERROR(__xludf.DUMMYFUNCTION("""COMPUTED_VALUE"""),"0000-0001-7524-8228")</f>
        <v>0000-0001-7524-8228</v>
      </c>
    </row>
    <row r="186">
      <c r="A186" s="2" t="str">
        <f>IFERROR(__xludf.DUMMYFUNCTION("""COMPUTED_VALUE"""),"Wang")</f>
        <v>Wang</v>
      </c>
      <c r="B186" s="2" t="str">
        <f>IFERROR(__xludf.DUMMYFUNCTION("""COMPUTED_VALUE"""),"Jian")</f>
        <v>Jian</v>
      </c>
      <c r="C186" s="2" t="str">
        <f>IFERROR(__xludf.DUMMYFUNCTION("""COMPUTED_VALUE"""),"Key Personnel")</f>
        <v>Key Personnel</v>
      </c>
      <c r="D186" s="2" t="str">
        <f>IFERROR(__xludf.DUMMYFUNCTION("""COMPUTED_VALUE"""),"Hussein ")</f>
        <v>Hussein </v>
      </c>
      <c r="E186" s="2" t="str">
        <f>IFERROR(__xludf.DUMMYFUNCTION("""COMPUTED_VALUE"""),"Biostatician ")</f>
        <v>Biostatician </v>
      </c>
      <c r="F186" s="2" t="str">
        <f>IFERROR(__xludf.DUMMYFUNCTION("""COMPUTED_VALUE"""),"jianwang@mdanderson.org")</f>
        <v>jianwang@mdanderson.org</v>
      </c>
      <c r="G186" s="2" t="str">
        <f>IFERROR(__xludf.DUMMYFUNCTION("""COMPUTED_VALUE"""),"0000-0001-7104-0673")</f>
        <v>0000-0001-7104-0673</v>
      </c>
    </row>
    <row r="187">
      <c r="A187" s="2" t="str">
        <f>IFERROR(__xludf.DUMMYFUNCTION("""COMPUTED_VALUE"""),"Hou")</f>
        <v>Hou</v>
      </c>
      <c r="B187" s="2" t="str">
        <f>IFERROR(__xludf.DUMMYFUNCTION("""COMPUTED_VALUE"""),"Jiakai")</f>
        <v>Jiakai</v>
      </c>
      <c r="C187" s="2" t="str">
        <f>IFERROR(__xludf.DUMMYFUNCTION("""COMPUTED_VALUE"""),"Key Personnel")</f>
        <v>Key Personnel</v>
      </c>
      <c r="D187" s="2" t="str">
        <f>IFERROR(__xludf.DUMMYFUNCTION("""COMPUTED_VALUE"""),"Peng ")</f>
        <v>Peng </v>
      </c>
      <c r="E187" s="2" t="str">
        <f>IFERROR(__xludf.DUMMYFUNCTION("""COMPUTED_VALUE"""),"Postdoc ")</f>
        <v>Postdoc </v>
      </c>
      <c r="F187" s="2" t="str">
        <f>IFERROR(__xludf.DUMMYFUNCTION("""COMPUTED_VALUE"""),"jhou21@central.uh.edu")</f>
        <v>jhou21@central.uh.edu</v>
      </c>
      <c r="G187" s="2" t="str">
        <f>IFERROR(__xludf.DUMMYFUNCTION("""COMPUTED_VALUE"""),"0000-0003-2875-8756")</f>
        <v>0000-0003-2875-8756</v>
      </c>
    </row>
    <row r="188">
      <c r="A188" s="2" t="str">
        <f>IFERROR(__xludf.DUMMYFUNCTION("""COMPUTED_VALUE"""),"Xia")</f>
        <v>Xia</v>
      </c>
      <c r="B188" s="2" t="str">
        <f>IFERROR(__xludf.DUMMYFUNCTION("""COMPUTED_VALUE"""),"Ning")</f>
        <v>Ning</v>
      </c>
      <c r="C188" s="2" t="str">
        <f>IFERROR(__xludf.DUMMYFUNCTION("""COMPUTED_VALUE"""),"Key Personnel")</f>
        <v>Key Personnel</v>
      </c>
      <c r="D188" s="2" t="str">
        <f>IFERROR(__xludf.DUMMYFUNCTION("""COMPUTED_VALUE"""),"Schwarzschild")</f>
        <v>Schwarzschild</v>
      </c>
      <c r="E188" s="2" t="str">
        <f>IFERROR(__xludf.DUMMYFUNCTION("""COMPUTED_VALUE"""),"Postdoc ")</f>
        <v>Postdoc </v>
      </c>
      <c r="F188" s="2" t="str">
        <f>IFERROR(__xludf.DUMMYFUNCTION("""COMPUTED_VALUE"""),"nxia@mgh.harvard.edu")</f>
        <v>nxia@mgh.harvard.edu</v>
      </c>
      <c r="G188" s="2" t="str">
        <f>IFERROR(__xludf.DUMMYFUNCTION("""COMPUTED_VALUE"""),"0000-0002-6102-4116")</f>
        <v>0000-0002-6102-4116</v>
      </c>
    </row>
    <row r="189">
      <c r="A189" s="2" t="str">
        <f>IFERROR(__xludf.DUMMYFUNCTION("""COMPUTED_VALUE"""),"Honarvar")</f>
        <v>Honarvar</v>
      </c>
      <c r="B189" s="2" t="str">
        <f>IFERROR(__xludf.DUMMYFUNCTION("""COMPUTED_VALUE"""),"Niyaz")</f>
        <v>Niyaz</v>
      </c>
      <c r="C189" s="2" t="str">
        <f>IFERROR(__xludf.DUMMYFUNCTION("""COMPUTED_VALUE"""),"Key Personnel")</f>
        <v>Key Personnel</v>
      </c>
      <c r="D189" s="2" t="str">
        <f>IFERROR(__xludf.DUMMYFUNCTION("""COMPUTED_VALUE"""),"Chen")</f>
        <v>Chen</v>
      </c>
      <c r="E189" s="2" t="str">
        <f>IFERROR(__xludf.DUMMYFUNCTION("""COMPUTED_VALUE"""),"Postdoc ")</f>
        <v>Postdoc </v>
      </c>
      <c r="F189" s="2" t="str">
        <f>IFERROR(__xludf.DUMMYFUNCTION("""COMPUTED_VALUE"""),"nmohammadzadehhonarvar@mgh.harvard.edu")</f>
        <v>nmohammadzadehhonarvar@mgh.harvard.edu</v>
      </c>
      <c r="G189" s="2" t="str">
        <f>IFERROR(__xludf.DUMMYFUNCTION("""COMPUTED_VALUE"""),"0000-0001-8257-3507")</f>
        <v>0000-0001-8257-3507</v>
      </c>
    </row>
    <row r="190">
      <c r="A190" s="2" t="str">
        <f>IFERROR(__xludf.DUMMYFUNCTION("""COMPUTED_VALUE"""),"Xu")</f>
        <v>Xu</v>
      </c>
      <c r="B190" s="2" t="str">
        <f>IFERROR(__xludf.DUMMYFUNCTION("""COMPUTED_VALUE"""),"Chunyu")</f>
        <v>Chunyu</v>
      </c>
      <c r="C190" s="2" t="str">
        <f>IFERROR(__xludf.DUMMYFUNCTION("""COMPUTED_VALUE"""),"Key Personnel")</f>
        <v>Key Personnel</v>
      </c>
      <c r="D190" s="2" t="str">
        <f>IFERROR(__xludf.DUMMYFUNCTION("""COMPUTED_VALUE"""),"Peng ")</f>
        <v>Peng </v>
      </c>
      <c r="E190" s="2" t="str">
        <f>IFERROR(__xludf.DUMMYFUNCTION("""COMPUTED_VALUE"""),"Sr. Research Assistant ")</f>
        <v>Sr. Research Assistant </v>
      </c>
      <c r="F190" s="2" t="str">
        <f>IFERROR(__xludf.DUMMYFUNCTION("""COMPUTED_VALUE"""),"cxu15@Central.UH.EDU")</f>
        <v>cxu15@Central.UH.EDU</v>
      </c>
      <c r="G190" s="2" t="str">
        <f>IFERROR(__xludf.DUMMYFUNCTION("""COMPUTED_VALUE"""),"0000-0002-7153-2464")</f>
        <v>0000-0002-7153-2464</v>
      </c>
    </row>
    <row r="191">
      <c r="A191" s="2" t="str">
        <f>IFERROR(__xludf.DUMMYFUNCTION("""COMPUTED_VALUE"""),"Yee")</f>
        <v>Yee</v>
      </c>
      <c r="B191" s="2" t="str">
        <f>IFERROR(__xludf.DUMMYFUNCTION("""COMPUTED_VALUE"""),"Cassian")</f>
        <v>Cassian</v>
      </c>
      <c r="C191" s="2" t="str">
        <f>IFERROR(__xludf.DUMMYFUNCTION("""COMPUTED_VALUE"""),"Collaborating PI")</f>
        <v>Collaborating PI</v>
      </c>
      <c r="D191" s="2" t="str">
        <f>IFERROR(__xludf.DUMMYFUNCTION("""COMPUTED_VALUE"""),"Yee")</f>
        <v>Yee</v>
      </c>
      <c r="E191" s="2" t="str">
        <f>IFERROR(__xludf.DUMMYFUNCTION("""COMPUTED_VALUE"""),"Collaborator")</f>
        <v>Collaborator</v>
      </c>
      <c r="F191" s="2" t="str">
        <f>IFERROR(__xludf.DUMMYFUNCTION("""COMPUTED_VALUE"""),"cyee@mdanderson.org")</f>
        <v>cyee@mdanderson.org</v>
      </c>
      <c r="G191" s="2" t="str">
        <f>IFERROR(__xludf.DUMMYFUNCTION("""COMPUTED_VALUE"""),"0000-0002-4429-7307")</f>
        <v>0000-0002-4429-7307</v>
      </c>
    </row>
    <row r="192">
      <c r="A192" s="2" t="str">
        <f>IFERROR(__xludf.DUMMYFUNCTION("""COMPUTED_VALUE"""),"Gong")</f>
        <v>Gong</v>
      </c>
      <c r="B192" s="2" t="str">
        <f>IFERROR(__xludf.DUMMYFUNCTION("""COMPUTED_VALUE"""),"Yongxing")</f>
        <v>Yongxing</v>
      </c>
      <c r="C192" s="2" t="str">
        <f>IFERROR(__xludf.DUMMYFUNCTION("""COMPUTED_VALUE"""),"Key Personnel")</f>
        <v>Key Personnel</v>
      </c>
      <c r="D192" s="2" t="str">
        <f>IFERROR(__xludf.DUMMYFUNCTION("""COMPUTED_VALUE"""),"Chan")</f>
        <v>Chan</v>
      </c>
      <c r="E192" s="2" t="str">
        <f>IFERROR(__xludf.DUMMYFUNCTION("""COMPUTED_VALUE"""),"Postdoc")</f>
        <v>Postdoc</v>
      </c>
      <c r="F192" s="2" t="str">
        <f>IFERROR(__xludf.DUMMYFUNCTION("""COMPUTED_VALUE"""),"gongy@ccf.org")</f>
        <v>gongy@ccf.org</v>
      </c>
      <c r="G192" s="2" t="str">
        <f>IFERROR(__xludf.DUMMYFUNCTION("""COMPUTED_VALUE"""),"0000-0003-1071-0375")</f>
        <v>0000-0003-1071-0375</v>
      </c>
    </row>
    <row r="193">
      <c r="A193" s="2" t="str">
        <f>IFERROR(__xludf.DUMMYFUNCTION("""COMPUTED_VALUE"""),"Crotty")</f>
        <v>Crotty</v>
      </c>
      <c r="B193" s="2" t="str">
        <f>IFERROR(__xludf.DUMMYFUNCTION("""COMPUTED_VALUE"""),"Grace")</f>
        <v>Grace</v>
      </c>
      <c r="C193" s="2" t="str">
        <f>IFERROR(__xludf.DUMMYFUNCTION("""COMPUTED_VALUE"""),"Key Personnel")</f>
        <v>Key Personnel</v>
      </c>
      <c r="D193" s="2" t="str">
        <f>IFERROR(__xludf.DUMMYFUNCTION("""COMPUTED_VALUE"""),"Schwarzschild")</f>
        <v>Schwarzschild</v>
      </c>
      <c r="E193" s="2" t="str">
        <f>IFERROR(__xludf.DUMMYFUNCTION("""COMPUTED_VALUE"""),"Collaborator")</f>
        <v>Collaborator</v>
      </c>
      <c r="F193" s="2" t="str">
        <f>IFERROR(__xludf.DUMMYFUNCTION("""COMPUTED_VALUE"""),"grace.crotty@mgh.harvard.edu")</f>
        <v>grace.crotty@mgh.harvard.edu</v>
      </c>
      <c r="G193" s="2" t="str">
        <f>IFERROR(__xludf.DUMMYFUNCTION("""COMPUTED_VALUE"""),"0000-0002-8106-7842")</f>
        <v>0000-0002-8106-7842</v>
      </c>
    </row>
    <row r="194">
      <c r="A194" s="2" t="str">
        <f>IFERROR(__xludf.DUMMYFUNCTION("""COMPUTED_VALUE"""),"Srivastava")</f>
        <v>Srivastava</v>
      </c>
      <c r="B194" s="2" t="str">
        <f>IFERROR(__xludf.DUMMYFUNCTION("""COMPUTED_VALUE"""),"Akriti")</f>
        <v>Akriti</v>
      </c>
      <c r="C194" s="2" t="str">
        <f>IFERROR(__xludf.DUMMYFUNCTION("""COMPUTED_VALUE"""),"Key Personnel")</f>
        <v>Key Personnel</v>
      </c>
      <c r="D194" s="2" t="str">
        <f>IFERROR(__xludf.DUMMYFUNCTION("""COMPUTED_VALUE"""),"Schwarzschild")</f>
        <v>Schwarzschild</v>
      </c>
      <c r="E194" s="2" t="str">
        <f>IFERROR(__xludf.DUMMYFUNCTION("""COMPUTED_VALUE"""),"Postdoc")</f>
        <v>Postdoc</v>
      </c>
      <c r="F194" s="2" t="str">
        <f>IFERROR(__xludf.DUMMYFUNCTION("""COMPUTED_VALUE"""),"asrivastava6@mgh.harvard.edu")</f>
        <v>asrivastava6@mgh.harvard.edu</v>
      </c>
      <c r="G194" s="2" t="str">
        <f>IFERROR(__xludf.DUMMYFUNCTION("""COMPUTED_VALUE"""),"0000-0001-7308-4637")</f>
        <v>0000-0001-7308-4637</v>
      </c>
    </row>
    <row r="195">
      <c r="A195" s="2" t="str">
        <f>IFERROR(__xludf.DUMMYFUNCTION("""COMPUTED_VALUE"""),"Jaffery")</f>
        <v>Jaffery</v>
      </c>
      <c r="B195" s="2" t="str">
        <f>IFERROR(__xludf.DUMMYFUNCTION("""COMPUTED_VALUE"""),"Roshni")</f>
        <v>Roshni</v>
      </c>
      <c r="C195" s="2" t="str">
        <f>IFERROR(__xludf.DUMMYFUNCTION("""COMPUTED_VALUE"""),"Key Personnel")</f>
        <v>Key Personnel</v>
      </c>
      <c r="D195" s="2" t="str">
        <f>IFERROR(__xludf.DUMMYFUNCTION("""COMPUTED_VALUE"""),"Peng ")</f>
        <v>Peng </v>
      </c>
      <c r="E195" s="2" t="str">
        <f>IFERROR(__xludf.DUMMYFUNCTION("""COMPUTED_VALUE"""),"Graduate Student")</f>
        <v>Graduate Student</v>
      </c>
      <c r="F195" s="2" t="str">
        <f>IFERROR(__xludf.DUMMYFUNCTION("""COMPUTED_VALUE"""),"rtjaffer@cougarnet.uh.edu")</f>
        <v>rtjaffer@cougarnet.uh.edu</v>
      </c>
      <c r="G195" s="2" t="str">
        <f>IFERROR(__xludf.DUMMYFUNCTION("""COMPUTED_VALUE"""),"0000-0003-4128-345X")</f>
        <v>0000-0003-4128-345X</v>
      </c>
    </row>
    <row r="196">
      <c r="A196" s="2" t="str">
        <f>IFERROR(__xludf.DUMMYFUNCTION("""COMPUTED_VALUE"""),"Singh")</f>
        <v>Singh</v>
      </c>
      <c r="B196" s="2" t="str">
        <f>IFERROR(__xludf.DUMMYFUNCTION("""COMPUTED_VALUE"""),"Shailbala")</f>
        <v>Shailbala</v>
      </c>
      <c r="C196" s="2" t="str">
        <f>IFERROR(__xludf.DUMMYFUNCTION("""COMPUTED_VALUE"""),"Key Personnel")</f>
        <v>Key Personnel</v>
      </c>
      <c r="D196" s="2" t="str">
        <f>IFERROR(__xludf.DUMMYFUNCTION("""COMPUTED_VALUE"""),"Yee")</f>
        <v>Yee</v>
      </c>
      <c r="E196" s="2"/>
      <c r="F196" s="2" t="str">
        <f>IFERROR(__xludf.DUMMYFUNCTION("""COMPUTED_VALUE"""),"ssingh1@mdanderson.org")</f>
        <v>ssingh1@mdanderson.org</v>
      </c>
      <c r="G196" s="2" t="str">
        <f>IFERROR(__xludf.DUMMYFUNCTION("""COMPUTED_VALUE"""),"0000-0002-0681-3948")</f>
        <v>0000-0002-0681-3948</v>
      </c>
    </row>
    <row r="197">
      <c r="A197" s="2" t="str">
        <f>IFERROR(__xludf.DUMMYFUNCTION("""COMPUTED_VALUE"""),"Michael")</f>
        <v>Michael</v>
      </c>
      <c r="B197" s="2" t="str">
        <f>IFERROR(__xludf.DUMMYFUNCTION("""COMPUTED_VALUE"""),"Levy")</f>
        <v>Levy</v>
      </c>
      <c r="C197" s="2" t="str">
        <f>IFERROR(__xludf.DUMMYFUNCTION("""COMPUTED_VALUE"""),"Key Personnel")</f>
        <v>Key Personnel</v>
      </c>
      <c r="D197" s="2" t="str">
        <f>IFERROR(__xludf.DUMMYFUNCTION("""COMPUTED_VALUE"""),"Levy")</f>
        <v>Levy</v>
      </c>
      <c r="E197" s="2" t="str">
        <f>IFERROR(__xludf.DUMMYFUNCTION("""COMPUTED_VALUE"""),"Collaborator")</f>
        <v>Collaborator</v>
      </c>
      <c r="F197" s="2" t="str">
        <f>IFERROR(__xludf.DUMMYFUNCTION("""COMPUTED_VALUE"""),"mlevy11@mgh.harvard.edu")</f>
        <v>mlevy11@mgh.harvard.edu</v>
      </c>
      <c r="G197" s="2" t="str">
        <f>IFERROR(__xludf.DUMMYFUNCTION("""COMPUTED_VALUE"""),"0000-0002-7969-8346")</f>
        <v>0000-0002-7969-8346</v>
      </c>
    </row>
    <row r="198">
      <c r="A198" s="2" t="str">
        <f>IFERROR(__xludf.DUMMYFUNCTION("""COMPUTED_VALUE"""),"Wang")</f>
        <v>Wang</v>
      </c>
      <c r="B198" s="2" t="str">
        <f>IFERROR(__xludf.DUMMYFUNCTION("""COMPUTED_VALUE"""),"Qing")</f>
        <v>Qing</v>
      </c>
      <c r="C198" s="2" t="str">
        <f>IFERROR(__xludf.DUMMYFUNCTION("""COMPUTED_VALUE"""),"Key Personnel")</f>
        <v>Key Personnel</v>
      </c>
      <c r="D198" s="2" t="str">
        <f>IFERROR(__xludf.DUMMYFUNCTION("""COMPUTED_VALUE"""),"Chen")</f>
        <v>Chen</v>
      </c>
      <c r="E198" s="2" t="str">
        <f>IFERROR(__xludf.DUMMYFUNCTION("""COMPUTED_VALUE"""),"Graduate Student")</f>
        <v>Graduate Student</v>
      </c>
      <c r="F198" s="2" t="str">
        <f>IFERROR(__xludf.DUMMYFUNCTION("""COMPUTED_VALUE"""),"qwang31@mgh.harvard.edu")</f>
        <v>qwang31@mgh.harvard.edu</v>
      </c>
      <c r="G198" s="2" t="str">
        <f>IFERROR(__xludf.DUMMYFUNCTION("""COMPUTED_VALUE"""),"0000-0002-4911-3300")</f>
        <v>0000-0002-4911-3300</v>
      </c>
    </row>
    <row r="199">
      <c r="A199" s="2" t="str">
        <f>IFERROR(__xludf.DUMMYFUNCTION("""COMPUTED_VALUE"""),"Ahn")</f>
        <v>Ahn</v>
      </c>
      <c r="B199" s="2" t="str">
        <f>IFERROR(__xludf.DUMMYFUNCTION("""COMPUTED_VALUE"""),"Jae")</f>
        <v>Jae</v>
      </c>
      <c r="C199" s="2" t="str">
        <f>IFERROR(__xludf.DUMMYFUNCTION("""COMPUTED_VALUE"""),"Key Personnel")</f>
        <v>Key Personnel</v>
      </c>
      <c r="D199" s="2" t="str">
        <f>IFERROR(__xludf.DUMMYFUNCTION("""COMPUTED_VALUE"""),"Chen")</f>
        <v>Chen</v>
      </c>
      <c r="E199" s="2" t="str">
        <f>IFERROR(__xludf.DUMMYFUNCTION("""COMPUTED_VALUE"""),"Intern")</f>
        <v>Intern</v>
      </c>
      <c r="F199" s="2" t="str">
        <f>IFERROR(__xludf.DUMMYFUNCTION("""COMPUTED_VALUE"""),"dcjya@bu.edu")</f>
        <v>dcjya@bu.edu</v>
      </c>
      <c r="G199" s="2" t="str">
        <f>IFERROR(__xludf.DUMMYFUNCTION("""COMPUTED_VALUE"""),"0000-0002-9508-4301")</f>
        <v>0000-0002-9508-4301</v>
      </c>
    </row>
    <row r="200">
      <c r="A200" s="2" t="str">
        <f>IFERROR(__xludf.DUMMYFUNCTION("""COMPUTED_VALUE"""),"Zheng")</f>
        <v>Zheng</v>
      </c>
      <c r="B200" s="2" t="str">
        <f>IFERROR(__xludf.DUMMYFUNCTION("""COMPUTED_VALUE"""),"Ningbo")</f>
        <v>Ningbo</v>
      </c>
      <c r="C200" s="2" t="str">
        <f>IFERROR(__xludf.DUMMYFUNCTION("""COMPUTED_VALUE"""),"Key Personnel")</f>
        <v>Key Personnel</v>
      </c>
      <c r="D200" s="2" t="str">
        <f>IFERROR(__xludf.DUMMYFUNCTION("""COMPUTED_VALUE"""),"Peng ")</f>
        <v>Peng </v>
      </c>
      <c r="E200" s="2" t="str">
        <f>IFERROR(__xludf.DUMMYFUNCTION("""COMPUTED_VALUE"""),"Postdoc Fellow")</f>
        <v>Postdoc Fellow</v>
      </c>
      <c r="F200" s="2" t="str">
        <f>IFERROR(__xludf.DUMMYFUNCTION("""COMPUTED_VALUE"""),"nzheng4@central.uh.edu")</f>
        <v>nzheng4@central.uh.edu</v>
      </c>
      <c r="G200" s="2" t="str">
        <f>IFERROR(__xludf.DUMMYFUNCTION("""COMPUTED_VALUE"""),"0000-0002-3684-5596")</f>
        <v>0000-0002-3684-5596</v>
      </c>
    </row>
    <row r="201">
      <c r="A201" s="2" t="str">
        <f>IFERROR(__xludf.DUMMYFUNCTION("""COMPUTED_VALUE"""),"Su")</f>
        <v>Su</v>
      </c>
      <c r="B201" s="2" t="str">
        <f>IFERROR(__xludf.DUMMYFUNCTION("""COMPUTED_VALUE"""),"Chienwen")</f>
        <v>Chienwen</v>
      </c>
      <c r="C201" s="2" t="str">
        <f>IFERROR(__xludf.DUMMYFUNCTION("""COMPUTED_VALUE"""),"Key Personnel")</f>
        <v>Key Personnel</v>
      </c>
      <c r="D201" s="2" t="str">
        <f>IFERROR(__xludf.DUMMYFUNCTION("""COMPUTED_VALUE"""),"Chen")</f>
        <v>Chen</v>
      </c>
      <c r="E201" s="2" t="str">
        <f>IFERROR(__xludf.DUMMYFUNCTION("""COMPUTED_VALUE"""),"Instructor")</f>
        <v>Instructor</v>
      </c>
      <c r="F201" s="2" t="str">
        <f>IFERROR(__xludf.DUMMYFUNCTION("""COMPUTED_VALUE"""),"csu2@mgh.harvard.edu")</f>
        <v>csu2@mgh.harvard.edu</v>
      </c>
      <c r="G201" s="2" t="str">
        <f>IFERROR(__xludf.DUMMYFUNCTION("""COMPUTED_VALUE"""),"0000-0003-2519-9709")</f>
        <v>0000-0003-2519-9709</v>
      </c>
    </row>
    <row r="202">
      <c r="A202" s="2" t="str">
        <f>IFERROR(__xludf.DUMMYFUNCTION("""COMPUTED_VALUE"""),"Zhou")</f>
        <v>Zhou</v>
      </c>
      <c r="B202" s="2" t="str">
        <f>IFERROR(__xludf.DUMMYFUNCTION("""COMPUTED_VALUE"""),"Fang")</f>
        <v>Fang</v>
      </c>
      <c r="C202" s="2" t="str">
        <f>IFERROR(__xludf.DUMMYFUNCTION("""COMPUTED_VALUE"""),"Key Personnel")</f>
        <v>Key Personnel</v>
      </c>
      <c r="D202" s="2" t="str">
        <f>IFERROR(__xludf.DUMMYFUNCTION("""COMPUTED_VALUE"""),"Chen")</f>
        <v>Chen</v>
      </c>
      <c r="E202" s="2" t="str">
        <f>IFERROR(__xludf.DUMMYFUNCTION("""COMPUTED_VALUE"""),"Postdoc Fellow")</f>
        <v>Postdoc Fellow</v>
      </c>
      <c r="F202" s="2" t="str">
        <f>IFERROR(__xludf.DUMMYFUNCTION("""COMPUTED_VALUE"""),"fzhou81@mgh.harvard.edu")</f>
        <v>fzhou81@mgh.harvard.edu</v>
      </c>
      <c r="G202" s="2" t="str">
        <f>IFERROR(__xludf.DUMMYFUNCTION("""COMPUTED_VALUE"""),"0000-0002-8913-1300")</f>
        <v>0000-0002-8913-1300</v>
      </c>
    </row>
    <row r="203">
      <c r="A203" s="2" t="str">
        <f>IFERROR(__xludf.DUMMYFUNCTION("""COMPUTED_VALUE"""),"Schumacher")</f>
        <v>Schumacher</v>
      </c>
      <c r="B203" s="2" t="str">
        <f>IFERROR(__xludf.DUMMYFUNCTION("""COMPUTED_VALUE"""),"Jackson")</f>
        <v>Jackson</v>
      </c>
      <c r="C203" s="2" t="str">
        <f>IFERROR(__xludf.DUMMYFUNCTION("""COMPUTED_VALUE"""),"Project Manager")</f>
        <v>Project Manager</v>
      </c>
      <c r="D203" s="2" t="str">
        <f>IFERROR(__xludf.DUMMYFUNCTION("""COMPUTED_VALUE"""),"Chen")</f>
        <v>Chen</v>
      </c>
      <c r="E203" s="2" t="str">
        <f>IFERROR(__xludf.DUMMYFUNCTION("""COMPUTED_VALUE"""),"Student")</f>
        <v>Student</v>
      </c>
      <c r="F203" s="2" t="str">
        <f>IFERROR(__xludf.DUMMYFUNCTION("""COMPUTED_VALUE"""),"jgschumacher@mgh.harvard.edu")</f>
        <v>jgschumacher@mgh.harvard.edu</v>
      </c>
      <c r="G203" s="2" t="str">
        <f>IFERROR(__xludf.DUMMYFUNCTION("""COMPUTED_VALUE"""),"0009-0000-4227-4710")</f>
        <v>0009-0000-4227-4710</v>
      </c>
    </row>
    <row r="204">
      <c r="A204" s="2" t="str">
        <f>IFERROR(__xludf.DUMMYFUNCTION("""COMPUTED_VALUE"""),"Guerrero")</f>
        <v>Guerrero</v>
      </c>
      <c r="B204" s="2" t="str">
        <f>IFERROR(__xludf.DUMMYFUNCTION("""COMPUTED_VALUE"""),"Ashley")</f>
        <v>Ashley</v>
      </c>
      <c r="C204" s="2" t="str">
        <f>IFERROR(__xludf.DUMMYFUNCTION("""COMPUTED_VALUE"""),"Key Personnel")</f>
        <v>Key Personnel</v>
      </c>
      <c r="D204" s="2" t="str">
        <f>IFERROR(__xludf.DUMMYFUNCTION("""COMPUTED_VALUE"""),"Peng ")</f>
        <v>Peng </v>
      </c>
      <c r="E204" s="2" t="str">
        <f>IFERROR(__xludf.DUMMYFUNCTION("""COMPUTED_VALUE"""),"Graduate Student")</f>
        <v>Graduate Student</v>
      </c>
      <c r="F204" s="2" t="str">
        <f>IFERROR(__xludf.DUMMYFUNCTION("""COMPUTED_VALUE"""),"amguerr9@cougarnet.uh.edu")</f>
        <v>amguerr9@cougarnet.uh.edu</v>
      </c>
      <c r="G204" s="2"/>
    </row>
    <row r="205">
      <c r="A205" s="2" t="str">
        <f>IFERROR(__xludf.DUMMYFUNCTION("""COMPUTED_VALUE"""),"Fassini")</f>
        <v>Fassini</v>
      </c>
      <c r="B205" s="2" t="str">
        <f>IFERROR(__xludf.DUMMYFUNCTION("""COMPUTED_VALUE"""),"Aline")</f>
        <v>Aline</v>
      </c>
      <c r="C205" s="2" t="str">
        <f>IFERROR(__xludf.DUMMYFUNCTION("""COMPUTED_VALUE"""),"Key Personnel")</f>
        <v>Key Personnel</v>
      </c>
      <c r="D205" s="2" t="str">
        <f>IFERROR(__xludf.DUMMYFUNCTION("""COMPUTED_VALUE"""),"Chen")</f>
        <v>Chen</v>
      </c>
      <c r="E205" s="2" t="str">
        <f>IFERROR(__xludf.DUMMYFUNCTION("""COMPUTED_VALUE"""),"Postdoc Fellow")</f>
        <v>Postdoc Fellow</v>
      </c>
      <c r="F205" s="2" t="str">
        <f>IFERROR(__xludf.DUMMYFUNCTION("""COMPUTED_VALUE"""),"afassini@mgh.harvard.edu")</f>
        <v>afassini@mgh.harvard.edu</v>
      </c>
      <c r="G205" s="2" t="str">
        <f>IFERROR(__xludf.DUMMYFUNCTION("""COMPUTED_VALUE"""),"0000-0002-9523-9342")</f>
        <v>0000-0002-9523-9342</v>
      </c>
    </row>
    <row r="206">
      <c r="A206" s="2" t="str">
        <f>IFERROR(__xludf.DUMMYFUNCTION("""COMPUTED_VALUE"""),"Ahmed")</f>
        <v>Ahmed</v>
      </c>
      <c r="B206" s="2" t="str">
        <f>IFERROR(__xludf.DUMMYFUNCTION("""COMPUTED_VALUE"""),"Sarfraz")</f>
        <v>Sarfraz</v>
      </c>
      <c r="C206" s="2" t="str">
        <f>IFERROR(__xludf.DUMMYFUNCTION("""COMPUTED_VALUE"""),"Key Personnel")</f>
        <v>Key Personnel</v>
      </c>
      <c r="D206" s="2" t="str">
        <f>IFERROR(__xludf.DUMMYFUNCTION("""COMPUTED_VALUE"""),"Chen")</f>
        <v>Chen</v>
      </c>
      <c r="E206" s="2" t="str">
        <f>IFERROR(__xludf.DUMMYFUNCTION("""COMPUTED_VALUE"""),"Collaborator")</f>
        <v>Collaborator</v>
      </c>
      <c r="F206" s="2" t="str">
        <f>IFERROR(__xludf.DUMMYFUNCTION("""COMPUTED_VALUE"""),"sahmed45@mgh.harvard.edu")</f>
        <v>sahmed45@mgh.harvard.edu</v>
      </c>
      <c r="G206" s="2" t="str">
        <f>IFERROR(__xludf.DUMMYFUNCTION("""COMPUTED_VALUE"""),"0000-0001-5879-0461")</f>
        <v>0000-0001-5879-0461</v>
      </c>
    </row>
    <row r="207">
      <c r="A207" s="2" t="str">
        <f>IFERROR(__xludf.DUMMYFUNCTION("""COMPUTED_VALUE"""),"Zhao")</f>
        <v>Zhao</v>
      </c>
      <c r="B207" s="2" t="str">
        <f>IFERROR(__xludf.DUMMYFUNCTION("""COMPUTED_VALUE"""),"Yuhang")</f>
        <v>Yuhang</v>
      </c>
      <c r="C207" s="2" t="str">
        <f>IFERROR(__xludf.DUMMYFUNCTION("""COMPUTED_VALUE"""),"Key Personnel")</f>
        <v>Key Personnel</v>
      </c>
      <c r="D207" s="2" t="str">
        <f>IFERROR(__xludf.DUMMYFUNCTION("""COMPUTED_VALUE"""),"Chen")</f>
        <v>Chen</v>
      </c>
      <c r="E207" s="2" t="str">
        <f>IFERROR(__xludf.DUMMYFUNCTION("""COMPUTED_VALUE"""),"Postdoc Fellow ")</f>
        <v>Postdoc Fellow </v>
      </c>
      <c r="F207" s="2" t="str">
        <f>IFERROR(__xludf.DUMMYFUNCTION("""COMPUTED_VALUE"""),"yzhao46@mgh.harvard.edu")</f>
        <v>yzhao46@mgh.harvard.edu</v>
      </c>
      <c r="G207" s="2" t="str">
        <f>IFERROR(__xludf.DUMMYFUNCTION("""COMPUTED_VALUE"""),"0009-0000-9976-3478")</f>
        <v>0009-0000-9976-3478</v>
      </c>
    </row>
    <row r="208">
      <c r="A208" s="2" t="str">
        <f>IFERROR(__xludf.DUMMYFUNCTION("""COMPUTED_VALUE"""),"Bayati")</f>
        <v>Bayati</v>
      </c>
      <c r="B208" s="2" t="str">
        <f>IFERROR(__xludf.DUMMYFUNCTION("""COMPUTED_VALUE"""),"Armin")</f>
        <v>Armin</v>
      </c>
      <c r="C208" s="2" t="str">
        <f>IFERROR(__xludf.DUMMYFUNCTION("""COMPUTED_VALUE"""),"Key Personnel")</f>
        <v>Key Personnel</v>
      </c>
      <c r="D208" s="2" t="str">
        <f>IFERROR(__xludf.DUMMYFUNCTION("""COMPUTED_VALUE"""),"Chen")</f>
        <v>Chen</v>
      </c>
      <c r="E208" s="2" t="str">
        <f>IFERROR(__xludf.DUMMYFUNCTION("""COMPUTED_VALUE"""),"Postdoc Fellow")</f>
        <v>Postdoc Fellow</v>
      </c>
      <c r="F208" s="2" t="str">
        <f>IFERROR(__xludf.DUMMYFUNCTION("""COMPUTED_VALUE"""),"abayati@bwh.harvard.edu")</f>
        <v>abayati@bwh.harvard.edu</v>
      </c>
      <c r="G208" s="2" t="str">
        <f>IFERROR(__xludf.DUMMYFUNCTION("""COMPUTED_VALUE"""),"0000-0002-5960-0479")</f>
        <v>0000-0002-5960-0479</v>
      </c>
    </row>
    <row r="209">
      <c r="A209" s="2" t="str">
        <f>IFERROR(__xludf.DUMMYFUNCTION("""COMPUTED_VALUE"""),"Vrban")</f>
        <v>Vrban</v>
      </c>
      <c r="B209" s="2" t="str">
        <f>IFERROR(__xludf.DUMMYFUNCTION("""COMPUTED_VALUE"""),"Hanka")</f>
        <v>Hanka</v>
      </c>
      <c r="C209" s="2" t="str">
        <f>IFERROR(__xludf.DUMMYFUNCTION("""COMPUTED_VALUE"""),"Key Personnel")</f>
        <v>Key Personnel</v>
      </c>
      <c r="D209" s="2" t="str">
        <f>IFERROR(__xludf.DUMMYFUNCTION("""COMPUTED_VALUE"""),"Yee")</f>
        <v>Yee</v>
      </c>
      <c r="E209" s="2" t="str">
        <f>IFERROR(__xludf.DUMMYFUNCTION("""COMPUTED_VALUE"""),"Research Assistant ")</f>
        <v>Research Assistant </v>
      </c>
      <c r="F209" s="2" t="str">
        <f>IFERROR(__xludf.DUMMYFUNCTION("""COMPUTED_VALUE"""),"hvrban@mdanderson.org")</f>
        <v>hvrban@mdanderson.org</v>
      </c>
      <c r="G209" s="2" t="str">
        <f>IFERROR(__xludf.DUMMYFUNCTION("""COMPUTED_VALUE"""),"0000-0002-9486-121X")</f>
        <v>0000-0002-9486-121X</v>
      </c>
    </row>
    <row r="210">
      <c r="A210" s="2" t="str">
        <f>IFERROR(__xludf.DUMMYFUNCTION("""COMPUTED_VALUE"""),"Cragg")</f>
        <v>Cragg</v>
      </c>
      <c r="B210" s="2" t="str">
        <f>IFERROR(__xludf.DUMMYFUNCTION("""COMPUTED_VALUE"""),"Stephanie")</f>
        <v>Stephanie</v>
      </c>
      <c r="C210" s="2" t="str">
        <f>IFERROR(__xludf.DUMMYFUNCTION("""COMPUTED_VALUE"""),"Lead-PI")</f>
        <v>Lead-PI</v>
      </c>
      <c r="D210" s="2" t="str">
        <f>IFERROR(__xludf.DUMMYFUNCTION("""COMPUTED_VALUE"""),"Cragg")</f>
        <v>Cragg</v>
      </c>
      <c r="E210" s="2" t="str">
        <f>IFERROR(__xludf.DUMMYFUNCTION("""COMPUTED_VALUE"""),"PI")</f>
        <v>PI</v>
      </c>
      <c r="F210" s="2" t="str">
        <f>IFERROR(__xludf.DUMMYFUNCTION("""COMPUTED_VALUE"""),"stephanie.cragg@dpag.ox.ac.uk")</f>
        <v>stephanie.cragg@dpag.ox.ac.uk</v>
      </c>
      <c r="G210" s="2" t="str">
        <f>IFERROR(__xludf.DUMMYFUNCTION("""COMPUTED_VALUE"""),"0000-0001-9677-2256")</f>
        <v>0000-0001-9677-2256</v>
      </c>
    </row>
    <row r="211">
      <c r="A211" s="2" t="str">
        <f>IFERROR(__xludf.DUMMYFUNCTION("""COMPUTED_VALUE"""),"Howe")</f>
        <v>Howe</v>
      </c>
      <c r="B211" s="2" t="str">
        <f>IFERROR(__xludf.DUMMYFUNCTION("""COMPUTED_VALUE"""),"Mark")</f>
        <v>Mark</v>
      </c>
      <c r="C211" s="2" t="str">
        <f>IFERROR(__xludf.DUMMYFUNCTION("""COMPUTED_VALUE"""),"Co-PI")</f>
        <v>Co-PI</v>
      </c>
      <c r="D211" s="2" t="str">
        <f>IFERROR(__xludf.DUMMYFUNCTION("""COMPUTED_VALUE"""),"Howe")</f>
        <v>Howe</v>
      </c>
      <c r="E211" s="2" t="str">
        <f>IFERROR(__xludf.DUMMYFUNCTION("""COMPUTED_VALUE"""),"PI")</f>
        <v>PI</v>
      </c>
      <c r="F211" s="2" t="str">
        <f>IFERROR(__xludf.DUMMYFUNCTION("""COMPUTED_VALUE"""),"mwhowe@bu.edu")</f>
        <v>mwhowe@bu.edu</v>
      </c>
      <c r="G211" s="2" t="str">
        <f>IFERROR(__xludf.DUMMYFUNCTION("""COMPUTED_VALUE"""),"0000-0002-6865-5084")</f>
        <v>0000-0002-6865-5084</v>
      </c>
    </row>
    <row r="212">
      <c r="A212" s="2" t="str">
        <f>IFERROR(__xludf.DUMMYFUNCTION("""COMPUTED_VALUE"""),"Magill")</f>
        <v>Magill</v>
      </c>
      <c r="B212" s="2" t="str">
        <f>IFERROR(__xludf.DUMMYFUNCTION("""COMPUTED_VALUE"""),"Peter")</f>
        <v>Peter</v>
      </c>
      <c r="C212" s="2" t="str">
        <f>IFERROR(__xludf.DUMMYFUNCTION("""COMPUTED_VALUE"""),"Co-PI")</f>
        <v>Co-PI</v>
      </c>
      <c r="D212" s="2" t="str">
        <f>IFERROR(__xludf.DUMMYFUNCTION("""COMPUTED_VALUE"""),"Magill")</f>
        <v>Magill</v>
      </c>
      <c r="E212" s="2" t="str">
        <f>IFERROR(__xludf.DUMMYFUNCTION("""COMPUTED_VALUE"""),"PI")</f>
        <v>PI</v>
      </c>
      <c r="F212" s="2" t="str">
        <f>IFERROR(__xludf.DUMMYFUNCTION("""COMPUTED_VALUE"""),"peter.magill@ndcn.ox.ac.uk")</f>
        <v>peter.magill@ndcn.ox.ac.uk</v>
      </c>
      <c r="G212" s="2" t="str">
        <f>IFERROR(__xludf.DUMMYFUNCTION("""COMPUTED_VALUE"""),"0000-0001-7141-7071")</f>
        <v>0000-0001-7141-7071</v>
      </c>
    </row>
    <row r="213">
      <c r="A213" s="2" t="str">
        <f>IFERROR(__xludf.DUMMYFUNCTION("""COMPUTED_VALUE"""),"Meletis")</f>
        <v>Meletis</v>
      </c>
      <c r="B213" s="2" t="str">
        <f>IFERROR(__xludf.DUMMYFUNCTION("""COMPUTED_VALUE"""),"Dinos (Konstantinos)")</f>
        <v>Dinos (Konstantinos)</v>
      </c>
      <c r="C213" s="2" t="str">
        <f>IFERROR(__xludf.DUMMYFUNCTION("""COMPUTED_VALUE"""),"Co-PI")</f>
        <v>Co-PI</v>
      </c>
      <c r="D213" s="2" t="str">
        <f>IFERROR(__xludf.DUMMYFUNCTION("""COMPUTED_VALUE"""),"Meletis")</f>
        <v>Meletis</v>
      </c>
      <c r="E213" s="2" t="str">
        <f>IFERROR(__xludf.DUMMYFUNCTION("""COMPUTED_VALUE"""),"PI")</f>
        <v>PI</v>
      </c>
      <c r="F213" s="2" t="str">
        <f>IFERROR(__xludf.DUMMYFUNCTION("""COMPUTED_VALUE"""),"Dinos.Meletis@ki.se")</f>
        <v>Dinos.Meletis@ki.se</v>
      </c>
      <c r="G213" s="2" t="str">
        <f>IFERROR(__xludf.DUMMYFUNCTION("""COMPUTED_VALUE"""),"0000-0001-5665-4781")</f>
        <v>0000-0001-5665-4781</v>
      </c>
    </row>
    <row r="214">
      <c r="A214" s="2" t="str">
        <f>IFERROR(__xludf.DUMMYFUNCTION("""COMPUTED_VALUE"""),"Wade-Martins")</f>
        <v>Wade-Martins</v>
      </c>
      <c r="B214" s="2" t="str">
        <f>IFERROR(__xludf.DUMMYFUNCTION("""COMPUTED_VALUE"""),"Richard")</f>
        <v>Richard</v>
      </c>
      <c r="C214" s="2" t="str">
        <f>IFERROR(__xludf.DUMMYFUNCTION("""COMPUTED_VALUE"""),"Co-PI")</f>
        <v>Co-PI</v>
      </c>
      <c r="D214" s="2" t="str">
        <f>IFERROR(__xludf.DUMMYFUNCTION("""COMPUTED_VALUE"""),"Wade-Martins")</f>
        <v>Wade-Martins</v>
      </c>
      <c r="E214" s="2" t="str">
        <f>IFERROR(__xludf.DUMMYFUNCTION("""COMPUTED_VALUE"""),"PI")</f>
        <v>PI</v>
      </c>
      <c r="F214" s="2" t="str">
        <f>IFERROR(__xludf.DUMMYFUNCTION("""COMPUTED_VALUE"""),"richard.wade-martins@dpag.ox.ac.uk")</f>
        <v>richard.wade-martins@dpag.ox.ac.uk</v>
      </c>
      <c r="G214" s="2" t="str">
        <f>IFERROR(__xludf.DUMMYFUNCTION("""COMPUTED_VALUE"""),"0000-0001-6691-580X")</f>
        <v>0000-0001-6691-580X</v>
      </c>
    </row>
    <row r="215">
      <c r="A215" s="2" t="str">
        <f>IFERROR(__xludf.DUMMYFUNCTION("""COMPUTED_VALUE"""),"Mendes")</f>
        <v>Mendes</v>
      </c>
      <c r="B215" s="2" t="str">
        <f>IFERROR(__xludf.DUMMYFUNCTION("""COMPUTED_VALUE"""),"Cláudia")</f>
        <v>Cláudia</v>
      </c>
      <c r="C215" s="2" t="str">
        <f>IFERROR(__xludf.DUMMYFUNCTION("""COMPUTED_VALUE"""),"Project Manager")</f>
        <v>Project Manager</v>
      </c>
      <c r="D215" s="2" t="str">
        <f>IFERROR(__xludf.DUMMYFUNCTION("""COMPUTED_VALUE"""),"Cragg")</f>
        <v>Cragg</v>
      </c>
      <c r="E215" s="2" t="str">
        <f>IFERROR(__xludf.DUMMYFUNCTION("""COMPUTED_VALUE"""),"Project Manager")</f>
        <v>Project Manager</v>
      </c>
      <c r="F215" s="2" t="str">
        <f>IFERROR(__xludf.DUMMYFUNCTION("""COMPUTED_VALUE"""),"claudia.mendes@dpag.ox.ac.uk")</f>
        <v>claudia.mendes@dpag.ox.ac.uk</v>
      </c>
      <c r="G215" s="2" t="str">
        <f>IFERROR(__xludf.DUMMYFUNCTION("""COMPUTED_VALUE"""),"0000-0003-0761-5676")</f>
        <v>0000-0003-0761-5676</v>
      </c>
    </row>
    <row r="216">
      <c r="A216" s="2" t="str">
        <f>IFERROR(__xludf.DUMMYFUNCTION("""COMPUTED_VALUE"""),"Li")</f>
        <v>Li</v>
      </c>
      <c r="B216" s="2" t="str">
        <f>IFERROR(__xludf.DUMMYFUNCTION("""COMPUTED_VALUE"""),"Yulong")</f>
        <v>Yulong</v>
      </c>
      <c r="C216" s="2" t="str">
        <f>IFERROR(__xludf.DUMMYFUNCTION("""COMPUTED_VALUE"""),"Collaborating PI")</f>
        <v>Collaborating PI</v>
      </c>
      <c r="D216" s="2" t="str">
        <f>IFERROR(__xludf.DUMMYFUNCTION("""COMPUTED_VALUE"""),"Li")</f>
        <v>Li</v>
      </c>
      <c r="E216" s="2" t="str">
        <f>IFERROR(__xludf.DUMMYFUNCTION("""COMPUTED_VALUE"""),"PI")</f>
        <v>PI</v>
      </c>
      <c r="F216" s="2" t="str">
        <f>IFERROR(__xludf.DUMMYFUNCTION("""COMPUTED_VALUE"""),"yulongli@pku.edu.cn")</f>
        <v>yulongli@pku.edu.cn</v>
      </c>
      <c r="G216" s="2" t="str">
        <f>IFERROR(__xludf.DUMMYFUNCTION("""COMPUTED_VALUE"""),"0000-0002-9166-9919")</f>
        <v>0000-0002-9166-9919</v>
      </c>
    </row>
    <row r="217">
      <c r="A217" s="2" t="str">
        <f>IFERROR(__xludf.DUMMYFUNCTION("""COMPUTED_VALUE"""),"Lin")</f>
        <v>Lin</v>
      </c>
      <c r="B217" s="2" t="str">
        <f>IFERROR(__xludf.DUMMYFUNCTION("""COMPUTED_VALUE"""),"Michael")</f>
        <v>Michael</v>
      </c>
      <c r="C217" s="2" t="str">
        <f>IFERROR(__xludf.DUMMYFUNCTION("""COMPUTED_VALUE"""),"Collaborating PI")</f>
        <v>Collaborating PI</v>
      </c>
      <c r="D217" s="2" t="str">
        <f>IFERROR(__xludf.DUMMYFUNCTION("""COMPUTED_VALUE"""),"Lin")</f>
        <v>Lin</v>
      </c>
      <c r="E217" s="2" t="str">
        <f>IFERROR(__xludf.DUMMYFUNCTION("""COMPUTED_VALUE"""),"PI")</f>
        <v>PI</v>
      </c>
      <c r="F217" s="2" t="str">
        <f>IFERROR(__xludf.DUMMYFUNCTION("""COMPUTED_VALUE"""),"mzlin@stanford.edu")</f>
        <v>mzlin@stanford.edu</v>
      </c>
      <c r="G217" s="2" t="str">
        <f>IFERROR(__xludf.DUMMYFUNCTION("""COMPUTED_VALUE"""),"0000-0002-0492-1961")</f>
        <v>0000-0002-0492-1961</v>
      </c>
    </row>
    <row r="218">
      <c r="A218" s="2" t="str">
        <f>IFERROR(__xludf.DUMMYFUNCTION("""COMPUTED_VALUE"""),"Brimblecombe")</f>
        <v>Brimblecombe</v>
      </c>
      <c r="B218" s="2" t="str">
        <f>IFERROR(__xludf.DUMMYFUNCTION("""COMPUTED_VALUE"""),"Katherine")</f>
        <v>Katherine</v>
      </c>
      <c r="C218" s="2" t="str">
        <f>IFERROR(__xludf.DUMMYFUNCTION("""COMPUTED_VALUE"""),"Key Personnel")</f>
        <v>Key Personnel</v>
      </c>
      <c r="D218" s="2" t="str">
        <f>IFERROR(__xludf.DUMMYFUNCTION("""COMPUTED_VALUE"""),"Cragg")</f>
        <v>Cragg</v>
      </c>
      <c r="E218" s="2" t="str">
        <f>IFERROR(__xludf.DUMMYFUNCTION("""COMPUTED_VALUE"""),"Post-doctoral researcher ")</f>
        <v>Post-doctoral researcher </v>
      </c>
      <c r="F218" s="2" t="str">
        <f>IFERROR(__xludf.DUMMYFUNCTION("""COMPUTED_VALUE"""),"katherine.brimblecombe@dpag.ox.ac.uk")</f>
        <v>katherine.brimblecombe@dpag.ox.ac.uk</v>
      </c>
      <c r="G218" s="2" t="str">
        <f>IFERROR(__xludf.DUMMYFUNCTION("""COMPUTED_VALUE"""),"0000-0003-0809-7292")</f>
        <v>0000-0003-0809-7292</v>
      </c>
    </row>
    <row r="219">
      <c r="A219" s="2" t="str">
        <f>IFERROR(__xludf.DUMMYFUNCTION("""COMPUTED_VALUE"""),"Burgeno")</f>
        <v>Burgeno</v>
      </c>
      <c r="B219" s="2" t="str">
        <f>IFERROR(__xludf.DUMMYFUNCTION("""COMPUTED_VALUE"""),"Lauren")</f>
        <v>Lauren</v>
      </c>
      <c r="C219" s="2" t="str">
        <f>IFERROR(__xludf.DUMMYFUNCTION("""COMPUTED_VALUE"""),"Key Personnel")</f>
        <v>Key Personnel</v>
      </c>
      <c r="D219" s="2" t="str">
        <f>IFERROR(__xludf.DUMMYFUNCTION("""COMPUTED_VALUE"""),"Cragg")</f>
        <v>Cragg</v>
      </c>
      <c r="E219" s="2" t="str">
        <f>IFERROR(__xludf.DUMMYFUNCTION("""COMPUTED_VALUE"""),"Post-doctoral researcher ")</f>
        <v>Post-doctoral researcher </v>
      </c>
      <c r="F219" s="2" t="str">
        <f>IFERROR(__xludf.DUMMYFUNCTION("""COMPUTED_VALUE"""),"lauren.burgeno@dpag.ox.ac.uk")</f>
        <v>lauren.burgeno@dpag.ox.ac.uk</v>
      </c>
      <c r="G219" s="2" t="str">
        <f>IFERROR(__xludf.DUMMYFUNCTION("""COMPUTED_VALUE"""),"0000-0001-9305-1621")</f>
        <v>0000-0001-9305-1621</v>
      </c>
    </row>
    <row r="220">
      <c r="A220" s="2" t="str">
        <f>IFERROR(__xludf.DUMMYFUNCTION("""COMPUTED_VALUE"""),"O'Connor")</f>
        <v>O'Connor</v>
      </c>
      <c r="B220" s="2" t="str">
        <f>IFERROR(__xludf.DUMMYFUNCTION("""COMPUTED_VALUE"""),"Bethan")</f>
        <v>Bethan</v>
      </c>
      <c r="C220" s="2" t="str">
        <f>IFERROR(__xludf.DUMMYFUNCTION("""COMPUTED_VALUE"""),"Key Personnel")</f>
        <v>Key Personnel</v>
      </c>
      <c r="D220" s="2" t="str">
        <f>IFERROR(__xludf.DUMMYFUNCTION("""COMPUTED_VALUE"""),"Cragg")</f>
        <v>Cragg</v>
      </c>
      <c r="E220" s="2" t="str">
        <f>IFERROR(__xludf.DUMMYFUNCTION("""COMPUTED_VALUE"""),"Graduate student")</f>
        <v>Graduate student</v>
      </c>
      <c r="F220" s="2" t="str">
        <f>IFERROR(__xludf.DUMMYFUNCTION("""COMPUTED_VALUE"""),"bethan.oconnor@balliol.ox.ac.uk")</f>
        <v>bethan.oconnor@balliol.ox.ac.uk</v>
      </c>
      <c r="G220" s="2" t="str">
        <f>IFERROR(__xludf.DUMMYFUNCTION("""COMPUTED_VALUE"""),"0000-0002-0093-5688")</f>
        <v>0000-0002-0093-5688</v>
      </c>
    </row>
    <row r="221">
      <c r="A221" s="2" t="str">
        <f>IFERROR(__xludf.DUMMYFUNCTION("""COMPUTED_VALUE"""),"Raina")</f>
        <v>Raina</v>
      </c>
      <c r="B221" s="2" t="str">
        <f>IFERROR(__xludf.DUMMYFUNCTION("""COMPUTED_VALUE"""),"Shinil")</f>
        <v>Shinil</v>
      </c>
      <c r="C221" s="2" t="str">
        <f>IFERROR(__xludf.DUMMYFUNCTION("""COMPUTED_VALUE"""),"Key Personnel")</f>
        <v>Key Personnel</v>
      </c>
      <c r="D221" s="2" t="str">
        <f>IFERROR(__xludf.DUMMYFUNCTION("""COMPUTED_VALUE"""),"Cragg")</f>
        <v>Cragg</v>
      </c>
      <c r="E221" s="2" t="str">
        <f>IFERROR(__xludf.DUMMYFUNCTION("""COMPUTED_VALUE"""),"Research assistant")</f>
        <v>Research assistant</v>
      </c>
      <c r="F221" s="2" t="str">
        <f>IFERROR(__xludf.DUMMYFUNCTION("""COMPUTED_VALUE"""),"shinil.raina@dpag.ox.ac.uk")</f>
        <v>shinil.raina@dpag.ox.ac.uk</v>
      </c>
      <c r="G221" s="2" t="str">
        <f>IFERROR(__xludf.DUMMYFUNCTION("""COMPUTED_VALUE"""),"0000-0002-1837-9616")</f>
        <v>0000-0002-1837-9616</v>
      </c>
    </row>
    <row r="222">
      <c r="A222" s="2" t="str">
        <f>IFERROR(__xludf.DUMMYFUNCTION("""COMPUTED_VALUE"""),"Duquenoy")</f>
        <v>Duquenoy</v>
      </c>
      <c r="B222" s="2" t="str">
        <f>IFERROR(__xludf.DUMMYFUNCTION("""COMPUTED_VALUE"""),"Lucille")</f>
        <v>Lucille</v>
      </c>
      <c r="C222" s="2" t="str">
        <f>IFERROR(__xludf.DUMMYFUNCTION("""COMPUTED_VALUE"""),"Key Personnel")</f>
        <v>Key Personnel</v>
      </c>
      <c r="D222" s="2" t="str">
        <f>IFERROR(__xludf.DUMMYFUNCTION("""COMPUTED_VALUE"""),"Cragg")</f>
        <v>Cragg</v>
      </c>
      <c r="E222" s="2" t="str">
        <f>IFERROR(__xludf.DUMMYFUNCTION("""COMPUTED_VALUE"""),"Graduate student")</f>
        <v>Graduate student</v>
      </c>
      <c r="F222" s="2" t="str">
        <f>IFERROR(__xludf.DUMMYFUNCTION("""COMPUTED_VALUE"""),"lucille.duquenoy@sjc.ox.ac.uk")</f>
        <v>lucille.duquenoy@sjc.ox.ac.uk</v>
      </c>
      <c r="G222" s="2" t="str">
        <f>IFERROR(__xludf.DUMMYFUNCTION("""COMPUTED_VALUE"""),"0000-0003-2357-2549")</f>
        <v>0000-0003-2357-2549</v>
      </c>
    </row>
    <row r="223">
      <c r="A223" s="2" t="str">
        <f>IFERROR(__xludf.DUMMYFUNCTION("""COMPUTED_VALUE"""),"Livesey")</f>
        <v>Livesey</v>
      </c>
      <c r="B223" s="2" t="str">
        <f>IFERROR(__xludf.DUMMYFUNCTION("""COMPUTED_VALUE"""),"Jessica ")</f>
        <v>Jessica </v>
      </c>
      <c r="C223" s="2" t="str">
        <f>IFERROR(__xludf.DUMMYFUNCTION("""COMPUTED_VALUE"""),"Key Personnel")</f>
        <v>Key Personnel</v>
      </c>
      <c r="D223" s="2" t="str">
        <f>IFERROR(__xludf.DUMMYFUNCTION("""COMPUTED_VALUE"""),"Cragg")</f>
        <v>Cragg</v>
      </c>
      <c r="E223" s="2" t="str">
        <f>IFERROR(__xludf.DUMMYFUNCTION("""COMPUTED_VALUE"""),"Graduate student")</f>
        <v>Graduate student</v>
      </c>
      <c r="F223" s="2" t="str">
        <f>IFERROR(__xludf.DUMMYFUNCTION("""COMPUTED_VALUE"""),"jessica.livesey@balliol.ox.ac.uk")</f>
        <v>jessica.livesey@balliol.ox.ac.uk</v>
      </c>
      <c r="G223" s="2" t="str">
        <f>IFERROR(__xludf.DUMMYFUNCTION("""COMPUTED_VALUE"""),"0000-0002-4291-704X")</f>
        <v>0000-0002-4291-704X</v>
      </c>
    </row>
    <row r="224">
      <c r="A224" s="2" t="str">
        <f>IFERROR(__xludf.DUMMYFUNCTION("""COMPUTED_VALUE"""),"Qiao")</f>
        <v>Qiao</v>
      </c>
      <c r="B224" s="2" t="str">
        <f>IFERROR(__xludf.DUMMYFUNCTION("""COMPUTED_VALUE"""),"Qinbo")</f>
        <v>Qinbo</v>
      </c>
      <c r="C224" s="2" t="str">
        <f>IFERROR(__xludf.DUMMYFUNCTION("""COMPUTED_VALUE"""),"Key Personnel")</f>
        <v>Key Personnel</v>
      </c>
      <c r="D224" s="2" t="str">
        <f>IFERROR(__xludf.DUMMYFUNCTION("""COMPUTED_VALUE"""),"Cragg")</f>
        <v>Cragg</v>
      </c>
      <c r="E224" s="2" t="str">
        <f>IFERROR(__xludf.DUMMYFUNCTION("""COMPUTED_VALUE"""),"Graduate student")</f>
        <v>Graduate student</v>
      </c>
      <c r="F224" s="2" t="str">
        <f>IFERROR(__xludf.DUMMYFUNCTION("""COMPUTED_VALUE"""),"qinbo.qiao@dpag.ox.ac.uk")</f>
        <v>qinbo.qiao@dpag.ox.ac.uk</v>
      </c>
      <c r="G224" s="2" t="str">
        <f>IFERROR(__xludf.DUMMYFUNCTION("""COMPUTED_VALUE"""),"0000-0002-5071-5579")</f>
        <v>0000-0002-5071-5579</v>
      </c>
    </row>
    <row r="225">
      <c r="A225" s="2" t="str">
        <f>IFERROR(__xludf.DUMMYFUNCTION("""COMPUTED_VALUE"""),"Todd")</f>
        <v>Todd</v>
      </c>
      <c r="B225" s="2" t="str">
        <f>IFERROR(__xludf.DUMMYFUNCTION("""COMPUTED_VALUE"""),"Kathryn")</f>
        <v>Kathryn</v>
      </c>
      <c r="C225" s="2" t="str">
        <f>IFERROR(__xludf.DUMMYFUNCTION("""COMPUTED_VALUE"""),"Key Personnel")</f>
        <v>Key Personnel</v>
      </c>
      <c r="D225" s="2" t="str">
        <f>IFERROR(__xludf.DUMMYFUNCTION("""COMPUTED_VALUE"""),"Cragg")</f>
        <v>Cragg</v>
      </c>
      <c r="E225" s="2" t="str">
        <f>IFERROR(__xludf.DUMMYFUNCTION("""COMPUTED_VALUE"""),"Post-doctoral Researcher ")</f>
        <v>Post-doctoral Researcher </v>
      </c>
      <c r="F225" s="2" t="str">
        <f>IFERROR(__xludf.DUMMYFUNCTION("""COMPUTED_VALUE"""),"kathryn.todd@dpag.ox.ac.uk")</f>
        <v>kathryn.todd@dpag.ox.ac.uk</v>
      </c>
      <c r="G225" s="2" t="str">
        <f>IFERROR(__xludf.DUMMYFUNCTION("""COMPUTED_VALUE"""),"0000-0002-6678-8668")</f>
        <v>0000-0002-6678-8668</v>
      </c>
    </row>
    <row r="226">
      <c r="A226" s="2" t="str">
        <f>IFERROR(__xludf.DUMMYFUNCTION("""COMPUTED_VALUE"""),"Bossi")</f>
        <v>Bossi</v>
      </c>
      <c r="B226" s="2" t="str">
        <f>IFERROR(__xludf.DUMMYFUNCTION("""COMPUTED_VALUE"""),"Simon")</f>
        <v>Simon</v>
      </c>
      <c r="C226" s="2" t="str">
        <f>IFERROR(__xludf.DUMMYFUNCTION("""COMPUTED_VALUE"""),"Key Personnel")</f>
        <v>Key Personnel</v>
      </c>
      <c r="D226" s="2" t="str">
        <f>IFERROR(__xludf.DUMMYFUNCTION("""COMPUTED_VALUE"""),"Cragg")</f>
        <v>Cragg</v>
      </c>
      <c r="E226" s="2" t="str">
        <f>IFERROR(__xludf.DUMMYFUNCTION("""COMPUTED_VALUE"""),"Post-doctoral Researcher ")</f>
        <v>Post-doctoral Researcher </v>
      </c>
      <c r="F226" s="2" t="str">
        <f>IFERROR(__xludf.DUMMYFUNCTION("""COMPUTED_VALUE"""),"simon.bossi@dpag.ox.ac.uk")</f>
        <v>simon.bossi@dpag.ox.ac.uk</v>
      </c>
      <c r="G226" s="2" t="str">
        <f>IFERROR(__xludf.DUMMYFUNCTION("""COMPUTED_VALUE"""),"0000-0001-6411-5075")</f>
        <v>0000-0001-6411-5075</v>
      </c>
    </row>
    <row r="227">
      <c r="A227" s="2" t="str">
        <f>IFERROR(__xludf.DUMMYFUNCTION("""COMPUTED_VALUE"""),"Vedula")</f>
        <v>Vedula</v>
      </c>
      <c r="B227" s="2" t="str">
        <f>IFERROR(__xludf.DUMMYFUNCTION("""COMPUTED_VALUE"""),"Aishwarya")</f>
        <v>Aishwarya</v>
      </c>
      <c r="C227" s="2" t="str">
        <f>IFERROR(__xludf.DUMMYFUNCTION("""COMPUTED_VALUE"""),"Key Personnel")</f>
        <v>Key Personnel</v>
      </c>
      <c r="D227" s="2" t="str">
        <f>IFERROR(__xludf.DUMMYFUNCTION("""COMPUTED_VALUE"""),"Cragg")</f>
        <v>Cragg</v>
      </c>
      <c r="E227" s="2" t="str">
        <f>IFERROR(__xludf.DUMMYFUNCTION("""COMPUTED_VALUE"""),"Graduate student")</f>
        <v>Graduate student</v>
      </c>
      <c r="F227" s="2" t="str">
        <f>IFERROR(__xludf.DUMMYFUNCTION("""COMPUTED_VALUE"""),"aishwarya.vedula@sjc.ox.ac.uk")</f>
        <v>aishwarya.vedula@sjc.ox.ac.uk</v>
      </c>
      <c r="G227" s="2" t="str">
        <f>IFERROR(__xludf.DUMMYFUNCTION("""COMPUTED_VALUE"""),"0009-0002-0221-9017")</f>
        <v>0009-0002-0221-9017</v>
      </c>
    </row>
    <row r="228">
      <c r="A228" s="2" t="str">
        <f>IFERROR(__xludf.DUMMYFUNCTION("""COMPUTED_VALUE"""),"Walker")</f>
        <v>Walker</v>
      </c>
      <c r="B228" s="2" t="str">
        <f>IFERROR(__xludf.DUMMYFUNCTION("""COMPUTED_VALUE"""),"Niamh")</f>
        <v>Niamh</v>
      </c>
      <c r="C228" s="2" t="str">
        <f>IFERROR(__xludf.DUMMYFUNCTION("""COMPUTED_VALUE"""),"Key Personnel")</f>
        <v>Key Personnel</v>
      </c>
      <c r="D228" s="2" t="str">
        <f>IFERROR(__xludf.DUMMYFUNCTION("""COMPUTED_VALUE"""),"Cragg")</f>
        <v>Cragg</v>
      </c>
      <c r="E228" s="2" t="str">
        <f>IFERROR(__xludf.DUMMYFUNCTION("""COMPUTED_VALUE"""),"Undergraduate Student")</f>
        <v>Undergraduate Student</v>
      </c>
      <c r="F228" s="2" t="str">
        <f>IFERROR(__xludf.DUMMYFUNCTION("""COMPUTED_VALUE"""),"niamh.walker@keble.ox.ac.uk")</f>
        <v>niamh.walker@keble.ox.ac.uk</v>
      </c>
      <c r="G228" s="2" t="str">
        <f>IFERROR(__xludf.DUMMYFUNCTION("""COMPUTED_VALUE"""),"0000-0003-3846-8111")</f>
        <v>0000-0003-3846-8111</v>
      </c>
    </row>
    <row r="229">
      <c r="A229" s="2" t="str">
        <f>IFERROR(__xludf.DUMMYFUNCTION("""COMPUTED_VALUE"""),"O'Brien")</f>
        <v>O'Brien</v>
      </c>
      <c r="B229" s="2" t="str">
        <f>IFERROR(__xludf.DUMMYFUNCTION("""COMPUTED_VALUE"""),"Ann")</f>
        <v>Ann</v>
      </c>
      <c r="C229" s="2" t="str">
        <f>IFERROR(__xludf.DUMMYFUNCTION("""COMPUTED_VALUE"""),"Key Personnel")</f>
        <v>Key Personnel</v>
      </c>
      <c r="D229" s="2" t="str">
        <f>IFERROR(__xludf.DUMMYFUNCTION("""COMPUTED_VALUE"""),"Cragg")</f>
        <v>Cragg</v>
      </c>
      <c r="E229" s="2" t="str">
        <f>IFERROR(__xludf.DUMMYFUNCTION("""COMPUTED_VALUE"""),"Undergraduate Student")</f>
        <v>Undergraduate Student</v>
      </c>
      <c r="F229" s="2" t="str">
        <f>IFERROR(__xludf.DUMMYFUNCTION("""COMPUTED_VALUE"""),"ann.obrien@new.ox.ac.uk")</f>
        <v>ann.obrien@new.ox.ac.uk</v>
      </c>
      <c r="G229" s="2" t="str">
        <f>IFERROR(__xludf.DUMMYFUNCTION("""COMPUTED_VALUE""")," 0009-0002-5019-0319")</f>
        <v> 0009-0002-5019-0319</v>
      </c>
    </row>
    <row r="230">
      <c r="A230" s="2" t="str">
        <f>IFERROR(__xludf.DUMMYFUNCTION("""COMPUTED_VALUE"""),"Conway")</f>
        <v>Conway</v>
      </c>
      <c r="B230" s="2" t="str">
        <f>IFERROR(__xludf.DUMMYFUNCTION("""COMPUTED_VALUE"""),"Mark")</f>
        <v>Mark</v>
      </c>
      <c r="C230" s="2" t="str">
        <f>IFERROR(__xludf.DUMMYFUNCTION("""COMPUTED_VALUE"""),"Key Personnel")</f>
        <v>Key Personnel</v>
      </c>
      <c r="D230" s="2" t="str">
        <f>IFERROR(__xludf.DUMMYFUNCTION("""COMPUTED_VALUE"""),"Cragg")</f>
        <v>Cragg</v>
      </c>
      <c r="E230" s="2" t="str">
        <f>IFERROR(__xludf.DUMMYFUNCTION("""COMPUTED_VALUE"""),"Post-doctoral Researcher ")</f>
        <v>Post-doctoral Researcher </v>
      </c>
      <c r="F230" s="2" t="str">
        <f>IFERROR(__xludf.DUMMYFUNCTION("""COMPUTED_VALUE"""),"mark.conway@dpag.ox.ac.uk")</f>
        <v>mark.conway@dpag.ox.ac.uk</v>
      </c>
      <c r="G230" s="2" t="str">
        <f>IFERROR(__xludf.DUMMYFUNCTION("""COMPUTED_VALUE"""),"0009-0005-4448-8401")</f>
        <v>0009-0005-4448-8401</v>
      </c>
    </row>
    <row r="231">
      <c r="A231" s="2" t="str">
        <f>IFERROR(__xludf.DUMMYFUNCTION("""COMPUTED_VALUE"""),"Waqar")</f>
        <v>Waqar</v>
      </c>
      <c r="B231" s="2" t="str">
        <f>IFERROR(__xludf.DUMMYFUNCTION("""COMPUTED_VALUE"""),"Walifa")</f>
        <v>Walifa</v>
      </c>
      <c r="C231" s="2" t="str">
        <f>IFERROR(__xludf.DUMMYFUNCTION("""COMPUTED_VALUE"""),"Key Personnel")</f>
        <v>Key Personnel</v>
      </c>
      <c r="D231" s="2" t="str">
        <f>IFERROR(__xludf.DUMMYFUNCTION("""COMPUTED_VALUE"""),"Cragg")</f>
        <v>Cragg</v>
      </c>
      <c r="E231" s="2" t="str">
        <f>IFERROR(__xludf.DUMMYFUNCTION("""COMPUTED_VALUE"""),"Graduate Student")</f>
        <v>Graduate Student</v>
      </c>
      <c r="F231" s="2" t="str">
        <f>IFERROR(__xludf.DUMMYFUNCTION("""COMPUTED_VALUE"""),"walifa.waqar@dpag.ox.ac.uk")</f>
        <v>walifa.waqar@dpag.ox.ac.uk</v>
      </c>
      <c r="G231" s="2" t="str">
        <f>IFERROR(__xludf.DUMMYFUNCTION("""COMPUTED_VALUE"""),"0000-0002-6517-0356")</f>
        <v>0000-0002-6517-0356</v>
      </c>
    </row>
    <row r="232">
      <c r="A232" s="2" t="str">
        <f>IFERROR(__xludf.DUMMYFUNCTION("""COMPUTED_VALUE"""),"Twisselmann")</f>
        <v>Twisselmann</v>
      </c>
      <c r="B232" s="2" t="str">
        <f>IFERROR(__xludf.DUMMYFUNCTION("""COMPUTED_VALUE"""),"Alicia")</f>
        <v>Alicia</v>
      </c>
      <c r="C232" s="2" t="str">
        <f>IFERROR(__xludf.DUMMYFUNCTION("""COMPUTED_VALUE"""),"Key Personnel")</f>
        <v>Key Personnel</v>
      </c>
      <c r="D232" s="2" t="str">
        <f>IFERROR(__xludf.DUMMYFUNCTION("""COMPUTED_VALUE"""),"Cragg")</f>
        <v>Cragg</v>
      </c>
      <c r="E232" s="2" t="str">
        <f>IFERROR(__xludf.DUMMYFUNCTION("""COMPUTED_VALUE"""),"Research Assistant")</f>
        <v>Research Assistant</v>
      </c>
      <c r="F232" s="2" t="str">
        <f>IFERROR(__xludf.DUMMYFUNCTION("""COMPUTED_VALUE"""),"alicia.twisselmann@dpag.ox.ac.uk")</f>
        <v>alicia.twisselmann@dpag.ox.ac.uk</v>
      </c>
      <c r="G232" s="2" t="str">
        <f>IFERROR(__xludf.DUMMYFUNCTION("""COMPUTED_VALUE"""),"0009-0001-4338-808X")</f>
        <v>0009-0001-4338-808X</v>
      </c>
    </row>
    <row r="233">
      <c r="A233" s="2" t="str">
        <f>IFERROR(__xludf.DUMMYFUNCTION("""COMPUTED_VALUE"""),"Loiseau")</f>
        <v>Loiseau</v>
      </c>
      <c r="B233" s="2" t="str">
        <f>IFERROR(__xludf.DUMMYFUNCTION("""COMPUTED_VALUE"""),"Camille")</f>
        <v>Camille</v>
      </c>
      <c r="C233" s="2" t="str">
        <f>IFERROR(__xludf.DUMMYFUNCTION("""COMPUTED_VALUE"""),"Key Personnel")</f>
        <v>Key Personnel</v>
      </c>
      <c r="D233" s="2" t="str">
        <f>IFERROR(__xludf.DUMMYFUNCTION("""COMPUTED_VALUE"""),"Magill")</f>
        <v>Magill</v>
      </c>
      <c r="E233" s="2" t="str">
        <f>IFERROR(__xludf.DUMMYFUNCTION("""COMPUTED_VALUE"""),"Post-doctoral researcher ")</f>
        <v>Post-doctoral researcher </v>
      </c>
      <c r="F233" s="2" t="str">
        <f>IFERROR(__xludf.DUMMYFUNCTION("""COMPUTED_VALUE"""),"camille.loiseau@ndcn.ox.ac.uk")</f>
        <v>camille.loiseau@ndcn.ox.ac.uk</v>
      </c>
      <c r="G233" s="2" t="str">
        <f>IFERROR(__xludf.DUMMYFUNCTION("""COMPUTED_VALUE"""),"0000-0003-3108-5193")</f>
        <v>0000-0003-3108-5193</v>
      </c>
    </row>
    <row r="234">
      <c r="A234" s="2" t="str">
        <f>IFERROR(__xludf.DUMMYFUNCTION("""COMPUTED_VALUE"""),"Yona")</f>
        <v>Yona</v>
      </c>
      <c r="B234" s="2" t="str">
        <f>IFERROR(__xludf.DUMMYFUNCTION("""COMPUTED_VALUE"""),"Guy")</f>
        <v>Guy</v>
      </c>
      <c r="C234" s="2" t="str">
        <f>IFERROR(__xludf.DUMMYFUNCTION("""COMPUTED_VALUE"""),"Key Personnel")</f>
        <v>Key Personnel</v>
      </c>
      <c r="D234" s="2" t="str">
        <f>IFERROR(__xludf.DUMMYFUNCTION("""COMPUTED_VALUE"""),"Magill")</f>
        <v>Magill</v>
      </c>
      <c r="E234" s="2" t="str">
        <f>IFERROR(__xludf.DUMMYFUNCTION("""COMPUTED_VALUE"""),"Post-doctoral researcher ")</f>
        <v>Post-doctoral researcher </v>
      </c>
      <c r="F234" s="2" t="str">
        <f>IFERROR(__xludf.DUMMYFUNCTION("""COMPUTED_VALUE"""),"guy.yona@ndcn.ox.ac.uk")</f>
        <v>guy.yona@ndcn.ox.ac.uk</v>
      </c>
      <c r="G234" s="2" t="str">
        <f>IFERROR(__xludf.DUMMYFUNCTION("""COMPUTED_VALUE"""),"0000-0003-0695-0827")</f>
        <v>0000-0003-0695-0827</v>
      </c>
    </row>
    <row r="235">
      <c r="A235" s="2" t="str">
        <f>IFERROR(__xludf.DUMMYFUNCTION("""COMPUTED_VALUE"""),"Doig")</f>
        <v>Doig</v>
      </c>
      <c r="B235" s="2" t="str">
        <f>IFERROR(__xludf.DUMMYFUNCTION("""COMPUTED_VALUE"""),"Natalie")</f>
        <v>Natalie</v>
      </c>
      <c r="C235" s="2" t="str">
        <f>IFERROR(__xludf.DUMMYFUNCTION("""COMPUTED_VALUE"""),"Key Personnel")</f>
        <v>Key Personnel</v>
      </c>
      <c r="D235" s="2" t="str">
        <f>IFERROR(__xludf.DUMMYFUNCTION("""COMPUTED_VALUE"""),"Magill")</f>
        <v>Magill</v>
      </c>
      <c r="E235" s="2" t="str">
        <f>IFERROR(__xludf.DUMMYFUNCTION("""COMPUTED_VALUE"""),"Post-doctoral researcher ")</f>
        <v>Post-doctoral researcher </v>
      </c>
      <c r="F235" s="2" t="str">
        <f>IFERROR(__xludf.DUMMYFUNCTION("""COMPUTED_VALUE"""),"natalie.doig@bndu.ox.ac.uk")</f>
        <v>natalie.doig@bndu.ox.ac.uk</v>
      </c>
      <c r="G235" s="2" t="str">
        <f>IFERROR(__xludf.DUMMYFUNCTION("""COMPUTED_VALUE"""),"0000-0001-6821-0264")</f>
        <v>0000-0001-6821-0264</v>
      </c>
    </row>
    <row r="236">
      <c r="A236" s="2" t="str">
        <f>IFERROR(__xludf.DUMMYFUNCTION("""COMPUTED_VALUE"""),"Elghaba")</f>
        <v>Elghaba</v>
      </c>
      <c r="B236" s="2" t="str">
        <f>IFERROR(__xludf.DUMMYFUNCTION("""COMPUTED_VALUE"""),"Rasha")</f>
        <v>Rasha</v>
      </c>
      <c r="C236" s="2" t="str">
        <f>IFERROR(__xludf.DUMMYFUNCTION("""COMPUTED_VALUE"""),"Key Personnel")</f>
        <v>Key Personnel</v>
      </c>
      <c r="D236" s="2" t="str">
        <f>IFERROR(__xludf.DUMMYFUNCTION("""COMPUTED_VALUE"""),"Magill")</f>
        <v>Magill</v>
      </c>
      <c r="E236" s="2" t="str">
        <f>IFERROR(__xludf.DUMMYFUNCTION("""COMPUTED_VALUE"""),"Post-doctoral researcher ")</f>
        <v>Post-doctoral researcher </v>
      </c>
      <c r="F236" s="2" t="str">
        <f>IFERROR(__xludf.DUMMYFUNCTION("""COMPUTED_VALUE"""),"rasha.elghaba@ndcn.ox.ac.uk")</f>
        <v>rasha.elghaba@ndcn.ox.ac.uk</v>
      </c>
      <c r="G236" s="2" t="str">
        <f>IFERROR(__xludf.DUMMYFUNCTION("""COMPUTED_VALUE"""),"0000-0002-2436-7638")</f>
        <v>0000-0002-2436-7638</v>
      </c>
    </row>
    <row r="237">
      <c r="A237" s="2" t="str">
        <f>IFERROR(__xludf.DUMMYFUNCTION("""COMPUTED_VALUE"""),"Tam")</f>
        <v>Tam</v>
      </c>
      <c r="B237" s="2" t="str">
        <f>IFERROR(__xludf.DUMMYFUNCTION("""COMPUTED_VALUE"""),"Teris")</f>
        <v>Teris</v>
      </c>
      <c r="C237" s="2" t="str">
        <f>IFERROR(__xludf.DUMMYFUNCTION("""COMPUTED_VALUE"""),"Key Personnel")</f>
        <v>Key Personnel</v>
      </c>
      <c r="D237" s="2" t="str">
        <f>IFERROR(__xludf.DUMMYFUNCTION("""COMPUTED_VALUE"""),"Magill")</f>
        <v>Magill</v>
      </c>
      <c r="E237" s="2" t="str">
        <f>IFERROR(__xludf.DUMMYFUNCTION("""COMPUTED_VALUE"""),"Post-doctoral researcher ")</f>
        <v>Post-doctoral researcher </v>
      </c>
      <c r="F237" s="2" t="str">
        <f>IFERROR(__xludf.DUMMYFUNCTION("""COMPUTED_VALUE"""),"teris.tam@ndcn.ox.ac.uk")</f>
        <v>teris.tam@ndcn.ox.ac.uk</v>
      </c>
      <c r="G237" s="2" t="str">
        <f>IFERROR(__xludf.DUMMYFUNCTION("""COMPUTED_VALUE"""),"0000-0002-4102-5023 ")</f>
        <v>0000-0002-4102-5023 </v>
      </c>
    </row>
    <row r="238">
      <c r="A238" s="2" t="str">
        <f>IFERROR(__xludf.DUMMYFUNCTION("""COMPUTED_VALUE"""),"Blackmore")</f>
        <v>Blackmore</v>
      </c>
      <c r="B238" s="2" t="str">
        <f>IFERROR(__xludf.DUMMYFUNCTION("""COMPUTED_VALUE"""),"Jennifer")</f>
        <v>Jennifer</v>
      </c>
      <c r="C238" s="2" t="str">
        <f>IFERROR(__xludf.DUMMYFUNCTION("""COMPUTED_VALUE"""),"Key Personnel")</f>
        <v>Key Personnel</v>
      </c>
      <c r="D238" s="2" t="str">
        <f>IFERROR(__xludf.DUMMYFUNCTION("""COMPUTED_VALUE"""),"Magill")</f>
        <v>Magill</v>
      </c>
      <c r="E238" s="2" t="str">
        <f>IFERROR(__xludf.DUMMYFUNCTION("""COMPUTED_VALUE"""),"Research assistant")</f>
        <v>Research assistant</v>
      </c>
      <c r="F238" s="2" t="str">
        <f>IFERROR(__xludf.DUMMYFUNCTION("""COMPUTED_VALUE"""),"jennifer.blackmore@ndcn.ox.ac.uk")</f>
        <v>jennifer.blackmore@ndcn.ox.ac.uk</v>
      </c>
      <c r="G238" s="2" t="str">
        <f>IFERROR(__xludf.DUMMYFUNCTION("""COMPUTED_VALUE"""),"0009-0006-0880-0805")</f>
        <v>0009-0006-0880-0805</v>
      </c>
    </row>
    <row r="239">
      <c r="A239" s="2" t="str">
        <f>IFERROR(__xludf.DUMMYFUNCTION("""COMPUTED_VALUE"""),"Collins")</f>
        <v>Collins</v>
      </c>
      <c r="B239" s="2" t="str">
        <f>IFERROR(__xludf.DUMMYFUNCTION("""COMPUTED_VALUE"""),"Helen")</f>
        <v>Helen</v>
      </c>
      <c r="C239" s="2" t="str">
        <f>IFERROR(__xludf.DUMMYFUNCTION("""COMPUTED_VALUE"""),"Key Personnel")</f>
        <v>Key Personnel</v>
      </c>
      <c r="D239" s="2" t="str">
        <f>IFERROR(__xludf.DUMMYFUNCTION("""COMPUTED_VALUE"""),"Magill")</f>
        <v>Magill</v>
      </c>
      <c r="E239" s="2" t="str">
        <f>IFERROR(__xludf.DUMMYFUNCTION("""COMPUTED_VALUE"""),"Post-doctoral researcher ")</f>
        <v>Post-doctoral researcher </v>
      </c>
      <c r="F239" s="2" t="str">
        <f>IFERROR(__xludf.DUMMYFUNCTION("""COMPUTED_VALUE"""),"helen.collins@ndcn.ox.ac.uk")</f>
        <v>helen.collins@ndcn.ox.ac.uk</v>
      </c>
      <c r="G239" s="2" t="str">
        <f>IFERROR(__xludf.DUMMYFUNCTION("""COMPUTED_VALUE"""),"0000-0002-4818-5003")</f>
        <v>0000-0002-4818-5003</v>
      </c>
    </row>
    <row r="240">
      <c r="A240" s="2" t="str">
        <f>IFERROR(__xludf.DUMMYFUNCTION("""COMPUTED_VALUE"""),"Cramb")</f>
        <v>Cramb</v>
      </c>
      <c r="B240" s="2" t="str">
        <f>IFERROR(__xludf.DUMMYFUNCTION("""COMPUTED_VALUE"""),"Kaitlyn")</f>
        <v>Kaitlyn</v>
      </c>
      <c r="C240" s="2" t="str">
        <f>IFERROR(__xludf.DUMMYFUNCTION("""COMPUTED_VALUE"""),"Key Personnel")</f>
        <v>Key Personnel</v>
      </c>
      <c r="D240" s="2" t="str">
        <f>IFERROR(__xludf.DUMMYFUNCTION("""COMPUTED_VALUE"""),"Wade-Martins")</f>
        <v>Wade-Martins</v>
      </c>
      <c r="E240" s="2" t="str">
        <f>IFERROR(__xludf.DUMMYFUNCTION("""COMPUTED_VALUE"""),"Graduate student ")</f>
        <v>Graduate student </v>
      </c>
      <c r="F240" s="2" t="str">
        <f>IFERROR(__xludf.DUMMYFUNCTION("""COMPUTED_VALUE"""),"kaitlyn.cramb@sjc.ox.ac.uk")</f>
        <v>kaitlyn.cramb@sjc.ox.ac.uk</v>
      </c>
      <c r="G240" s="2" t="str">
        <f>IFERROR(__xludf.DUMMYFUNCTION("""COMPUTED_VALUE"""),"0000-0003-2822-7752")</f>
        <v>0000-0003-2822-7752</v>
      </c>
    </row>
    <row r="241">
      <c r="A241" s="2" t="str">
        <f>IFERROR(__xludf.DUMMYFUNCTION("""COMPUTED_VALUE"""),"Noor")</f>
        <v>Noor</v>
      </c>
      <c r="B241" s="2" t="str">
        <f>IFERROR(__xludf.DUMMYFUNCTION("""COMPUTED_VALUE"""),"Humaira")</f>
        <v>Humaira</v>
      </c>
      <c r="C241" s="2" t="str">
        <f>IFERROR(__xludf.DUMMYFUNCTION("""COMPUTED_VALUE"""),"Key Personnel")</f>
        <v>Key Personnel</v>
      </c>
      <c r="D241" s="2" t="str">
        <f>IFERROR(__xludf.DUMMYFUNCTION("""COMPUTED_VALUE"""),"Wade-Martins")</f>
        <v>Wade-Martins</v>
      </c>
      <c r="E241" s="2" t="str">
        <f>IFERROR(__xludf.DUMMYFUNCTION("""COMPUTED_VALUE"""),"Graduate student")</f>
        <v>Graduate student</v>
      </c>
      <c r="F241" s="2" t="str">
        <f>IFERROR(__xludf.DUMMYFUNCTION("""COMPUTED_VALUE"""),"humaira.noor@exeter.ox.ac.uk")</f>
        <v>humaira.noor@exeter.ox.ac.uk</v>
      </c>
      <c r="G241" s="2" t="str">
        <f>IFERROR(__xludf.DUMMYFUNCTION("""COMPUTED_VALUE"""),"0000-0002-7141-2681")</f>
        <v>0000-0002-7141-2681</v>
      </c>
    </row>
    <row r="242">
      <c r="A242" s="2" t="str">
        <f>IFERROR(__xludf.DUMMYFUNCTION("""COMPUTED_VALUE"""),"Marquez Gomez")</f>
        <v>Marquez Gomez</v>
      </c>
      <c r="B242" s="2" t="str">
        <f>IFERROR(__xludf.DUMMYFUNCTION("""COMPUTED_VALUE"""),"Ricardo")</f>
        <v>Ricardo</v>
      </c>
      <c r="C242" s="2" t="str">
        <f>IFERROR(__xludf.DUMMYFUNCTION("""COMPUTED_VALUE"""),"Key Personnel")</f>
        <v>Key Personnel</v>
      </c>
      <c r="D242" s="2" t="str">
        <f>IFERROR(__xludf.DUMMYFUNCTION("""COMPUTED_VALUE"""),"Wade-Martins")</f>
        <v>Wade-Martins</v>
      </c>
      <c r="E242" s="2" t="str">
        <f>IFERROR(__xludf.DUMMYFUNCTION("""COMPUTED_VALUE"""),"Post-doctoral researcher ")</f>
        <v>Post-doctoral researcher </v>
      </c>
      <c r="F242" s="2" t="str">
        <f>IFERROR(__xludf.DUMMYFUNCTION("""COMPUTED_VALUE"""),"ricardo.marquezgomez@dpag.ox.ac.uk")</f>
        <v>ricardo.marquezgomez@dpag.ox.ac.uk</v>
      </c>
      <c r="G242" s="2" t="str">
        <f>IFERROR(__xludf.DUMMYFUNCTION("""COMPUTED_VALUE"""),"0000-0002-5810-2670")</f>
        <v>0000-0002-5810-2670</v>
      </c>
    </row>
    <row r="243">
      <c r="A243" s="2" t="str">
        <f>IFERROR(__xludf.DUMMYFUNCTION("""COMPUTED_VALUE"""),"Caiazza")</f>
        <v>Caiazza</v>
      </c>
      <c r="B243" s="2" t="str">
        <f>IFERROR(__xludf.DUMMYFUNCTION("""COMPUTED_VALUE"""),"Maria Claudia ")</f>
        <v>Maria Claudia </v>
      </c>
      <c r="C243" s="2" t="str">
        <f>IFERROR(__xludf.DUMMYFUNCTION("""COMPUTED_VALUE"""),"Key Personnel")</f>
        <v>Key Personnel</v>
      </c>
      <c r="D243" s="2" t="str">
        <f>IFERROR(__xludf.DUMMYFUNCTION("""COMPUTED_VALUE"""),"Wade-Martins")</f>
        <v>Wade-Martins</v>
      </c>
      <c r="E243" s="2" t="str">
        <f>IFERROR(__xludf.DUMMYFUNCTION("""COMPUTED_VALUE"""),"Graduate student")</f>
        <v>Graduate student</v>
      </c>
      <c r="F243" s="2" t="str">
        <f>IFERROR(__xludf.DUMMYFUNCTION("""COMPUTED_VALUE"""),"maria.caiazza@chch.ox.ac.uk")</f>
        <v>maria.caiazza@chch.ox.ac.uk</v>
      </c>
      <c r="G243" s="2" t="str">
        <f>IFERROR(__xludf.DUMMYFUNCTION("""COMPUTED_VALUE"""),"0000-0002-0568-964X")</f>
        <v>0000-0002-0568-964X</v>
      </c>
    </row>
    <row r="244">
      <c r="A244" s="2" t="str">
        <f>IFERROR(__xludf.DUMMYFUNCTION("""COMPUTED_VALUE"""),"Bengoa-Vergniory")</f>
        <v>Bengoa-Vergniory</v>
      </c>
      <c r="B244" s="2" t="str">
        <f>IFERROR(__xludf.DUMMYFUNCTION("""COMPUTED_VALUE"""),"Nora")</f>
        <v>Nora</v>
      </c>
      <c r="C244" s="2" t="str">
        <f>IFERROR(__xludf.DUMMYFUNCTION("""COMPUTED_VALUE"""),"Key Personnel")</f>
        <v>Key Personnel</v>
      </c>
      <c r="D244" s="2" t="str">
        <f>IFERROR(__xludf.DUMMYFUNCTION("""COMPUTED_VALUE"""),"Wade-Martins")</f>
        <v>Wade-Martins</v>
      </c>
      <c r="E244" s="2" t="str">
        <f>IFERROR(__xludf.DUMMYFUNCTION("""COMPUTED_VALUE"""),"Post-doctoral researcher ")</f>
        <v>Post-doctoral researcher </v>
      </c>
      <c r="F244" s="2" t="str">
        <f>IFERROR(__xludf.DUMMYFUNCTION("""COMPUTED_VALUE"""),"nora.bengoa-vergniory@dpag.ox.ac.uk")</f>
        <v>nora.bengoa-vergniory@dpag.ox.ac.uk</v>
      </c>
      <c r="G244" s="2" t="str">
        <f>IFERROR(__xludf.DUMMYFUNCTION("""COMPUTED_VALUE"""),"0000-0002-3700-0464")</f>
        <v>0000-0002-3700-0464</v>
      </c>
    </row>
    <row r="245">
      <c r="A245" s="2" t="str">
        <f>IFERROR(__xludf.DUMMYFUNCTION("""COMPUTED_VALUE"""),"Sharifi")</f>
        <v>Sharifi</v>
      </c>
      <c r="B245" s="2" t="str">
        <f>IFERROR(__xludf.DUMMYFUNCTION("""COMPUTED_VALUE"""),"Parnaz")</f>
        <v>Parnaz</v>
      </c>
      <c r="C245" s="2" t="str">
        <f>IFERROR(__xludf.DUMMYFUNCTION("""COMPUTED_VALUE"""),"Key Personnel")</f>
        <v>Key Personnel</v>
      </c>
      <c r="D245" s="2" t="str">
        <f>IFERROR(__xludf.DUMMYFUNCTION("""COMPUTED_VALUE"""),"Wade-Martins")</f>
        <v>Wade-Martins</v>
      </c>
      <c r="E245" s="2" t="str">
        <f>IFERROR(__xludf.DUMMYFUNCTION("""COMPUTED_VALUE"""),"Graduate student")</f>
        <v>Graduate student</v>
      </c>
      <c r="F245" s="2" t="str">
        <f>IFERROR(__xludf.DUMMYFUNCTION("""COMPUTED_VALUE"""),"parnaz.sharifi@dpag.ox.ac.uk")</f>
        <v>parnaz.sharifi@dpag.ox.ac.uk</v>
      </c>
      <c r="G245" s="2" t="str">
        <f>IFERROR(__xludf.DUMMYFUNCTION("""COMPUTED_VALUE"""),"0000-0002-8735-0913")</f>
        <v>0000-0002-8735-0913</v>
      </c>
    </row>
    <row r="246">
      <c r="A246" s="2" t="str">
        <f>IFERROR(__xludf.DUMMYFUNCTION("""COMPUTED_VALUE"""),"Diviney ")</f>
        <v>Diviney </v>
      </c>
      <c r="B246" s="2" t="str">
        <f>IFERROR(__xludf.DUMMYFUNCTION("""COMPUTED_VALUE"""),"Tara")</f>
        <v>Tara</v>
      </c>
      <c r="C246" s="2" t="str">
        <f>IFERROR(__xludf.DUMMYFUNCTION("""COMPUTED_VALUE"""),"Key Personnel")</f>
        <v>Key Personnel</v>
      </c>
      <c r="D246" s="2" t="str">
        <f>IFERROR(__xludf.DUMMYFUNCTION("""COMPUTED_VALUE"""),"Wade-Martins")</f>
        <v>Wade-Martins</v>
      </c>
      <c r="E246" s="2" t="str">
        <f>IFERROR(__xludf.DUMMYFUNCTION("""COMPUTED_VALUE"""),"Graduate student")</f>
        <v>Graduate student</v>
      </c>
      <c r="F246" s="2" t="str">
        <f>IFERROR(__xludf.DUMMYFUNCTION("""COMPUTED_VALUE"""),"tara.diviney@sjc.ox.ac.uk")</f>
        <v>tara.diviney@sjc.ox.ac.uk</v>
      </c>
      <c r="G246" s="2" t="str">
        <f>IFERROR(__xludf.DUMMYFUNCTION("""COMPUTED_VALUE"""),"0000-0001-6722-7224")</f>
        <v>0000-0001-6722-7224</v>
      </c>
    </row>
    <row r="247">
      <c r="A247" s="2" t="str">
        <f>IFERROR(__xludf.DUMMYFUNCTION("""COMPUTED_VALUE"""),"Vallin")</f>
        <v>Vallin</v>
      </c>
      <c r="B247" s="2" t="str">
        <f>IFERROR(__xludf.DUMMYFUNCTION("""COMPUTED_VALUE"""),"Benjamin")</f>
        <v>Benjamin</v>
      </c>
      <c r="C247" s="2" t="str">
        <f>IFERROR(__xludf.DUMMYFUNCTION("""COMPUTED_VALUE"""),"Key Personnel")</f>
        <v>Key Personnel</v>
      </c>
      <c r="D247" s="2" t="str">
        <f>IFERROR(__xludf.DUMMYFUNCTION("""COMPUTED_VALUE"""),"Wade-Martins")</f>
        <v>Wade-Martins</v>
      </c>
      <c r="E247" s="2" t="str">
        <f>IFERROR(__xludf.DUMMYFUNCTION("""COMPUTED_VALUE"""),"Post-doctoral researcher ")</f>
        <v>Post-doctoral researcher </v>
      </c>
      <c r="F247" s="2" t="str">
        <f>IFERROR(__xludf.DUMMYFUNCTION("""COMPUTED_VALUE"""),"benjamin.vallin@dpag.ox.ac.uk")</f>
        <v>benjamin.vallin@dpag.ox.ac.uk</v>
      </c>
      <c r="G247" s="2" t="str">
        <f>IFERROR(__xludf.DUMMYFUNCTION("""COMPUTED_VALUE"""),"0009-0008-4907-4330")</f>
        <v>0009-0008-4907-4330</v>
      </c>
    </row>
    <row r="248">
      <c r="A248" s="2" t="str">
        <f>IFERROR(__xludf.DUMMYFUNCTION("""COMPUTED_VALUE"""),"Curry")</f>
        <v>Curry</v>
      </c>
      <c r="B248" s="2" t="str">
        <f>IFERROR(__xludf.DUMMYFUNCTION("""COMPUTED_VALUE"""),"Oliver")</f>
        <v>Oliver</v>
      </c>
      <c r="C248" s="2" t="str">
        <f>IFERROR(__xludf.DUMMYFUNCTION("""COMPUTED_VALUE"""),"Key Personnel")</f>
        <v>Key Personnel</v>
      </c>
      <c r="D248" s="2" t="str">
        <f>IFERROR(__xludf.DUMMYFUNCTION("""COMPUTED_VALUE"""),"Wade-Martins")</f>
        <v>Wade-Martins</v>
      </c>
      <c r="E248" s="2" t="str">
        <f>IFERROR(__xludf.DUMMYFUNCTION("""COMPUTED_VALUE"""),"Graduate student")</f>
        <v>Graduate student</v>
      </c>
      <c r="F248" s="2" t="str">
        <f>IFERROR(__xludf.DUMMYFUNCTION("""COMPUTED_VALUE"""),"oliver.curry@exeter.ox.ac.uk")</f>
        <v>oliver.curry@exeter.ox.ac.uk</v>
      </c>
      <c r="G248" s="2" t="str">
        <f>IFERROR(__xludf.DUMMYFUNCTION("""COMPUTED_VALUE"""),"0009-0007-3545-8264")</f>
        <v>0009-0007-3545-8264</v>
      </c>
    </row>
    <row r="249">
      <c r="A249" s="2" t="str">
        <f>IFERROR(__xludf.DUMMYFUNCTION("""COMPUTED_VALUE"""),"Mock")</f>
        <v>Mock</v>
      </c>
      <c r="B249" s="2" t="str">
        <f>IFERROR(__xludf.DUMMYFUNCTION("""COMPUTED_VALUE"""),"Elliot")</f>
        <v>Elliot</v>
      </c>
      <c r="C249" s="2" t="str">
        <f>IFERROR(__xludf.DUMMYFUNCTION("""COMPUTED_VALUE"""),"Key Personnel")</f>
        <v>Key Personnel</v>
      </c>
      <c r="D249" s="2" t="str">
        <f>IFERROR(__xludf.DUMMYFUNCTION("""COMPUTED_VALUE"""),"Wade-Martins")</f>
        <v>Wade-Martins</v>
      </c>
      <c r="E249" s="2" t="str">
        <f>IFERROR(__xludf.DUMMYFUNCTION("""COMPUTED_VALUE"""),"Post-doctoral researcher ")</f>
        <v>Post-doctoral researcher </v>
      </c>
      <c r="F249" s="2" t="str">
        <f>IFERROR(__xludf.DUMMYFUNCTION("""COMPUTED_VALUE"""),"elliot.mock@dpag.ox.ac.uk")</f>
        <v>elliot.mock@dpag.ox.ac.uk</v>
      </c>
      <c r="G249" s="2" t="str">
        <f>IFERROR(__xludf.DUMMYFUNCTION("""COMPUTED_VALUE"""),"0000-0002-1500-2856")</f>
        <v>0000-0002-1500-2856</v>
      </c>
    </row>
    <row r="250">
      <c r="A250" s="2" t="str">
        <f>IFERROR(__xludf.DUMMYFUNCTION("""COMPUTED_VALUE"""),"Abey")</f>
        <v>Abey</v>
      </c>
      <c r="B250" s="2" t="str">
        <f>IFERROR(__xludf.DUMMYFUNCTION("""COMPUTED_VALUE"""),"Ajantha")</f>
        <v>Ajantha</v>
      </c>
      <c r="C250" s="2" t="str">
        <f>IFERROR(__xludf.DUMMYFUNCTION("""COMPUTED_VALUE"""),"Key Personnel")</f>
        <v>Key Personnel</v>
      </c>
      <c r="D250" s="2" t="str">
        <f>IFERROR(__xludf.DUMMYFUNCTION("""COMPUTED_VALUE"""),"Wade-Martins")</f>
        <v>Wade-Martins</v>
      </c>
      <c r="E250" s="2" t="str">
        <f>IFERROR(__xludf.DUMMYFUNCTION("""COMPUTED_VALUE"""),"Post-doctoral researcher ")</f>
        <v>Post-doctoral researcher </v>
      </c>
      <c r="F250" s="2" t="str">
        <f>IFERROR(__xludf.DUMMYFUNCTION("""COMPUTED_VALUE"""),"ajantha.abey@keble.ox.ac.uk")</f>
        <v>ajantha.abey@keble.ox.ac.uk</v>
      </c>
      <c r="G250" s="2" t="str">
        <f>IFERROR(__xludf.DUMMYFUNCTION("""COMPUTED_VALUE"""),"0000-0003-0484-8001")</f>
        <v>0000-0003-0484-8001</v>
      </c>
    </row>
    <row r="251">
      <c r="A251" s="2" t="str">
        <f>IFERROR(__xludf.DUMMYFUNCTION("""COMPUTED_VALUE"""),"Mantas")</f>
        <v>Mantas</v>
      </c>
      <c r="B251" s="2" t="str">
        <f>IFERROR(__xludf.DUMMYFUNCTION("""COMPUTED_VALUE"""),"Ioannis")</f>
        <v>Ioannis</v>
      </c>
      <c r="C251" s="2" t="str">
        <f>IFERROR(__xludf.DUMMYFUNCTION("""COMPUTED_VALUE"""),"Key Personnel")</f>
        <v>Key Personnel</v>
      </c>
      <c r="D251" s="2" t="str">
        <f>IFERROR(__xludf.DUMMYFUNCTION("""COMPUTED_VALUE"""),"Meletis")</f>
        <v>Meletis</v>
      </c>
      <c r="E251" s="2" t="str">
        <f>IFERROR(__xludf.DUMMYFUNCTION("""COMPUTED_VALUE"""),"Post-doctoral researcher ")</f>
        <v>Post-doctoral researcher </v>
      </c>
      <c r="F251" s="2" t="str">
        <f>IFERROR(__xludf.DUMMYFUNCTION("""COMPUTED_VALUE"""),"ioannis.mantas@ki.se")</f>
        <v>ioannis.mantas@ki.se</v>
      </c>
      <c r="G251" s="2" t="str">
        <f>IFERROR(__xludf.DUMMYFUNCTION("""COMPUTED_VALUE"""),"0000-0001-6288-5439")</f>
        <v>0000-0001-6288-5439</v>
      </c>
    </row>
    <row r="252">
      <c r="A252" s="2" t="str">
        <f>IFERROR(__xludf.DUMMYFUNCTION("""COMPUTED_VALUE"""),"Graziano")</f>
        <v>Graziano</v>
      </c>
      <c r="B252" s="2" t="str">
        <f>IFERROR(__xludf.DUMMYFUNCTION("""COMPUTED_VALUE"""),"Marta")</f>
        <v>Marta</v>
      </c>
      <c r="C252" s="2" t="str">
        <f>IFERROR(__xludf.DUMMYFUNCTION("""COMPUTED_VALUE"""),"Key Personnel")</f>
        <v>Key Personnel</v>
      </c>
      <c r="D252" s="2" t="str">
        <f>IFERROR(__xludf.DUMMYFUNCTION("""COMPUTED_VALUE"""),"Meletis")</f>
        <v>Meletis</v>
      </c>
      <c r="E252" s="2" t="str">
        <f>IFERROR(__xludf.DUMMYFUNCTION("""COMPUTED_VALUE"""),"Research assistant")</f>
        <v>Research assistant</v>
      </c>
      <c r="F252" s="2" t="str">
        <f>IFERROR(__xludf.DUMMYFUNCTION("""COMPUTED_VALUE"""),"Marta.graziano@ki.se")</f>
        <v>Marta.graziano@ki.se</v>
      </c>
      <c r="G252" s="2" t="str">
        <f>IFERROR(__xludf.DUMMYFUNCTION("""COMPUTED_VALUE"""),"0000-0001-9417-5212")</f>
        <v>0000-0001-9417-5212</v>
      </c>
    </row>
    <row r="253">
      <c r="A253" s="2" t="str">
        <f>IFERROR(__xludf.DUMMYFUNCTION("""COMPUTED_VALUE"""),"Skara")</f>
        <v>Skara</v>
      </c>
      <c r="B253" s="2" t="str">
        <f>IFERROR(__xludf.DUMMYFUNCTION("""COMPUTED_VALUE"""),"Vasiliki")</f>
        <v>Vasiliki</v>
      </c>
      <c r="C253" s="2" t="str">
        <f>IFERROR(__xludf.DUMMYFUNCTION("""COMPUTED_VALUE"""),"Key Personnel")</f>
        <v>Key Personnel</v>
      </c>
      <c r="D253" s="2" t="str">
        <f>IFERROR(__xludf.DUMMYFUNCTION("""COMPUTED_VALUE"""),"Meletis")</f>
        <v>Meletis</v>
      </c>
      <c r="E253" s="2" t="str">
        <f>IFERROR(__xludf.DUMMYFUNCTION("""COMPUTED_VALUE"""),"Graduate Student")</f>
        <v>Graduate Student</v>
      </c>
      <c r="F253" s="2" t="str">
        <f>IFERROR(__xludf.DUMMYFUNCTION("""COMPUTED_VALUE"""),"vasiliki.skara@ki.se")</f>
        <v>vasiliki.skara@ki.se</v>
      </c>
      <c r="G253" s="2" t="str">
        <f>IFERROR(__xludf.DUMMYFUNCTION("""COMPUTED_VALUE"""),"0000-0002-0017-6116")</f>
        <v>0000-0002-0017-6116</v>
      </c>
    </row>
    <row r="254">
      <c r="A254" s="2" t="str">
        <f>IFERROR(__xludf.DUMMYFUNCTION("""COMPUTED_VALUE"""),"Wärnberg")</f>
        <v>Wärnberg</v>
      </c>
      <c r="B254" s="2" t="str">
        <f>IFERROR(__xludf.DUMMYFUNCTION("""COMPUTED_VALUE"""),"Emil")</f>
        <v>Emil</v>
      </c>
      <c r="C254" s="2" t="str">
        <f>IFERROR(__xludf.DUMMYFUNCTION("""COMPUTED_VALUE"""),"Key Personnel")</f>
        <v>Key Personnel</v>
      </c>
      <c r="D254" s="2" t="str">
        <f>IFERROR(__xludf.DUMMYFUNCTION("""COMPUTED_VALUE"""),"Meletis")</f>
        <v>Meletis</v>
      </c>
      <c r="E254" s="2" t="str">
        <f>IFERROR(__xludf.DUMMYFUNCTION("""COMPUTED_VALUE"""),"Graduate Student")</f>
        <v>Graduate Student</v>
      </c>
      <c r="F254" s="2" t="str">
        <f>IFERROR(__xludf.DUMMYFUNCTION("""COMPUTED_VALUE"""),"emil.warnberg@ki.se")</f>
        <v>emil.warnberg@ki.se</v>
      </c>
      <c r="G254" s="2" t="str">
        <f>IFERROR(__xludf.DUMMYFUNCTION("""COMPUTED_VALUE"""),"0000-0002-4754-4561")</f>
        <v>0000-0002-4754-4561</v>
      </c>
    </row>
    <row r="255">
      <c r="A255" s="2" t="str">
        <f>IFERROR(__xludf.DUMMYFUNCTION("""COMPUTED_VALUE"""),"Contesse")</f>
        <v>Contesse</v>
      </c>
      <c r="B255" s="2" t="str">
        <f>IFERROR(__xludf.DUMMYFUNCTION("""COMPUTED_VALUE"""),"Thomas")</f>
        <v>Thomas</v>
      </c>
      <c r="C255" s="2" t="str">
        <f>IFERROR(__xludf.DUMMYFUNCTION("""COMPUTED_VALUE"""),"Key Personnel")</f>
        <v>Key Personnel</v>
      </c>
      <c r="D255" s="2" t="str">
        <f>IFERROR(__xludf.DUMMYFUNCTION("""COMPUTED_VALUE"""),"Meletis")</f>
        <v>Meletis</v>
      </c>
      <c r="E255" s="2" t="str">
        <f>IFERROR(__xludf.DUMMYFUNCTION("""COMPUTED_VALUE"""),"Post-doctoral researcher ")</f>
        <v>Post-doctoral researcher </v>
      </c>
      <c r="F255" s="2" t="str">
        <f>IFERROR(__xludf.DUMMYFUNCTION("""COMPUTED_VALUE"""),"thomas.contesse@ki.se")</f>
        <v>thomas.contesse@ki.se</v>
      </c>
      <c r="G255" s="2"/>
    </row>
    <row r="256">
      <c r="A256" s="2" t="str">
        <f>IFERROR(__xludf.DUMMYFUNCTION("""COMPUTED_VALUE"""),"Contestabile")</f>
        <v>Contestabile</v>
      </c>
      <c r="B256" s="2" t="str">
        <f>IFERROR(__xludf.DUMMYFUNCTION("""COMPUTED_VALUE"""),"Alessandro")</f>
        <v>Alessandro</v>
      </c>
      <c r="C256" s="2" t="str">
        <f>IFERROR(__xludf.DUMMYFUNCTION("""COMPUTED_VALUE"""),"Key Personnel")</f>
        <v>Key Personnel</v>
      </c>
      <c r="D256" s="2" t="str">
        <f>IFERROR(__xludf.DUMMYFUNCTION("""COMPUTED_VALUE"""),"Meletis")</f>
        <v>Meletis</v>
      </c>
      <c r="E256" s="2" t="str">
        <f>IFERROR(__xludf.DUMMYFUNCTION("""COMPUTED_VALUE"""),"Post-doctoral researcher ")</f>
        <v>Post-doctoral researcher </v>
      </c>
      <c r="F256" s="2" t="str">
        <f>IFERROR(__xludf.DUMMYFUNCTION("""COMPUTED_VALUE"""),"alessandro.contestabile@ki.se")</f>
        <v>alessandro.contestabile@ki.se</v>
      </c>
      <c r="G256" s="2" t="str">
        <f>IFERROR(__xludf.DUMMYFUNCTION("""COMPUTED_VALUE"""),"0000-0001-6528-1403")</f>
        <v>0000-0001-6528-1403</v>
      </c>
    </row>
    <row r="257">
      <c r="A257" s="2" t="str">
        <f>IFERROR(__xludf.DUMMYFUNCTION("""COMPUTED_VALUE"""),"Krubner")</f>
        <v>Krubner</v>
      </c>
      <c r="B257" s="2" t="str">
        <f>IFERROR(__xludf.DUMMYFUNCTION("""COMPUTED_VALUE"""),"Magdalena")</f>
        <v>Magdalena</v>
      </c>
      <c r="C257" s="2" t="str">
        <f>IFERROR(__xludf.DUMMYFUNCTION("""COMPUTED_VALUE"""),"Key Personnel")</f>
        <v>Key Personnel</v>
      </c>
      <c r="D257" s="2" t="str">
        <f>IFERROR(__xludf.DUMMYFUNCTION("""COMPUTED_VALUE"""),"Meletis")</f>
        <v>Meletis</v>
      </c>
      <c r="E257" s="2" t="str">
        <f>IFERROR(__xludf.DUMMYFUNCTION("""COMPUTED_VALUE"""),"Graduate Student")</f>
        <v>Graduate Student</v>
      </c>
      <c r="F257" s="2" t="str">
        <f>IFERROR(__xludf.DUMMYFUNCTION("""COMPUTED_VALUE"""),"magdalena.krubner@ki.se")</f>
        <v>magdalena.krubner@ki.se</v>
      </c>
      <c r="G257" s="2" t="str">
        <f>IFERROR(__xludf.DUMMYFUNCTION("""COMPUTED_VALUE"""),"0009-0007-9531-8837")</f>
        <v>0009-0007-9531-8837</v>
      </c>
    </row>
    <row r="258">
      <c r="A258" s="2" t="str">
        <f>IFERROR(__xludf.DUMMYFUNCTION("""COMPUTED_VALUE"""),"Rubino")</f>
        <v>Rubino</v>
      </c>
      <c r="B258" s="2" t="str">
        <f>IFERROR(__xludf.DUMMYFUNCTION("""COMPUTED_VALUE"""),"Eleonora")</f>
        <v>Eleonora</v>
      </c>
      <c r="C258" s="2" t="str">
        <f>IFERROR(__xludf.DUMMYFUNCTION("""COMPUTED_VALUE"""),"Key Personnel")</f>
        <v>Key Personnel</v>
      </c>
      <c r="D258" s="2" t="str">
        <f>IFERROR(__xludf.DUMMYFUNCTION("""COMPUTED_VALUE"""),"Meletis")</f>
        <v>Meletis</v>
      </c>
      <c r="E258" s="2" t="str">
        <f>IFERROR(__xludf.DUMMYFUNCTION("""COMPUTED_VALUE"""),"Graduate Student")</f>
        <v>Graduate Student</v>
      </c>
      <c r="F258" s="2" t="str">
        <f>IFERROR(__xludf.DUMMYFUNCTION("""COMPUTED_VALUE"""),"eleonora.rubino@ki.se")</f>
        <v>eleonora.rubino@ki.se</v>
      </c>
      <c r="G258" s="2" t="str">
        <f>IFERROR(__xludf.DUMMYFUNCTION("""COMPUTED_VALUE"""),"0000-0002-5248-505X")</f>
        <v>0000-0002-5248-505X</v>
      </c>
    </row>
    <row r="259">
      <c r="A259" s="2" t="str">
        <f>IFERROR(__xludf.DUMMYFUNCTION("""COMPUTED_VALUE"""),"Bouabid")</f>
        <v>Bouabid</v>
      </c>
      <c r="B259" s="2" t="str">
        <f>IFERROR(__xludf.DUMMYFUNCTION("""COMPUTED_VALUE"""),"Safa")</f>
        <v>Safa</v>
      </c>
      <c r="C259" s="2" t="str">
        <f>IFERROR(__xludf.DUMMYFUNCTION("""COMPUTED_VALUE"""),"Key Personnel")</f>
        <v>Key Personnel</v>
      </c>
      <c r="D259" s="2" t="str">
        <f>IFERROR(__xludf.DUMMYFUNCTION("""COMPUTED_VALUE"""),"Howe")</f>
        <v>Howe</v>
      </c>
      <c r="E259" s="2" t="str">
        <f>IFERROR(__xludf.DUMMYFUNCTION("""COMPUTED_VALUE"""),"Post-doctoral researcher ")</f>
        <v>Post-doctoral researcher </v>
      </c>
      <c r="F259" s="2" t="str">
        <f>IFERROR(__xludf.DUMMYFUNCTION("""COMPUTED_VALUE"""),"sbouabid@bu.edu")</f>
        <v>sbouabid@bu.edu</v>
      </c>
      <c r="G259" s="2" t="str">
        <f>IFERROR(__xludf.DUMMYFUNCTION("""COMPUTED_VALUE"""),"0000-0003-4184-3795")</f>
        <v>0000-0003-4184-3795</v>
      </c>
    </row>
    <row r="260">
      <c r="A260" s="2" t="str">
        <f>IFERROR(__xludf.DUMMYFUNCTION("""COMPUTED_VALUE"""),"Tamer")</f>
        <v>Tamer</v>
      </c>
      <c r="B260" s="2" t="str">
        <f>IFERROR(__xludf.DUMMYFUNCTION("""COMPUTED_VALUE"""),"Betul")</f>
        <v>Betul</v>
      </c>
      <c r="C260" s="2" t="str">
        <f>IFERROR(__xludf.DUMMYFUNCTION("""COMPUTED_VALUE"""),"Key Personnel")</f>
        <v>Key Personnel</v>
      </c>
      <c r="D260" s="2" t="str">
        <f>IFERROR(__xludf.DUMMYFUNCTION("""COMPUTED_VALUE"""),"Howe")</f>
        <v>Howe</v>
      </c>
      <c r="E260" s="2" t="str">
        <f>IFERROR(__xludf.DUMMYFUNCTION("""COMPUTED_VALUE"""),"Graduate Student")</f>
        <v>Graduate Student</v>
      </c>
      <c r="F260" s="2" t="str">
        <f>IFERROR(__xludf.DUMMYFUNCTION("""COMPUTED_VALUE"""),"btamer@bu.edu   ")</f>
        <v>btamer@bu.edu   </v>
      </c>
      <c r="G260" s="2" t="str">
        <f>IFERROR(__xludf.DUMMYFUNCTION("""COMPUTED_VALUE"""),"0000-0003-1826-4883")</f>
        <v>0000-0003-1826-4883</v>
      </c>
    </row>
    <row r="261">
      <c r="A261" s="2" t="str">
        <f>IFERROR(__xludf.DUMMYFUNCTION("""COMPUTED_VALUE"""),"Joshi")</f>
        <v>Joshi</v>
      </c>
      <c r="B261" s="2" t="str">
        <f>IFERROR(__xludf.DUMMYFUNCTION("""COMPUTED_VALUE"""),"Anil")</f>
        <v>Anil</v>
      </c>
      <c r="C261" s="2" t="str">
        <f>IFERROR(__xludf.DUMMYFUNCTION("""COMPUTED_VALUE"""),"Key Personnel")</f>
        <v>Key Personnel</v>
      </c>
      <c r="D261" s="2" t="str">
        <f>IFERROR(__xludf.DUMMYFUNCTION("""COMPUTED_VALUE"""),"Howe")</f>
        <v>Howe</v>
      </c>
      <c r="E261" s="2" t="str">
        <f>IFERROR(__xludf.DUMMYFUNCTION("""COMPUTED_VALUE"""),"Post-doctoral researcher ")</f>
        <v>Post-doctoral researcher </v>
      </c>
      <c r="F261" s="2" t="str">
        <f>IFERROR(__xludf.DUMMYFUNCTION("""COMPUTED_VALUE"""),"ajoshi12@bu.edu")</f>
        <v>ajoshi12@bu.edu</v>
      </c>
      <c r="G261" s="2" t="str">
        <f>IFERROR(__xludf.DUMMYFUNCTION("""COMPUTED_VALUE"""),"0000-0002-8443-8354")</f>
        <v>0000-0002-8443-8354</v>
      </c>
    </row>
    <row r="262">
      <c r="A262" s="2" t="str">
        <f>IFERROR(__xludf.DUMMYFUNCTION("""COMPUTED_VALUE"""),"Vu")</f>
        <v>Vu</v>
      </c>
      <c r="B262" s="2" t="str">
        <f>IFERROR(__xludf.DUMMYFUNCTION("""COMPUTED_VALUE"""),"Mai-Anh")</f>
        <v>Mai-Anh</v>
      </c>
      <c r="C262" s="2" t="str">
        <f>IFERROR(__xludf.DUMMYFUNCTION("""COMPUTED_VALUE"""),"Key Personnel")</f>
        <v>Key Personnel</v>
      </c>
      <c r="D262" s="2" t="str">
        <f>IFERROR(__xludf.DUMMYFUNCTION("""COMPUTED_VALUE"""),"Howe")</f>
        <v>Howe</v>
      </c>
      <c r="E262" s="2" t="str">
        <f>IFERROR(__xludf.DUMMYFUNCTION("""COMPUTED_VALUE"""),"Post-doctoral researcher ")</f>
        <v>Post-doctoral researcher </v>
      </c>
      <c r="F262" s="2" t="str">
        <f>IFERROR(__xludf.DUMMYFUNCTION("""COMPUTED_VALUE"""),"maianhvu@bu.edu")</f>
        <v>maianhvu@bu.edu</v>
      </c>
      <c r="G262" s="2" t="str">
        <f>IFERROR(__xludf.DUMMYFUNCTION("""COMPUTED_VALUE"""),"0000-0003-4766-1159")</f>
        <v>0000-0003-4766-1159</v>
      </c>
    </row>
    <row r="263">
      <c r="A263" s="2" t="str">
        <f>IFERROR(__xludf.DUMMYFUNCTION("""COMPUTED_VALUE"""),"Frostig")</f>
        <v>Frostig</v>
      </c>
      <c r="B263" s="2" t="str">
        <f>IFERROR(__xludf.DUMMYFUNCTION("""COMPUTED_VALUE"""),"Hadas")</f>
        <v>Hadas</v>
      </c>
      <c r="C263" s="2" t="str">
        <f>IFERROR(__xludf.DUMMYFUNCTION("""COMPUTED_VALUE"""),"Key Personnel")</f>
        <v>Key Personnel</v>
      </c>
      <c r="D263" s="2" t="str">
        <f>IFERROR(__xludf.DUMMYFUNCTION("""COMPUTED_VALUE"""),"Howe")</f>
        <v>Howe</v>
      </c>
      <c r="E263" s="2" t="str">
        <f>IFERROR(__xludf.DUMMYFUNCTION("""COMPUTED_VALUE"""),"Post-doctoral researcher ")</f>
        <v>Post-doctoral researcher </v>
      </c>
      <c r="F263" s="2" t="str">
        <f>IFERROR(__xludf.DUMMYFUNCTION("""COMPUTED_VALUE"""),"hfrostig@bu.edu")</f>
        <v>hfrostig@bu.edu</v>
      </c>
      <c r="G263" s="2" t="str">
        <f>IFERROR(__xludf.DUMMYFUNCTION("""COMPUTED_VALUE"""),"0009-0008-6589-9172")</f>
        <v>0009-0008-6589-9172</v>
      </c>
    </row>
    <row r="264">
      <c r="A264" s="2" t="str">
        <f>IFERROR(__xludf.DUMMYFUNCTION("""COMPUTED_VALUE"""),"De Camilli")</f>
        <v>De Camilli</v>
      </c>
      <c r="B264" s="2" t="str">
        <f>IFERROR(__xludf.DUMMYFUNCTION("""COMPUTED_VALUE"""),"Pietro")</f>
        <v>Pietro</v>
      </c>
      <c r="C264" s="2" t="str">
        <f>IFERROR(__xludf.DUMMYFUNCTION("""COMPUTED_VALUE"""),"Lead PI")</f>
        <v>Lead PI</v>
      </c>
      <c r="D264" s="2"/>
      <c r="E264" s="2"/>
      <c r="F264" s="2" t="str">
        <f>IFERROR(__xludf.DUMMYFUNCTION("""COMPUTED_VALUE"""),"pietro.decamilli@yale.edu")</f>
        <v>pietro.decamilli@yale.edu</v>
      </c>
      <c r="G264" s="2" t="str">
        <f>IFERROR(__xludf.DUMMYFUNCTION("""COMPUTED_VALUE"""),"0000-0001-9045-0723")</f>
        <v>0000-0001-9045-0723</v>
      </c>
    </row>
    <row r="265">
      <c r="A265" s="2" t="str">
        <f>IFERROR(__xludf.DUMMYFUNCTION("""COMPUTED_VALUE"""),"Ferguson")</f>
        <v>Ferguson</v>
      </c>
      <c r="B265" s="2" t="str">
        <f>IFERROR(__xludf.DUMMYFUNCTION("""COMPUTED_VALUE"""),"Shawn")</f>
        <v>Shawn</v>
      </c>
      <c r="C265" s="2" t="str">
        <f>IFERROR(__xludf.DUMMYFUNCTION("""COMPUTED_VALUE"""),"Co-PI")</f>
        <v>Co-PI</v>
      </c>
      <c r="D265" s="2"/>
      <c r="E265" s="2"/>
      <c r="F265" s="2" t="str">
        <f>IFERROR(__xludf.DUMMYFUNCTION("""COMPUTED_VALUE"""),"shawn.ferguson@yale.edu")</f>
        <v>shawn.ferguson@yale.edu</v>
      </c>
      <c r="G265" s="2" t="str">
        <f>IFERROR(__xludf.DUMMYFUNCTION("""COMPUTED_VALUE"""),"0000-0002-3092-7718")</f>
        <v>0000-0002-3092-7718</v>
      </c>
    </row>
    <row r="266">
      <c r="A266" s="2" t="str">
        <f>IFERROR(__xludf.DUMMYFUNCTION("""COMPUTED_VALUE"""),"Gupta")</f>
        <v>Gupta</v>
      </c>
      <c r="B266" s="2" t="str">
        <f>IFERROR(__xludf.DUMMYFUNCTION("""COMPUTED_VALUE"""),"Kallol")</f>
        <v>Kallol</v>
      </c>
      <c r="C266" s="2" t="str">
        <f>IFERROR(__xludf.DUMMYFUNCTION("""COMPUTED_VALUE"""),"Co-PI")</f>
        <v>Co-PI</v>
      </c>
      <c r="D266" s="2"/>
      <c r="E266" s="2"/>
      <c r="F266" s="2" t="str">
        <f>IFERROR(__xludf.DUMMYFUNCTION("""COMPUTED_VALUE"""),"kallol.gupta@yale.edu")</f>
        <v>kallol.gupta@yale.edu</v>
      </c>
      <c r="G266" s="2" t="str">
        <f>IFERROR(__xludf.DUMMYFUNCTION("""COMPUTED_VALUE"""),"0000-0002-3557-3242")</f>
        <v>0000-0002-3557-3242</v>
      </c>
    </row>
    <row r="267">
      <c r="A267" s="2" t="str">
        <f>IFERROR(__xludf.DUMMYFUNCTION("""COMPUTED_VALUE"""),"Reinisch")</f>
        <v>Reinisch</v>
      </c>
      <c r="B267" s="2" t="str">
        <f>IFERROR(__xludf.DUMMYFUNCTION("""COMPUTED_VALUE"""),"Karin ")</f>
        <v>Karin </v>
      </c>
      <c r="C267" s="2" t="str">
        <f>IFERROR(__xludf.DUMMYFUNCTION("""COMPUTED_VALUE"""),"Co-PI")</f>
        <v>Co-PI</v>
      </c>
      <c r="D267" s="2"/>
      <c r="E267" s="2"/>
      <c r="F267" s="2" t="str">
        <f>IFERROR(__xludf.DUMMYFUNCTION("""COMPUTED_VALUE"""),"karin.reinisch@yale.edu")</f>
        <v>karin.reinisch@yale.edu</v>
      </c>
      <c r="G267" s="2" t="str">
        <f>IFERROR(__xludf.DUMMYFUNCTION("""COMPUTED_VALUE"""),"0000-0001-9140-6150")</f>
        <v>0000-0001-9140-6150</v>
      </c>
    </row>
    <row r="268">
      <c r="A268" s="2" t="str">
        <f>IFERROR(__xludf.DUMMYFUNCTION("""COMPUTED_VALUE"""),"Ryan")</f>
        <v>Ryan</v>
      </c>
      <c r="B268" s="2" t="str">
        <f>IFERROR(__xludf.DUMMYFUNCTION("""COMPUTED_VALUE"""),"Timothy")</f>
        <v>Timothy</v>
      </c>
      <c r="C268" s="2" t="str">
        <f>IFERROR(__xludf.DUMMYFUNCTION("""COMPUTED_VALUE"""),"Co-PI")</f>
        <v>Co-PI</v>
      </c>
      <c r="D268" s="2"/>
      <c r="E268" s="2"/>
      <c r="F268" s="2" t="str">
        <f>IFERROR(__xludf.DUMMYFUNCTION("""COMPUTED_VALUE"""),"taryan@med.cornell.edu")</f>
        <v>taryan@med.cornell.edu</v>
      </c>
      <c r="G268" s="2" t="str">
        <f>IFERROR(__xludf.DUMMYFUNCTION("""COMPUTED_VALUE"""),"0000-0003-2533-9548")</f>
        <v>0000-0003-2533-9548</v>
      </c>
    </row>
    <row r="269">
      <c r="A269" s="2" t="str">
        <f>IFERROR(__xludf.DUMMYFUNCTION("""COMPUTED_VALUE"""),"Ugur")</f>
        <v>Ugur</v>
      </c>
      <c r="B269" s="2" t="str">
        <f>IFERROR(__xludf.DUMMYFUNCTION("""COMPUTED_VALUE"""),"Berrak")</f>
        <v>Berrak</v>
      </c>
      <c r="C269" s="2" t="str">
        <f>IFERROR(__xludf.DUMMYFUNCTION("""COMPUTED_VALUE"""),"Key Personnel")</f>
        <v>Key Personnel</v>
      </c>
      <c r="D269" s="2" t="str">
        <f>IFERROR(__xludf.DUMMYFUNCTION("""COMPUTED_VALUE"""),"De Camilli")</f>
        <v>De Camilli</v>
      </c>
      <c r="E269" s="2" t="str">
        <f>IFERROR(__xludf.DUMMYFUNCTION("""COMPUTED_VALUE"""),"assoc research scientist")</f>
        <v>assoc research scientist</v>
      </c>
      <c r="F269" s="2" t="str">
        <f>IFERROR(__xludf.DUMMYFUNCTION("""COMPUTED_VALUE"""),"berrak.ugur@yale.edu")</f>
        <v>berrak.ugur@yale.edu</v>
      </c>
      <c r="G269" s="2" t="str">
        <f>IFERROR(__xludf.DUMMYFUNCTION("""COMPUTED_VALUE"""),"0000-0003-4806-8891")</f>
        <v>0000-0003-4806-8891</v>
      </c>
    </row>
    <row r="270">
      <c r="A270" s="2" t="str">
        <f>IFERROR(__xludf.DUMMYFUNCTION("""COMPUTED_VALUE"""),"Wang")</f>
        <v>Wang</v>
      </c>
      <c r="B270" s="2" t="str">
        <f>IFERROR(__xludf.DUMMYFUNCTION("""COMPUTED_VALUE"""),"Xinbo ")</f>
        <v>Xinbo </v>
      </c>
      <c r="C270" s="2" t="str">
        <f>IFERROR(__xludf.DUMMYFUNCTION("""COMPUTED_VALUE"""),"Key Personnel")</f>
        <v>Key Personnel</v>
      </c>
      <c r="D270" s="2" t="str">
        <f>IFERROR(__xludf.DUMMYFUNCTION("""COMPUTED_VALUE"""),"De Camilli")</f>
        <v>De Camilli</v>
      </c>
      <c r="E270" s="2" t="str">
        <f>IFERROR(__xludf.DUMMYFUNCTION("""COMPUTED_VALUE"""),"postdoc")</f>
        <v>postdoc</v>
      </c>
      <c r="F270" s="2" t="str">
        <f>IFERROR(__xludf.DUMMYFUNCTION("""COMPUTED_VALUE"""),"xinbo.wang@yale.edu")</f>
        <v>xinbo.wang@yale.edu</v>
      </c>
      <c r="G270" s="2" t="str">
        <f>IFERROR(__xludf.DUMMYFUNCTION("""COMPUTED_VALUE"""),"0000-0003-1270-5123")</f>
        <v>0000-0003-1270-5123</v>
      </c>
    </row>
    <row r="271">
      <c r="A271" s="2" t="str">
        <f>IFERROR(__xludf.DUMMYFUNCTION("""COMPUTED_VALUE"""),"Wu")</f>
        <v>Wu</v>
      </c>
      <c r="B271" s="2" t="str">
        <f>IFERROR(__xludf.DUMMYFUNCTION("""COMPUTED_VALUE"""),"Yumei ")</f>
        <v>Yumei </v>
      </c>
      <c r="C271" s="2" t="str">
        <f>IFERROR(__xludf.DUMMYFUNCTION("""COMPUTED_VALUE"""),"Key Personnel")</f>
        <v>Key Personnel</v>
      </c>
      <c r="D271" s="2" t="str">
        <f>IFERROR(__xludf.DUMMYFUNCTION("""COMPUTED_VALUE"""),"De Camilli")</f>
        <v>De Camilli</v>
      </c>
      <c r="E271" s="2" t="str">
        <f>IFERROR(__xludf.DUMMYFUNCTION("""COMPUTED_VALUE"""),"assoc research scientist")</f>
        <v>assoc research scientist</v>
      </c>
      <c r="F271" s="2" t="str">
        <f>IFERROR(__xludf.DUMMYFUNCTION("""COMPUTED_VALUE"""),"yumei.wu@yale.edu")</f>
        <v>yumei.wu@yale.edu</v>
      </c>
      <c r="G271" s="2" t="str">
        <f>IFERROR(__xludf.DUMMYFUNCTION("""COMPUTED_VALUE"""),"0000-0003-0878-7605.")</f>
        <v>0000-0003-0878-7605.</v>
      </c>
    </row>
    <row r="272">
      <c r="A272" s="2" t="str">
        <f>IFERROR(__xludf.DUMMYFUNCTION("""COMPUTED_VALUE"""),"Zhang")</f>
        <v>Zhang</v>
      </c>
      <c r="B272" s="2" t="str">
        <f>IFERROR(__xludf.DUMMYFUNCTION("""COMPUTED_VALUE"""),"Le")</f>
        <v>Le</v>
      </c>
      <c r="C272" s="2" t="str">
        <f>IFERROR(__xludf.DUMMYFUNCTION("""COMPUTED_VALUE"""),"Key Personnel (PI)")</f>
        <v>Key Personnel (PI)</v>
      </c>
      <c r="D272" s="2" t="str">
        <f>IFERROR(__xludf.DUMMYFUNCTION("""COMPUTED_VALUE"""),"Zhang")</f>
        <v>Zhang</v>
      </c>
      <c r="E272" s="2" t="str">
        <f>IFERROR(__xludf.DUMMYFUNCTION("""COMPUTED_VALUE"""),"PI collaborator")</f>
        <v>PI collaborator</v>
      </c>
      <c r="F272" s="2" t="str">
        <f>IFERROR(__xludf.DUMMYFUNCTION("""COMPUTED_VALUE"""),"le.zhang@yale.edu")</f>
        <v>le.zhang@yale.edu</v>
      </c>
      <c r="G272" s="2" t="str">
        <f>IFERROR(__xludf.DUMMYFUNCTION("""COMPUTED_VALUE"""),"0000-0002-4860-831X")</f>
        <v>0000-0002-4860-831X</v>
      </c>
    </row>
    <row r="273">
      <c r="A273" s="2" t="str">
        <f>IFERROR(__xludf.DUMMYFUNCTION("""COMPUTED_VALUE"""),"Ferguson")</f>
        <v>Ferguson</v>
      </c>
      <c r="B273" s="2" t="str">
        <f>IFERROR(__xludf.DUMMYFUNCTION("""COMPUTED_VALUE"""),"Agnes")</f>
        <v>Agnes</v>
      </c>
      <c r="C273" s="2" t="str">
        <f>IFERROR(__xludf.DUMMYFUNCTION("""COMPUTED_VALUE"""),"Key Personnel")</f>
        <v>Key Personnel</v>
      </c>
      <c r="D273" s="2" t="str">
        <f>IFERROR(__xludf.DUMMYFUNCTION("""COMPUTED_VALUE"""),"Ferguson")</f>
        <v>Ferguson</v>
      </c>
      <c r="E273" s="2" t="str">
        <f>IFERROR(__xludf.DUMMYFUNCTION("""COMPUTED_VALUE"""),"assoc research scientist")</f>
        <v>assoc research scientist</v>
      </c>
      <c r="F273" s="2" t="str">
        <f>IFERROR(__xludf.DUMMYFUNCTION("""COMPUTED_VALUE"""),"agnes.ferguson@yale.edu")</f>
        <v>agnes.ferguson@yale.edu</v>
      </c>
      <c r="G273" s="2" t="str">
        <f>IFERROR(__xludf.DUMMYFUNCTION("""COMPUTED_VALUE"""),"0000-0003-0838-2157")</f>
        <v>0000-0003-0838-2157</v>
      </c>
    </row>
    <row r="274">
      <c r="A274" s="2" t="str">
        <f>IFERROR(__xludf.DUMMYFUNCTION("""COMPUTED_VALUE"""),"Kotokos")</f>
        <v>Kotokos</v>
      </c>
      <c r="B274" s="2" t="str">
        <f>IFERROR(__xludf.DUMMYFUNCTION("""COMPUTED_VALUE"""),"Alexandros")</f>
        <v>Alexandros</v>
      </c>
      <c r="C274" s="2" t="str">
        <f>IFERROR(__xludf.DUMMYFUNCTION("""COMPUTED_VALUE"""),"Key Personnel")</f>
        <v>Key Personnel</v>
      </c>
      <c r="D274" s="2" t="str">
        <f>IFERROR(__xludf.DUMMYFUNCTION("""COMPUTED_VALUE"""),"Ryan")</f>
        <v>Ryan</v>
      </c>
      <c r="E274" s="2" t="str">
        <f>IFERROR(__xludf.DUMMYFUNCTION("""COMPUTED_VALUE"""),"postdoc")</f>
        <v>postdoc</v>
      </c>
      <c r="F274" s="2" t="str">
        <f>IFERROR(__xludf.DUMMYFUNCTION("""COMPUTED_VALUE"""),"ack4001@med.cornell.edu")</f>
        <v>ack4001@med.cornell.edu</v>
      </c>
      <c r="G274" s="2" t="str">
        <f>IFERROR(__xludf.DUMMYFUNCTION("""COMPUTED_VALUE"""),"0000-0003-4024-9866")</f>
        <v>0000-0003-4024-9866</v>
      </c>
    </row>
    <row r="275">
      <c r="A275" s="2" t="str">
        <f>IFERROR(__xludf.DUMMYFUNCTION("""COMPUTED_VALUE"""),"Hanna")</f>
        <v>Hanna</v>
      </c>
      <c r="B275" s="2" t="str">
        <f>IFERROR(__xludf.DUMMYFUNCTION("""COMPUTED_VALUE"""),"Michael")</f>
        <v>Michael</v>
      </c>
      <c r="C275" s="2" t="str">
        <f>IFERROR(__xludf.DUMMYFUNCTION("""COMPUTED_VALUE"""),"Key Personnel")</f>
        <v>Key Personnel</v>
      </c>
      <c r="D275" s="2" t="str">
        <f>IFERROR(__xludf.DUMMYFUNCTION("""COMPUTED_VALUE"""),"De Camilli")</f>
        <v>De Camilli</v>
      </c>
      <c r="E275" s="2"/>
      <c r="F275" s="2" t="str">
        <f>IFERROR(__xludf.DUMMYFUNCTION("""COMPUTED_VALUE"""),"michael.hanna@yale.edu")</f>
        <v>michael.hanna@yale.edu</v>
      </c>
      <c r="G275" s="2" t="str">
        <f>IFERROR(__xludf.DUMMYFUNCTION("""COMPUTED_VALUE"""),"0000-0002-1975-0501")</f>
        <v>0000-0002-1975-0501</v>
      </c>
    </row>
    <row r="276">
      <c r="A276" s="2" t="str">
        <f>IFERROR(__xludf.DUMMYFUNCTION("""COMPUTED_VALUE"""),"Muñoz-Llancao")</f>
        <v>Muñoz-Llancao</v>
      </c>
      <c r="B276" s="2" t="str">
        <f>IFERROR(__xludf.DUMMYFUNCTION("""COMPUTED_VALUE"""),"Pablo")</f>
        <v>Pablo</v>
      </c>
      <c r="C276" s="2" t="str">
        <f>IFERROR(__xludf.DUMMYFUNCTION("""COMPUTED_VALUE"""),"Key Personnel")</f>
        <v>Key Personnel</v>
      </c>
      <c r="D276" s="2" t="str">
        <f>IFERROR(__xludf.DUMMYFUNCTION("""COMPUTED_VALUE"""),"Ferguson")</f>
        <v>Ferguson</v>
      </c>
      <c r="E276" s="2" t="str">
        <f>IFERROR(__xludf.DUMMYFUNCTION("""COMPUTED_VALUE"""),"postdoc")</f>
        <v>postdoc</v>
      </c>
      <c r="F276" s="2" t="str">
        <f>IFERROR(__xludf.DUMMYFUNCTION("""COMPUTED_VALUE"""),"pablo.munozllancao@yale.edu")</f>
        <v>pablo.munozllancao@yale.edu</v>
      </c>
      <c r="G276" s="2" t="str">
        <f>IFERROR(__xludf.DUMMYFUNCTION("""COMPUTED_VALUE"""),"0000-0001-9280-1590")</f>
        <v>0000-0001-9280-1590</v>
      </c>
    </row>
    <row r="277">
      <c r="A277" s="2" t="str">
        <f>IFERROR(__xludf.DUMMYFUNCTION("""COMPUTED_VALUE"""),"Bentley-DeSousa")</f>
        <v>Bentley-DeSousa</v>
      </c>
      <c r="B277" s="2" t="str">
        <f>IFERROR(__xludf.DUMMYFUNCTION("""COMPUTED_VALUE"""),"Amanda")</f>
        <v>Amanda</v>
      </c>
      <c r="C277" s="2" t="str">
        <f>IFERROR(__xludf.DUMMYFUNCTION("""COMPUTED_VALUE"""),"Key Personnel")</f>
        <v>Key Personnel</v>
      </c>
      <c r="D277" s="2" t="str">
        <f>IFERROR(__xludf.DUMMYFUNCTION("""COMPUTED_VALUE"""),"Ferguson")</f>
        <v>Ferguson</v>
      </c>
      <c r="E277" s="2" t="str">
        <f>IFERROR(__xludf.DUMMYFUNCTION("""COMPUTED_VALUE"""),"postdoc")</f>
        <v>postdoc</v>
      </c>
      <c r="F277" s="2" t="str">
        <f>IFERROR(__xludf.DUMMYFUNCTION("""COMPUTED_VALUE"""),"amanda.bentley-desousa@yale.edu")</f>
        <v>amanda.bentley-desousa@yale.edu</v>
      </c>
      <c r="G277" s="2" t="str">
        <f>IFERROR(__xludf.DUMMYFUNCTION("""COMPUTED_VALUE"""),"0000-0002-3667-4029")</f>
        <v>0000-0002-3667-4029</v>
      </c>
    </row>
    <row r="278">
      <c r="A278" s="2" t="str">
        <f>IFERROR(__xludf.DUMMYFUNCTION("""COMPUTED_VALUE"""),"Dai")</f>
        <v>Dai</v>
      </c>
      <c r="B278" s="2" t="str">
        <f>IFERROR(__xludf.DUMMYFUNCTION("""COMPUTED_VALUE"""),"Anbang")</f>
        <v>Anbang</v>
      </c>
      <c r="C278" s="2" t="str">
        <f>IFERROR(__xludf.DUMMYFUNCTION("""COMPUTED_VALUE"""),"Key Personnel")</f>
        <v>Key Personnel</v>
      </c>
      <c r="D278" s="2" t="str">
        <f>IFERROR(__xludf.DUMMYFUNCTION("""COMPUTED_VALUE"""),"De Camilli")</f>
        <v>De Camilli</v>
      </c>
      <c r="E278" s="2" t="str">
        <f>IFERROR(__xludf.DUMMYFUNCTION("""COMPUTED_VALUE"""),"postdoc")</f>
        <v>postdoc</v>
      </c>
      <c r="F278" s="2" t="str">
        <f>IFERROR(__xludf.DUMMYFUNCTION("""COMPUTED_VALUE"""),"anbang.dai@yale.edu")</f>
        <v>anbang.dai@yale.edu</v>
      </c>
      <c r="G278" s="2" t="str">
        <f>IFERROR(__xludf.DUMMYFUNCTION("""COMPUTED_VALUE"""),"0000-0003-3434-0663")</f>
        <v>0000-0003-3434-0663</v>
      </c>
    </row>
    <row r="279">
      <c r="A279" s="2" t="str">
        <f>IFERROR(__xludf.DUMMYFUNCTION("""COMPUTED_VALUE"""),"Xu")</f>
        <v>Xu</v>
      </c>
      <c r="B279" s="2" t="str">
        <f>IFERROR(__xludf.DUMMYFUNCTION("""COMPUTED_VALUE"""),"Peng")</f>
        <v>Peng</v>
      </c>
      <c r="C279" s="2" t="str">
        <f>IFERROR(__xludf.DUMMYFUNCTION("""COMPUTED_VALUE"""),"Key Personnel")</f>
        <v>Key Personnel</v>
      </c>
      <c r="D279" s="2" t="str">
        <f>IFERROR(__xludf.DUMMYFUNCTION("""COMPUTED_VALUE"""),"De Camilli")</f>
        <v>De Camilli</v>
      </c>
      <c r="E279" s="2" t="str">
        <f>IFERROR(__xludf.DUMMYFUNCTION("""COMPUTED_VALUE"""),"assoc research scientist")</f>
        <v>assoc research scientist</v>
      </c>
      <c r="F279" s="2" t="str">
        <f>IFERROR(__xludf.DUMMYFUNCTION("""COMPUTED_VALUE"""),"peng.xu@yale.edu")</f>
        <v>peng.xu@yale.edu</v>
      </c>
      <c r="G279" s="2" t="str">
        <f>IFERROR(__xludf.DUMMYFUNCTION("""COMPUTED_VALUE"""),"0000-0001-5197-9560")</f>
        <v>0000-0001-5197-9560</v>
      </c>
    </row>
    <row r="280">
      <c r="A280" s="2" t="str">
        <f>IFERROR(__xludf.DUMMYFUNCTION("""COMPUTED_VALUE"""),"Falahati")</f>
        <v>Falahati</v>
      </c>
      <c r="B280" s="2" t="str">
        <f>IFERROR(__xludf.DUMMYFUNCTION("""COMPUTED_VALUE"""),"Hanieh")</f>
        <v>Hanieh</v>
      </c>
      <c r="C280" s="2" t="str">
        <f>IFERROR(__xludf.DUMMYFUNCTION("""COMPUTED_VALUE"""),"Key Personnel")</f>
        <v>Key Personnel</v>
      </c>
      <c r="D280" s="2" t="str">
        <f>IFERROR(__xludf.DUMMYFUNCTION("""COMPUTED_VALUE"""),"De Camilli")</f>
        <v>De Camilli</v>
      </c>
      <c r="E280" s="2" t="str">
        <f>IFERROR(__xludf.DUMMYFUNCTION("""COMPUTED_VALUE"""),"postdoc")</f>
        <v>postdoc</v>
      </c>
      <c r="F280" s="2" t="str">
        <f>IFERROR(__xludf.DUMMYFUNCTION("""COMPUTED_VALUE"""),"hanieh.falahati@yale.edu")</f>
        <v>hanieh.falahati@yale.edu</v>
      </c>
      <c r="G280" s="2" t="str">
        <f>IFERROR(__xludf.DUMMYFUNCTION("""COMPUTED_VALUE"""),"0000-0001-6302-7575")</f>
        <v>0000-0001-6302-7575</v>
      </c>
    </row>
    <row r="281">
      <c r="A281" s="2" t="str">
        <f>IFERROR(__xludf.DUMMYFUNCTION("""COMPUTED_VALUE"""),"Fujise")</f>
        <v>Fujise</v>
      </c>
      <c r="B281" s="2" t="str">
        <f>IFERROR(__xludf.DUMMYFUNCTION("""COMPUTED_VALUE"""),"Kenshiro")</f>
        <v>Kenshiro</v>
      </c>
      <c r="C281" s="2" t="str">
        <f>IFERROR(__xludf.DUMMYFUNCTION("""COMPUTED_VALUE"""),"Key Personnel")</f>
        <v>Key Personnel</v>
      </c>
      <c r="D281" s="2" t="str">
        <f>IFERROR(__xludf.DUMMYFUNCTION("""COMPUTED_VALUE"""),"De Camilli")</f>
        <v>De Camilli</v>
      </c>
      <c r="E281" s="2" t="str">
        <f>IFERROR(__xludf.DUMMYFUNCTION("""COMPUTED_VALUE"""),"postdoc")</f>
        <v>postdoc</v>
      </c>
      <c r="F281" s="2" t="str">
        <f>IFERROR(__xludf.DUMMYFUNCTION("""COMPUTED_VALUE"""),"kenshiro.fujise@yale.edu")</f>
        <v>kenshiro.fujise@yale.edu</v>
      </c>
      <c r="G281" s="2" t="str">
        <f>IFERROR(__xludf.DUMMYFUNCTION("""COMPUTED_VALUE"""),"0000-0001-9018-6504")</f>
        <v>0000-0001-9018-6504</v>
      </c>
    </row>
    <row r="282">
      <c r="A282" s="2" t="str">
        <f>IFERROR(__xludf.DUMMYFUNCTION("""COMPUTED_VALUE"""),"Filippini")</f>
        <v>Filippini</v>
      </c>
      <c r="B282" s="2" t="str">
        <f>IFERROR(__xludf.DUMMYFUNCTION("""COMPUTED_VALUE"""),"Francesca")</f>
        <v>Francesca</v>
      </c>
      <c r="C282" s="2" t="str">
        <f>IFERROR(__xludf.DUMMYFUNCTION("""COMPUTED_VALUE"""),"Key Personnel")</f>
        <v>Key Personnel</v>
      </c>
      <c r="D282" s="2" t="str">
        <f>IFERROR(__xludf.DUMMYFUNCTION("""COMPUTED_VALUE"""),"Ferguson")</f>
        <v>Ferguson</v>
      </c>
      <c r="E282" s="2" t="str">
        <f>IFERROR(__xludf.DUMMYFUNCTION("""COMPUTED_VALUE"""),"postdoc")</f>
        <v>postdoc</v>
      </c>
      <c r="F282" s="2" t="str">
        <f>IFERROR(__xludf.DUMMYFUNCTION("""COMPUTED_VALUE"""),"francesca.filippini@yale.edu")</f>
        <v>francesca.filippini@yale.edu</v>
      </c>
      <c r="G282" s="2" t="str">
        <f>IFERROR(__xludf.DUMMYFUNCTION("""COMPUTED_VALUE"""),"0000-0003-2107-1935")</f>
        <v>0000-0003-2107-1935</v>
      </c>
    </row>
    <row r="283">
      <c r="A283" s="2" t="str">
        <f>IFERROR(__xludf.DUMMYFUNCTION("""COMPUTED_VALUE"""),"Clegg")</f>
        <v>Clegg</v>
      </c>
      <c r="B283" s="2" t="str">
        <f>IFERROR(__xludf.DUMMYFUNCTION("""COMPUTED_VALUE"""),"Devin")</f>
        <v>Devin</v>
      </c>
      <c r="C283" s="2" t="str">
        <f>IFERROR(__xludf.DUMMYFUNCTION("""COMPUTED_VALUE"""),"Key Personnel")</f>
        <v>Key Personnel</v>
      </c>
      <c r="D283" s="2" t="str">
        <f>IFERROR(__xludf.DUMMYFUNCTION("""COMPUTED_VALUE"""),"Ferguson")</f>
        <v>Ferguson</v>
      </c>
      <c r="E283" s="2" t="str">
        <f>IFERROR(__xludf.DUMMYFUNCTION("""COMPUTED_VALUE"""),"grad student")</f>
        <v>grad student</v>
      </c>
      <c r="F283" s="2" t="str">
        <f>IFERROR(__xludf.DUMMYFUNCTION("""COMPUTED_VALUE"""),"devin.clegg@yale.edu")</f>
        <v>devin.clegg@yale.edu</v>
      </c>
      <c r="G283" s="2" t="str">
        <f>IFERROR(__xludf.DUMMYFUNCTION("""COMPUTED_VALUE"""),"0000-0001-9522-168X")</f>
        <v>0000-0001-9522-168X</v>
      </c>
    </row>
    <row r="284">
      <c r="A284" s="2" t="str">
        <f>IFERROR(__xludf.DUMMYFUNCTION("""COMPUTED_VALUE"""),"McAllister")</f>
        <v>McAllister</v>
      </c>
      <c r="B284" s="2" t="str">
        <f>IFERROR(__xludf.DUMMYFUNCTION("""COMPUTED_VALUE"""),"Rachel")</f>
        <v>Rachel</v>
      </c>
      <c r="C284" s="2" t="str">
        <f>IFERROR(__xludf.DUMMYFUNCTION("""COMPUTED_VALUE"""),"Key Personnel")</f>
        <v>Key Personnel</v>
      </c>
      <c r="D284" s="2" t="str">
        <f>IFERROR(__xludf.DUMMYFUNCTION("""COMPUTED_VALUE"""),"Gupta")</f>
        <v>Gupta</v>
      </c>
      <c r="E284" s="2" t="str">
        <f>IFERROR(__xludf.DUMMYFUNCTION("""COMPUTED_VALUE"""),"grad student")</f>
        <v>grad student</v>
      </c>
      <c r="F284" s="2" t="str">
        <f>IFERROR(__xludf.DUMMYFUNCTION("""COMPUTED_VALUE"""),"rachel.mcallister@yale.edu")</f>
        <v>rachel.mcallister@yale.edu</v>
      </c>
      <c r="G284" s="2" t="str">
        <f>IFERROR(__xludf.DUMMYFUNCTION("""COMPUTED_VALUE"""),"0000-0002-1646-7241")</f>
        <v>0000-0002-1646-7241</v>
      </c>
    </row>
    <row r="285">
      <c r="A285" s="2" t="str">
        <f>IFERROR(__xludf.DUMMYFUNCTION("""COMPUTED_VALUE"""),"Brown")</f>
        <v>Brown</v>
      </c>
      <c r="B285" s="2" t="str">
        <f>IFERROR(__xludf.DUMMYFUNCTION("""COMPUTED_VALUE"""),"Caroline")</f>
        <v>Caroline</v>
      </c>
      <c r="C285" s="2" t="str">
        <f>IFERROR(__xludf.DUMMYFUNCTION("""COMPUTED_VALUE"""),"Key Personnel")</f>
        <v>Key Personnel</v>
      </c>
      <c r="D285" s="2" t="str">
        <f>IFERROR(__xludf.DUMMYFUNCTION("""COMPUTED_VALUE"""),"Gupta")</f>
        <v>Gupta</v>
      </c>
      <c r="E285" s="2" t="str">
        <f>IFERROR(__xludf.DUMMYFUNCTION("""COMPUTED_VALUE"""),"grad student")</f>
        <v>grad student</v>
      </c>
      <c r="F285" s="2" t="str">
        <f>IFERROR(__xludf.DUMMYFUNCTION("""COMPUTED_VALUE"""),"caroline.brown@yale.edu")</f>
        <v>caroline.brown@yale.edu</v>
      </c>
      <c r="G285" s="2" t="str">
        <f>IFERROR(__xludf.DUMMYFUNCTION("""COMPUTED_VALUE"""),"0000-0002-2751-9262")</f>
        <v>0000-0002-2751-9262</v>
      </c>
    </row>
    <row r="286">
      <c r="A286" s="2" t="str">
        <f>IFERROR(__xludf.DUMMYFUNCTION("""COMPUTED_VALUE"""),"Pulido")</f>
        <v>Pulido</v>
      </c>
      <c r="B286" s="2" t="str">
        <f>IFERROR(__xludf.DUMMYFUNCTION("""COMPUTED_VALUE"""),"Camila")</f>
        <v>Camila</v>
      </c>
      <c r="C286" s="2" t="str">
        <f>IFERROR(__xludf.DUMMYFUNCTION("""COMPUTED_VALUE"""),"Key Personnel")</f>
        <v>Key Personnel</v>
      </c>
      <c r="D286" s="2" t="str">
        <f>IFERROR(__xludf.DUMMYFUNCTION("""COMPUTED_VALUE"""),"Ryan")</f>
        <v>Ryan</v>
      </c>
      <c r="E286" s="2" t="str">
        <f>IFERROR(__xludf.DUMMYFUNCTION("""COMPUTED_VALUE"""),"postdoc")</f>
        <v>postdoc</v>
      </c>
      <c r="F286" s="2" t="str">
        <f>IFERROR(__xludf.DUMMYFUNCTION("""COMPUTED_VALUE"""),"cmp2010@med.cornell.edu")</f>
        <v>cmp2010@med.cornell.edu</v>
      </c>
      <c r="G286" s="3" t="str">
        <f>IFERROR(__xludf.DUMMYFUNCTION("""COMPUTED_VALUE"""),"0000-0002-5648-066X")</f>
        <v>0000-0002-5648-066X</v>
      </c>
    </row>
    <row r="287">
      <c r="A287" s="2" t="str">
        <f>IFERROR(__xludf.DUMMYFUNCTION("""COMPUTED_VALUE""")," Jung ")</f>
        <v> Jung </v>
      </c>
      <c r="B287" s="2" t="str">
        <f>IFERROR(__xludf.DUMMYFUNCTION("""COMPUTED_VALUE"""),"Won")</f>
        <v>Won</v>
      </c>
      <c r="C287" s="2" t="str">
        <f>IFERROR(__xludf.DUMMYFUNCTION("""COMPUTED_VALUE"""),"Key Personnel")</f>
        <v>Key Personnel</v>
      </c>
      <c r="D287" s="2" t="str">
        <f>IFERROR(__xludf.DUMMYFUNCTION("""COMPUTED_VALUE"""),"Gupta")</f>
        <v>Gupta</v>
      </c>
      <c r="E287" s="2" t="str">
        <f>IFERROR(__xludf.DUMMYFUNCTION("""COMPUTED_VALUE"""),"postdoc")</f>
        <v>postdoc</v>
      </c>
      <c r="F287" s="2" t="str">
        <f>IFERROR(__xludf.DUMMYFUNCTION("""COMPUTED_VALUE"""),"wonhyeu.jung@yale.edu")</f>
        <v>wonhyeu.jung@yale.edu</v>
      </c>
      <c r="G287" s="2" t="str">
        <f>IFERROR(__xludf.DUMMYFUNCTION("""COMPUTED_VALUE"""),"0000-0002-3980-5602")</f>
        <v>0000-0002-3980-5602</v>
      </c>
    </row>
    <row r="288">
      <c r="A288" s="2" t="str">
        <f>IFERROR(__xludf.DUMMYFUNCTION("""COMPUTED_VALUE"""),"Knapp")</f>
        <v>Knapp</v>
      </c>
      <c r="B288" s="2" t="str">
        <f>IFERROR(__xludf.DUMMYFUNCTION("""COMPUTED_VALUE"""),"Justin")</f>
        <v>Justin</v>
      </c>
      <c r="C288" s="2" t="str">
        <f>IFERROR(__xludf.DUMMYFUNCTION("""COMPUTED_VALUE"""),"Key Personnel")</f>
        <v>Key Personnel</v>
      </c>
      <c r="D288" s="2" t="str">
        <f>IFERROR(__xludf.DUMMYFUNCTION("""COMPUTED_VALUE"""),"Gupta")</f>
        <v>Gupta</v>
      </c>
      <c r="E288" s="2" t="str">
        <f>IFERROR(__xludf.DUMMYFUNCTION("""COMPUTED_VALUE"""),"postgraduate assistant")</f>
        <v>postgraduate assistant</v>
      </c>
      <c r="F288" s="2" t="str">
        <f>IFERROR(__xludf.DUMMYFUNCTION("""COMPUTED_VALUE"""),"justin.knapp@yale.edu")</f>
        <v>justin.knapp@yale.edu</v>
      </c>
      <c r="G288" s="2" t="str">
        <f>IFERROR(__xludf.DUMMYFUNCTION("""COMPUTED_VALUE"""),"0009-0002-7018-9702")</f>
        <v>0009-0002-7018-9702</v>
      </c>
    </row>
    <row r="289">
      <c r="A289" s="2" t="str">
        <f>IFERROR(__xludf.DUMMYFUNCTION("""COMPUTED_VALUE"""),"Ghosh")</f>
        <v>Ghosh</v>
      </c>
      <c r="B289" s="2" t="str">
        <f>IFERROR(__xludf.DUMMYFUNCTION("""COMPUTED_VALUE"""),"Snehashish")</f>
        <v>Snehashish</v>
      </c>
      <c r="C289" s="2" t="str">
        <f>IFERROR(__xludf.DUMMYFUNCTION("""COMPUTED_VALUE"""),"Key Personnel")</f>
        <v>Key Personnel</v>
      </c>
      <c r="D289" s="2" t="str">
        <f>IFERROR(__xludf.DUMMYFUNCTION("""COMPUTED_VALUE"""),"Gupta")</f>
        <v>Gupta</v>
      </c>
      <c r="E289" s="2" t="str">
        <f>IFERROR(__xludf.DUMMYFUNCTION("""COMPUTED_VALUE"""),"postdoc")</f>
        <v>postdoc</v>
      </c>
      <c r="F289" s="2" t="str">
        <f>IFERROR(__xludf.DUMMYFUNCTION("""COMPUTED_VALUE"""),"Snehasish.ghosh@yale.edu")</f>
        <v>Snehasish.ghosh@yale.edu</v>
      </c>
      <c r="G289" s="2" t="str">
        <f>IFERROR(__xludf.DUMMYFUNCTION("""COMPUTED_VALUE"""),"0000-0003-0472-747X")</f>
        <v>0000-0003-0472-747X</v>
      </c>
    </row>
    <row r="290">
      <c r="A290" s="2" t="str">
        <f>IFERROR(__xludf.DUMMYFUNCTION("""COMPUTED_VALUE"""),"Amos")</f>
        <v>Amos</v>
      </c>
      <c r="B290" s="2" t="str">
        <f>IFERROR(__xludf.DUMMYFUNCTION("""COMPUTED_VALUE"""),"Chase")</f>
        <v>Chase</v>
      </c>
      <c r="C290" s="2" t="str">
        <f>IFERROR(__xludf.DUMMYFUNCTION("""COMPUTED_VALUE"""),"Key Personnel")</f>
        <v>Key Personnel</v>
      </c>
      <c r="D290" s="2" t="str">
        <f>IFERROR(__xludf.DUMMYFUNCTION("""COMPUTED_VALUE"""),"De Camilli")</f>
        <v>De Camilli</v>
      </c>
      <c r="E290" s="2" t="str">
        <f>IFERROR(__xludf.DUMMYFUNCTION("""COMPUTED_VALUE"""),"grad student")</f>
        <v>grad student</v>
      </c>
      <c r="F290" s="2" t="str">
        <f>IFERROR(__xludf.DUMMYFUNCTION("""COMPUTED_VALUE"""),"chase.amos@yale.edu")</f>
        <v>chase.amos@yale.edu</v>
      </c>
      <c r="G290" s="2" t="str">
        <f>IFERROR(__xludf.DUMMYFUNCTION("""COMPUTED_VALUE"""),"0000-0002-3176-9387")</f>
        <v>0000-0002-3176-9387</v>
      </c>
    </row>
    <row r="291">
      <c r="A291" s="2" t="str">
        <f>IFERROR(__xludf.DUMMYFUNCTION("""COMPUTED_VALUE"""),"Talaia")</f>
        <v>Talaia</v>
      </c>
      <c r="B291" s="2" t="str">
        <f>IFERROR(__xludf.DUMMYFUNCTION("""COMPUTED_VALUE"""),"Gabriel")</f>
        <v>Gabriel</v>
      </c>
      <c r="C291" s="2" t="str">
        <f>IFERROR(__xludf.DUMMYFUNCTION("""COMPUTED_VALUE"""),"Key Personnel")</f>
        <v>Key Personnel</v>
      </c>
      <c r="D291" s="2" t="str">
        <f>IFERROR(__xludf.DUMMYFUNCTION("""COMPUTED_VALUE"""),"Ferguson")</f>
        <v>Ferguson</v>
      </c>
      <c r="E291" s="2" t="str">
        <f>IFERROR(__xludf.DUMMYFUNCTION("""COMPUTED_VALUE"""),"postdoc")</f>
        <v>postdoc</v>
      </c>
      <c r="F291" s="2" t="str">
        <f>IFERROR(__xludf.DUMMYFUNCTION("""COMPUTED_VALUE"""),"gabriel.rocha@yale.edu")</f>
        <v>gabriel.rocha@yale.edu</v>
      </c>
      <c r="G291" s="2" t="str">
        <f>IFERROR(__xludf.DUMMYFUNCTION("""COMPUTED_VALUE"""),"0000-0003-1870-4658")</f>
        <v>0000-0003-1870-4658</v>
      </c>
    </row>
    <row r="292">
      <c r="A292" s="2" t="str">
        <f>IFERROR(__xludf.DUMMYFUNCTION("""COMPUTED_VALUE"""),"Delgado")</f>
        <v>Delgado</v>
      </c>
      <c r="B292" s="2" t="str">
        <f>IFERROR(__xludf.DUMMYFUNCTION("""COMPUTED_VALUE"""),"Sofia ")</f>
        <v>Sofia </v>
      </c>
      <c r="C292" s="2" t="str">
        <f>IFERROR(__xludf.DUMMYFUNCTION("""COMPUTED_VALUE"""),"Key Personnel")</f>
        <v>Key Personnel</v>
      </c>
      <c r="D292" s="2" t="str">
        <f>IFERROR(__xludf.DUMMYFUNCTION("""COMPUTED_VALUE"""),"Gupta")</f>
        <v>Gupta</v>
      </c>
      <c r="E292" s="2" t="str">
        <f>IFERROR(__xludf.DUMMYFUNCTION("""COMPUTED_VALUE"""),"grad student")</f>
        <v>grad student</v>
      </c>
      <c r="F292" s="2" t="str">
        <f>IFERROR(__xludf.DUMMYFUNCTION("""COMPUTED_VALUE"""),"sofia.delgado@yale.edu")</f>
        <v>sofia.delgado@yale.edu</v>
      </c>
      <c r="G292" s="2" t="str">
        <f>IFERROR(__xludf.DUMMYFUNCTION("""COMPUTED_VALUE"""),"0000-0001-5278-6736")</f>
        <v>0000-0001-5278-6736</v>
      </c>
    </row>
    <row r="293">
      <c r="A293" s="2" t="str">
        <f>IFERROR(__xludf.DUMMYFUNCTION("""COMPUTED_VALUE"""),"Nassar")</f>
        <v>Nassar</v>
      </c>
      <c r="B293" s="2" t="str">
        <f>IFERROR(__xludf.DUMMYFUNCTION("""COMPUTED_VALUE"""),"Layla")</f>
        <v>Layla</v>
      </c>
      <c r="C293" s="2" t="str">
        <f>IFERROR(__xludf.DUMMYFUNCTION("""COMPUTED_VALUE"""),"Key Personnel")</f>
        <v>Key Personnel</v>
      </c>
      <c r="D293" s="2" t="str">
        <f>IFERROR(__xludf.DUMMYFUNCTION("""COMPUTED_VALUE"""),"Ferguson")</f>
        <v>Ferguson</v>
      </c>
      <c r="E293" s="2" t="str">
        <f>IFERROR(__xludf.DUMMYFUNCTION("""COMPUTED_VALUE"""),"grad student")</f>
        <v>grad student</v>
      </c>
      <c r="F293" s="2" t="str">
        <f>IFERROR(__xludf.DUMMYFUNCTION("""COMPUTED_VALUE"""),"layla.nassar@yale.edu")</f>
        <v>layla.nassar@yale.edu</v>
      </c>
      <c r="G293" s="2" t="str">
        <f>IFERROR(__xludf.DUMMYFUNCTION("""COMPUTED_VALUE"""),"0000-0002-3080-7599")</f>
        <v>0000-0002-3080-7599</v>
      </c>
    </row>
    <row r="294">
      <c r="A294" s="2" t="str">
        <f>IFERROR(__xludf.DUMMYFUNCTION("""COMPUTED_VALUE"""),"Nield")</f>
        <v>Nield</v>
      </c>
      <c r="B294" s="2" t="str">
        <f>IFERROR(__xludf.DUMMYFUNCTION("""COMPUTED_VALUE"""),"Chloe")</f>
        <v>Chloe</v>
      </c>
      <c r="C294" s="2" t="str">
        <f>IFERROR(__xludf.DUMMYFUNCTION("""COMPUTED_VALUE"""),"Key Personnel")</f>
        <v>Key Personnel</v>
      </c>
      <c r="D294" s="2" t="str">
        <f>IFERROR(__xludf.DUMMYFUNCTION("""COMPUTED_VALUE"""),"Ferguson")</f>
        <v>Ferguson</v>
      </c>
      <c r="E294" s="2" t="str">
        <f>IFERROR(__xludf.DUMMYFUNCTION("""COMPUTED_VALUE"""),"grad student")</f>
        <v>grad student</v>
      </c>
      <c r="F294" s="2" t="str">
        <f>IFERROR(__xludf.DUMMYFUNCTION("""COMPUTED_VALUE"""),"chloe.nield@yale.edu")</f>
        <v>chloe.nield@yale.edu</v>
      </c>
      <c r="G294" s="2" t="str">
        <f>IFERROR(__xludf.DUMMYFUNCTION("""COMPUTED_VALUE"""),"0009-0004-1485-7619")</f>
        <v>0009-0004-1485-7619</v>
      </c>
    </row>
    <row r="295">
      <c r="A295" s="2" t="str">
        <f>IFERROR(__xludf.DUMMYFUNCTION("""COMPUTED_VALUE"""),"Kumar")</f>
        <v>Kumar</v>
      </c>
      <c r="B295" s="2" t="str">
        <f>IFERROR(__xludf.DUMMYFUNCTION("""COMPUTED_VALUE"""),"Mukesh")</f>
        <v>Mukesh</v>
      </c>
      <c r="C295" s="2" t="str">
        <f>IFERROR(__xludf.DUMMYFUNCTION("""COMPUTED_VALUE"""),"Key Personnel")</f>
        <v>Key Personnel</v>
      </c>
      <c r="D295" s="2" t="str">
        <f>IFERROR(__xludf.DUMMYFUNCTION("""COMPUTED_VALUE"""),"Ryan")</f>
        <v>Ryan</v>
      </c>
      <c r="E295" s="2" t="str">
        <f>IFERROR(__xludf.DUMMYFUNCTION("""COMPUTED_VALUE"""),"postdoc")</f>
        <v>postdoc</v>
      </c>
      <c r="F295" s="2" t="str">
        <f>IFERROR(__xludf.DUMMYFUNCTION("""COMPUTED_VALUE"""),"muk4002@med.cornell.edu")</f>
        <v>muk4002@med.cornell.edu</v>
      </c>
      <c r="G295" s="2" t="str">
        <f>IFERROR(__xludf.DUMMYFUNCTION("""COMPUTED_VALUE"""),"0000-0002-0277-2958")</f>
        <v>0000-0002-0277-2958</v>
      </c>
    </row>
    <row r="296">
      <c r="A296" s="2" t="str">
        <f>IFERROR(__xludf.DUMMYFUNCTION("""COMPUTED_VALUE"""),"Johnson")</f>
        <v>Johnson</v>
      </c>
      <c r="B296" s="2" t="str">
        <f>IFERROR(__xludf.DUMMYFUNCTION("""COMPUTED_VALUE"""),"Benjamin ")</f>
        <v>Benjamin </v>
      </c>
      <c r="C296" s="2" t="str">
        <f>IFERROR(__xludf.DUMMYFUNCTION("""COMPUTED_VALUE"""),"Project Manager")</f>
        <v>Project Manager</v>
      </c>
      <c r="D296" s="2" t="str">
        <f>IFERROR(__xludf.DUMMYFUNCTION("""COMPUTED_VALUE"""),"De Camilli")</f>
        <v>De Camilli</v>
      </c>
      <c r="E296" s="2" t="str">
        <f>IFERROR(__xludf.DUMMYFUNCTION("""COMPUTED_VALUE"""),"postdoc")</f>
        <v>postdoc</v>
      </c>
      <c r="F296" s="2" t="str">
        <f>IFERROR(__xludf.DUMMYFUNCTION("""COMPUTED_VALUE"""),"benjamin.t.johnson@yale.edu")</f>
        <v>benjamin.t.johnson@yale.edu</v>
      </c>
      <c r="G296" s="2" t="str">
        <f>IFERROR(__xludf.DUMMYFUNCTION("""COMPUTED_VALUE"""),"0000-0002-6048-1382")</f>
        <v>0000-0002-6048-1382</v>
      </c>
    </row>
    <row r="297">
      <c r="A297" s="2" t="str">
        <f>IFERROR(__xludf.DUMMYFUNCTION("""COMPUTED_VALUE"""),"Corbin-Stein")</f>
        <v>Corbin-Stein</v>
      </c>
      <c r="B297" s="2" t="str">
        <f>IFERROR(__xludf.DUMMYFUNCTION("""COMPUTED_VALUE"""),"Nicole")</f>
        <v>Nicole</v>
      </c>
      <c r="C297" s="2" t="str">
        <f>IFERROR(__xludf.DUMMYFUNCTION("""COMPUTED_VALUE"""),"Key Personnel")</f>
        <v>Key Personnel</v>
      </c>
      <c r="D297" s="2" t="str">
        <f>IFERROR(__xludf.DUMMYFUNCTION("""COMPUTED_VALUE"""),"Zhang")</f>
        <v>Zhang</v>
      </c>
      <c r="E297" s="2" t="str">
        <f>IFERROR(__xludf.DUMMYFUNCTION("""COMPUTED_VALUE"""),"postdoc")</f>
        <v>postdoc</v>
      </c>
      <c r="F297" s="2" t="str">
        <f>IFERROR(__xludf.DUMMYFUNCTION("""COMPUTED_VALUE"""),"nicole.corbinstein@yale.edu")</f>
        <v>nicole.corbinstein@yale.edu</v>
      </c>
      <c r="G297" s="4" t="str">
        <f>IFERROR(__xludf.DUMMYFUNCTION("""COMPUTED_VALUE"""),"https://orcid.org/0000-0003-0820-0085")</f>
        <v>https://orcid.org/0000-0003-0820-0085</v>
      </c>
    </row>
    <row r="298">
      <c r="A298" s="2" t="str">
        <f>IFERROR(__xludf.DUMMYFUNCTION("""COMPUTED_VALUE"""),"Melia")</f>
        <v>Melia</v>
      </c>
      <c r="B298" s="2" t="str">
        <f>IFERROR(__xludf.DUMMYFUNCTION("""COMPUTED_VALUE"""),"Thomas")</f>
        <v>Thomas</v>
      </c>
      <c r="C298" s="2" t="str">
        <f>IFERROR(__xludf.DUMMYFUNCTION("""COMPUTED_VALUE"""),"Collaborating PI")</f>
        <v>Collaborating PI</v>
      </c>
      <c r="D298" s="2" t="str">
        <f>IFERROR(__xludf.DUMMYFUNCTION("""COMPUTED_VALUE"""),"Melia")</f>
        <v>Melia</v>
      </c>
      <c r="E298" s="2" t="str">
        <f>IFERROR(__xludf.DUMMYFUNCTION("""COMPUTED_VALUE"""),"collaborating PI")</f>
        <v>collaborating PI</v>
      </c>
      <c r="F298" s="2" t="str">
        <f>IFERROR(__xludf.DUMMYFUNCTION("""COMPUTED_VALUE"""),"thomas.melia@yale.edu")</f>
        <v>thomas.melia@yale.edu</v>
      </c>
      <c r="G298" s="2" t="str">
        <f>IFERROR(__xludf.DUMMYFUNCTION("""COMPUTED_VALUE"""),"0000-0002-5798-4624")</f>
        <v>0000-0002-5798-4624</v>
      </c>
    </row>
    <row r="299">
      <c r="A299" s="2" t="str">
        <f>IFERROR(__xludf.DUMMYFUNCTION("""COMPUTED_VALUE"""),"Sy")</f>
        <v>Sy</v>
      </c>
      <c r="B299" s="2" t="str">
        <f>IFERROR(__xludf.DUMMYFUNCTION("""COMPUTED_VALUE"""),"Kriza")</f>
        <v>Kriza</v>
      </c>
      <c r="C299" s="2" t="str">
        <f>IFERROR(__xludf.DUMMYFUNCTION("""COMPUTED_VALUE"""),"Key Personnel")</f>
        <v>Key Personnel</v>
      </c>
      <c r="D299" s="2" t="str">
        <f>IFERROR(__xludf.DUMMYFUNCTION("""COMPUTED_VALUE"""),"De Camilli")</f>
        <v>De Camilli</v>
      </c>
      <c r="E299" s="2" t="str">
        <f>IFERROR(__xludf.DUMMYFUNCTION("""COMPUTED_VALUE"""),"grad student")</f>
        <v>grad student</v>
      </c>
      <c r="F299" s="2" t="str">
        <f>IFERROR(__xludf.DUMMYFUNCTION("""COMPUTED_VALUE"""),"kriza.sy@yale.edu")</f>
        <v>kriza.sy@yale.edu</v>
      </c>
      <c r="G299" s="4" t="str">
        <f>IFERROR(__xludf.DUMMYFUNCTION("""COMPUTED_VALUE"""),"https://orcid.org/0000-0002-8558-1734")</f>
        <v>https://orcid.org/0000-0002-8558-1734</v>
      </c>
    </row>
    <row r="300">
      <c r="A300" s="2" t="str">
        <f>IFERROR(__xludf.DUMMYFUNCTION("""COMPUTED_VALUE"""),"Hao")</f>
        <v>Hao</v>
      </c>
      <c r="B300" s="2" t="str">
        <f>IFERROR(__xludf.DUMMYFUNCTION("""COMPUTED_VALUE"""),"Hongyan")</f>
        <v>Hongyan</v>
      </c>
      <c r="C300" s="2" t="str">
        <f>IFERROR(__xludf.DUMMYFUNCTION("""COMPUTED_VALUE"""),"Key Personnel")</f>
        <v>Key Personnel</v>
      </c>
      <c r="D300" s="2" t="str">
        <f>IFERROR(__xludf.DUMMYFUNCTION("""COMPUTED_VALUE"""),"De Camilli")</f>
        <v>De Camilli</v>
      </c>
      <c r="E300" s="2" t="str">
        <f>IFERROR(__xludf.DUMMYFUNCTION("""COMPUTED_VALUE"""),"postdoc")</f>
        <v>postdoc</v>
      </c>
      <c r="F300" s="2" t="str">
        <f>IFERROR(__xludf.DUMMYFUNCTION("""COMPUTED_VALUE"""),"hongyan.hao@yale.edu")</f>
        <v>hongyan.hao@yale.edu</v>
      </c>
      <c r="G300" s="4" t="str">
        <f>IFERROR(__xludf.DUMMYFUNCTION("""COMPUTED_VALUE"""),"https://orcid.org/0000-0003-0860-2615")</f>
        <v>https://orcid.org/0000-0003-0860-2615</v>
      </c>
    </row>
    <row r="301">
      <c r="A301" s="2" t="str">
        <f>IFERROR(__xludf.DUMMYFUNCTION("""COMPUTED_VALUE"""),"Fuller")</f>
        <v>Fuller</v>
      </c>
      <c r="B301" s="2" t="str">
        <f>IFERROR(__xludf.DUMMYFUNCTION("""COMPUTED_VALUE"""),"Devin")</f>
        <v>Devin</v>
      </c>
      <c r="C301" s="2" t="str">
        <f>IFERROR(__xludf.DUMMYFUNCTION("""COMPUTED_VALUE"""),"Key Personnel")</f>
        <v>Key Personnel</v>
      </c>
      <c r="D301" s="2" t="str">
        <f>IFERROR(__xludf.DUMMYFUNCTION("""COMPUTED_VALUE"""),"Melia")</f>
        <v>Melia</v>
      </c>
      <c r="E301" s="2" t="str">
        <f>IFERROR(__xludf.DUMMYFUNCTION("""COMPUTED_VALUE"""),"grad student")</f>
        <v>grad student</v>
      </c>
      <c r="F301" s="2" t="str">
        <f>IFERROR(__xludf.DUMMYFUNCTION("""COMPUTED_VALUE"""),"devin.fuller@yale.edu")</f>
        <v>devin.fuller@yale.edu</v>
      </c>
      <c r="G301" s="2" t="str">
        <f>IFERROR(__xludf.DUMMYFUNCTION("""COMPUTED_VALUE"""),"0000-0002-3049-7914")</f>
        <v>0000-0002-3049-7914</v>
      </c>
    </row>
    <row r="302">
      <c r="A302" s="2" t="str">
        <f>IFERROR(__xludf.DUMMYFUNCTION("""COMPUTED_VALUE"""),"Hu")</f>
        <v>Hu</v>
      </c>
      <c r="B302" s="2" t="str">
        <f>IFERROR(__xludf.DUMMYFUNCTION("""COMPUTED_VALUE"""),"Bodan")</f>
        <v>Bodan</v>
      </c>
      <c r="C302" s="2" t="str">
        <f>IFERROR(__xludf.DUMMYFUNCTION("""COMPUTED_VALUE"""),"Key Personnel")</f>
        <v>Key Personnel</v>
      </c>
      <c r="D302" s="2" t="str">
        <f>IFERROR(__xludf.DUMMYFUNCTION("""COMPUTED_VALUE"""),"Reinisch")</f>
        <v>Reinisch</v>
      </c>
      <c r="E302" s="2" t="str">
        <f>IFERROR(__xludf.DUMMYFUNCTION("""COMPUTED_VALUE"""),"assoc research scientist")</f>
        <v>assoc research scientist</v>
      </c>
      <c r="F302" s="2" t="str">
        <f>IFERROR(__xludf.DUMMYFUNCTION("""COMPUTED_VALUE"""),"bodan.hu@yale.edu")</f>
        <v>bodan.hu@yale.edu</v>
      </c>
      <c r="G302" s="2" t="str">
        <f>IFERROR(__xludf.DUMMYFUNCTION("""COMPUTED_VALUE"""),"0000-0002-1365-7381")</f>
        <v>0000-0002-1365-7381</v>
      </c>
    </row>
    <row r="303">
      <c r="A303" s="2" t="str">
        <f>IFERROR(__xludf.DUMMYFUNCTION("""COMPUTED_VALUE"""),"Li")</f>
        <v>Li</v>
      </c>
      <c r="B303" s="2" t="str">
        <f>IFERROR(__xludf.DUMMYFUNCTION("""COMPUTED_VALUE"""),"Dazhi")</f>
        <v>Dazhi</v>
      </c>
      <c r="C303" s="2" t="str">
        <f>IFERROR(__xludf.DUMMYFUNCTION("""COMPUTED_VALUE"""),"Key Personnel")</f>
        <v>Key Personnel</v>
      </c>
      <c r="D303" s="2" t="str">
        <f>IFERROR(__xludf.DUMMYFUNCTION("""COMPUTED_VALUE"""),"Reinisch")</f>
        <v>Reinisch</v>
      </c>
      <c r="E303" s="2" t="str">
        <f>IFERROR(__xludf.DUMMYFUNCTION("""COMPUTED_VALUE"""),"grad student")</f>
        <v>grad student</v>
      </c>
      <c r="F303" s="2" t="str">
        <f>IFERROR(__xludf.DUMMYFUNCTION("""COMPUTED_VALUE"""),"dazhi.li@yale.edu")</f>
        <v>dazhi.li@yale.edu</v>
      </c>
      <c r="G303" s="2" t="str">
        <f>IFERROR(__xludf.DUMMYFUNCTION("""COMPUTED_VALUE"""),"0009-0006-7086-3866")</f>
        <v>0009-0006-7086-3866</v>
      </c>
    </row>
    <row r="304">
      <c r="A304" s="2" t="str">
        <f>IFERROR(__xludf.DUMMYFUNCTION("""COMPUTED_VALUE"""),"Lee")</f>
        <v>Lee</v>
      </c>
      <c r="B304" s="2" t="str">
        <f>IFERROR(__xludf.DUMMYFUNCTION("""COMPUTED_VALUE"""),"Jaywon")</f>
        <v>Jaywon</v>
      </c>
      <c r="C304" s="2" t="str">
        <f>IFERROR(__xludf.DUMMYFUNCTION("""COMPUTED_VALUE"""),"Key Personnel")</f>
        <v>Key Personnel</v>
      </c>
      <c r="D304" s="2" t="str">
        <f>IFERROR(__xludf.DUMMYFUNCTION("""COMPUTED_VALUE"""),"Gupta")</f>
        <v>Gupta</v>
      </c>
      <c r="E304" s="2" t="str">
        <f>IFERROR(__xludf.DUMMYFUNCTION("""COMPUTED_VALUE"""),"grad student")</f>
        <v>grad student</v>
      </c>
      <c r="F304" s="2" t="str">
        <f>IFERROR(__xludf.DUMMYFUNCTION("""COMPUTED_VALUE"""),"jaywon.lee.jl3926@yale.edu")</f>
        <v>jaywon.lee.jl3926@yale.edu</v>
      </c>
      <c r="G304" s="4" t="str">
        <f>IFERROR(__xludf.DUMMYFUNCTION("""COMPUTED_VALUE"""),"https://orcid.org/0009-0007-8432-7738")</f>
        <v>https://orcid.org/0009-0007-8432-7738</v>
      </c>
    </row>
    <row r="305">
      <c r="A305" s="2" t="str">
        <f>IFERROR(__xludf.DUMMYFUNCTION("""COMPUTED_VALUE"""),"Desjardins")</f>
        <v>Desjardins</v>
      </c>
      <c r="B305" s="2" t="str">
        <f>IFERROR(__xludf.DUMMYFUNCTION("""COMPUTED_VALUE"""),"Michel")</f>
        <v>Michel</v>
      </c>
      <c r="C305" s="2" t="str">
        <f>IFERROR(__xludf.DUMMYFUNCTION("""COMPUTED_VALUE"""),"Lead-PI")</f>
        <v>Lead-PI</v>
      </c>
      <c r="D305" s="2"/>
      <c r="E305" s="2"/>
      <c r="F305" s="2" t="str">
        <f>IFERROR(__xludf.DUMMYFUNCTION("""COMPUTED_VALUE"""),"michel.desjardins@umontreal.ca")</f>
        <v>michel.desjardins@umontreal.ca</v>
      </c>
      <c r="G305" s="2" t="str">
        <f>IFERROR(__xludf.DUMMYFUNCTION("""COMPUTED_VALUE"""),"0000-0002-5684-5980")</f>
        <v>0000-0002-5684-5980</v>
      </c>
    </row>
    <row r="306">
      <c r="A306" s="2" t="str">
        <f>IFERROR(__xludf.DUMMYFUNCTION("""COMPUTED_VALUE"""),"Gruenheid")</f>
        <v>Gruenheid</v>
      </c>
      <c r="B306" s="2" t="str">
        <f>IFERROR(__xludf.DUMMYFUNCTION("""COMPUTED_VALUE"""),"Samantha")</f>
        <v>Samantha</v>
      </c>
      <c r="C306" s="2" t="str">
        <f>IFERROR(__xludf.DUMMYFUNCTION("""COMPUTED_VALUE"""),"Co-PI")</f>
        <v>Co-PI</v>
      </c>
      <c r="D306" s="2"/>
      <c r="E306" s="2"/>
      <c r="F306" s="2" t="str">
        <f>IFERROR(__xludf.DUMMYFUNCTION("""COMPUTED_VALUE"""),"samantha.gruenheid@mcgill.ca")</f>
        <v>samantha.gruenheid@mcgill.ca</v>
      </c>
      <c r="G306" s="2" t="str">
        <f>IFERROR(__xludf.DUMMYFUNCTION("""COMPUTED_VALUE"""),"0000-0002-0908-6715")</f>
        <v>0000-0002-0908-6715</v>
      </c>
    </row>
    <row r="307">
      <c r="A307" s="2" t="str">
        <f>IFERROR(__xludf.DUMMYFUNCTION("""COMPUTED_VALUE"""),"McBride")</f>
        <v>McBride</v>
      </c>
      <c r="B307" s="2" t="str">
        <f>IFERROR(__xludf.DUMMYFUNCTION("""COMPUTED_VALUE"""),"Heidi")</f>
        <v>Heidi</v>
      </c>
      <c r="C307" s="2" t="str">
        <f>IFERROR(__xludf.DUMMYFUNCTION("""COMPUTED_VALUE"""),"Co-PI")</f>
        <v>Co-PI</v>
      </c>
      <c r="D307" s="2"/>
      <c r="E307" s="2"/>
      <c r="F307" s="2" t="str">
        <f>IFERROR(__xludf.DUMMYFUNCTION("""COMPUTED_VALUE"""),"heidi.mcbride@mcgill.ca")</f>
        <v>heidi.mcbride@mcgill.ca</v>
      </c>
      <c r="G307" s="2" t="str">
        <f>IFERROR(__xludf.DUMMYFUNCTION("""COMPUTED_VALUE"""),"0000-0003-4666-2280")</f>
        <v>0000-0003-4666-2280</v>
      </c>
    </row>
    <row r="308">
      <c r="A308" s="2" t="str">
        <f>IFERROR(__xludf.DUMMYFUNCTION("""COMPUTED_VALUE"""),"Stratton")</f>
        <v>Stratton</v>
      </c>
      <c r="B308" s="2" t="str">
        <f>IFERROR(__xludf.DUMMYFUNCTION("""COMPUTED_VALUE"""),"Jo Anne")</f>
        <v>Jo Anne</v>
      </c>
      <c r="C308" s="2" t="str">
        <f>IFERROR(__xludf.DUMMYFUNCTION("""COMPUTED_VALUE"""),"Collaborating PI")</f>
        <v>Collaborating PI</v>
      </c>
      <c r="D308" s="2"/>
      <c r="E308" s="2"/>
      <c r="F308" s="2" t="str">
        <f>IFERROR(__xludf.DUMMYFUNCTION("""COMPUTED_VALUE"""),"jo.stratton@mcgill.ca")</f>
        <v>jo.stratton@mcgill.ca</v>
      </c>
      <c r="G308" s="2" t="str">
        <f>IFERROR(__xludf.DUMMYFUNCTION("""COMPUTED_VALUE"""),"0000-0002-1205-1353")</f>
        <v>0000-0002-1205-1353</v>
      </c>
    </row>
    <row r="309">
      <c r="A309" s="2" t="str">
        <f>IFERROR(__xludf.DUMMYFUNCTION("""COMPUTED_VALUE"""),"Trudeau")</f>
        <v>Trudeau</v>
      </c>
      <c r="B309" s="2" t="str">
        <f>IFERROR(__xludf.DUMMYFUNCTION("""COMPUTED_VALUE"""),"Louis-Eric")</f>
        <v>Louis-Eric</v>
      </c>
      <c r="C309" s="2" t="str">
        <f>IFERROR(__xludf.DUMMYFUNCTION("""COMPUTED_VALUE"""),"Co-PI")</f>
        <v>Co-PI</v>
      </c>
      <c r="D309" s="2"/>
      <c r="E309" s="2"/>
      <c r="F309" s="2" t="str">
        <f>IFERROR(__xludf.DUMMYFUNCTION("""COMPUTED_VALUE"""),"louis-eric.trudeau@umontreal.ca")</f>
        <v>louis-eric.trudeau@umontreal.ca</v>
      </c>
      <c r="G309" s="2" t="str">
        <f>IFERROR(__xludf.DUMMYFUNCTION("""COMPUTED_VALUE"""),"0000-0003-4684-1377")</f>
        <v>0000-0003-4684-1377</v>
      </c>
    </row>
    <row r="310">
      <c r="A310" s="2" t="str">
        <f>IFERROR(__xludf.DUMMYFUNCTION("""COMPUTED_VALUE"""),"Rodriguez")</f>
        <v>Rodriguez</v>
      </c>
      <c r="B310" s="2" t="str">
        <f>IFERROR(__xludf.DUMMYFUNCTION("""COMPUTED_VALUE"""),"Lilia")</f>
        <v>Lilia</v>
      </c>
      <c r="C310" s="2" t="str">
        <f>IFERROR(__xludf.DUMMYFUNCTION("""COMPUTED_VALUE"""),"Project Manager")</f>
        <v>Project Manager</v>
      </c>
      <c r="D310" s="2"/>
      <c r="E310" s="2"/>
      <c r="F310" s="2" t="str">
        <f>IFERROR(__xludf.DUMMYFUNCTION("""COMPUTED_VALUE"""),"lilia.rodriguez.moya@umontreal.ca ")</f>
        <v>lilia.rodriguez.moya@umontreal.ca </v>
      </c>
      <c r="G310" s="2" t="str">
        <f>IFERROR(__xludf.DUMMYFUNCTION("""COMPUTED_VALUE"""),"0000-0002-5863-3180")</f>
        <v>0000-0002-5863-3180</v>
      </c>
    </row>
    <row r="311">
      <c r="A311" s="2" t="str">
        <f>IFERROR(__xludf.DUMMYFUNCTION("""COMPUTED_VALUE"""),"Thibault")</f>
        <v>Thibault</v>
      </c>
      <c r="B311" s="2" t="str">
        <f>IFERROR(__xludf.DUMMYFUNCTION("""COMPUTED_VALUE"""),"Pierre")</f>
        <v>Pierre</v>
      </c>
      <c r="C311" s="2" t="str">
        <f>IFERROR(__xludf.DUMMYFUNCTION("""COMPUTED_VALUE"""),"Collaborating PI")</f>
        <v>Collaborating PI</v>
      </c>
      <c r="D311" s="2"/>
      <c r="E311" s="2"/>
      <c r="F311" s="2" t="str">
        <f>IFERROR(__xludf.DUMMYFUNCTION("""COMPUTED_VALUE"""),"pierre.thibault@umontreal.ca")</f>
        <v>pierre.thibault@umontreal.ca</v>
      </c>
      <c r="G311" s="2" t="str">
        <f>IFERROR(__xludf.DUMMYFUNCTION("""COMPUTED_VALUE"""),"0000-0001-5993-0331")</f>
        <v>0000-0001-5993-0331</v>
      </c>
    </row>
    <row r="312">
      <c r="A312" s="2" t="str">
        <f>IFERROR(__xludf.DUMMYFUNCTION("""COMPUTED_VALUE"""),"Labrecque")</f>
        <v>Labrecque</v>
      </c>
      <c r="B312" s="2" t="str">
        <f>IFERROR(__xludf.DUMMYFUNCTION("""COMPUTED_VALUE"""),"Nathalie")</f>
        <v>Nathalie</v>
      </c>
      <c r="C312" s="2" t="str">
        <f>IFERROR(__xludf.DUMMYFUNCTION("""COMPUTED_VALUE"""),"Collaborating PI")</f>
        <v>Collaborating PI</v>
      </c>
      <c r="D312" s="2"/>
      <c r="E312" s="2"/>
      <c r="F312" s="2" t="str">
        <f>IFERROR(__xludf.DUMMYFUNCTION("""COMPUTED_VALUE"""),"nathalie.labrecque@umontreal.ca")</f>
        <v>nathalie.labrecque@umontreal.ca</v>
      </c>
      <c r="G312" s="2" t="str">
        <f>IFERROR(__xludf.DUMMYFUNCTION("""COMPUTED_VALUE"""),"0000-0001-7563-1542")</f>
        <v>0000-0001-7563-1542</v>
      </c>
    </row>
    <row r="313">
      <c r="A313" s="2" t="str">
        <f>IFERROR(__xludf.DUMMYFUNCTION("""COMPUTED_VALUE"""),"Drouin-Ouellet")</f>
        <v>Drouin-Ouellet</v>
      </c>
      <c r="B313" s="2" t="str">
        <f>IFERROR(__xludf.DUMMYFUNCTION("""COMPUTED_VALUE"""),"Janelle")</f>
        <v>Janelle</v>
      </c>
      <c r="C313" s="2" t="str">
        <f>IFERROR(__xludf.DUMMYFUNCTION("""COMPUTED_VALUE"""),"Co-PI")</f>
        <v>Co-PI</v>
      </c>
      <c r="D313" s="2"/>
      <c r="E313" s="2"/>
      <c r="F313" s="2" t="str">
        <f>IFERROR(__xludf.DUMMYFUNCTION("""COMPUTED_VALUE"""),"janelle.drouin-ouellet@umontreal.ca")</f>
        <v>janelle.drouin-ouellet@umontreal.ca</v>
      </c>
      <c r="G313" s="2" t="str">
        <f>IFERROR(__xludf.DUMMYFUNCTION("""COMPUTED_VALUE"""),"0000-0002-7645-0521")</f>
        <v>0000-0002-7645-0521</v>
      </c>
    </row>
    <row r="314">
      <c r="A314" s="2" t="str">
        <f>IFERROR(__xludf.DUMMYFUNCTION("""COMPUTED_VALUE"""),"Schurr")</f>
        <v>Schurr</v>
      </c>
      <c r="B314" s="2" t="str">
        <f>IFERROR(__xludf.DUMMYFUNCTION("""COMPUTED_VALUE"""),"Erwin")</f>
        <v>Erwin</v>
      </c>
      <c r="C314" s="2" t="str">
        <f>IFERROR(__xludf.DUMMYFUNCTION("""COMPUTED_VALUE"""),"Collaborating PI")</f>
        <v>Collaborating PI</v>
      </c>
      <c r="D314" s="2"/>
      <c r="E314" s="2"/>
      <c r="F314" s="2" t="str">
        <f>IFERROR(__xludf.DUMMYFUNCTION("""COMPUTED_VALUE"""),"erwin.schurr@mcgill.ca")</f>
        <v>erwin.schurr@mcgill.ca</v>
      </c>
      <c r="G314" s="2" t="str">
        <f>IFERROR(__xludf.DUMMYFUNCTION("""COMPUTED_VALUE"""),"0000-0002-2640-536X")</f>
        <v>0000-0002-2640-536X</v>
      </c>
    </row>
    <row r="315">
      <c r="A315" s="2" t="str">
        <f>IFERROR(__xludf.DUMMYFUNCTION("""COMPUTED_VALUE"""),"Fahmy")</f>
        <v>Fahmy</v>
      </c>
      <c r="B315" s="2" t="str">
        <f>IFERROR(__xludf.DUMMYFUNCTION("""COMPUTED_VALUE"""),"Ahmed")</f>
        <v>Ahmed</v>
      </c>
      <c r="C315" s="2" t="str">
        <f>IFERROR(__xludf.DUMMYFUNCTION("""COMPUTED_VALUE"""),"Key Personnel")</f>
        <v>Key Personnel</v>
      </c>
      <c r="D315" s="2" t="str">
        <f>IFERROR(__xludf.DUMMYFUNCTION("""COMPUTED_VALUE"""),"Desjardins")</f>
        <v>Desjardins</v>
      </c>
      <c r="E315" s="2" t="str">
        <f>IFERROR(__xludf.DUMMYFUNCTION("""COMPUTED_VALUE"""),"Post-doc")</f>
        <v>Post-doc</v>
      </c>
      <c r="F315" s="2" t="str">
        <f>IFERROR(__xludf.DUMMYFUNCTION("""COMPUTED_VALUE"""),"ahmed.fahmy@umontreal.ca")</f>
        <v>ahmed.fahmy@umontreal.ca</v>
      </c>
      <c r="G315" s="2" t="str">
        <f>IFERROR(__xludf.DUMMYFUNCTION("""COMPUTED_VALUE"""),"0000-0003-0444-383X")</f>
        <v>0000-0003-0444-383X</v>
      </c>
    </row>
    <row r="316">
      <c r="A316" s="2" t="str">
        <f>IFERROR(__xludf.DUMMYFUNCTION("""COMPUTED_VALUE"""),"Hernandez")</f>
        <v>Hernandez</v>
      </c>
      <c r="B316" s="2" t="str">
        <f>IFERROR(__xludf.DUMMYFUNCTION("""COMPUTED_VALUE"""),"Camberly")</f>
        <v>Camberly</v>
      </c>
      <c r="C316" s="2" t="str">
        <f>IFERROR(__xludf.DUMMYFUNCTION("""COMPUTED_VALUE"""),"Key Personnel")</f>
        <v>Key Personnel</v>
      </c>
      <c r="D316" s="2" t="str">
        <f>IFERROR(__xludf.DUMMYFUNCTION("""COMPUTED_VALUE"""),"Desjardins")</f>
        <v>Desjardins</v>
      </c>
      <c r="E316" s="2" t="str">
        <f>IFERROR(__xludf.DUMMYFUNCTION("""COMPUTED_VALUE"""),"Technician")</f>
        <v>Technician</v>
      </c>
      <c r="F316" s="2" t="str">
        <f>IFERROR(__xludf.DUMMYFUNCTION("""COMPUTED_VALUE"""),"camberly.hernandez.paredes@umontreal.ca")</f>
        <v>camberly.hernandez.paredes@umontreal.ca</v>
      </c>
      <c r="G316" s="2" t="str">
        <f>IFERROR(__xludf.DUMMYFUNCTION("""COMPUTED_VALUE"""),"0000-0003-2585-4160")</f>
        <v>0000-0003-2585-4160</v>
      </c>
    </row>
    <row r="317">
      <c r="A317" s="2" t="str">
        <f>IFERROR(__xludf.DUMMYFUNCTION("""COMPUTED_VALUE"""),"Recinto")</f>
        <v>Recinto</v>
      </c>
      <c r="B317" s="2" t="str">
        <f>IFERROR(__xludf.DUMMYFUNCTION("""COMPUTED_VALUE"""),"Sherilyn")</f>
        <v>Sherilyn</v>
      </c>
      <c r="C317" s="2" t="str">
        <f>IFERROR(__xludf.DUMMYFUNCTION("""COMPUTED_VALUE"""),"Key Personnel")</f>
        <v>Key Personnel</v>
      </c>
      <c r="D317" s="2" t="str">
        <f>IFERROR(__xludf.DUMMYFUNCTION("""COMPUTED_VALUE"""),"Stratton")</f>
        <v>Stratton</v>
      </c>
      <c r="E317" s="2" t="str">
        <f>IFERROR(__xludf.DUMMYFUNCTION("""COMPUTED_VALUE"""),"PhD trainee")</f>
        <v>PhD trainee</v>
      </c>
      <c r="F317" s="2" t="str">
        <f>IFERROR(__xludf.DUMMYFUNCTION("""COMPUTED_VALUE"""),"sherilyn.recinto@mail.mcgill.ca")</f>
        <v>sherilyn.recinto@mail.mcgill.ca</v>
      </c>
      <c r="G317" s="2" t="str">
        <f>IFERROR(__xludf.DUMMYFUNCTION("""COMPUTED_VALUE"""),"0000-0001-9632-1201")</f>
        <v>0000-0001-9632-1201</v>
      </c>
    </row>
    <row r="318">
      <c r="A318" s="2" t="str">
        <f>IFERROR(__xludf.DUMMYFUNCTION("""COMPUTED_VALUE"""),"MacDonald")</f>
        <v>MacDonald</v>
      </c>
      <c r="B318" s="2" t="str">
        <f>IFERROR(__xludf.DUMMYFUNCTION("""COMPUTED_VALUE"""),"Adam")</f>
        <v>Adam</v>
      </c>
      <c r="C318" s="2" t="str">
        <f>IFERROR(__xludf.DUMMYFUNCTION("""COMPUTED_VALUE"""),"Key Personnel")</f>
        <v>Key Personnel</v>
      </c>
      <c r="D318" s="2" t="str">
        <f>IFERROR(__xludf.DUMMYFUNCTION("""COMPUTED_VALUE"""),"Stratton")</f>
        <v>Stratton</v>
      </c>
      <c r="E318" s="2" t="str">
        <f>IFERROR(__xludf.DUMMYFUNCTION("""COMPUTED_VALUE"""),"PhD trainee")</f>
        <v>PhD trainee</v>
      </c>
      <c r="F318" s="2" t="str">
        <f>IFERROR(__xludf.DUMMYFUNCTION("""COMPUTED_VALUE"""),"adam.macdonald@mail.mcgill.ca")</f>
        <v>adam.macdonald@mail.mcgill.ca</v>
      </c>
      <c r="G318" s="2" t="str">
        <f>IFERROR(__xludf.DUMMYFUNCTION("""COMPUTED_VALUE"""),"0000-0002-6470-1186")</f>
        <v>0000-0002-6470-1186</v>
      </c>
    </row>
    <row r="319">
      <c r="A319" s="2" t="str">
        <f>IFERROR(__xludf.DUMMYFUNCTION("""COMPUTED_VALUE"""),"Bourque")</f>
        <v>Bourque</v>
      </c>
      <c r="B319" s="2" t="str">
        <f>IFERROR(__xludf.DUMMYFUNCTION("""COMPUTED_VALUE"""),"Marie-Josée ")</f>
        <v>Marie-Josée </v>
      </c>
      <c r="C319" s="2" t="str">
        <f>IFERROR(__xludf.DUMMYFUNCTION("""COMPUTED_VALUE"""),"Key Personnel")</f>
        <v>Key Personnel</v>
      </c>
      <c r="D319" s="2" t="str">
        <f>IFERROR(__xludf.DUMMYFUNCTION("""COMPUTED_VALUE"""),"Trudeau")</f>
        <v>Trudeau</v>
      </c>
      <c r="E319" s="2" t="str">
        <f>IFERROR(__xludf.DUMMYFUNCTION("""COMPUTED_VALUE"""),"Research Assistant")</f>
        <v>Research Assistant</v>
      </c>
      <c r="F319" s="2" t="str">
        <f>IFERROR(__xludf.DUMMYFUNCTION("""COMPUTED_VALUE"""),"marie-josee.bourque@umontreal.ca")</f>
        <v>marie-josee.bourque@umontreal.ca</v>
      </c>
      <c r="G319" s="2" t="str">
        <f>IFERROR(__xludf.DUMMYFUNCTION("""COMPUTED_VALUE"""),"0000-0003-2284-4899")</f>
        <v>0000-0003-2284-4899</v>
      </c>
    </row>
    <row r="320">
      <c r="A320" s="2" t="str">
        <f>IFERROR(__xludf.DUMMYFUNCTION("""COMPUTED_VALUE"""),"Mukherjee")</f>
        <v>Mukherjee</v>
      </c>
      <c r="B320" s="2" t="str">
        <f>IFERROR(__xludf.DUMMYFUNCTION("""COMPUTED_VALUE"""),"Sriparna")</f>
        <v>Sriparna</v>
      </c>
      <c r="C320" s="2" t="str">
        <f>IFERROR(__xludf.DUMMYFUNCTION("""COMPUTED_VALUE"""),"Key Personnel")</f>
        <v>Key Personnel</v>
      </c>
      <c r="D320" s="2" t="str">
        <f>IFERROR(__xludf.DUMMYFUNCTION("""COMPUTED_VALUE"""),"Trudeau")</f>
        <v>Trudeau</v>
      </c>
      <c r="E320" s="2" t="str">
        <f>IFERROR(__xludf.DUMMYFUNCTION("""COMPUTED_VALUE"""),"Post-doc")</f>
        <v>Post-doc</v>
      </c>
      <c r="F320" s="2" t="str">
        <f>IFERROR(__xludf.DUMMYFUNCTION("""COMPUTED_VALUE"""),"sriparna.mukherjee@umontreal.ca")</f>
        <v>sriparna.mukherjee@umontreal.ca</v>
      </c>
      <c r="G320" s="2" t="str">
        <f>IFERROR(__xludf.DUMMYFUNCTION("""COMPUTED_VALUE"""),"0000-0001-9206-8739")</f>
        <v>0000-0001-9206-8739</v>
      </c>
    </row>
    <row r="321">
      <c r="A321" s="2" t="str">
        <f>IFERROR(__xludf.DUMMYFUNCTION("""COMPUTED_VALUE"""),"Nedjar")</f>
        <v>Nedjar</v>
      </c>
      <c r="B321" s="2" t="str">
        <f>IFERROR(__xludf.DUMMYFUNCTION("""COMPUTED_VALUE"""),"Ilyes")</f>
        <v>Ilyes</v>
      </c>
      <c r="C321" s="2" t="str">
        <f>IFERROR(__xludf.DUMMYFUNCTION("""COMPUTED_VALUE"""),"Key Personnel")</f>
        <v>Key Personnel</v>
      </c>
      <c r="D321" s="2" t="str">
        <f>IFERROR(__xludf.DUMMYFUNCTION("""COMPUTED_VALUE"""),"Trudeau")</f>
        <v>Trudeau</v>
      </c>
      <c r="E321" s="2" t="str">
        <f>IFERROR(__xludf.DUMMYFUNCTION("""COMPUTED_VALUE"""),"PhD trainee")</f>
        <v>PhD trainee</v>
      </c>
      <c r="F321" s="2" t="str">
        <f>IFERROR(__xludf.DUMMYFUNCTION("""COMPUTED_VALUE"""),"ilyes.nedjar@umontreal.ca")</f>
        <v>ilyes.nedjar@umontreal.ca</v>
      </c>
      <c r="G321" s="2" t="str">
        <f>IFERROR(__xludf.DUMMYFUNCTION("""COMPUTED_VALUE"""),"0000-0002-2201-146X")</f>
        <v>0000-0002-2201-146X</v>
      </c>
    </row>
    <row r="322">
      <c r="A322" s="2" t="str">
        <f>IFERROR(__xludf.DUMMYFUNCTION("""COMPUTED_VALUE"""),"Giguère")</f>
        <v>Giguère</v>
      </c>
      <c r="B322" s="2" t="str">
        <f>IFERROR(__xludf.DUMMYFUNCTION("""COMPUTED_VALUE"""),"Nicolas")</f>
        <v>Nicolas</v>
      </c>
      <c r="C322" s="2" t="str">
        <f>IFERROR(__xludf.DUMMYFUNCTION("""COMPUTED_VALUE"""),"Key Personnel")</f>
        <v>Key Personnel</v>
      </c>
      <c r="D322" s="2" t="str">
        <f>IFERROR(__xludf.DUMMYFUNCTION("""COMPUTED_VALUE"""),"Trudeau")</f>
        <v>Trudeau</v>
      </c>
      <c r="E322" s="2" t="str">
        <f>IFERROR(__xludf.DUMMYFUNCTION("""COMPUTED_VALUE"""),"Research Assistant")</f>
        <v>Research Assistant</v>
      </c>
      <c r="F322" s="2" t="str">
        <f>IFERROR(__xludf.DUMMYFUNCTION("""COMPUTED_VALUE"""),"nicolas.giguere@umontreal.ca")</f>
        <v>nicolas.giguere@umontreal.ca</v>
      </c>
      <c r="G322" s="2" t="str">
        <f>IFERROR(__xludf.DUMMYFUNCTION("""COMPUTED_VALUE"""),"0000-0001-8130-5321")</f>
        <v>0000-0001-8130-5321</v>
      </c>
    </row>
    <row r="323">
      <c r="A323" s="2" t="str">
        <f>IFERROR(__xludf.DUMMYFUNCTION("""COMPUTED_VALUE"""),"Nguyen")</f>
        <v>Nguyen</v>
      </c>
      <c r="B323" s="2" t="str">
        <f>IFERROR(__xludf.DUMMYFUNCTION("""COMPUTED_VALUE"""),"Mai")</f>
        <v>Mai</v>
      </c>
      <c r="C323" s="2" t="str">
        <f>IFERROR(__xludf.DUMMYFUNCTION("""COMPUTED_VALUE"""),"Key Personnel")</f>
        <v>Key Personnel</v>
      </c>
      <c r="D323" s="2" t="str">
        <f>IFERROR(__xludf.DUMMYFUNCTION("""COMPUTED_VALUE"""),"McBride")</f>
        <v>McBride</v>
      </c>
      <c r="E323" s="2" t="str">
        <f>IFERROR(__xludf.DUMMYFUNCTION("""COMPUTED_VALUE"""),"Research Assistant")</f>
        <v>Research Assistant</v>
      </c>
      <c r="F323" s="2" t="str">
        <f>IFERROR(__xludf.DUMMYFUNCTION("""COMPUTED_VALUE"""),"mai.nguyen@mcgill.ca")</f>
        <v>mai.nguyen@mcgill.ca</v>
      </c>
      <c r="G323" s="2" t="str">
        <f>IFERROR(__xludf.DUMMYFUNCTION("""COMPUTED_VALUE"""),"0000-0001-5485-0308")</f>
        <v>0000-0001-5485-0308</v>
      </c>
    </row>
    <row r="324">
      <c r="A324" s="2" t="str">
        <f>IFERROR(__xludf.DUMMYFUNCTION("""COMPUTED_VALUE"""),"Lanoix")</f>
        <v>Lanoix</v>
      </c>
      <c r="B324" s="2" t="str">
        <f>IFERROR(__xludf.DUMMYFUNCTION("""COMPUTED_VALUE"""),"Joel")</f>
        <v>Joel</v>
      </c>
      <c r="C324" s="2" t="str">
        <f>IFERROR(__xludf.DUMMYFUNCTION("""COMPUTED_VALUE"""),"Key Personnel")</f>
        <v>Key Personnel</v>
      </c>
      <c r="D324" s="2" t="str">
        <f>IFERROR(__xludf.DUMMYFUNCTION("""COMPUTED_VALUE"""),"Thibault")</f>
        <v>Thibault</v>
      </c>
      <c r="E324" s="2" t="str">
        <f>IFERROR(__xludf.DUMMYFUNCTION("""COMPUTED_VALUE"""),"Research Assistant")</f>
        <v>Research Assistant</v>
      </c>
      <c r="F324" s="2" t="str">
        <f>IFERROR(__xludf.DUMMYFUNCTION("""COMPUTED_VALUE"""),"joel.lanoix@umontreal.ca")</f>
        <v>joel.lanoix@umontreal.ca</v>
      </c>
      <c r="G324" s="2" t="str">
        <f>IFERROR(__xludf.DUMMYFUNCTION("""COMPUTED_VALUE"""),"0000-0001-7073-9298")</f>
        <v>0000-0001-7073-9298</v>
      </c>
    </row>
    <row r="325">
      <c r="A325" s="2" t="str">
        <f>IFERROR(__xludf.DUMMYFUNCTION("""COMPUTED_VALUE"""),"Xu")</f>
        <v>Xu</v>
      </c>
      <c r="B325" s="2" t="str">
        <f>IFERROR(__xludf.DUMMYFUNCTION("""COMPUTED_VALUE"""),"Yong Zhong")</f>
        <v>Yong Zhong</v>
      </c>
      <c r="C325" s="2" t="str">
        <f>IFERROR(__xludf.DUMMYFUNCTION("""COMPUTED_VALUE"""),"Key Personnel")</f>
        <v>Key Personnel</v>
      </c>
      <c r="D325" s="2" t="str">
        <f>IFERROR(__xludf.DUMMYFUNCTION("""COMPUTED_VALUE"""),"Schurr")</f>
        <v>Schurr</v>
      </c>
      <c r="E325" s="2" t="str">
        <f>IFERROR(__xludf.DUMMYFUNCTION("""COMPUTED_VALUE"""),"Research Associate")</f>
        <v>Research Associate</v>
      </c>
      <c r="F325" s="2" t="str">
        <f>IFERROR(__xludf.DUMMYFUNCTION("""COMPUTED_VALUE"""),"yzxuchen88@gmail.com")</f>
        <v>yzxuchen88@gmail.com</v>
      </c>
      <c r="G325" s="2" t="str">
        <f>IFERROR(__xludf.DUMMYFUNCTION("""COMPUTED_VALUE"""),"0000-0002-9201-0446")</f>
        <v>0000-0002-9201-0446</v>
      </c>
    </row>
    <row r="326">
      <c r="A326" s="2" t="str">
        <f>IFERROR(__xludf.DUMMYFUNCTION("""COMPUTED_VALUE"""),"Petit")</f>
        <v>Petit</v>
      </c>
      <c r="B326" s="2" t="str">
        <f>IFERROR(__xludf.DUMMYFUNCTION("""COMPUTED_VALUE"""),"Florence")</f>
        <v>Florence</v>
      </c>
      <c r="C326" s="2" t="str">
        <f>IFERROR(__xludf.DUMMYFUNCTION("""COMPUTED_VALUE"""),"Key Personnel")</f>
        <v>Key Personnel</v>
      </c>
      <c r="D326" s="2" t="str">
        <f>IFERROR(__xludf.DUMMYFUNCTION("""COMPUTED_VALUE"""),"Drouin-Ouellet")</f>
        <v>Drouin-Ouellet</v>
      </c>
      <c r="E326" s="2" t="str">
        <f>IFERROR(__xludf.DUMMYFUNCTION("""COMPUTED_VALUE"""),"Research Assistant")</f>
        <v>Research Assistant</v>
      </c>
      <c r="F326" s="2" t="str">
        <f>IFERROR(__xludf.DUMMYFUNCTION("""COMPUTED_VALUE"""),"florence.petit.1@umontreal.ca")</f>
        <v>florence.petit.1@umontreal.ca</v>
      </c>
      <c r="G326" s="2" t="str">
        <f>IFERROR(__xludf.DUMMYFUNCTION("""COMPUTED_VALUE"""),"0000-0002-0363-280X")</f>
        <v>0000-0002-0363-280X</v>
      </c>
    </row>
    <row r="327">
      <c r="A327" s="2" t="str">
        <f>IFERROR(__xludf.DUMMYFUNCTION("""COMPUTED_VALUE"""),"Bouquety")</f>
        <v>Bouquety</v>
      </c>
      <c r="B327" s="2" t="str">
        <f>IFERROR(__xludf.DUMMYFUNCTION("""COMPUTED_VALUE"""),"Julie")</f>
        <v>Julie</v>
      </c>
      <c r="C327" s="2" t="str">
        <f>IFERROR(__xludf.DUMMYFUNCTION("""COMPUTED_VALUE"""),"Key Personnel")</f>
        <v>Key Personnel</v>
      </c>
      <c r="D327" s="2" t="str">
        <f>IFERROR(__xludf.DUMMYFUNCTION("""COMPUTED_VALUE"""),"Drouin-Ouellet")</f>
        <v>Drouin-Ouellet</v>
      </c>
      <c r="E327" s="2" t="str">
        <f>IFERROR(__xludf.DUMMYFUNCTION("""COMPUTED_VALUE"""),"PhD trainee")</f>
        <v>PhD trainee</v>
      </c>
      <c r="F327" s="2" t="str">
        <f>IFERROR(__xludf.DUMMYFUNCTION("""COMPUTED_VALUE"""),"julie.bouquety@umontreal.ca")</f>
        <v>julie.bouquety@umontreal.ca</v>
      </c>
      <c r="G327" s="2" t="str">
        <f>IFERROR(__xludf.DUMMYFUNCTION("""COMPUTED_VALUE"""),"0000-0003-2085-556X")</f>
        <v>0000-0003-2085-556X</v>
      </c>
    </row>
    <row r="328">
      <c r="A328" s="2" t="str">
        <f>IFERROR(__xludf.DUMMYFUNCTION("""COMPUTED_VALUE"""),"Barrette")</f>
        <v>Barrette</v>
      </c>
      <c r="B328" s="2" t="str">
        <f>IFERROR(__xludf.DUMMYFUNCTION("""COMPUTED_VALUE"""),"Benoit")</f>
        <v>Benoit</v>
      </c>
      <c r="C328" s="2" t="str">
        <f>IFERROR(__xludf.DUMMYFUNCTION("""COMPUTED_VALUE"""),"Key Personnel")</f>
        <v>Key Personnel</v>
      </c>
      <c r="D328" s="2" t="str">
        <f>IFERROR(__xludf.DUMMYFUNCTION("""COMPUTED_VALUE"""),"Desjardins")</f>
        <v>Desjardins</v>
      </c>
      <c r="E328" s="2" t="str">
        <f>IFERROR(__xludf.DUMMYFUNCTION("""COMPUTED_VALUE"""),"Research Assistant")</f>
        <v>Research Assistant</v>
      </c>
      <c r="F328" s="2" t="str">
        <f>IFERROR(__xludf.DUMMYFUNCTION("""COMPUTED_VALUE"""),"benoit.barrette@umontreal.ca")</f>
        <v>benoit.barrette@umontreal.ca</v>
      </c>
      <c r="G328" s="2" t="str">
        <f>IFERROR(__xludf.DUMMYFUNCTION("""COMPUTED_VALUE"""),"0000-0003-0011-3905")</f>
        <v>0000-0003-0011-3905</v>
      </c>
    </row>
    <row r="329">
      <c r="A329" s="2" t="str">
        <f>IFERROR(__xludf.DUMMYFUNCTION("""COMPUTED_VALUE"""),"Even")</f>
        <v>Even</v>
      </c>
      <c r="B329" s="2" t="str">
        <f>IFERROR(__xludf.DUMMYFUNCTION("""COMPUTED_VALUE"""),"Amandine")</f>
        <v>Amandine</v>
      </c>
      <c r="C329" s="2" t="str">
        <f>IFERROR(__xludf.DUMMYFUNCTION("""COMPUTED_VALUE"""),"Key Personnel")</f>
        <v>Key Personnel</v>
      </c>
      <c r="D329" s="2" t="str">
        <f>IFERROR(__xludf.DUMMYFUNCTION("""COMPUTED_VALUE"""),"Trudeau")</f>
        <v>Trudeau</v>
      </c>
      <c r="E329" s="2" t="str">
        <f>IFERROR(__xludf.DUMMYFUNCTION("""COMPUTED_VALUE"""),"Post-doc")</f>
        <v>Post-doc</v>
      </c>
      <c r="F329" s="2" t="str">
        <f>IFERROR(__xludf.DUMMYFUNCTION("""COMPUTED_VALUE"""),"amandine.even@umontreal.ca")</f>
        <v>amandine.even@umontreal.ca</v>
      </c>
      <c r="G329" s="2" t="str">
        <f>IFERROR(__xludf.DUMMYFUNCTION("""COMPUTED_VALUE"""),"0000-0001-9838-1849")</f>
        <v>0000-0001-9838-1849</v>
      </c>
    </row>
    <row r="330">
      <c r="A330" s="2" t="str">
        <f>IFERROR(__xludf.DUMMYFUNCTION("""COMPUTED_VALUE"""),"Pei")</f>
        <v>Pei</v>
      </c>
      <c r="B330" s="2" t="str">
        <f>IFERROR(__xludf.DUMMYFUNCTION("""COMPUTED_VALUE"""),"Jessica")</f>
        <v>Jessica</v>
      </c>
      <c r="C330" s="2" t="str">
        <f>IFERROR(__xludf.DUMMYFUNCTION("""COMPUTED_VALUE"""),"Key Personnel")</f>
        <v>Key Personnel</v>
      </c>
      <c r="D330" s="2" t="str">
        <f>IFERROR(__xludf.DUMMYFUNCTION("""COMPUTED_VALUE"""),"Gruenheid")</f>
        <v>Gruenheid</v>
      </c>
      <c r="E330" s="2" t="str">
        <f>IFERROR(__xludf.DUMMYFUNCTION("""COMPUTED_VALUE"""),"Grad student")</f>
        <v>Grad student</v>
      </c>
      <c r="F330" s="2" t="str">
        <f>IFERROR(__xludf.DUMMYFUNCTION("""COMPUTED_VALUE"""),"jessica.pei@mail.mcgill.ca")</f>
        <v>jessica.pei@mail.mcgill.ca</v>
      </c>
      <c r="G330" s="2" t="str">
        <f>IFERROR(__xludf.DUMMYFUNCTION("""COMPUTED_VALUE"""),"0000-0001-7115-5606")</f>
        <v>0000-0001-7115-5606</v>
      </c>
    </row>
    <row r="331">
      <c r="A331" s="2" t="str">
        <f>IFERROR(__xludf.DUMMYFUNCTION("""COMPUTED_VALUE"""),"Kazanova")</f>
        <v>Kazanova</v>
      </c>
      <c r="B331" s="2" t="str">
        <f>IFERROR(__xludf.DUMMYFUNCTION("""COMPUTED_VALUE"""),"Alexandra")</f>
        <v>Alexandra</v>
      </c>
      <c r="C331" s="2" t="str">
        <f>IFERROR(__xludf.DUMMYFUNCTION("""COMPUTED_VALUE"""),"Key Personnel")</f>
        <v>Key Personnel</v>
      </c>
      <c r="D331" s="2" t="str">
        <f>IFERROR(__xludf.DUMMYFUNCTION("""COMPUTED_VALUE"""),"Gruenheid")</f>
        <v>Gruenheid</v>
      </c>
      <c r="E331" s="2" t="str">
        <f>IFERROR(__xludf.DUMMYFUNCTION("""COMPUTED_VALUE"""),"Research Associate")</f>
        <v>Research Associate</v>
      </c>
      <c r="F331" s="2" t="str">
        <f>IFERROR(__xludf.DUMMYFUNCTION("""COMPUTED_VALUE"""),"alexandra.kazanova@mcgill.ca")</f>
        <v>alexandra.kazanova@mcgill.ca</v>
      </c>
      <c r="G331" s="2" t="str">
        <f>IFERROR(__xludf.DUMMYFUNCTION("""COMPUTED_VALUE"""),"0000-0003-4850-9845")</f>
        <v>0000-0003-4850-9845</v>
      </c>
    </row>
    <row r="332">
      <c r="A332" s="2" t="str">
        <f>IFERROR(__xludf.DUMMYFUNCTION("""COMPUTED_VALUE"""),"Dallmannsauer")</f>
        <v>Dallmannsauer</v>
      </c>
      <c r="B332" s="2" t="str">
        <f>IFERROR(__xludf.DUMMYFUNCTION("""COMPUTED_VALUE"""),"Monica")</f>
        <v>Monica</v>
      </c>
      <c r="C332" s="2" t="str">
        <f>IFERROR(__xludf.DUMMYFUNCTION("""COMPUTED_VALUE"""),"Key Personnel")</f>
        <v>Key Personnel</v>
      </c>
      <c r="D332" s="2" t="str">
        <f>IFERROR(__xludf.DUMMYFUNCTION("""COMPUTED_VALUE"""),"Schurr")</f>
        <v>Schurr</v>
      </c>
      <c r="E332" s="2" t="str">
        <f>IFERROR(__xludf.DUMMYFUNCTION("""COMPUTED_VALUE"""),"Post-doc")</f>
        <v>Post-doc</v>
      </c>
      <c r="F332" s="2" t="str">
        <f>IFERROR(__xludf.DUMMYFUNCTION("""COMPUTED_VALUE"""),"monica.dallmannsauer@mail.mcgill.ca")</f>
        <v>monica.dallmannsauer@mail.mcgill.ca</v>
      </c>
      <c r="G332" s="2" t="str">
        <f>IFERROR(__xludf.DUMMYFUNCTION("""COMPUTED_VALUE"""),"0000-0002-6321-241X")</f>
        <v>0000-0002-6321-241X</v>
      </c>
    </row>
    <row r="333">
      <c r="A333" s="2" t="str">
        <f>IFERROR(__xludf.DUMMYFUNCTION("""COMPUTED_VALUE"""),"Tiefensee Ribeiro")</f>
        <v>Tiefensee Ribeiro</v>
      </c>
      <c r="B333" s="2" t="str">
        <f>IFERROR(__xludf.DUMMYFUNCTION("""COMPUTED_VALUE"""),"Camila")</f>
        <v>Camila</v>
      </c>
      <c r="C333" s="2" t="str">
        <f>IFERROR(__xludf.DUMMYFUNCTION("""COMPUTED_VALUE"""),"Key Personnel")</f>
        <v>Key Personnel</v>
      </c>
      <c r="D333" s="2" t="str">
        <f>IFERROR(__xludf.DUMMYFUNCTION("""COMPUTED_VALUE"""),"McBride")</f>
        <v>McBride</v>
      </c>
      <c r="E333" s="2" t="str">
        <f>IFERROR(__xludf.DUMMYFUNCTION("""COMPUTED_VALUE"""),"Grad student")</f>
        <v>Grad student</v>
      </c>
      <c r="F333" s="2" t="str">
        <f>IFERROR(__xludf.DUMMYFUNCTION("""COMPUTED_VALUE"""),"camila.tiefenseeribeiro@mail.mcgill.ca")</f>
        <v>camila.tiefenseeribeiro@mail.mcgill.ca</v>
      </c>
      <c r="G333" s="2" t="str">
        <f>IFERROR(__xludf.DUMMYFUNCTION("""COMPUTED_VALUE"""),"0000-0003-0876-119X")</f>
        <v>0000-0003-0876-119X</v>
      </c>
    </row>
    <row r="334">
      <c r="A334" s="2" t="str">
        <f>IFERROR(__xludf.DUMMYFUNCTION("""COMPUTED_VALUE"""),"Ibrahim")</f>
        <v>Ibrahim</v>
      </c>
      <c r="B334" s="2" t="str">
        <f>IFERROR(__xludf.DUMMYFUNCTION("""COMPUTED_VALUE"""),"Maha ")</f>
        <v>Maha </v>
      </c>
      <c r="C334" s="2" t="str">
        <f>IFERROR(__xludf.DUMMYFUNCTION("""COMPUTED_VALUE"""),"Key Personnel")</f>
        <v>Key Personnel</v>
      </c>
      <c r="D334" s="2" t="str">
        <f>IFERROR(__xludf.DUMMYFUNCTION("""COMPUTED_VALUE"""),"Desjardins")</f>
        <v>Desjardins</v>
      </c>
      <c r="E334" s="2" t="str">
        <f>IFERROR(__xludf.DUMMYFUNCTION("""COMPUTED_VALUE"""),"Grad student")</f>
        <v>Grad student</v>
      </c>
      <c r="F334" s="2" t="str">
        <f>IFERROR(__xludf.DUMMYFUNCTION("""COMPUTED_VALUE"""),"maha.ibrahim@umontreal.ca ")</f>
        <v>maha.ibrahim@umontreal.ca </v>
      </c>
      <c r="G334" s="2" t="str">
        <f>IFERROR(__xludf.DUMMYFUNCTION("""COMPUTED_VALUE"""),"0000-0003-0382-9650")</f>
        <v>0000-0003-0382-9650</v>
      </c>
    </row>
    <row r="335">
      <c r="A335" s="2" t="str">
        <f>IFERROR(__xludf.DUMMYFUNCTION("""COMPUTED_VALUE"""),"Yaqubi")</f>
        <v>Yaqubi</v>
      </c>
      <c r="B335" s="2" t="str">
        <f>IFERROR(__xludf.DUMMYFUNCTION("""COMPUTED_VALUE"""),"Moein")</f>
        <v>Moein</v>
      </c>
      <c r="C335" s="2" t="str">
        <f>IFERROR(__xludf.DUMMYFUNCTION("""COMPUTED_VALUE"""),"Key Personnel")</f>
        <v>Key Personnel</v>
      </c>
      <c r="D335" s="2" t="str">
        <f>IFERROR(__xludf.DUMMYFUNCTION("""COMPUTED_VALUE"""),"Stratton")</f>
        <v>Stratton</v>
      </c>
      <c r="E335" s="2" t="str">
        <f>IFERROR(__xludf.DUMMYFUNCTION("""COMPUTED_VALUE"""),"Post-doc")</f>
        <v>Post-doc</v>
      </c>
      <c r="F335" s="2" t="str">
        <f>IFERROR(__xludf.DUMMYFUNCTION("""COMPUTED_VALUE"""),"moein.yaqubi@mail.mcgill.ca")</f>
        <v>moein.yaqubi@mail.mcgill.ca</v>
      </c>
      <c r="G335" s="2" t="str">
        <f>IFERROR(__xludf.DUMMYFUNCTION("""COMPUTED_VALUE"""),"0000-0001-7299-5930")</f>
        <v>0000-0001-7299-5930</v>
      </c>
    </row>
    <row r="336">
      <c r="A336" s="2" t="str">
        <f>IFERROR(__xludf.DUMMYFUNCTION("""COMPUTED_VALUE"""),"Omana")</f>
        <v>Omana</v>
      </c>
      <c r="B336" s="2" t="str">
        <f>IFERROR(__xludf.DUMMYFUNCTION("""COMPUTED_VALUE"""),"Vanessa")</f>
        <v>Vanessa</v>
      </c>
      <c r="C336" s="2" t="str">
        <f>IFERROR(__xludf.DUMMYFUNCTION("""COMPUTED_VALUE"""),"Key Personnel")</f>
        <v>Key Personnel</v>
      </c>
      <c r="D336" s="2" t="str">
        <f>IFERROR(__xludf.DUMMYFUNCTION("""COMPUTED_VALUE"""),"Stratton")</f>
        <v>Stratton</v>
      </c>
      <c r="E336" s="2" t="str">
        <f>IFERROR(__xludf.DUMMYFUNCTION("""COMPUTED_VALUE"""),"Research Assistant")</f>
        <v>Research Assistant</v>
      </c>
      <c r="F336" s="2" t="str">
        <f>IFERROR(__xludf.DUMMYFUNCTION("""COMPUTED_VALUE"""),"vanessa.omana@mcgill.ca")</f>
        <v>vanessa.omana@mcgill.ca</v>
      </c>
      <c r="G336" s="2" t="str">
        <f>IFERROR(__xludf.DUMMYFUNCTION("""COMPUTED_VALUE"""),"0000-0001-7442-2271")</f>
        <v>0000-0001-7442-2271</v>
      </c>
    </row>
    <row r="337">
      <c r="A337" s="2" t="str">
        <f>IFERROR(__xludf.DUMMYFUNCTION("""COMPUTED_VALUE"""),"Nouh")</f>
        <v>Nouh</v>
      </c>
      <c r="B337" s="2" t="str">
        <f>IFERROR(__xludf.DUMMYFUNCTION("""COMPUTED_VALUE"""),"Moustafa")</f>
        <v>Moustafa</v>
      </c>
      <c r="C337" s="2" t="str">
        <f>IFERROR(__xludf.DUMMYFUNCTION("""COMPUTED_VALUE"""),"Key Personnel")</f>
        <v>Key Personnel</v>
      </c>
      <c r="D337" s="2" t="str">
        <f>IFERROR(__xludf.DUMMYFUNCTION("""COMPUTED_VALUE"""),"Trudeau/Labrecque")</f>
        <v>Trudeau/Labrecque</v>
      </c>
      <c r="E337" s="2" t="str">
        <f>IFERROR(__xludf.DUMMYFUNCTION("""COMPUTED_VALUE"""),"Grad student")</f>
        <v>Grad student</v>
      </c>
      <c r="F337" s="2" t="str">
        <f>IFERROR(__xludf.DUMMYFUNCTION("""COMPUTED_VALUE"""),"moustafa.nouh@umontreal.ca")</f>
        <v>moustafa.nouh@umontreal.ca</v>
      </c>
      <c r="G337" s="2" t="str">
        <f>IFERROR(__xludf.DUMMYFUNCTION("""COMPUTED_VALUE"""),"0000-0001-6507-7920")</f>
        <v>0000-0001-6507-7920</v>
      </c>
    </row>
    <row r="338">
      <c r="A338" s="2" t="str">
        <f>IFERROR(__xludf.DUMMYFUNCTION("""COMPUTED_VALUE"""),"Li")</f>
        <v>Li</v>
      </c>
      <c r="B338" s="2" t="str">
        <f>IFERROR(__xludf.DUMMYFUNCTION("""COMPUTED_VALUE"""),"Chongyang")</f>
        <v>Chongyang</v>
      </c>
      <c r="C338" s="2" t="str">
        <f>IFERROR(__xludf.DUMMYFUNCTION("""COMPUTED_VALUE"""),"Key Personnel")</f>
        <v>Key Personnel</v>
      </c>
      <c r="D338" s="2" t="str">
        <f>IFERROR(__xludf.DUMMYFUNCTION("""COMPUTED_VALUE"""),"Thibault")</f>
        <v>Thibault</v>
      </c>
      <c r="E338" s="2" t="str">
        <f>IFERROR(__xludf.DUMMYFUNCTION("""COMPUTED_VALUE"""),"Research Associate")</f>
        <v>Research Associate</v>
      </c>
      <c r="F338" s="2" t="str">
        <f>IFERROR(__xludf.DUMMYFUNCTION("""COMPUTED_VALUE"""),"chongyangwin@gmail.com")</f>
        <v>chongyangwin@gmail.com</v>
      </c>
      <c r="G338" s="2" t="str">
        <f>IFERROR(__xludf.DUMMYFUNCTION("""COMPUTED_VALUE""")," 0000-0001-6842-4406")</f>
        <v> 0000-0001-6842-4406</v>
      </c>
    </row>
    <row r="339">
      <c r="A339" s="2" t="str">
        <f>IFERROR(__xludf.DUMMYFUNCTION("""COMPUTED_VALUE"""),"Oliveira")</f>
        <v>Oliveira</v>
      </c>
      <c r="B339" s="2" t="str">
        <f>IFERROR(__xludf.DUMMYFUNCTION("""COMPUTED_VALUE"""),"Nathalia")</f>
        <v>Nathalia</v>
      </c>
      <c r="C339" s="2" t="str">
        <f>IFERROR(__xludf.DUMMYFUNCTION("""COMPUTED_VALUE"""),"Key Personnel")</f>
        <v>Key Personnel</v>
      </c>
      <c r="D339" s="2" t="str">
        <f>IFERROR(__xludf.DUMMYFUNCTION("""COMPUTED_VALUE"""),"Gruenheid")</f>
        <v>Gruenheid</v>
      </c>
      <c r="E339" s="2" t="str">
        <f>IFERROR(__xludf.DUMMYFUNCTION("""COMPUTED_VALUE"""),"Post-doc")</f>
        <v>Post-doc</v>
      </c>
      <c r="F339" s="2" t="str">
        <f>IFERROR(__xludf.DUMMYFUNCTION("""COMPUTED_VALUE"""),"nathalia.oliveira@mcgill.ca")</f>
        <v>nathalia.oliveira@mcgill.ca</v>
      </c>
      <c r="G339" s="2" t="str">
        <f>IFERROR(__xludf.DUMMYFUNCTION("""COMPUTED_VALUE"""),"0000-0002-5823-2184")</f>
        <v>0000-0002-5823-2184</v>
      </c>
    </row>
    <row r="340">
      <c r="A340" s="2" t="str">
        <f>IFERROR(__xludf.DUMMYFUNCTION("""COMPUTED_VALUE"""),"Brouillard-Galipeau")</f>
        <v>Brouillard-Galipeau</v>
      </c>
      <c r="B340" s="2" t="str">
        <f>IFERROR(__xludf.DUMMYFUNCTION("""COMPUTED_VALUE"""),"Morgane")</f>
        <v>Morgane</v>
      </c>
      <c r="C340" s="2" t="str">
        <f>IFERROR(__xludf.DUMMYFUNCTION("""COMPUTED_VALUE"""),"Key Personnel")</f>
        <v>Key Personnel</v>
      </c>
      <c r="D340" s="2" t="str">
        <f>IFERROR(__xludf.DUMMYFUNCTION("""COMPUTED_VALUE"""),"Gruenheid")</f>
        <v>Gruenheid</v>
      </c>
      <c r="E340" s="2" t="str">
        <f>IFERROR(__xludf.DUMMYFUNCTION("""COMPUTED_VALUE"""),"Grad student")</f>
        <v>Grad student</v>
      </c>
      <c r="F340" s="2" t="str">
        <f>IFERROR(__xludf.DUMMYFUNCTION("""COMPUTED_VALUE"""),"morgane.brouillard-galipeau@mail.mcgill.ca")</f>
        <v>morgane.brouillard-galipeau@mail.mcgill.ca</v>
      </c>
      <c r="G340" s="2" t="str">
        <f>IFERROR(__xludf.DUMMYFUNCTION("""COMPUTED_VALUE"""),"0000-0002-9649-3852")</f>
        <v>0000-0002-9649-3852</v>
      </c>
    </row>
    <row r="341">
      <c r="A341" s="2" t="str">
        <f>IFERROR(__xludf.DUMMYFUNCTION("""COMPUTED_VALUE"""),"Ahmadi")</f>
        <v>Ahmadi</v>
      </c>
      <c r="B341" s="2" t="str">
        <f>IFERROR(__xludf.DUMMYFUNCTION("""COMPUTED_VALUE"""),"Ali")</f>
        <v>Ali</v>
      </c>
      <c r="C341" s="2" t="str">
        <f>IFERROR(__xludf.DUMMYFUNCTION("""COMPUTED_VALUE"""),"Key Personnel")</f>
        <v>Key Personnel</v>
      </c>
      <c r="D341" s="2" t="str">
        <f>IFERROR(__xludf.DUMMYFUNCTION("""COMPUTED_VALUE"""),"Desjardins")</f>
        <v>Desjardins</v>
      </c>
      <c r="E341" s="2" t="str">
        <f>IFERROR(__xludf.DUMMYFUNCTION("""COMPUTED_VALUE"""),"Research Assistant")</f>
        <v>Research Assistant</v>
      </c>
      <c r="F341" s="2" t="str">
        <f>IFERROR(__xludf.DUMMYFUNCTION("""COMPUTED_VALUE"""),"Ali.ahmadi.1@umontreal.ca")</f>
        <v>Ali.ahmadi.1@umontreal.ca</v>
      </c>
      <c r="G341" s="2" t="str">
        <f>IFERROR(__xludf.DUMMYFUNCTION("""COMPUTED_VALUE"""),"0000-0001-9926-8434")</f>
        <v>0000-0001-9926-8434</v>
      </c>
    </row>
    <row r="342">
      <c r="A342" s="2" t="str">
        <f>IFERROR(__xludf.DUMMYFUNCTION("""COMPUTED_VALUE"""),"Mohamad")</f>
        <v>Mohamad</v>
      </c>
      <c r="B342" s="2" t="str">
        <f>IFERROR(__xludf.DUMMYFUNCTION("""COMPUTED_VALUE"""),"Zaya")</f>
        <v>Zaya</v>
      </c>
      <c r="C342" s="2" t="str">
        <f>IFERROR(__xludf.DUMMYFUNCTION("""COMPUTED_VALUE"""),"Key Personnel")</f>
        <v>Key Personnel</v>
      </c>
      <c r="D342" s="2" t="str">
        <f>IFERROR(__xludf.DUMMYFUNCTION("""COMPUTED_VALUE"""),"Drouin-Ouellet")</f>
        <v>Drouin-Ouellet</v>
      </c>
      <c r="E342" s="2" t="str">
        <f>IFERROR(__xludf.DUMMYFUNCTION("""COMPUTED_VALUE"""),"Grad student")</f>
        <v>Grad student</v>
      </c>
      <c r="F342" s="2" t="str">
        <f>IFERROR(__xludf.DUMMYFUNCTION("""COMPUTED_VALUE"""),"zaya.haj.mohamad@umontreal.ca")</f>
        <v>zaya.haj.mohamad@umontreal.ca</v>
      </c>
      <c r="G342" s="2" t="str">
        <f>IFERROR(__xludf.DUMMYFUNCTION("""COMPUTED_VALUE"""),"0009-0009-2716-4877")</f>
        <v>0009-0009-2716-4877</v>
      </c>
    </row>
    <row r="343">
      <c r="A343" s="2" t="str">
        <f>IFERROR(__xludf.DUMMYFUNCTION("""COMPUTED_VALUE"""),"Gentile ")</f>
        <v>Gentile </v>
      </c>
      <c r="B343" s="2" t="str">
        <f>IFERROR(__xludf.DUMMYFUNCTION("""COMPUTED_VALUE"""),"Maria")</f>
        <v>Maria</v>
      </c>
      <c r="C343" s="2" t="str">
        <f>IFERROR(__xludf.DUMMYFUNCTION("""COMPUTED_VALUE"""),"Key Personnel")</f>
        <v>Key Personnel</v>
      </c>
      <c r="D343" s="2" t="str">
        <f>IFERROR(__xludf.DUMMYFUNCTION("""COMPUTED_VALUE"""),"Gruenheid")</f>
        <v>Gruenheid</v>
      </c>
      <c r="E343" s="2" t="str">
        <f>IFERROR(__xludf.DUMMYFUNCTION("""COMPUTED_VALUE"""),"Post-doc")</f>
        <v>Post-doc</v>
      </c>
      <c r="F343" s="2" t="str">
        <f>IFERROR(__xludf.DUMMYFUNCTION("""COMPUTED_VALUE"""),"maria.gentile@mail.mcgill.ca")</f>
        <v>maria.gentile@mail.mcgill.ca</v>
      </c>
      <c r="G343" s="2" t="str">
        <f>IFERROR(__xludf.DUMMYFUNCTION("""COMPUTED_VALUE"""),"0000-0001-9138-1053")</f>
        <v>0000-0001-9138-1053</v>
      </c>
    </row>
    <row r="344">
      <c r="A344" s="2" t="str">
        <f>IFERROR(__xludf.DUMMYFUNCTION("""COMPUTED_VALUE"""),"Haroun")</f>
        <v>Haroun</v>
      </c>
      <c r="B344" s="2" t="str">
        <f>IFERROR(__xludf.DUMMYFUNCTION("""COMPUTED_VALUE"""),"Nour")</f>
        <v>Nour</v>
      </c>
      <c r="C344" s="2" t="str">
        <f>IFERROR(__xludf.DUMMYFUNCTION("""COMPUTED_VALUE"""),"Key Personnel")</f>
        <v>Key Personnel</v>
      </c>
      <c r="D344" s="2" t="str">
        <f>IFERROR(__xludf.DUMMYFUNCTION("""COMPUTED_VALUE"""),"Labrecque")</f>
        <v>Labrecque</v>
      </c>
      <c r="E344" s="2" t="str">
        <f>IFERROR(__xludf.DUMMYFUNCTION("""COMPUTED_VALUE"""),"Post-doc")</f>
        <v>Post-doc</v>
      </c>
      <c r="F344" s="2" t="str">
        <f>IFERROR(__xludf.DUMMYFUNCTION("""COMPUTED_VALUE"""),"Nour.Haroun@ircm.qc.ca")</f>
        <v>Nour.Haroun@ircm.qc.ca</v>
      </c>
      <c r="G344" s="2" t="str">
        <f>IFERROR(__xludf.DUMMYFUNCTION("""COMPUTED_VALUE"""),"0009-0009-8259-2612")</f>
        <v>0009-0009-8259-2612</v>
      </c>
    </row>
    <row r="345">
      <c r="A345" s="2" t="str">
        <f>IFERROR(__xludf.DUMMYFUNCTION("""COMPUTED_VALUE"""),"Ling")</f>
        <v>Ling</v>
      </c>
      <c r="B345" s="2" t="str">
        <f>IFERROR(__xludf.DUMMYFUNCTION("""COMPUTED_VALUE"""),"Yue")</f>
        <v>Yue</v>
      </c>
      <c r="C345" s="2" t="str">
        <f>IFERROR(__xludf.DUMMYFUNCTION("""COMPUTED_VALUE"""),"Key Personnel")</f>
        <v>Key Personnel</v>
      </c>
      <c r="D345" s="2" t="str">
        <f>IFERROR(__xludf.DUMMYFUNCTION("""COMPUTED_VALUE"""),"Labrecque")</f>
        <v>Labrecque</v>
      </c>
      <c r="E345" s="2" t="str">
        <f>IFERROR(__xludf.DUMMYFUNCTION("""COMPUTED_VALUE"""),"Research Assistant")</f>
        <v>Research Assistant</v>
      </c>
      <c r="F345" s="2" t="str">
        <f>IFERROR(__xludf.DUMMYFUNCTION("""COMPUTED_VALUE"""),"Yue.Liang@ircm.qc.ca")</f>
        <v>Yue.Liang@ircm.qc.ca</v>
      </c>
      <c r="G345" s="2" t="str">
        <f>IFERROR(__xludf.DUMMYFUNCTION("""COMPUTED_VALUE"""),"0009-0007-2780-3611")</f>
        <v>0009-0007-2780-3611</v>
      </c>
    </row>
    <row r="346">
      <c r="A346" s="2" t="str">
        <f>IFERROR(__xludf.DUMMYFUNCTION("""COMPUTED_VALUE"""),"Edwards")</f>
        <v>Edwards</v>
      </c>
      <c r="B346" s="2" t="str">
        <f>IFERROR(__xludf.DUMMYFUNCTION("""COMPUTED_VALUE"""),"Robert")</f>
        <v>Robert</v>
      </c>
      <c r="C346" s="2" t="str">
        <f>IFERROR(__xludf.DUMMYFUNCTION("""COMPUTED_VALUE"""),"Lead-PI")</f>
        <v>Lead-PI</v>
      </c>
      <c r="D346" s="2" t="str">
        <f>IFERROR(__xludf.DUMMYFUNCTION("""COMPUTED_VALUE"""),"Edwards")</f>
        <v>Edwards</v>
      </c>
      <c r="E346" s="2" t="str">
        <f>IFERROR(__xludf.DUMMYFUNCTION("""COMPUTED_VALUE"""),"Member's Lab Role")</f>
        <v>Member's Lab Role</v>
      </c>
      <c r="F346" s="2" t="str">
        <f>IFERROR(__xludf.DUMMYFUNCTION("""COMPUTED_VALUE"""),"robert.edwards@ucsf.edu")</f>
        <v>robert.edwards@ucsf.edu</v>
      </c>
      <c r="G346" s="2" t="str">
        <f>IFERROR(__xludf.DUMMYFUNCTION("""COMPUTED_VALUE"""),"0000-0002-8650-3260")</f>
        <v>0000-0002-8650-3260</v>
      </c>
    </row>
    <row r="347">
      <c r="A347" s="2" t="str">
        <f>IFERROR(__xludf.DUMMYFUNCTION("""COMPUTED_VALUE"""),"Khaliq")</f>
        <v>Khaliq</v>
      </c>
      <c r="B347" s="2" t="str">
        <f>IFERROR(__xludf.DUMMYFUNCTION("""COMPUTED_VALUE"""),"Zayd")</f>
        <v>Zayd</v>
      </c>
      <c r="C347" s="2" t="str">
        <f>IFERROR(__xludf.DUMMYFUNCTION("""COMPUTED_VALUE"""),"Co-PI")</f>
        <v>Co-PI</v>
      </c>
      <c r="D347" s="2" t="str">
        <f>IFERROR(__xludf.DUMMYFUNCTION("""COMPUTED_VALUE"""),"Khaliq")</f>
        <v>Khaliq</v>
      </c>
      <c r="E347" s="2"/>
      <c r="F347" s="2" t="str">
        <f>IFERROR(__xludf.DUMMYFUNCTION("""COMPUTED_VALUE"""),"zayd.khaliq@nih.gov")</f>
        <v>zayd.khaliq@nih.gov</v>
      </c>
      <c r="G347" s="2" t="str">
        <f>IFERROR(__xludf.DUMMYFUNCTION("""COMPUTED_VALUE"""),"0000-0002-1445-1457")</f>
        <v>0000-0002-1445-1457</v>
      </c>
    </row>
    <row r="348">
      <c r="A348" s="2" t="str">
        <f>IFERROR(__xludf.DUMMYFUNCTION("""COMPUTED_VALUE"""),"Nakamura")</f>
        <v>Nakamura</v>
      </c>
      <c r="B348" s="2" t="str">
        <f>IFERROR(__xludf.DUMMYFUNCTION("""COMPUTED_VALUE"""),"Ken")</f>
        <v>Ken</v>
      </c>
      <c r="C348" s="2" t="str">
        <f>IFERROR(__xludf.DUMMYFUNCTION("""COMPUTED_VALUE"""),"Co-PI")</f>
        <v>Co-PI</v>
      </c>
      <c r="D348" s="2" t="str">
        <f>IFERROR(__xludf.DUMMYFUNCTION("""COMPUTED_VALUE"""),"Nakamura")</f>
        <v>Nakamura</v>
      </c>
      <c r="E348" s="2"/>
      <c r="F348" s="2" t="str">
        <f>IFERROR(__xludf.DUMMYFUNCTION("""COMPUTED_VALUE"""),"Ken.Nakamura@Gladstone.ucsf.edu")</f>
        <v>Ken.Nakamura@Gladstone.ucsf.edu</v>
      </c>
      <c r="G348" s="2" t="str">
        <f>IFERROR(__xludf.DUMMYFUNCTION("""COMPUTED_VALUE"""),"0000-0002-9192-182X")</f>
        <v>0000-0002-9192-182X</v>
      </c>
    </row>
    <row r="349">
      <c r="A349" s="2" t="str">
        <f>IFERROR(__xludf.DUMMYFUNCTION("""COMPUTED_VALUE"""),"Nelson")</f>
        <v>Nelson</v>
      </c>
      <c r="B349" s="2" t="str">
        <f>IFERROR(__xludf.DUMMYFUNCTION("""COMPUTED_VALUE"""),"Alexandra")</f>
        <v>Alexandra</v>
      </c>
      <c r="C349" s="2" t="str">
        <f>IFERROR(__xludf.DUMMYFUNCTION("""COMPUTED_VALUE"""),"Co-PI")</f>
        <v>Co-PI</v>
      </c>
      <c r="D349" s="2" t="str">
        <f>IFERROR(__xludf.DUMMYFUNCTION("""COMPUTED_VALUE"""),"Nelson")</f>
        <v>Nelson</v>
      </c>
      <c r="E349" s="2"/>
      <c r="F349" s="2" t="str">
        <f>IFERROR(__xludf.DUMMYFUNCTION("""COMPUTED_VALUE"""),"alexandra.nelson@ucsf.edu")</f>
        <v>alexandra.nelson@ucsf.edu</v>
      </c>
      <c r="G349" s="2" t="str">
        <f>IFERROR(__xludf.DUMMYFUNCTION("""COMPUTED_VALUE"""),"0000-0002-9305-5662")</f>
        <v>0000-0002-9305-5662</v>
      </c>
    </row>
    <row r="350">
      <c r="A350" s="2" t="str">
        <f>IFERROR(__xludf.DUMMYFUNCTION("""COMPUTED_VALUE"""),"Talia")</f>
        <v>Talia</v>
      </c>
      <c r="B350" s="2" t="str">
        <f>IFERROR(__xludf.DUMMYFUNCTION("""COMPUTED_VALUE"""),"Lerner")</f>
        <v>Lerner</v>
      </c>
      <c r="C350" s="2" t="str">
        <f>IFERROR(__xludf.DUMMYFUNCTION("""COMPUTED_VALUE"""),"Co-PI")</f>
        <v>Co-PI</v>
      </c>
      <c r="D350" s="2" t="str">
        <f>IFERROR(__xludf.DUMMYFUNCTION("""COMPUTED_VALUE"""),"Lerner")</f>
        <v>Lerner</v>
      </c>
      <c r="E350" s="2"/>
      <c r="F350" s="2" t="str">
        <f>IFERROR(__xludf.DUMMYFUNCTION("""COMPUTED_VALUE"""),"talia.lerner@northwestern.edu")</f>
        <v>talia.lerner@northwestern.edu</v>
      </c>
      <c r="G350" s="2" t="str">
        <f>IFERROR(__xludf.DUMMYFUNCTION("""COMPUTED_VALUE"""),"0000-0002-3875-0654
")</f>
        <v>0000-0002-3875-0654
</v>
      </c>
    </row>
    <row r="351">
      <c r="A351" s="2" t="str">
        <f>IFERROR(__xludf.DUMMYFUNCTION("""COMPUTED_VALUE"""),"Halliday")</f>
        <v>Halliday</v>
      </c>
      <c r="B351" s="2" t="str">
        <f>IFERROR(__xludf.DUMMYFUNCTION("""COMPUTED_VALUE"""),"Glenda")</f>
        <v>Glenda</v>
      </c>
      <c r="C351" s="2" t="str">
        <f>IFERROR(__xludf.DUMMYFUNCTION("""COMPUTED_VALUE"""),"Collaborating PI")</f>
        <v>Collaborating PI</v>
      </c>
      <c r="D351" s="2" t="str">
        <f>IFERROR(__xludf.DUMMYFUNCTION("""COMPUTED_VALUE"""),"Halliday")</f>
        <v>Halliday</v>
      </c>
      <c r="E351" s="2"/>
      <c r="F351" s="2" t="str">
        <f>IFERROR(__xludf.DUMMYFUNCTION("""COMPUTED_VALUE"""),"glenda.halliday@sydney.edu.au ")</f>
        <v>glenda.halliday@sydney.edu.au </v>
      </c>
      <c r="G351" s="2" t="str">
        <f>IFERROR(__xludf.DUMMYFUNCTION("""COMPUTED_VALUE"""),"0000-0003-0422-8398")</f>
        <v>0000-0003-0422-8398</v>
      </c>
    </row>
    <row r="352">
      <c r="A352" s="2" t="str">
        <f>IFERROR(__xludf.DUMMYFUNCTION("""COMPUTED_VALUE"""),"Ford")</f>
        <v>Ford</v>
      </c>
      <c r="B352" s="2" t="str">
        <f>IFERROR(__xludf.DUMMYFUNCTION("""COMPUTED_VALUE"""),"Chris")</f>
        <v>Chris</v>
      </c>
      <c r="C352" s="2" t="str">
        <f>IFERROR(__xludf.DUMMYFUNCTION("""COMPUTED_VALUE"""),"Collaborating PI")</f>
        <v>Collaborating PI</v>
      </c>
      <c r="D352" s="2" t="str">
        <f>IFERROR(__xludf.DUMMYFUNCTION("""COMPUTED_VALUE"""),"Ford")</f>
        <v>Ford</v>
      </c>
      <c r="E352" s="2"/>
      <c r="F352" s="2" t="str">
        <f>IFERROR(__xludf.DUMMYFUNCTION("""COMPUTED_VALUE"""),"CHRISTOPHER.FORD@CUANSCHUTZ.EDU")</f>
        <v>CHRISTOPHER.FORD@CUANSCHUTZ.EDU</v>
      </c>
      <c r="G352" s="2" t="str">
        <f>IFERROR(__xludf.DUMMYFUNCTION("""COMPUTED_VALUE"""),"0000-0002-4175-2933")</f>
        <v>0000-0002-4175-2933</v>
      </c>
    </row>
    <row r="353">
      <c r="A353" s="2" t="str">
        <f>IFERROR(__xludf.DUMMYFUNCTION("""COMPUTED_VALUE"""),"Creed")</f>
        <v>Creed</v>
      </c>
      <c r="B353" s="2" t="str">
        <f>IFERROR(__xludf.DUMMYFUNCTION("""COMPUTED_VALUE"""),"Rose")</f>
        <v>Rose</v>
      </c>
      <c r="C353" s="2" t="str">
        <f>IFERROR(__xludf.DUMMYFUNCTION("""COMPUTED_VALUE"""),"Key Personnel")</f>
        <v>Key Personnel</v>
      </c>
      <c r="D353" s="2" t="str">
        <f>IFERROR(__xludf.DUMMYFUNCTION("""COMPUTED_VALUE"""),"Nelson")</f>
        <v>Nelson</v>
      </c>
      <c r="E353" s="2" t="str">
        <f>IFERROR(__xludf.DUMMYFUNCTION("""COMPUTED_VALUE"""),"Postdoc")</f>
        <v>Postdoc</v>
      </c>
      <c r="F353" s="2" t="str">
        <f>IFERROR(__xludf.DUMMYFUNCTION("""COMPUTED_VALUE"""),"Rose.Creed@ucsf.edu")</f>
        <v>Rose.Creed@ucsf.edu</v>
      </c>
      <c r="G353" s="2" t="str">
        <f>IFERROR(__xludf.DUMMYFUNCTION("""COMPUTED_VALUE"""),"0000-0003-4893-2010")</f>
        <v>0000-0003-4893-2010</v>
      </c>
    </row>
    <row r="354">
      <c r="A354" s="2" t="str">
        <f>IFERROR(__xludf.DUMMYFUNCTION("""COMPUTED_VALUE"""),"Zhuang")</f>
        <v>Zhuang</v>
      </c>
      <c r="B354" s="2" t="str">
        <f>IFERROR(__xludf.DUMMYFUNCTION("""COMPUTED_VALUE"""),"Xiaowen")</f>
        <v>Xiaowen</v>
      </c>
      <c r="C354" s="2" t="str">
        <f>IFERROR(__xludf.DUMMYFUNCTION("""COMPUTED_VALUE"""),"Key Personnel")</f>
        <v>Key Personnel</v>
      </c>
      <c r="D354" s="2" t="str">
        <f>IFERROR(__xludf.DUMMYFUNCTION("""COMPUTED_VALUE"""),"Nelson")</f>
        <v>Nelson</v>
      </c>
      <c r="E354" s="2" t="str">
        <f>IFERROR(__xludf.DUMMYFUNCTION("""COMPUTED_VALUE"""),"Postdoc")</f>
        <v>Postdoc</v>
      </c>
      <c r="F354" s="2" t="str">
        <f>IFERROR(__xludf.DUMMYFUNCTION("""COMPUTED_VALUE"""),"Xiaowen.Zhuang@ucsf.edu")</f>
        <v>Xiaowen.Zhuang@ucsf.edu</v>
      </c>
      <c r="G354" s="2" t="str">
        <f>IFERROR(__xludf.DUMMYFUNCTION("""COMPUTED_VALUE"""),"0000-0002-9064-4023")</f>
        <v>0000-0002-9064-4023</v>
      </c>
    </row>
    <row r="355">
      <c r="A355" s="2" t="str">
        <f>IFERROR(__xludf.DUMMYFUNCTION("""COMPUTED_VALUE"""),"Sansalone")</f>
        <v>Sansalone</v>
      </c>
      <c r="B355" s="2" t="str">
        <f>IFERROR(__xludf.DUMMYFUNCTION("""COMPUTED_VALUE"""),"Lorenzo")</f>
        <v>Lorenzo</v>
      </c>
      <c r="C355" s="2" t="str">
        <f>IFERROR(__xludf.DUMMYFUNCTION("""COMPUTED_VALUE"""),"Key Personnel")</f>
        <v>Key Personnel</v>
      </c>
      <c r="D355" s="2" t="str">
        <f>IFERROR(__xludf.DUMMYFUNCTION("""COMPUTED_VALUE"""),"Khaliq")</f>
        <v>Khaliq</v>
      </c>
      <c r="E355" s="2" t="str">
        <f>IFERROR(__xludf.DUMMYFUNCTION("""COMPUTED_VALUE"""),"Postdoc")</f>
        <v>Postdoc</v>
      </c>
      <c r="F355" s="2" t="str">
        <f>IFERROR(__xludf.DUMMYFUNCTION("""COMPUTED_VALUE"""),"lorenzo.sansalone@nih.gov")</f>
        <v>lorenzo.sansalone@nih.gov</v>
      </c>
      <c r="G355" s="2" t="str">
        <f>IFERROR(__xludf.DUMMYFUNCTION("""COMPUTED_VALUE"""),"0000-0002-7215-0783")</f>
        <v>0000-0002-7215-0783</v>
      </c>
    </row>
    <row r="356">
      <c r="A356" s="2" t="str">
        <f>IFERROR(__xludf.DUMMYFUNCTION("""COMPUTED_VALUE"""),"Perkins")</f>
        <v>Perkins</v>
      </c>
      <c r="B356" s="2" t="str">
        <f>IFERROR(__xludf.DUMMYFUNCTION("""COMPUTED_VALUE"""),"Jessica")</f>
        <v>Jessica</v>
      </c>
      <c r="C356" s="2" t="str">
        <f>IFERROR(__xludf.DUMMYFUNCTION("""COMPUTED_VALUE"""),"Key Personnel")</f>
        <v>Key Personnel</v>
      </c>
      <c r="D356" s="2" t="str">
        <f>IFERROR(__xludf.DUMMYFUNCTION("""COMPUTED_VALUE"""),"Khaliq")</f>
        <v>Khaliq</v>
      </c>
      <c r="E356" s="2" t="str">
        <f>IFERROR(__xludf.DUMMYFUNCTION("""COMPUTED_VALUE"""),"Postdoc")</f>
        <v>Postdoc</v>
      </c>
      <c r="F356" s="2" t="str">
        <f>IFERROR(__xludf.DUMMYFUNCTION("""COMPUTED_VALUE"""),"jessica.perkins@nih.gov")</f>
        <v>jessica.perkins@nih.gov</v>
      </c>
      <c r="G356" s="2" t="str">
        <f>IFERROR(__xludf.DUMMYFUNCTION("""COMPUTED_VALUE"""),"0000-0002-5566-1901")</f>
        <v>0000-0002-5566-1901</v>
      </c>
    </row>
    <row r="357">
      <c r="A357" s="2" t="str">
        <f>IFERROR(__xludf.DUMMYFUNCTION("""COMPUTED_VALUE"""),"Runwal")</f>
        <v>Runwal</v>
      </c>
      <c r="B357" s="2" t="str">
        <f>IFERROR(__xludf.DUMMYFUNCTION("""COMPUTED_VALUE"""),"Gautam")</f>
        <v>Gautam</v>
      </c>
      <c r="C357" s="2" t="str">
        <f>IFERROR(__xludf.DUMMYFUNCTION("""COMPUTED_VALUE"""),"Key Personnel")</f>
        <v>Key Personnel</v>
      </c>
      <c r="D357" s="2" t="str">
        <f>IFERROR(__xludf.DUMMYFUNCTION("""COMPUTED_VALUE"""),"Edwards")</f>
        <v>Edwards</v>
      </c>
      <c r="E357" s="2" t="str">
        <f>IFERROR(__xludf.DUMMYFUNCTION("""COMPUTED_VALUE"""),"Postdoc")</f>
        <v>Postdoc</v>
      </c>
      <c r="F357" s="2" t="str">
        <f>IFERROR(__xludf.DUMMYFUNCTION("""COMPUTED_VALUE"""),"Gautam.Runwal@ucsf.edu")</f>
        <v>Gautam.Runwal@ucsf.edu</v>
      </c>
      <c r="G357" s="2" t="str">
        <f>IFERROR(__xludf.DUMMYFUNCTION("""COMPUTED_VALUE"""),"0000-0002-1591-5786")</f>
        <v>0000-0002-1591-5786</v>
      </c>
    </row>
    <row r="358">
      <c r="A358" s="2" t="str">
        <f>IFERROR(__xludf.DUMMYFUNCTION("""COMPUTED_VALUE"""),"Rademacher")</f>
        <v>Rademacher</v>
      </c>
      <c r="B358" s="2" t="str">
        <f>IFERROR(__xludf.DUMMYFUNCTION("""COMPUTED_VALUE"""),"Katerina")</f>
        <v>Katerina</v>
      </c>
      <c r="C358" s="2" t="str">
        <f>IFERROR(__xludf.DUMMYFUNCTION("""COMPUTED_VALUE"""),"Key Personnel")</f>
        <v>Key Personnel</v>
      </c>
      <c r="D358" s="2" t="str">
        <f>IFERROR(__xludf.DUMMYFUNCTION("""COMPUTED_VALUE"""),"Nakamura")</f>
        <v>Nakamura</v>
      </c>
      <c r="E358" s="2" t="str">
        <f>IFERROR(__xludf.DUMMYFUNCTION("""COMPUTED_VALUE"""),"Grad Student")</f>
        <v>Grad Student</v>
      </c>
      <c r="F358" s="2" t="str">
        <f>IFERROR(__xludf.DUMMYFUNCTION("""COMPUTED_VALUE"""),"katerina.rademacher@gladstone.ucsf.edu")</f>
        <v>katerina.rademacher@gladstone.ucsf.edu</v>
      </c>
      <c r="G358" s="2" t="str">
        <f>IFERROR(__xludf.DUMMYFUNCTION("""COMPUTED_VALUE"""),"0000-0001-9676-6673")</f>
        <v>0000-0001-9676-6673</v>
      </c>
    </row>
    <row r="359">
      <c r="A359" s="2" t="str">
        <f>IFERROR(__xludf.DUMMYFUNCTION("""COMPUTED_VALUE"""),"Alese")</f>
        <v>Alese</v>
      </c>
      <c r="B359" s="2" t="str">
        <f>IFERROR(__xludf.DUMMYFUNCTION("""COMPUTED_VALUE"""),"Oluwole")</f>
        <v>Oluwole</v>
      </c>
      <c r="C359" s="2" t="str">
        <f>IFERROR(__xludf.DUMMYFUNCTION("""COMPUTED_VALUE"""),"Key Personnel")</f>
        <v>Key Personnel</v>
      </c>
      <c r="D359" s="2" t="str">
        <f>IFERROR(__xludf.DUMMYFUNCTION("""COMPUTED_VALUE"""),"Nakamura")</f>
        <v>Nakamura</v>
      </c>
      <c r="E359" s="2" t="str">
        <f>IFERROR(__xludf.DUMMYFUNCTION("""COMPUTED_VALUE"""),"Postdoc")</f>
        <v>Postdoc</v>
      </c>
      <c r="F359" s="2" t="str">
        <f>IFERROR(__xludf.DUMMYFUNCTION("""COMPUTED_VALUE"""),"oluwole.alese@gladstone.ucsf.edu")</f>
        <v>oluwole.alese@gladstone.ucsf.edu</v>
      </c>
      <c r="G359" s="2" t="str">
        <f>IFERROR(__xludf.DUMMYFUNCTION("""COMPUTED_VALUE"""),"0000-0001-8607-7671")</f>
        <v>0000-0001-8607-7671</v>
      </c>
    </row>
    <row r="360">
      <c r="A360" s="2" t="str">
        <f>IFERROR(__xludf.DUMMYFUNCTION("""COMPUTED_VALUE"""),"Fu")</f>
        <v>Fu</v>
      </c>
      <c r="B360" s="2" t="str">
        <f>IFERROR(__xludf.DUMMYFUNCTION("""COMPUTED_VALUE"""),"Yuhong")</f>
        <v>Yuhong</v>
      </c>
      <c r="C360" s="2" t="str">
        <f>IFERROR(__xludf.DUMMYFUNCTION("""COMPUTED_VALUE"""),"Key Personnel")</f>
        <v>Key Personnel</v>
      </c>
      <c r="D360" s="2" t="str">
        <f>IFERROR(__xludf.DUMMYFUNCTION("""COMPUTED_VALUE"""),"Halliday")</f>
        <v>Halliday</v>
      </c>
      <c r="E360" s="2" t="str">
        <f>IFERROR(__xludf.DUMMYFUNCTION("""COMPUTED_VALUE"""),"Senior Research Fellow")</f>
        <v>Senior Research Fellow</v>
      </c>
      <c r="F360" s="2" t="str">
        <f>IFERROR(__xludf.DUMMYFUNCTION("""COMPUTED_VALUE"""),"yuhong.fu@sydney.edu.au")</f>
        <v>yuhong.fu@sydney.edu.au</v>
      </c>
      <c r="G360" s="2" t="str">
        <f>IFERROR(__xludf.DUMMYFUNCTION("""COMPUTED_VALUE"""),"0000-0003-4539-2039")</f>
        <v>0000-0003-4539-2039</v>
      </c>
    </row>
    <row r="361">
      <c r="A361" s="2" t="str">
        <f>IFERROR(__xludf.DUMMYFUNCTION("""COMPUTED_VALUE"""),"Hsiao")</f>
        <v>Hsiao</v>
      </c>
      <c r="B361" s="2" t="str">
        <f>IFERROR(__xludf.DUMMYFUNCTION("""COMPUTED_VALUE"""),"Tony")</f>
        <v>Tony</v>
      </c>
      <c r="C361" s="2" t="str">
        <f>IFERROR(__xludf.DUMMYFUNCTION("""COMPUTED_VALUE"""),"Key Personnel")</f>
        <v>Key Personnel</v>
      </c>
      <c r="D361" s="2" t="str">
        <f>IFERROR(__xludf.DUMMYFUNCTION("""COMPUTED_VALUE"""),"Halliday")</f>
        <v>Halliday</v>
      </c>
      <c r="E361" s="2" t="str">
        <f>IFERROR(__xludf.DUMMYFUNCTION("""COMPUTED_VALUE"""),"Researcher")</f>
        <v>Researcher</v>
      </c>
      <c r="F361" s="2" t="str">
        <f>IFERROR(__xludf.DUMMYFUNCTION("""COMPUTED_VALUE"""),"tony.hsiao@sydney.edu.au")</f>
        <v>tony.hsiao@sydney.edu.au</v>
      </c>
      <c r="G361" s="2" t="str">
        <f>IFERROR(__xludf.DUMMYFUNCTION("""COMPUTED_VALUE"""),"0000-0003-4933-0417")</f>
        <v>0000-0003-4933-0417</v>
      </c>
    </row>
    <row r="362">
      <c r="A362" s="2" t="str">
        <f>IFERROR(__xludf.DUMMYFUNCTION("""COMPUTED_VALUE"""),"Nielsen")</f>
        <v>Nielsen</v>
      </c>
      <c r="B362" s="2" t="str">
        <f>IFERROR(__xludf.DUMMYFUNCTION("""COMPUTED_VALUE"""),"Elizabeth")</f>
        <v>Elizabeth</v>
      </c>
      <c r="C362" s="2" t="str">
        <f>IFERROR(__xludf.DUMMYFUNCTION("""COMPUTED_VALUE"""),"Key Personnel")</f>
        <v>Key Personnel</v>
      </c>
      <c r="D362" s="2" t="str">
        <f>IFERROR(__xludf.DUMMYFUNCTION("""COMPUTED_VALUE"""),"Ford")</f>
        <v>Ford</v>
      </c>
      <c r="E362" s="2" t="str">
        <f>IFERROR(__xludf.DUMMYFUNCTION("""COMPUTED_VALUE"""),"Postdoc")</f>
        <v>Postdoc</v>
      </c>
      <c r="F362" s="2" t="str">
        <f>IFERROR(__xludf.DUMMYFUNCTION("""COMPUTED_VALUE"""),"beatriz.nielsen@cuanschutz.edu")</f>
        <v>beatriz.nielsen@cuanschutz.edu</v>
      </c>
      <c r="G362" s="2" t="str">
        <f>IFERROR(__xludf.DUMMYFUNCTION("""COMPUTED_VALUE"""),"0000-0001-9927-3639")</f>
        <v>0000-0001-9927-3639</v>
      </c>
    </row>
    <row r="363">
      <c r="A363" s="2" t="str">
        <f>IFERROR(__xludf.DUMMYFUNCTION("""COMPUTED_VALUE"""),"Yee")</f>
        <v>Yee</v>
      </c>
      <c r="B363" s="2" t="str">
        <f>IFERROR(__xludf.DUMMYFUNCTION("""COMPUTED_VALUE"""),"Andrew")</f>
        <v>Andrew</v>
      </c>
      <c r="C363" s="2" t="str">
        <f>IFERROR(__xludf.DUMMYFUNCTION("""COMPUTED_VALUE"""),"Key Personnel")</f>
        <v>Key Personnel</v>
      </c>
      <c r="D363" s="2" t="str">
        <f>IFERROR(__xludf.DUMMYFUNCTION("""COMPUTED_VALUE"""),"Ford")</f>
        <v>Ford</v>
      </c>
      <c r="E363" s="2" t="str">
        <f>IFERROR(__xludf.DUMMYFUNCTION("""COMPUTED_VALUE"""),"Postdoc")</f>
        <v>Postdoc</v>
      </c>
      <c r="F363" s="2" t="str">
        <f>IFERROR(__xludf.DUMMYFUNCTION("""COMPUTED_VALUE"""),"andrew.yee@cuanschutz.edu")</f>
        <v>andrew.yee@cuanschutz.edu</v>
      </c>
      <c r="G363" s="2" t="str">
        <f>IFERROR(__xludf.DUMMYFUNCTION("""COMPUTED_VALUE"""),"0000-0002-0981-6634")</f>
        <v>0000-0002-0981-6634</v>
      </c>
    </row>
    <row r="364">
      <c r="A364" s="2" t="str">
        <f>IFERROR(__xludf.DUMMYFUNCTION("""COMPUTED_VALUE"""),"Van Camp")</f>
        <v>Van Camp</v>
      </c>
      <c r="B364" s="2" t="str">
        <f>IFERROR(__xludf.DUMMYFUNCTION("""COMPUTED_VALUE"""),"Louis")</f>
        <v>Louis</v>
      </c>
      <c r="C364" s="2" t="str">
        <f>IFERROR(__xludf.DUMMYFUNCTION("""COMPUTED_VALUE"""),"Key Personnel")</f>
        <v>Key Personnel</v>
      </c>
      <c r="D364" s="2" t="str">
        <f>IFERROR(__xludf.DUMMYFUNCTION("""COMPUTED_VALUE"""),"Lerner")</f>
        <v>Lerner</v>
      </c>
      <c r="E364" s="2" t="str">
        <f>IFERROR(__xludf.DUMMYFUNCTION("""COMPUTED_VALUE"""),"Research Assistant")</f>
        <v>Research Assistant</v>
      </c>
      <c r="F364" s="2" t="str">
        <f>IFERROR(__xludf.DUMMYFUNCTION("""COMPUTED_VALUE"""),"louis.vancamp@northwestern.edu")</f>
        <v>louis.vancamp@northwestern.edu</v>
      </c>
      <c r="G364" s="2" t="str">
        <f>IFERROR(__xludf.DUMMYFUNCTION("""COMPUTED_VALUE"""),"0000-0002-4215-6965")</f>
        <v>0000-0002-4215-6965</v>
      </c>
    </row>
    <row r="365">
      <c r="A365" s="2" t="str">
        <f>IFERROR(__xludf.DUMMYFUNCTION("""COMPUTED_VALUE"""),"Mwenda")</f>
        <v>Mwenda</v>
      </c>
      <c r="B365" s="2" t="str">
        <f>IFERROR(__xludf.DUMMYFUNCTION("""COMPUTED_VALUE"""),"Nkatha ")</f>
        <v>Nkatha </v>
      </c>
      <c r="C365" s="2" t="str">
        <f>IFERROR(__xludf.DUMMYFUNCTION("""COMPUTED_VALUE"""),"Key Personnel")</f>
        <v>Key Personnel</v>
      </c>
      <c r="D365" s="2" t="str">
        <f>IFERROR(__xludf.DUMMYFUNCTION("""COMPUTED_VALUE"""),"Lerner")</f>
        <v>Lerner</v>
      </c>
      <c r="E365" s="2" t="str">
        <f>IFERROR(__xludf.DUMMYFUNCTION("""COMPUTED_VALUE"""),"Grad Student")</f>
        <v>Grad Student</v>
      </c>
      <c r="F365" s="2" t="str">
        <f>IFERROR(__xludf.DUMMYFUNCTION("""COMPUTED_VALUE"""),"nkatha.mwenda@northwestern.edu")</f>
        <v>nkatha.mwenda@northwestern.edu</v>
      </c>
      <c r="G365" s="2" t="str">
        <f>IFERROR(__xludf.DUMMYFUNCTION("""COMPUTED_VALUE"""),"0000-0001-5411-9451")</f>
        <v>0000-0001-5411-9451</v>
      </c>
    </row>
    <row r="366">
      <c r="A366" s="2" t="str">
        <f>IFERROR(__xludf.DUMMYFUNCTION("""COMPUTED_VALUE"""),"Szu-Chi")</f>
        <v>Szu-Chi</v>
      </c>
      <c r="B366" s="2" t="str">
        <f>IFERROR(__xludf.DUMMYFUNCTION("""COMPUTED_VALUE"""),"Liao")</f>
        <v>Liao</v>
      </c>
      <c r="C366" s="2" t="str">
        <f>IFERROR(__xludf.DUMMYFUNCTION("""COMPUTED_VALUE"""),"Key Personnel")</f>
        <v>Key Personnel</v>
      </c>
      <c r="D366" s="2" t="str">
        <f>IFERROR(__xludf.DUMMYFUNCTION("""COMPUTED_VALUE"""),"Nakamura")</f>
        <v>Nakamura</v>
      </c>
      <c r="E366" s="2" t="str">
        <f>IFERROR(__xludf.DUMMYFUNCTION("""COMPUTED_VALUE"""),"Grad Student")</f>
        <v>Grad Student</v>
      </c>
      <c r="F366" s="2" t="str">
        <f>IFERROR(__xludf.DUMMYFUNCTION("""COMPUTED_VALUE"""),"szuchi.liao@gladstone.ucsf.edu")</f>
        <v>szuchi.liao@gladstone.ucsf.edu</v>
      </c>
      <c r="G366" s="2" t="str">
        <f>IFERROR(__xludf.DUMMYFUNCTION("""COMPUTED_VALUE"""),"0000-0003-2744-363X")</f>
        <v>0000-0003-2744-363X</v>
      </c>
    </row>
    <row r="367">
      <c r="A367" s="2" t="str">
        <f>IFERROR(__xludf.DUMMYFUNCTION("""COMPUTED_VALUE"""),"Nadel")</f>
        <v>Nadel</v>
      </c>
      <c r="B367" s="2" t="str">
        <f>IFERROR(__xludf.DUMMYFUNCTION("""COMPUTED_VALUE"""),"Jacob")</f>
        <v>Jacob</v>
      </c>
      <c r="C367" s="2" t="str">
        <f>IFERROR(__xludf.DUMMYFUNCTION("""COMPUTED_VALUE"""),"Key Personnel")</f>
        <v>Key Personnel</v>
      </c>
      <c r="D367" s="2" t="str">
        <f>IFERROR(__xludf.DUMMYFUNCTION("""COMPUTED_VALUE"""),"Lerner")</f>
        <v>Lerner</v>
      </c>
      <c r="E367" s="2" t="str">
        <f>IFERROR(__xludf.DUMMYFUNCTION("""COMPUTED_VALUE"""),"Grad Student")</f>
        <v>Grad Student</v>
      </c>
      <c r="F367" s="2" t="str">
        <f>IFERROR(__xludf.DUMMYFUNCTION("""COMPUTED_VALUE"""),"jacobnadel2026@u.northwestern.edu")</f>
        <v>jacobnadel2026@u.northwestern.edu</v>
      </c>
      <c r="G367" s="2" t="str">
        <f>IFERROR(__xludf.DUMMYFUNCTION("""COMPUTED_VALUE"""),"0000-0002-7611-2434")</f>
        <v>0000-0002-7611-2434</v>
      </c>
    </row>
    <row r="368">
      <c r="A368" s="2" t="str">
        <f>IFERROR(__xludf.DUMMYFUNCTION("""COMPUTED_VALUE"""),"Mori")</f>
        <v>Mori</v>
      </c>
      <c r="B368" s="2" t="str">
        <f>IFERROR(__xludf.DUMMYFUNCTION("""COMPUTED_VALUE"""),"Akio")</f>
        <v>Akio</v>
      </c>
      <c r="C368" s="2" t="str">
        <f>IFERROR(__xludf.DUMMYFUNCTION("""COMPUTED_VALUE"""),"Key Personnel")</f>
        <v>Key Personnel</v>
      </c>
      <c r="D368" s="2" t="str">
        <f>IFERROR(__xludf.DUMMYFUNCTION("""COMPUTED_VALUE"""),"Edwards")</f>
        <v>Edwards</v>
      </c>
      <c r="E368" s="2" t="str">
        <f>IFERROR(__xludf.DUMMYFUNCTION("""COMPUTED_VALUE"""),"Postdoc")</f>
        <v>Postdoc</v>
      </c>
      <c r="F368" s="2" t="str">
        <f>IFERROR(__xludf.DUMMYFUNCTION("""COMPUTED_VALUE"""),"akio.mori@ucsf.edu")</f>
        <v>akio.mori@ucsf.edu</v>
      </c>
      <c r="G368" s="2" t="str">
        <f>IFERROR(__xludf.DUMMYFUNCTION("""COMPUTED_VALUE"""),"0000-0002-8711-6991")</f>
        <v>0000-0002-8711-6991</v>
      </c>
    </row>
    <row r="369">
      <c r="A369" s="2" t="str">
        <f>IFERROR(__xludf.DUMMYFUNCTION("""COMPUTED_VALUE"""),"Kano")</f>
        <v>Kano</v>
      </c>
      <c r="B369" s="2" t="str">
        <f>IFERROR(__xludf.DUMMYFUNCTION("""COMPUTED_VALUE"""),"Kohei")</f>
        <v>Kohei</v>
      </c>
      <c r="C369" s="2" t="str">
        <f>IFERROR(__xludf.DUMMYFUNCTION("""COMPUTED_VALUE"""),"Key Personnel")</f>
        <v>Key Personnel</v>
      </c>
      <c r="D369" s="2" t="str">
        <f>IFERROR(__xludf.DUMMYFUNCTION("""COMPUTED_VALUE"""),"Nakamura")</f>
        <v>Nakamura</v>
      </c>
      <c r="E369" s="2" t="str">
        <f>IFERROR(__xludf.DUMMYFUNCTION("""COMPUTED_VALUE"""),"Postdoc")</f>
        <v>Postdoc</v>
      </c>
      <c r="F369" s="2" t="str">
        <f>IFERROR(__xludf.DUMMYFUNCTION("""COMPUTED_VALUE"""),"kohei.kano@gladstone.ucsf.edu")</f>
        <v>kohei.kano@gladstone.ucsf.edu</v>
      </c>
      <c r="G369" s="2" t="str">
        <f>IFERROR(__xludf.DUMMYFUNCTION("""COMPUTED_VALUE"""),"0000-0002-0223-5781")</f>
        <v>0000-0002-0223-5781</v>
      </c>
    </row>
    <row r="370">
      <c r="A370" s="2" t="str">
        <f>IFERROR(__xludf.DUMMYFUNCTION("""COMPUTED_VALUE"""),"McGregor")</f>
        <v>McGregor</v>
      </c>
      <c r="B370" s="2" t="str">
        <f>IFERROR(__xludf.DUMMYFUNCTION("""COMPUTED_VALUE"""),"Match")</f>
        <v>Match</v>
      </c>
      <c r="C370" s="2" t="str">
        <f>IFERROR(__xludf.DUMMYFUNCTION("""COMPUTED_VALUE"""),"Key Personnel")</f>
        <v>Key Personnel</v>
      </c>
      <c r="D370" s="2" t="str">
        <f>IFERROR(__xludf.DUMMYFUNCTION("""COMPUTED_VALUE"""),"Ford")</f>
        <v>Ford</v>
      </c>
      <c r="E370" s="2" t="str">
        <f>IFERROR(__xludf.DUMMYFUNCTION("""COMPUTED_VALUE"""),"Postdoc")</f>
        <v>Postdoc</v>
      </c>
      <c r="F370" s="2" t="str">
        <f>IFERROR(__xludf.DUMMYFUNCTION("""COMPUTED_VALUE"""),"matthew.m.mcgregor@cuanschutz.edu")</f>
        <v>matthew.m.mcgregor@cuanschutz.edu</v>
      </c>
      <c r="G370" s="2" t="str">
        <f>IFERROR(__xludf.DUMMYFUNCTION("""COMPUTED_VALUE"""),"0000-0002-9620-2568")</f>
        <v>0000-0002-9620-2568</v>
      </c>
    </row>
    <row r="371">
      <c r="A371" s="2" t="str">
        <f>IFERROR(__xludf.DUMMYFUNCTION("""COMPUTED_VALUE"""),"Twedell")</f>
        <v>Twedell</v>
      </c>
      <c r="B371" s="2" t="str">
        <f>IFERROR(__xludf.DUMMYFUNCTION("""COMPUTED_VALUE"""),"Emily")</f>
        <v>Emily</v>
      </c>
      <c r="C371" s="2" t="str">
        <f>IFERROR(__xludf.DUMMYFUNCTION("""COMPUTED_VALUE"""),"Key Personnel")</f>
        <v>Key Personnel</v>
      </c>
      <c r="D371" s="2" t="str">
        <f>IFERROR(__xludf.DUMMYFUNCTION("""COMPUTED_VALUE"""),"Nelson")</f>
        <v>Nelson</v>
      </c>
      <c r="E371" s="2" t="str">
        <f>IFERROR(__xludf.DUMMYFUNCTION("""COMPUTED_VALUE"""),"Grad Student")</f>
        <v>Grad Student</v>
      </c>
      <c r="F371" s="2" t="str">
        <f>IFERROR(__xludf.DUMMYFUNCTION("""COMPUTED_VALUE"""),"emily.twedell@ucsf.edu")</f>
        <v>emily.twedell@ucsf.edu</v>
      </c>
      <c r="G371" s="2" t="str">
        <f>IFERROR(__xludf.DUMMYFUNCTION("""COMPUTED_VALUE"""),"0000-0003-0355-2399")</f>
        <v>0000-0003-0355-2399</v>
      </c>
    </row>
    <row r="372">
      <c r="A372" s="2" t="str">
        <f>IFERROR(__xludf.DUMMYFUNCTION("""COMPUTED_VALUE"""),"Kontaxi")</f>
        <v>Kontaxi</v>
      </c>
      <c r="B372" s="2" t="str">
        <f>IFERROR(__xludf.DUMMYFUNCTION("""COMPUTED_VALUE"""),"Christiana")</f>
        <v>Christiana</v>
      </c>
      <c r="C372" s="2" t="str">
        <f>IFERROR(__xludf.DUMMYFUNCTION("""COMPUTED_VALUE"""),"Key Personnel")</f>
        <v>Key Personnel</v>
      </c>
      <c r="D372" s="2" t="str">
        <f>IFERROR(__xludf.DUMMYFUNCTION("""COMPUTED_VALUE"""),"Edwards")</f>
        <v>Edwards</v>
      </c>
      <c r="E372" s="2" t="str">
        <f>IFERROR(__xludf.DUMMYFUNCTION("""COMPUTED_VALUE"""),"Postdoc")</f>
        <v>Postdoc</v>
      </c>
      <c r="F372" s="2" t="str">
        <f>IFERROR(__xludf.DUMMYFUNCTION("""COMPUTED_VALUE"""),"christiana.kontaxi@ucsf.edu")</f>
        <v>christiana.kontaxi@ucsf.edu</v>
      </c>
      <c r="G372" s="2" t="str">
        <f>IFERROR(__xludf.DUMMYFUNCTION("""COMPUTED_VALUE"""),"0000-0002-3026-1151")</f>
        <v>0000-0002-3026-1151</v>
      </c>
    </row>
    <row r="373">
      <c r="A373" s="2" t="str">
        <f>IFERROR(__xludf.DUMMYFUNCTION("""COMPUTED_VALUE"""),"Barnhill")</f>
        <v>Barnhill</v>
      </c>
      <c r="B373" s="2" t="str">
        <f>IFERROR(__xludf.DUMMYFUNCTION("""COMPUTED_VALUE"""),"Olivia")</f>
        <v>Olivia</v>
      </c>
      <c r="C373" s="2" t="str">
        <f>IFERROR(__xludf.DUMMYFUNCTION("""COMPUTED_VALUE"""),"Key Personnel")</f>
        <v>Key Personnel</v>
      </c>
      <c r="D373" s="2" t="str">
        <f>IFERROR(__xludf.DUMMYFUNCTION("""COMPUTED_VALUE"""),"Nelson")</f>
        <v>Nelson</v>
      </c>
      <c r="E373" s="2" t="str">
        <f>IFERROR(__xludf.DUMMYFUNCTION("""COMPUTED_VALUE"""),"Grad Student")</f>
        <v>Grad Student</v>
      </c>
      <c r="F373" s="2" t="str">
        <f>IFERROR(__xludf.DUMMYFUNCTION("""COMPUTED_VALUE"""),"Olivia.Barnhill@ucsf.edu")</f>
        <v>Olivia.Barnhill@ucsf.edu</v>
      </c>
      <c r="G373" s="2" t="str">
        <f>IFERROR(__xludf.DUMMYFUNCTION("""COMPUTED_VALUE"""),"0000-0003-1597-9701")</f>
        <v>0000-0003-1597-9701</v>
      </c>
    </row>
    <row r="374">
      <c r="A374" s="2" t="str">
        <f>IFERROR(__xludf.DUMMYFUNCTION("""COMPUTED_VALUE"""),"Paz")</f>
        <v>Paz</v>
      </c>
      <c r="B374" s="2" t="str">
        <f>IFERROR(__xludf.DUMMYFUNCTION("""COMPUTED_VALUE"""),"Rodrigo")</f>
        <v>Rodrigo</v>
      </c>
      <c r="C374" s="2" t="str">
        <f>IFERROR(__xludf.DUMMYFUNCTION("""COMPUTED_VALUE"""),"Key Personnel")</f>
        <v>Key Personnel</v>
      </c>
      <c r="D374" s="2" t="str">
        <f>IFERROR(__xludf.DUMMYFUNCTION("""COMPUTED_VALUE"""),"Nelson")</f>
        <v>Nelson</v>
      </c>
      <c r="E374" s="2" t="str">
        <f>IFERROR(__xludf.DUMMYFUNCTION("""COMPUTED_VALUE"""),"Postdoc")</f>
        <v>Postdoc</v>
      </c>
      <c r="F374" s="2" t="str">
        <f>IFERROR(__xludf.DUMMYFUNCTION("""COMPUTED_VALUE"""),"Rodrigo.Paz@ucsf.edu")</f>
        <v>Rodrigo.Paz@ucsf.edu</v>
      </c>
      <c r="G374" s="2" t="str">
        <f>IFERROR(__xludf.DUMMYFUNCTION("""COMPUTED_VALUE"""),"0000-0002-5179-2760")</f>
        <v>0000-0002-5179-2760</v>
      </c>
    </row>
    <row r="375">
      <c r="A375" s="2" t="str">
        <f>IFERROR(__xludf.DUMMYFUNCTION("""COMPUTED_VALUE"""),"Jain")</f>
        <v>Jain</v>
      </c>
      <c r="B375" s="2" t="str">
        <f>IFERROR(__xludf.DUMMYFUNCTION("""COMPUTED_VALUE"""),"Shweta")</f>
        <v>Shweta</v>
      </c>
      <c r="C375" s="2" t="str">
        <f>IFERROR(__xludf.DUMMYFUNCTION("""COMPUTED_VALUE"""),"Key Personnel")</f>
        <v>Key Personnel</v>
      </c>
      <c r="D375" s="2" t="str">
        <f>IFERROR(__xludf.DUMMYFUNCTION("""COMPUTED_VALUE"""),"Edwards")</f>
        <v>Edwards</v>
      </c>
      <c r="E375" s="2" t="str">
        <f>IFERROR(__xludf.DUMMYFUNCTION("""COMPUTED_VALUE"""),"Research Assistant")</f>
        <v>Research Assistant</v>
      </c>
      <c r="F375" s="2" t="str">
        <f>IFERROR(__xludf.DUMMYFUNCTION("""COMPUTED_VALUE"""),"Shweta.Jain@ucsf.edu")</f>
        <v>Shweta.Jain@ucsf.edu</v>
      </c>
      <c r="G375" s="2" t="str">
        <f>IFERROR(__xludf.DUMMYFUNCTION("""COMPUTED_VALUE"""),"0000-0001-9716-7453")</f>
        <v>0000-0001-9716-7453</v>
      </c>
    </row>
    <row r="376">
      <c r="A376" s="2" t="str">
        <f>IFERROR(__xludf.DUMMYFUNCTION("""COMPUTED_VALUE"""),"Sridhar")</f>
        <v>Sridhar</v>
      </c>
      <c r="B376" s="2" t="str">
        <f>IFERROR(__xludf.DUMMYFUNCTION("""COMPUTED_VALUE"""),"Sadhana ")</f>
        <v>Sadhana </v>
      </c>
      <c r="C376" s="2" t="str">
        <f>IFERROR(__xludf.DUMMYFUNCTION("""COMPUTED_VALUE"""),"Key Personnel")</f>
        <v>Key Personnel</v>
      </c>
      <c r="D376" s="2" t="str">
        <f>IFERROR(__xludf.DUMMYFUNCTION("""COMPUTED_VALUE"""),"Nelson")</f>
        <v>Nelson</v>
      </c>
      <c r="E376" s="2" t="str">
        <f>IFERROR(__xludf.DUMMYFUNCTION("""COMPUTED_VALUE"""),"Technician")</f>
        <v>Technician</v>
      </c>
      <c r="F376" s="2" t="str">
        <f>IFERROR(__xludf.DUMMYFUNCTION("""COMPUTED_VALUE"""),"sadhana.sridhar@ucsf.edu")</f>
        <v>sadhana.sridhar@ucsf.edu</v>
      </c>
      <c r="G376" s="2" t="str">
        <f>IFERROR(__xludf.DUMMYFUNCTION("""COMPUTED_VALUE"""),"0000-0003-0041-3414")</f>
        <v>0000-0003-0041-3414</v>
      </c>
    </row>
    <row r="377">
      <c r="A377" s="2" t="str">
        <f>IFERROR(__xludf.DUMMYFUNCTION("""COMPUTED_VALUE"""),"Marcott")</f>
        <v>Marcott</v>
      </c>
      <c r="B377" s="2" t="str">
        <f>IFERROR(__xludf.DUMMYFUNCTION("""COMPUTED_VALUE"""),"Pam")</f>
        <v>Pam</v>
      </c>
      <c r="C377" s="2" t="str">
        <f>IFERROR(__xludf.DUMMYFUNCTION("""COMPUTED_VALUE"""),"Key Personnel")</f>
        <v>Key Personnel</v>
      </c>
      <c r="D377" s="2" t="str">
        <f>IFERROR(__xludf.DUMMYFUNCTION("""COMPUTED_VALUE"""),"Nelson")</f>
        <v>Nelson</v>
      </c>
      <c r="E377" s="2" t="str">
        <f>IFERROR(__xludf.DUMMYFUNCTION("""COMPUTED_VALUE"""),"Postdoc")</f>
        <v>Postdoc</v>
      </c>
      <c r="F377" s="2" t="str">
        <f>IFERROR(__xludf.DUMMYFUNCTION("""COMPUTED_VALUE"""),"pam.marcott@ucsf.edu")</f>
        <v>pam.marcott@ucsf.edu</v>
      </c>
      <c r="G377" s="2" t="str">
        <f>IFERROR(__xludf.DUMMYFUNCTION("""COMPUTED_VALUE"""),"0000-0002-6341-6113")</f>
        <v>0000-0002-6341-6113</v>
      </c>
    </row>
    <row r="378">
      <c r="A378" s="2" t="str">
        <f>IFERROR(__xludf.DUMMYFUNCTION("""COMPUTED_VALUE"""),"Chatterton")</f>
        <v>Chatterton</v>
      </c>
      <c r="B378" s="2" t="str">
        <f>IFERROR(__xludf.DUMMYFUNCTION("""COMPUTED_VALUE"""),"Zac")</f>
        <v>Zac</v>
      </c>
      <c r="C378" s="2" t="str">
        <f>IFERROR(__xludf.DUMMYFUNCTION("""COMPUTED_VALUE"""),"Key Personnel")</f>
        <v>Key Personnel</v>
      </c>
      <c r="D378" s="2" t="str">
        <f>IFERROR(__xludf.DUMMYFUNCTION("""COMPUTED_VALUE"""),"Halliday")</f>
        <v>Halliday</v>
      </c>
      <c r="E378" s="2" t="str">
        <f>IFERROR(__xludf.DUMMYFUNCTION("""COMPUTED_VALUE"""),"Research Assistant")</f>
        <v>Research Assistant</v>
      </c>
      <c r="F378" s="2" t="str">
        <f>IFERROR(__xludf.DUMMYFUNCTION("""COMPUTED_VALUE"""),"zac.chatterton@sydney.edu.au")</f>
        <v>zac.chatterton@sydney.edu.au</v>
      </c>
      <c r="G378" s="2" t="str">
        <f>IFERROR(__xludf.DUMMYFUNCTION("""COMPUTED_VALUE"""),"0000-0002-6683-1400")</f>
        <v>0000-0002-6683-1400</v>
      </c>
    </row>
    <row r="379">
      <c r="A379" s="2" t="str">
        <f>IFERROR(__xludf.DUMMYFUNCTION("""COMPUTED_VALUE"""),"Yanez ")</f>
        <v>Yanez </v>
      </c>
      <c r="B379" s="2" t="str">
        <f>IFERROR(__xludf.DUMMYFUNCTION("""COMPUTED_VALUE"""),"Anthony ")</f>
        <v>Anthony </v>
      </c>
      <c r="C379" s="2" t="str">
        <f>IFERROR(__xludf.DUMMYFUNCTION("""COMPUTED_VALUE"""),"Key Personnel")</f>
        <v>Key Personnel</v>
      </c>
      <c r="D379" s="2" t="str">
        <f>IFERROR(__xludf.DUMMYFUNCTION("""COMPUTED_VALUE"""),"Khaliq")</f>
        <v>Khaliq</v>
      </c>
      <c r="E379" s="2" t="str">
        <f>IFERROR(__xludf.DUMMYFUNCTION("""COMPUTED_VALUE"""),"Postbac")</f>
        <v>Postbac</v>
      </c>
      <c r="F379" s="2" t="str">
        <f>IFERROR(__xludf.DUMMYFUNCTION("""COMPUTED_VALUE"""),"anthony.yanez@nih.gov")</f>
        <v>anthony.yanez@nih.gov</v>
      </c>
      <c r="G379" s="2" t="str">
        <f>IFERROR(__xludf.DUMMYFUNCTION("""COMPUTED_VALUE"""),"0009-0003-5200-8194")</f>
        <v>0009-0003-5200-8194</v>
      </c>
    </row>
    <row r="380">
      <c r="A380" s="2" t="str">
        <f>IFERROR(__xludf.DUMMYFUNCTION("""COMPUTED_VALUE"""),"Lipkin")</f>
        <v>Lipkin</v>
      </c>
      <c r="B380" s="2" t="str">
        <f>IFERROR(__xludf.DUMMYFUNCTION("""COMPUTED_VALUE"""),"Anna")</f>
        <v>Anna</v>
      </c>
      <c r="C380" s="2" t="str">
        <f>IFERROR(__xludf.DUMMYFUNCTION("""COMPUTED_VALUE"""),"Key Personnel")</f>
        <v>Key Personnel</v>
      </c>
      <c r="D380" s="2" t="str">
        <f>IFERROR(__xludf.DUMMYFUNCTION("""COMPUTED_VALUE"""),"Khaliq")</f>
        <v>Khaliq</v>
      </c>
      <c r="E380" s="2" t="str">
        <f>IFERROR(__xludf.DUMMYFUNCTION("""COMPUTED_VALUE"""),"Postdoc")</f>
        <v>Postdoc</v>
      </c>
      <c r="F380" s="2" t="str">
        <f>IFERROR(__xludf.DUMMYFUNCTION("""COMPUTED_VALUE"""),"anna.lipkin@nih.gov")</f>
        <v>anna.lipkin@nih.gov</v>
      </c>
      <c r="G380" s="2" t="str">
        <f>IFERROR(__xludf.DUMMYFUNCTION("""COMPUTED_VALUE"""),"0000-0001-5887-9044")</f>
        <v>0000-0001-5887-9044</v>
      </c>
    </row>
    <row r="381">
      <c r="A381" s="2" t="str">
        <f>IFERROR(__xludf.DUMMYFUNCTION("""COMPUTED_VALUE"""),"Coutant")</f>
        <v>Coutant</v>
      </c>
      <c r="B381" s="2" t="str">
        <f>IFERROR(__xludf.DUMMYFUNCTION("""COMPUTED_VALUE"""),"Bérénice")</f>
        <v>Bérénice</v>
      </c>
      <c r="C381" s="2" t="str">
        <f>IFERROR(__xludf.DUMMYFUNCTION("""COMPUTED_VALUE"""),"Key Personnel")</f>
        <v>Key Personnel</v>
      </c>
      <c r="D381" s="2" t="str">
        <f>IFERROR(__xludf.DUMMYFUNCTION("""COMPUTED_VALUE"""),"Nelson")</f>
        <v>Nelson</v>
      </c>
      <c r="E381" s="2" t="str">
        <f>IFERROR(__xludf.DUMMYFUNCTION("""COMPUTED_VALUE"""),"Postdoc")</f>
        <v>Postdoc</v>
      </c>
      <c r="F381" s="2" t="str">
        <f>IFERROR(__xludf.DUMMYFUNCTION("""COMPUTED_VALUE"""),"Berenice.Coutant@ucsf.edu")</f>
        <v>Berenice.Coutant@ucsf.edu</v>
      </c>
      <c r="G381" s="2" t="str">
        <f>IFERROR(__xludf.DUMMYFUNCTION("""COMPUTED_VALUE"""),"0009-0008-0810-3115")</f>
        <v>0009-0008-0810-3115</v>
      </c>
    </row>
    <row r="382">
      <c r="A382" s="2" t="str">
        <f>IFERROR(__xludf.DUMMYFUNCTION("""COMPUTED_VALUE"""),"Lopez ")</f>
        <v>Lopez </v>
      </c>
      <c r="B382" s="2" t="str">
        <f>IFERROR(__xludf.DUMMYFUNCTION("""COMPUTED_VALUE"""),"Naeliz ")</f>
        <v>Naeliz </v>
      </c>
      <c r="C382" s="2" t="str">
        <f>IFERROR(__xludf.DUMMYFUNCTION("""COMPUTED_VALUE"""),"Key Personnel")</f>
        <v>Key Personnel</v>
      </c>
      <c r="D382" s="2" t="str">
        <f>IFERROR(__xludf.DUMMYFUNCTION("""COMPUTED_VALUE"""),"Lerner")</f>
        <v>Lerner</v>
      </c>
      <c r="E382" s="2" t="str">
        <f>IFERROR(__xludf.DUMMYFUNCTION("""COMPUTED_VALUE"""),"Postbac")</f>
        <v>Postbac</v>
      </c>
      <c r="F382" s="2" t="str">
        <f>IFERROR(__xludf.DUMMYFUNCTION("""COMPUTED_VALUE"""),"naeliz.lopez@northwestern.edu")</f>
        <v>naeliz.lopez@northwestern.edu</v>
      </c>
      <c r="G382" s="2" t="str">
        <f>IFERROR(__xludf.DUMMYFUNCTION("""COMPUTED_VALUE"""),"0000-0002-7380-4575")</f>
        <v>0000-0002-7380-4575</v>
      </c>
    </row>
    <row r="383">
      <c r="A383" s="2" t="str">
        <f>IFERROR(__xludf.DUMMYFUNCTION("""COMPUTED_VALUE"""),"Adler")</f>
        <v>Adler</v>
      </c>
      <c r="B383" s="2" t="str">
        <f>IFERROR(__xludf.DUMMYFUNCTION("""COMPUTED_VALUE"""),"Joy")</f>
        <v>Joy</v>
      </c>
      <c r="C383" s="2" t="str">
        <f>IFERROR(__xludf.DUMMYFUNCTION("""COMPUTED_VALUE"""),"Key Personnel")</f>
        <v>Key Personnel</v>
      </c>
      <c r="D383" s="2" t="str">
        <f>IFERROR(__xludf.DUMMYFUNCTION("""COMPUTED_VALUE"""),"Ford")</f>
        <v>Ford</v>
      </c>
      <c r="E383" s="2" t="str">
        <f>IFERROR(__xludf.DUMMYFUNCTION("""COMPUTED_VALUE"""),"Grad Student")</f>
        <v>Grad Student</v>
      </c>
      <c r="F383" s="2" t="str">
        <f>IFERROR(__xludf.DUMMYFUNCTION("""COMPUTED_VALUE"""),"joy.adler@cuanschutz.edu")</f>
        <v>joy.adler@cuanschutz.edu</v>
      </c>
      <c r="G383" s="2" t="str">
        <f>IFERROR(__xludf.DUMMYFUNCTION("""COMPUTED_VALUE"""),"0000-0003-3557-682X")</f>
        <v>0000-0003-3557-682X</v>
      </c>
    </row>
    <row r="384">
      <c r="A384" s="2" t="str">
        <f>IFERROR(__xludf.DUMMYFUNCTION("""COMPUTED_VALUE"""),"Sei")</f>
        <v>Sei</v>
      </c>
      <c r="B384" s="2" t="str">
        <f>IFERROR(__xludf.DUMMYFUNCTION("""COMPUTED_VALUE"""),"Yoshi")</f>
        <v>Yoshi</v>
      </c>
      <c r="C384" s="2" t="str">
        <f>IFERROR(__xludf.DUMMYFUNCTION("""COMPUTED_VALUE"""),"Key Personnel")</f>
        <v>Key Personnel</v>
      </c>
      <c r="D384" s="2" t="str">
        <f>IFERROR(__xludf.DUMMYFUNCTION("""COMPUTED_VALUE"""),"Nakamura")</f>
        <v>Nakamura</v>
      </c>
      <c r="E384" s="2" t="str">
        <f>IFERROR(__xludf.DUMMYFUNCTION("""COMPUTED_VALUE"""),"Postdoc")</f>
        <v>Postdoc</v>
      </c>
      <c r="F384" s="2" t="str">
        <f>IFERROR(__xludf.DUMMYFUNCTION("""COMPUTED_VALUE"""),"yoshi.sei@gladstone.ucsf.edu")</f>
        <v>yoshi.sei@gladstone.ucsf.edu</v>
      </c>
      <c r="G384" s="2" t="str">
        <f>IFERROR(__xludf.DUMMYFUNCTION("""COMPUTED_VALUE"""),"0000-0002-4725-8725")</f>
        <v>0000-0002-4725-8725</v>
      </c>
    </row>
    <row r="385">
      <c r="A385" s="2" t="str">
        <f>IFERROR(__xludf.DUMMYFUNCTION("""COMPUTED_VALUE"""),"Meng")</f>
        <v>Meng</v>
      </c>
      <c r="B385" s="2" t="str">
        <f>IFERROR(__xludf.DUMMYFUNCTION("""COMPUTED_VALUE"""),"Jonathan")</f>
        <v>Jonathan</v>
      </c>
      <c r="C385" s="2" t="str">
        <f>IFERROR(__xludf.DUMMYFUNCTION("""COMPUTED_VALUE"""),"Key Personnel")</f>
        <v>Key Personnel</v>
      </c>
      <c r="D385" s="2" t="str">
        <f>IFERROR(__xludf.DUMMYFUNCTION("""COMPUTED_VALUE"""),"Nakamura")</f>
        <v>Nakamura</v>
      </c>
      <c r="E385" s="2" t="str">
        <f>IFERROR(__xludf.DUMMYFUNCTION("""COMPUTED_VALUE"""),"Postdoc")</f>
        <v>Postdoc</v>
      </c>
      <c r="F385" s="2" t="str">
        <f>IFERROR(__xludf.DUMMYFUNCTION("""COMPUTED_VALUE"""),"jonathan.meng@gladstone.ucsf.edu")</f>
        <v>jonathan.meng@gladstone.ucsf.edu</v>
      </c>
      <c r="G385" s="2" t="str">
        <f>IFERROR(__xludf.DUMMYFUNCTION("""COMPUTED_VALUE"""),"0000-0002-4315-3483")</f>
        <v>0000-0002-4315-3483</v>
      </c>
    </row>
    <row r="386">
      <c r="A386" s="2" t="str">
        <f>IFERROR(__xludf.DUMMYFUNCTION("""COMPUTED_VALUE"""),"Zhu ")</f>
        <v>Zhu </v>
      </c>
      <c r="B386" s="2" t="str">
        <f>IFERROR(__xludf.DUMMYFUNCTION("""COMPUTED_VALUE"""),"ManHua")</f>
        <v>ManHua</v>
      </c>
      <c r="C386" s="2" t="str">
        <f>IFERROR(__xludf.DUMMYFUNCTION("""COMPUTED_VALUE"""),"Key Personnel")</f>
        <v>Key Personnel</v>
      </c>
      <c r="D386" s="2" t="str">
        <f>IFERROR(__xludf.DUMMYFUNCTION("""COMPUTED_VALUE"""),"Lerner")</f>
        <v>Lerner</v>
      </c>
      <c r="E386" s="2" t="str">
        <f>IFERROR(__xludf.DUMMYFUNCTION("""COMPUTED_VALUE"""),"Postdoc")</f>
        <v>Postdoc</v>
      </c>
      <c r="F386" s="2" t="str">
        <f>IFERROR(__xludf.DUMMYFUNCTION("""COMPUTED_VALUE"""),"manhua.zhu@northwestern.edu")</f>
        <v>manhua.zhu@northwestern.edu</v>
      </c>
      <c r="G386" s="2" t="str">
        <f>IFERROR(__xludf.DUMMYFUNCTION("""COMPUTED_VALUE"""),"0000-0003-1634-7212")</f>
        <v>0000-0003-1634-7212</v>
      </c>
    </row>
    <row r="387">
      <c r="A387" s="2" t="str">
        <f>IFERROR(__xludf.DUMMYFUNCTION("""COMPUTED_VALUE"""),"Hernandez Lopez")</f>
        <v>Hernandez Lopez</v>
      </c>
      <c r="B387" s="2" t="str">
        <f>IFERROR(__xludf.DUMMYFUNCTION("""COMPUTED_VALUE"""),"Javier")</f>
        <v>Javier</v>
      </c>
      <c r="C387" s="2" t="str">
        <f>IFERROR(__xludf.DUMMYFUNCTION("""COMPUTED_VALUE"""),"Key Personnel")</f>
        <v>Key Personnel</v>
      </c>
      <c r="D387" s="2" t="str">
        <f>IFERROR(__xludf.DUMMYFUNCTION("""COMPUTED_VALUE"""),"Nelson")</f>
        <v>Nelson</v>
      </c>
      <c r="E387" s="2" t="str">
        <f>IFERROR(__xludf.DUMMYFUNCTION("""COMPUTED_VALUE"""),"Technician")</f>
        <v>Technician</v>
      </c>
      <c r="F387" s="2" t="str">
        <f>IFERROR(__xludf.DUMMYFUNCTION("""COMPUTED_VALUE"""),"javier.hernandezlopez@ucsf.edu")</f>
        <v>javier.hernandezlopez@ucsf.edu</v>
      </c>
      <c r="G387" s="2" t="str">
        <f>IFERROR(__xludf.DUMMYFUNCTION("""COMPUTED_VALUE"""),"0000-0003-0028-187X")</f>
        <v>0000-0003-0028-187X</v>
      </c>
    </row>
    <row r="388">
      <c r="A388" s="2" t="str">
        <f>IFERROR(__xludf.DUMMYFUNCTION("""COMPUTED_VALUE"""),"Burke")</f>
        <v>Burke</v>
      </c>
      <c r="B388" s="2" t="str">
        <f>IFERROR(__xludf.DUMMYFUNCTION("""COMPUTED_VALUE"""),"Amy")</f>
        <v>Amy</v>
      </c>
      <c r="C388" s="2" t="str">
        <f>IFERROR(__xludf.DUMMYFUNCTION("""COMPUTED_VALUE"""),"Key Personnel")</f>
        <v>Key Personnel</v>
      </c>
      <c r="D388" s="2" t="str">
        <f>IFERROR(__xludf.DUMMYFUNCTION("""COMPUTED_VALUE"""),"Halliday")</f>
        <v>Halliday</v>
      </c>
      <c r="E388" s="2" t="str">
        <f>IFERROR(__xludf.DUMMYFUNCTION("""COMPUTED_VALUE"""),"Research Assistant")</f>
        <v>Research Assistant</v>
      </c>
      <c r="F388" s="2" t="str">
        <f>IFERROR(__xludf.DUMMYFUNCTION("""COMPUTED_VALUE"""),"amy.burke@sydney.edu.au")</f>
        <v>amy.burke@sydney.edu.au</v>
      </c>
      <c r="G388" s="2" t="str">
        <f>IFERROR(__xludf.DUMMYFUNCTION("""COMPUTED_VALUE"""),"0009-0006-9274-9589")</f>
        <v>0009-0006-9274-9589</v>
      </c>
    </row>
    <row r="389">
      <c r="A389" s="2" t="str">
        <f>IFERROR(__xludf.DUMMYFUNCTION("""COMPUTED_VALUE"""),"Wilson")</f>
        <v>Wilson</v>
      </c>
      <c r="B389" s="2" t="str">
        <f>IFERROR(__xludf.DUMMYFUNCTION("""COMPUTED_VALUE"""),"Danielle")</f>
        <v>Danielle</v>
      </c>
      <c r="C389" s="2" t="str">
        <f>IFERROR(__xludf.DUMMYFUNCTION("""COMPUTED_VALUE"""),"Key Personnel")</f>
        <v>Key Personnel</v>
      </c>
      <c r="D389" s="2" t="str">
        <f>IFERROR(__xludf.DUMMYFUNCTION("""COMPUTED_VALUE"""),"Khaliq")</f>
        <v>Khaliq</v>
      </c>
      <c r="E389" s="2" t="str">
        <f>IFERROR(__xludf.DUMMYFUNCTION("""COMPUTED_VALUE"""),"Postbac")</f>
        <v>Postbac</v>
      </c>
      <c r="F389" s="2" t="str">
        <f>IFERROR(__xludf.DUMMYFUNCTION("""COMPUTED_VALUE"""),"danielle.wilson@nih.gov")</f>
        <v>danielle.wilson@nih.gov</v>
      </c>
      <c r="G389" s="2" t="str">
        <f>IFERROR(__xludf.DUMMYFUNCTION("""COMPUTED_VALUE"""),"0000-0002-1440-8424")</f>
        <v>0000-0002-1440-8424</v>
      </c>
    </row>
    <row r="390">
      <c r="A390" s="2" t="str">
        <f>IFERROR(__xludf.DUMMYFUNCTION("""COMPUTED_VALUE"""),"Schneps")</f>
        <v>Schneps</v>
      </c>
      <c r="B390" s="2" t="str">
        <f>IFERROR(__xludf.DUMMYFUNCTION("""COMPUTED_VALUE"""),"Heather")</f>
        <v>Heather</v>
      </c>
      <c r="C390" s="2" t="str">
        <f>IFERROR(__xludf.DUMMYFUNCTION("""COMPUTED_VALUE"""),"Key Personnel")</f>
        <v>Key Personnel</v>
      </c>
      <c r="D390" s="2" t="str">
        <f>IFERROR(__xludf.DUMMYFUNCTION("""COMPUTED_VALUE"""),"Khaliq")</f>
        <v>Khaliq</v>
      </c>
      <c r="E390" s="2" t="str">
        <f>IFERROR(__xludf.DUMMYFUNCTION("""COMPUTED_VALUE"""),"Postbac")</f>
        <v>Postbac</v>
      </c>
      <c r="F390" s="2" t="str">
        <f>IFERROR(__xludf.DUMMYFUNCTION("""COMPUTED_VALUE"""),"heather.schneps@nih.gov")</f>
        <v>heather.schneps@nih.gov</v>
      </c>
      <c r="G390" s="2" t="str">
        <f>IFERROR(__xludf.DUMMYFUNCTION("""COMPUTED_VALUE"""),"0009-0000-9919-4471")</f>
        <v>0009-0000-9919-4471</v>
      </c>
    </row>
    <row r="391">
      <c r="A391" s="2" t="str">
        <f>IFERROR(__xludf.DUMMYFUNCTION("""COMPUTED_VALUE"""),"Bergum")</f>
        <v>Bergum</v>
      </c>
      <c r="B391" s="2" t="str">
        <f>IFERROR(__xludf.DUMMYFUNCTION("""COMPUTED_VALUE"""),"Nikolas")</f>
        <v>Nikolas</v>
      </c>
      <c r="C391" s="2" t="str">
        <f>IFERROR(__xludf.DUMMYFUNCTION("""COMPUTED_VALUE"""),"Key Personnel")</f>
        <v>Key Personnel</v>
      </c>
      <c r="D391" s="2" t="str">
        <f>IFERROR(__xludf.DUMMYFUNCTION("""COMPUTED_VALUE"""),"Ford")</f>
        <v>Ford</v>
      </c>
      <c r="E391" s="2" t="str">
        <f>IFERROR(__xludf.DUMMYFUNCTION("""COMPUTED_VALUE"""),"Postdoc")</f>
        <v>Postdoc</v>
      </c>
      <c r="F391" s="2" t="str">
        <f>IFERROR(__xludf.DUMMYFUNCTION("""COMPUTED_VALUE"""),"nikolas.bergum@cuanschutz.edu")</f>
        <v>nikolas.bergum@cuanschutz.edu</v>
      </c>
      <c r="G391" s="2" t="str">
        <f>IFERROR(__xludf.DUMMYFUNCTION("""COMPUTED_VALUE"""),"0000-0003-2474-4912")</f>
        <v>0000-0003-2474-4912</v>
      </c>
    </row>
    <row r="392">
      <c r="A392" s="2" t="str">
        <f>IFERROR(__xludf.DUMMYFUNCTION("""COMPUTED_VALUE"""),"Maas")</f>
        <v>Maas</v>
      </c>
      <c r="B392" s="2" t="str">
        <f>IFERROR(__xludf.DUMMYFUNCTION("""COMPUTED_VALUE"""),"James")</f>
        <v>James</v>
      </c>
      <c r="C392" s="2" t="str">
        <f>IFERROR(__xludf.DUMMYFUNCTION("""COMPUTED_VALUE"""),"Project Manager")</f>
        <v>Project Manager</v>
      </c>
      <c r="D392" s="2" t="str">
        <f>IFERROR(__xludf.DUMMYFUNCTION("""COMPUTED_VALUE"""),"Edwards")</f>
        <v>Edwards</v>
      </c>
      <c r="E392" s="2" t="str">
        <f>IFERROR(__xludf.DUMMYFUNCTION("""COMPUTED_VALUE"""),"Senior Researcher")</f>
        <v>Senior Researcher</v>
      </c>
      <c r="F392" s="2" t="str">
        <f>IFERROR(__xludf.DUMMYFUNCTION("""COMPUTED_VALUE"""),"james.maas@ucsf.edu")</f>
        <v>james.maas@ucsf.edu</v>
      </c>
      <c r="G392" s="2" t="str">
        <f>IFERROR(__xludf.DUMMYFUNCTION("""COMPUTED_VALUE"""),"0009-0000-1102-8197")</f>
        <v>0009-0000-1102-8197</v>
      </c>
    </row>
    <row r="393">
      <c r="A393" s="2" t="str">
        <f>IFERROR(__xludf.DUMMYFUNCTION("""COMPUTED_VALUE"""),"Firouzan")</f>
        <v>Firouzan</v>
      </c>
      <c r="B393" s="2" t="str">
        <f>IFERROR(__xludf.DUMMYFUNCTION("""COMPUTED_VALUE"""),"Bita")</f>
        <v>Bita</v>
      </c>
      <c r="C393" s="2" t="str">
        <f>IFERROR(__xludf.DUMMYFUNCTION("""COMPUTED_VALUE"""),"Key Personnel")</f>
        <v>Key Personnel</v>
      </c>
      <c r="D393" s="2" t="str">
        <f>IFERROR(__xludf.DUMMYFUNCTION("""COMPUTED_VALUE"""),"Lerner")</f>
        <v>Lerner</v>
      </c>
      <c r="E393" s="2" t="str">
        <f>IFERROR(__xludf.DUMMYFUNCTION("""COMPUTED_VALUE"""),"Postdoc")</f>
        <v>Postdoc</v>
      </c>
      <c r="F393" s="2" t="str">
        <f>IFERROR(__xludf.DUMMYFUNCTION("""COMPUTED_VALUE"""),"bita.firouzan@northwestern.edu")</f>
        <v>bita.firouzan@northwestern.edu</v>
      </c>
      <c r="G393" s="2" t="str">
        <f>IFERROR(__xludf.DUMMYFUNCTION("""COMPUTED_VALUE"""),"0000-0001-8737-7019")</f>
        <v>0000-0001-8737-7019</v>
      </c>
    </row>
    <row r="394">
      <c r="A394" s="2" t="str">
        <f>IFERROR(__xludf.DUMMYFUNCTION("""COMPUTED_VALUE"""),"Zirui")</f>
        <v>Zirui</v>
      </c>
      <c r="B394" s="2" t="str">
        <f>IFERROR(__xludf.DUMMYFUNCTION("""COMPUTED_VALUE"""),"Cao")</f>
        <v>Cao</v>
      </c>
      <c r="C394" s="2" t="str">
        <f>IFERROR(__xludf.DUMMYFUNCTION("""COMPUTED_VALUE"""),"Key Personnel")</f>
        <v>Key Personnel</v>
      </c>
      <c r="D394" s="2" t="str">
        <f>IFERROR(__xludf.DUMMYFUNCTION("""COMPUTED_VALUE"""),"Halliday")</f>
        <v>Halliday</v>
      </c>
      <c r="E394" s="2" t="str">
        <f>IFERROR(__xludf.DUMMYFUNCTION("""COMPUTED_VALUE"""),"Grad Student")</f>
        <v>Grad Student</v>
      </c>
      <c r="F394" s="2" t="str">
        <f>IFERROR(__xludf.DUMMYFUNCTION("""COMPUTED_VALUE"""),"zcao0375@uni.sydney.edu.au")</f>
        <v>zcao0375@uni.sydney.edu.au</v>
      </c>
      <c r="G394" s="2" t="str">
        <f>IFERROR(__xludf.DUMMYFUNCTION("""COMPUTED_VALUE"""),"0009-0007-0430-8642")</f>
        <v>0009-0007-0430-8642</v>
      </c>
    </row>
    <row r="395">
      <c r="A395" s="2" t="str">
        <f>IFERROR(__xludf.DUMMYFUNCTION("""COMPUTED_VALUE"""),"Anahid Ansari")</f>
        <v>Anahid Ansari</v>
      </c>
      <c r="B395" s="2" t="str">
        <f>IFERROR(__xludf.DUMMYFUNCTION("""COMPUTED_VALUE"""),"Mahabadian")</f>
        <v>Mahabadian</v>
      </c>
      <c r="C395" s="2" t="str">
        <f>IFERROR(__xludf.DUMMYFUNCTION("""COMPUTED_VALUE"""),"Key Personnel")</f>
        <v>Key Personnel</v>
      </c>
      <c r="D395" s="2" t="str">
        <f>IFERROR(__xludf.DUMMYFUNCTION("""COMPUTED_VALUE"""),"Halliday")</f>
        <v>Halliday</v>
      </c>
      <c r="E395" s="2" t="str">
        <f>IFERROR(__xludf.DUMMYFUNCTION("""COMPUTED_VALUE"""),"Technician")</f>
        <v>Technician</v>
      </c>
      <c r="F395" s="2" t="str">
        <f>IFERROR(__xludf.DUMMYFUNCTION("""COMPUTED_VALUE"""),"anahid.ansari@sydney.edu.au")</f>
        <v>anahid.ansari@sydney.edu.au</v>
      </c>
      <c r="G395" s="2" t="str">
        <f>IFERROR(__xludf.DUMMYFUNCTION("""COMPUTED_VALUE"""),"0009-0000-0088-0544")</f>
        <v>0009-0000-0088-0544</v>
      </c>
    </row>
    <row r="396">
      <c r="A396" s="2" t="str">
        <f>IFERROR(__xludf.DUMMYFUNCTION("""COMPUTED_VALUE"""),"Daniel")</f>
        <v>Daniel</v>
      </c>
      <c r="B396" s="2" t="str">
        <f>IFERROR(__xludf.DUMMYFUNCTION("""COMPUTED_VALUE"""),"Rastinejad")</f>
        <v>Rastinejad</v>
      </c>
      <c r="C396" s="2" t="str">
        <f>IFERROR(__xludf.DUMMYFUNCTION("""COMPUTED_VALUE"""),"Key Personnel")</f>
        <v>Key Personnel</v>
      </c>
      <c r="D396" s="2" t="str">
        <f>IFERROR(__xludf.DUMMYFUNCTION("""COMPUTED_VALUE"""),"Khaliq")</f>
        <v>Khaliq</v>
      </c>
      <c r="E396" s="2" t="str">
        <f>IFERROR(__xludf.DUMMYFUNCTION("""COMPUTED_VALUE"""),"Grad Student")</f>
        <v>Grad Student</v>
      </c>
      <c r="F396" s="2" t="str">
        <f>IFERROR(__xludf.DUMMYFUNCTION("""COMPUTED_VALUE"""),"daniel.rastinejad@nih.gov")</f>
        <v>daniel.rastinejad@nih.gov</v>
      </c>
      <c r="G396" s="2" t="str">
        <f>IFERROR(__xludf.DUMMYFUNCTION("""COMPUTED_VALUE"""),"0009-0000-9176-5524")</f>
        <v>0009-0000-9176-5524</v>
      </c>
    </row>
    <row r="397">
      <c r="A397" s="2" t="str">
        <f>IFERROR(__xludf.DUMMYFUNCTION("""COMPUTED_VALUE"""),"Fu")</f>
        <v>Fu</v>
      </c>
      <c r="B397" s="2" t="str">
        <f>IFERROR(__xludf.DUMMYFUNCTION("""COMPUTED_VALUE"""),"Xiang-Dong")</f>
        <v>Xiang-Dong</v>
      </c>
      <c r="C397" s="2" t="str">
        <f>IFERROR(__xludf.DUMMYFUNCTION("""COMPUTED_VALUE"""),"Lead-PI")</f>
        <v>Lead-PI</v>
      </c>
      <c r="D397" s="2" t="str">
        <f>IFERROR(__xludf.DUMMYFUNCTION("""COMPUTED_VALUE"""),"Fu")</f>
        <v>Fu</v>
      </c>
      <c r="E397" s="2" t="str">
        <f>IFERROR(__xludf.DUMMYFUNCTION("""COMPUTED_VALUE"""),"Member's Lab Role")</f>
        <v>Member's Lab Role</v>
      </c>
      <c r="F397" s="2" t="str">
        <f>IFERROR(__xludf.DUMMYFUNCTION("""COMPUTED_VALUE"""),"xdfu@health.ucsd.edu")</f>
        <v>xdfu@health.ucsd.edu</v>
      </c>
      <c r="G397" s="2" t="str">
        <f>IFERROR(__xludf.DUMMYFUNCTION("""COMPUTED_VALUE"""),"0000-0001-5499-8732")</f>
        <v>0000-0001-5499-8732</v>
      </c>
    </row>
    <row r="398">
      <c r="A398" s="2" t="str">
        <f>IFERROR(__xludf.DUMMYFUNCTION("""COMPUTED_VALUE"""),"Dowdy")</f>
        <v>Dowdy</v>
      </c>
      <c r="B398" s="2" t="str">
        <f>IFERROR(__xludf.DUMMYFUNCTION("""COMPUTED_VALUE"""),"Steve")</f>
        <v>Steve</v>
      </c>
      <c r="C398" s="2" t="str">
        <f>IFERROR(__xludf.DUMMYFUNCTION("""COMPUTED_VALUE"""),"Co-PI")</f>
        <v>Co-PI</v>
      </c>
      <c r="D398" s="2" t="str">
        <f>IFERROR(__xludf.DUMMYFUNCTION("""COMPUTED_VALUE"""),"Dowdy")</f>
        <v>Dowdy</v>
      </c>
      <c r="E398" s="2"/>
      <c r="F398" s="2" t="str">
        <f>IFERROR(__xludf.DUMMYFUNCTION("""COMPUTED_VALUE"""),"sdowdy@health.ucsd.edu")</f>
        <v>sdowdy@health.ucsd.edu</v>
      </c>
      <c r="G398" s="2" t="str">
        <f>IFERROR(__xludf.DUMMYFUNCTION("""COMPUTED_VALUE"""),"0000-0003-3083-2257")</f>
        <v>0000-0003-3083-2257</v>
      </c>
    </row>
    <row r="399">
      <c r="A399" s="2" t="str">
        <f>IFERROR(__xludf.DUMMYFUNCTION("""COMPUTED_VALUE"""),"Mobley")</f>
        <v>Mobley</v>
      </c>
      <c r="B399" s="2" t="str">
        <f>IFERROR(__xludf.DUMMYFUNCTION("""COMPUTED_VALUE"""),"William")</f>
        <v>William</v>
      </c>
      <c r="C399" s="2" t="str">
        <f>IFERROR(__xludf.DUMMYFUNCTION("""COMPUTED_VALUE"""),"Co-PI")</f>
        <v>Co-PI</v>
      </c>
      <c r="D399" s="2" t="str">
        <f>IFERROR(__xludf.DUMMYFUNCTION("""COMPUTED_VALUE"""),"Mobley")</f>
        <v>Mobley</v>
      </c>
      <c r="E399" s="2"/>
      <c r="F399" s="2" t="str">
        <f>IFERROR(__xludf.DUMMYFUNCTION("""COMPUTED_VALUE"""),"wmobley@health.ucsd.edu")</f>
        <v>wmobley@health.ucsd.edu</v>
      </c>
      <c r="G399" s="2" t="str">
        <f>IFERROR(__xludf.DUMMYFUNCTION("""COMPUTED_VALUE"""),"0000-0002-6408-9548")</f>
        <v>0000-0002-6408-9548</v>
      </c>
    </row>
    <row r="400">
      <c r="A400" s="2" t="str">
        <f>IFERROR(__xludf.DUMMYFUNCTION("""COMPUTED_VALUE"""),"Xue")</f>
        <v>Xue</v>
      </c>
      <c r="B400" s="2" t="str">
        <f>IFERROR(__xludf.DUMMYFUNCTION("""COMPUTED_VALUE"""),"Yuanchao")</f>
        <v>Yuanchao</v>
      </c>
      <c r="C400" s="2" t="str">
        <f>IFERROR(__xludf.DUMMYFUNCTION("""COMPUTED_VALUE"""),"Co-PI")</f>
        <v>Co-PI</v>
      </c>
      <c r="D400" s="2" t="str">
        <f>IFERROR(__xludf.DUMMYFUNCTION("""COMPUTED_VALUE"""),"Xue")</f>
        <v>Xue</v>
      </c>
      <c r="E400" s="2"/>
      <c r="F400" s="2" t="str">
        <f>IFERROR(__xludf.DUMMYFUNCTION("""COMPUTED_VALUE"""),"ycxue@ibp.ac.cn")</f>
        <v>ycxue@ibp.ac.cn</v>
      </c>
      <c r="G400" s="2" t="str">
        <f>IFERROR(__xludf.DUMMYFUNCTION("""COMPUTED_VALUE"""),"0000-0002-8113-2333")</f>
        <v>0000-0002-8113-2333</v>
      </c>
    </row>
    <row r="401">
      <c r="A401" s="2" t="str">
        <f>IFERROR(__xludf.DUMMYFUNCTION("""COMPUTED_VALUE"""),"Shaw")</f>
        <v>Shaw</v>
      </c>
      <c r="B401" s="2" t="str">
        <f>IFERROR(__xludf.DUMMYFUNCTION("""COMPUTED_VALUE"""),"Peter")</f>
        <v>Peter</v>
      </c>
      <c r="C401" s="2" t="str">
        <f>IFERROR(__xludf.DUMMYFUNCTION("""COMPUTED_VALUE"""),"Project Manager")</f>
        <v>Project Manager</v>
      </c>
      <c r="D401" s="2" t="str">
        <f>IFERROR(__xludf.DUMMYFUNCTION("""COMPUTED_VALUE"""),"Shaw")</f>
        <v>Shaw</v>
      </c>
      <c r="E401" s="2"/>
      <c r="F401" s="2" t="str">
        <f>IFERROR(__xludf.DUMMYFUNCTION("""COMPUTED_VALUE"""),"pshaw@health.ucsd.edu")</f>
        <v>pshaw@health.ucsd.edu</v>
      </c>
      <c r="G401" s="2" t="str">
        <f>IFERROR(__xludf.DUMMYFUNCTION("""COMPUTED_VALUE"""),"0000-0001-7392-6224")</f>
        <v>0000-0001-7392-6224</v>
      </c>
    </row>
    <row r="402">
      <c r="A402" s="2" t="str">
        <f>IFERROR(__xludf.DUMMYFUNCTION("""COMPUTED_VALUE"""),"Wang")</f>
        <v>Wang</v>
      </c>
      <c r="B402" s="2" t="str">
        <f>IFERROR(__xludf.DUMMYFUNCTION("""COMPUTED_VALUE"""),"Allen")</f>
        <v>Allen</v>
      </c>
      <c r="C402" s="2" t="str">
        <f>IFERROR(__xludf.DUMMYFUNCTION("""COMPUTED_VALUE"""),"Co-PI")</f>
        <v>Co-PI</v>
      </c>
      <c r="D402" s="2" t="str">
        <f>IFERROR(__xludf.DUMMYFUNCTION("""COMPUTED_VALUE"""),"Wang, A")</f>
        <v>Wang, A</v>
      </c>
      <c r="E402" s="2"/>
      <c r="F402" s="2" t="str">
        <f>IFERROR(__xludf.DUMMYFUNCTION("""COMPUTED_VALUE"""),"a5wang@health.ucsd.edu")</f>
        <v>a5wang@health.ucsd.edu</v>
      </c>
      <c r="G402" s="2" t="str">
        <f>IFERROR(__xludf.DUMMYFUNCTION("""COMPUTED_VALUE"""),"0000-0001-9870-7888")</f>
        <v>0000-0001-9870-7888</v>
      </c>
    </row>
    <row r="403">
      <c r="A403" s="2" t="str">
        <f>IFERROR(__xludf.DUMMYFUNCTION("""COMPUTED_VALUE"""),"Ren")</f>
        <v>Ren</v>
      </c>
      <c r="B403" s="2" t="str">
        <f>IFERROR(__xludf.DUMMYFUNCTION("""COMPUTED_VALUE"""),"Bing")</f>
        <v>Bing</v>
      </c>
      <c r="C403" s="2" t="str">
        <f>IFERROR(__xludf.DUMMYFUNCTION("""COMPUTED_VALUE"""),"Collaborating PI")</f>
        <v>Collaborating PI</v>
      </c>
      <c r="D403" s="2" t="str">
        <f>IFERROR(__xludf.DUMMYFUNCTION("""COMPUTED_VALUE"""),"Ren")</f>
        <v>Ren</v>
      </c>
      <c r="E403" s="2"/>
      <c r="F403" s="2" t="str">
        <f>IFERROR(__xludf.DUMMYFUNCTION("""COMPUTED_VALUE"""),"biren@health.ucsd.edu")</f>
        <v>biren@health.ucsd.edu</v>
      </c>
      <c r="G403" s="2" t="str">
        <f>IFERROR(__xludf.DUMMYFUNCTION("""COMPUTED_VALUE"""),"0000-0002-5435-1127")</f>
        <v>0000-0002-5435-1127</v>
      </c>
    </row>
    <row r="404">
      <c r="A404" s="2" t="str">
        <f>IFERROR(__xludf.DUMMYFUNCTION("""COMPUTED_VALUE"""),"Wang")</f>
        <v>Wang</v>
      </c>
      <c r="B404" s="2" t="str">
        <f>IFERROR(__xludf.DUMMYFUNCTION("""COMPUTED_VALUE"""),"Xiaoqun")</f>
        <v>Xiaoqun</v>
      </c>
      <c r="C404" s="2" t="str">
        <f>IFERROR(__xludf.DUMMYFUNCTION("""COMPUTED_VALUE"""),"Collaborating PI")</f>
        <v>Collaborating PI</v>
      </c>
      <c r="D404" s="2" t="str">
        <f>IFERROR(__xludf.DUMMYFUNCTION("""COMPUTED_VALUE"""),"Wang, X")</f>
        <v>Wang, X</v>
      </c>
      <c r="E404" s="2"/>
      <c r="F404" s="2" t="str">
        <f>IFERROR(__xludf.DUMMYFUNCTION("""COMPUTED_VALUE"""),"xiaoqunwang@ibp.ac.cn")</f>
        <v>xiaoqunwang@ibp.ac.cn</v>
      </c>
      <c r="G404" s="2" t="str">
        <f>IFERROR(__xludf.DUMMYFUNCTION("""COMPUTED_VALUE"""),"0000-0003-3440-2617")</f>
        <v>0000-0003-3440-2617</v>
      </c>
    </row>
    <row r="405">
      <c r="A405" s="2" t="str">
        <f>IFERROR(__xludf.DUMMYFUNCTION("""COMPUTED_VALUE"""),"Johnstone")</f>
        <v>Johnstone</v>
      </c>
      <c r="B405" s="2" t="str">
        <f>IFERROR(__xludf.DUMMYFUNCTION("""COMPUTED_VALUE"""),"Aaron")</f>
        <v>Aaron</v>
      </c>
      <c r="C405" s="2"/>
      <c r="D405" s="2" t="str">
        <f>IFERROR(__xludf.DUMMYFUNCTION("""COMPUTED_VALUE"""),"Mobley")</f>
        <v>Mobley</v>
      </c>
      <c r="E405" s="2" t="str">
        <f>IFERROR(__xludf.DUMMYFUNCTION("""COMPUTED_VALUE"""),"Postdoctoral Fellow")</f>
        <v>Postdoctoral Fellow</v>
      </c>
      <c r="F405" s="2" t="str">
        <f>IFERROR(__xludf.DUMMYFUNCTION("""COMPUTED_VALUE"""),"a1johnstone@health.ucsd.edu")</f>
        <v>a1johnstone@health.ucsd.edu</v>
      </c>
      <c r="G405" s="2" t="str">
        <f>IFERROR(__xludf.DUMMYFUNCTION("""COMPUTED_VALUE"""),"0000-0003-0888-8238")</f>
        <v>0000-0003-0888-8238</v>
      </c>
    </row>
    <row r="406">
      <c r="A406" s="2" t="str">
        <f>IFERROR(__xludf.DUMMYFUNCTION("""COMPUTED_VALUE"""),"Zuo")</f>
        <v>Zuo</v>
      </c>
      <c r="B406" s="2" t="str">
        <f>IFERROR(__xludf.DUMMYFUNCTION("""COMPUTED_VALUE"""),"Xinxin")</f>
        <v>Xinxin</v>
      </c>
      <c r="C406" s="2"/>
      <c r="D406" s="2" t="str">
        <f>IFERROR(__xludf.DUMMYFUNCTION("""COMPUTED_VALUE"""),"Mobley")</f>
        <v>Mobley</v>
      </c>
      <c r="E406" s="2" t="str">
        <f>IFERROR(__xludf.DUMMYFUNCTION("""COMPUTED_VALUE"""),"Postdoctoral Fellow")</f>
        <v>Postdoctoral Fellow</v>
      </c>
      <c r="F406" s="2" t="str">
        <f>IFERROR(__xludf.DUMMYFUNCTION("""COMPUTED_VALUE"""),"x3zuo@health.ucsd.edu")</f>
        <v>x3zuo@health.ucsd.edu</v>
      </c>
      <c r="G406" s="4" t="str">
        <f>IFERROR(__xludf.DUMMYFUNCTION("""COMPUTED_VALUE"""),"https://orcid.org/0000-0002-1964-6886")</f>
        <v>https://orcid.org/0000-0002-1964-6886</v>
      </c>
    </row>
    <row r="407">
      <c r="A407" s="2" t="str">
        <f>IFERROR(__xludf.DUMMYFUNCTION("""COMPUTED_VALUE"""),"Daza")</f>
        <v>Daza</v>
      </c>
      <c r="B407" s="2" t="str">
        <f>IFERROR(__xludf.DUMMYFUNCTION("""COMPUTED_VALUE"""),"Ray")</f>
        <v>Ray</v>
      </c>
      <c r="C407" s="2"/>
      <c r="D407" s="2" t="str">
        <f>IFERROR(__xludf.DUMMYFUNCTION("""COMPUTED_VALUE"""),"Mobley")</f>
        <v>Mobley</v>
      </c>
      <c r="E407" s="2" t="str">
        <f>IFERROR(__xludf.DUMMYFUNCTION("""COMPUTED_VALUE"""),"Research Associate")</f>
        <v>Research Associate</v>
      </c>
      <c r="F407" s="2" t="str">
        <f>IFERROR(__xludf.DUMMYFUNCTION("""COMPUTED_VALUE"""),"rdaza@health.ucsd.edu")</f>
        <v>rdaza@health.ucsd.edu</v>
      </c>
      <c r="G407" s="2" t="str">
        <f>IFERROR(__xludf.DUMMYFUNCTION("""COMPUTED_VALUE"""),"0000-0002-4765-4648")</f>
        <v>0000-0002-4765-4648</v>
      </c>
    </row>
    <row r="408">
      <c r="A408" s="2" t="str">
        <f>IFERROR(__xludf.DUMMYFUNCTION("""COMPUTED_VALUE"""),"Wang")</f>
        <v>Wang</v>
      </c>
      <c r="B408" s="2" t="str">
        <f>IFERROR(__xludf.DUMMYFUNCTION("""COMPUTED_VALUE"""),"Kangli")</f>
        <v>Kangli</v>
      </c>
      <c r="C408" s="2"/>
      <c r="D408" s="2" t="str">
        <f>IFERROR(__xludf.DUMMYFUNCTION("""COMPUTED_VALUE"""),"Mobley")</f>
        <v>Mobley</v>
      </c>
      <c r="E408" s="2" t="str">
        <f>IFERROR(__xludf.DUMMYFUNCTION("""COMPUTED_VALUE"""),"Postdoctoral Fellow")</f>
        <v>Postdoctoral Fellow</v>
      </c>
      <c r="F408" s="2" t="str">
        <f>IFERROR(__xludf.DUMMYFUNCTION("""COMPUTED_VALUE"""),"kaw033@health.ucsd.edu")</f>
        <v>kaw033@health.ucsd.edu</v>
      </c>
      <c r="G408" s="2" t="str">
        <f>IFERROR(__xludf.DUMMYFUNCTION("""COMPUTED_VALUE"""),"0009-0008-0699-0101")</f>
        <v>0009-0008-0699-0101</v>
      </c>
    </row>
    <row r="409">
      <c r="A409" s="2" t="str">
        <f>IFERROR(__xludf.DUMMYFUNCTION("""COMPUTED_VALUE"""),"Gulumkar")</f>
        <v>Gulumkar</v>
      </c>
      <c r="B409" s="2" t="str">
        <f>IFERROR(__xludf.DUMMYFUNCTION("""COMPUTED_VALUE"""),"Vijay")</f>
        <v>Vijay</v>
      </c>
      <c r="C409" s="2"/>
      <c r="D409" s="2" t="str">
        <f>IFERROR(__xludf.DUMMYFUNCTION("""COMPUTED_VALUE"""),"Dowdy")</f>
        <v>Dowdy</v>
      </c>
      <c r="E409" s="2" t="str">
        <f>IFERROR(__xludf.DUMMYFUNCTION("""COMPUTED_VALUE"""),"Postdoctoral Fellow")</f>
        <v>Postdoctoral Fellow</v>
      </c>
      <c r="F409" s="2" t="str">
        <f>IFERROR(__xludf.DUMMYFUNCTION("""COMPUTED_VALUE"""),"vgulumkar@health.ucsd.edu")</f>
        <v>vgulumkar@health.ucsd.edu</v>
      </c>
      <c r="G409" s="2" t="str">
        <f>IFERROR(__xludf.DUMMYFUNCTION("""COMPUTED_VALUE"""),"0009-0000-9034-2140")</f>
        <v>0009-0000-9034-2140</v>
      </c>
    </row>
    <row r="410">
      <c r="A410" s="2" t="str">
        <f>IFERROR(__xludf.DUMMYFUNCTION("""COMPUTED_VALUE"""),"Friedman")</f>
        <v>Friedman</v>
      </c>
      <c r="B410" s="2" t="str">
        <f>IFERROR(__xludf.DUMMYFUNCTION("""COMPUTED_VALUE"""),"Meyer")</f>
        <v>Meyer</v>
      </c>
      <c r="C410" s="2"/>
      <c r="D410" s="2" t="str">
        <f>IFERROR(__xludf.DUMMYFUNCTION("""COMPUTED_VALUE"""),"Rosenfeld")</f>
        <v>Rosenfeld</v>
      </c>
      <c r="E410" s="2" t="str">
        <f>IFERROR(__xludf.DUMMYFUNCTION("""COMPUTED_VALUE"""),"Research Associate")</f>
        <v>Research Associate</v>
      </c>
      <c r="F410" s="2" t="str">
        <f>IFERROR(__xludf.DUMMYFUNCTION("""COMPUTED_VALUE"""),"m3friedman@health.ucsd.edu")</f>
        <v>m3friedman@health.ucsd.edu</v>
      </c>
      <c r="G410" s="2" t="str">
        <f>IFERROR(__xludf.DUMMYFUNCTION("""COMPUTED_VALUE"""),"0000-0003-3509-7490")</f>
        <v>0000-0003-3509-7490</v>
      </c>
    </row>
    <row r="411">
      <c r="A411" s="2" t="str">
        <f>IFERROR(__xludf.DUMMYFUNCTION("""COMPUTED_VALUE"""),"McEvilly")</f>
        <v>McEvilly</v>
      </c>
      <c r="B411" s="2" t="str">
        <f>IFERROR(__xludf.DUMMYFUNCTION("""COMPUTED_VALUE"""),"Robert")</f>
        <v>Robert</v>
      </c>
      <c r="C411" s="2"/>
      <c r="D411" s="2" t="str">
        <f>IFERROR(__xludf.DUMMYFUNCTION("""COMPUTED_VALUE"""),"Rosenfeld")</f>
        <v>Rosenfeld</v>
      </c>
      <c r="E411" s="2" t="str">
        <f>IFERROR(__xludf.DUMMYFUNCTION("""COMPUTED_VALUE"""),"Research Associate")</f>
        <v>Research Associate</v>
      </c>
      <c r="F411" s="2" t="str">
        <f>IFERROR(__xludf.DUMMYFUNCTION("""COMPUTED_VALUE"""),"rmcevilly@health.ucsd.edu")</f>
        <v>rmcevilly@health.ucsd.edu</v>
      </c>
      <c r="G411" s="2" t="str">
        <f>IFERROR(__xludf.DUMMYFUNCTION("""COMPUTED_VALUE"""),"0009-0000-8240-0152")</f>
        <v>0009-0000-8240-0152</v>
      </c>
    </row>
    <row r="412">
      <c r="A412" s="2" t="str">
        <f>IFERROR(__xludf.DUMMYFUNCTION("""COMPUTED_VALUE"""),"Butowska")</f>
        <v>Butowska</v>
      </c>
      <c r="B412" s="2" t="str">
        <f>IFERROR(__xludf.DUMMYFUNCTION("""COMPUTED_VALUE"""),"Kamila")</f>
        <v>Kamila</v>
      </c>
      <c r="C412" s="2"/>
      <c r="D412" s="2" t="str">
        <f>IFERROR(__xludf.DUMMYFUNCTION("""COMPUTED_VALUE"""),"Dowdy")</f>
        <v>Dowdy</v>
      </c>
      <c r="E412" s="2" t="str">
        <f>IFERROR(__xludf.DUMMYFUNCTION("""COMPUTED_VALUE"""),"Postdoctoral Fellow")</f>
        <v>Postdoctoral Fellow</v>
      </c>
      <c r="F412" s="2" t="str">
        <f>IFERROR(__xludf.DUMMYFUNCTION("""COMPUTED_VALUE"""),"kbutowska@health.ucsd.edu")</f>
        <v>kbutowska@health.ucsd.edu</v>
      </c>
      <c r="G412" s="2" t="str">
        <f>IFERROR(__xludf.DUMMYFUNCTION("""COMPUTED_VALUE"""),"0000-0002-8175-1062")</f>
        <v>0000-0002-8175-1062</v>
      </c>
    </row>
    <row r="413">
      <c r="A413" s="2" t="str">
        <f>IFERROR(__xludf.DUMMYFUNCTION("""COMPUTED_VALUE"""),"Guan")</f>
        <v>Guan</v>
      </c>
      <c r="B413" s="2" t="str">
        <f>IFERROR(__xludf.DUMMYFUNCTION("""COMPUTED_VALUE"""),"Dongxu")</f>
        <v>Dongxu</v>
      </c>
      <c r="C413" s="2"/>
      <c r="D413" s="2" t="str">
        <f>IFERROR(__xludf.DUMMYFUNCTION("""COMPUTED_VALUE"""),"Mobley")</f>
        <v>Mobley</v>
      </c>
      <c r="E413" s="2" t="str">
        <f>IFERROR(__xludf.DUMMYFUNCTION("""COMPUTED_VALUE"""),"Research Associate")</f>
        <v>Research Associate</v>
      </c>
      <c r="F413" s="2" t="str">
        <f>IFERROR(__xludf.DUMMYFUNCTION("""COMPUTED_VALUE"""),"doguan@health.ucsd.edu")</f>
        <v>doguan@health.ucsd.edu</v>
      </c>
      <c r="G413" s="2" t="str">
        <f>IFERROR(__xludf.DUMMYFUNCTION("""COMPUTED_VALUE"""),"0000-0003-1702-9347")</f>
        <v>0000-0003-1702-9347</v>
      </c>
    </row>
    <row r="414">
      <c r="A414" s="2" t="str">
        <f>IFERROR(__xludf.DUMMYFUNCTION("""COMPUTED_VALUE"""),"Orr")</f>
        <v>Orr</v>
      </c>
      <c r="B414" s="2" t="str">
        <f>IFERROR(__xludf.DUMMYFUNCTION("""COMPUTED_VALUE"""),"Miranda")</f>
        <v>Miranda</v>
      </c>
      <c r="C414" s="2" t="str">
        <f>IFERROR(__xludf.DUMMYFUNCTION("""COMPUTED_VALUE"""),"Collaborating PI")</f>
        <v>Collaborating PI</v>
      </c>
      <c r="D414" s="2" t="str">
        <f>IFERROR(__xludf.DUMMYFUNCTION("""COMPUTED_VALUE"""),"Orr")</f>
        <v>Orr</v>
      </c>
      <c r="E414" s="2"/>
      <c r="F414" s="2" t="str">
        <f>IFERROR(__xludf.DUMMYFUNCTION("""COMPUTED_VALUE"""),"morr@wakehealth.edu")</f>
        <v>morr@wakehealth.edu</v>
      </c>
      <c r="G414" s="2" t="str">
        <f>IFERROR(__xludf.DUMMYFUNCTION("""COMPUTED_VALUE"""),"0000-0002-0418-2724")</f>
        <v>0000-0002-0418-2724</v>
      </c>
    </row>
    <row r="415">
      <c r="A415" s="2" t="str">
        <f>IFERROR(__xludf.DUMMYFUNCTION("""COMPUTED_VALUE"""),"Cleveland")</f>
        <v>Cleveland</v>
      </c>
      <c r="B415" s="2" t="str">
        <f>IFERROR(__xludf.DUMMYFUNCTION("""COMPUTED_VALUE"""),"Don")</f>
        <v>Don</v>
      </c>
      <c r="C415" s="2" t="str">
        <f>IFERROR(__xludf.DUMMYFUNCTION("""COMPUTED_VALUE"""),"Collaborating PI")</f>
        <v>Collaborating PI</v>
      </c>
      <c r="D415" s="2" t="str">
        <f>IFERROR(__xludf.DUMMYFUNCTION("""COMPUTED_VALUE"""),"Cleveland")</f>
        <v>Cleveland</v>
      </c>
      <c r="E415" s="2" t="str">
        <f>IFERROR(__xludf.DUMMYFUNCTION("""COMPUTED_VALUE"""),"Investigator")</f>
        <v>Investigator</v>
      </c>
      <c r="F415" s="2" t="str">
        <f>IFERROR(__xludf.DUMMYFUNCTION("""COMPUTED_VALUE"""),"dcleveland@health.ucsd.edu")</f>
        <v>dcleveland@health.ucsd.edu</v>
      </c>
      <c r="G415" s="2" t="str">
        <f>IFERROR(__xludf.DUMMYFUNCTION("""COMPUTED_VALUE"""),"0000-0002-1934-3682")</f>
        <v>0000-0002-1934-3682</v>
      </c>
    </row>
    <row r="416">
      <c r="A416" s="2" t="str">
        <f>IFERROR(__xludf.DUMMYFUNCTION("""COMPUTED_VALUE"""),"Maimon")</f>
        <v>Maimon</v>
      </c>
      <c r="B416" s="2" t="str">
        <f>IFERROR(__xludf.DUMMYFUNCTION("""COMPUTED_VALUE"""),"Roy")</f>
        <v>Roy</v>
      </c>
      <c r="C416" s="2"/>
      <c r="D416" s="2" t="str">
        <f>IFERROR(__xludf.DUMMYFUNCTION("""COMPUTED_VALUE"""),"Cleveland")</f>
        <v>Cleveland</v>
      </c>
      <c r="E416" s="2" t="str">
        <f>IFERROR(__xludf.DUMMYFUNCTION("""COMPUTED_VALUE"""),"Postdoctoral Fellow")</f>
        <v>Postdoctoral Fellow</v>
      </c>
      <c r="F416" s="2" t="str">
        <f>IFERROR(__xludf.DUMMYFUNCTION("""COMPUTED_VALUE"""),"rmaimon@health.ucsd.edu")</f>
        <v>rmaimon@health.ucsd.edu</v>
      </c>
      <c r="G416" s="2" t="str">
        <f>IFERROR(__xludf.DUMMYFUNCTION("""COMPUTED_VALUE"""),"0000-0003-1098-9097")</f>
        <v>0000-0003-1098-9097</v>
      </c>
    </row>
    <row r="417">
      <c r="A417" s="2" t="str">
        <f>IFERROR(__xludf.DUMMYFUNCTION("""COMPUTED_VALUE"""),"Gradinaru")</f>
        <v>Gradinaru</v>
      </c>
      <c r="B417" s="2" t="str">
        <f>IFERROR(__xludf.DUMMYFUNCTION("""COMPUTED_VALUE"""),"Viviana")</f>
        <v>Viviana</v>
      </c>
      <c r="C417" s="2" t="str">
        <f>IFERROR(__xludf.DUMMYFUNCTION("""COMPUTED_VALUE"""),"Lead-PI")</f>
        <v>Lead-PI</v>
      </c>
      <c r="D417" s="2" t="str">
        <f>IFERROR(__xludf.DUMMYFUNCTION("""COMPUTED_VALUE"""),"Gradinaru")</f>
        <v>Gradinaru</v>
      </c>
      <c r="E417" s="2" t="str">
        <f>IFERROR(__xludf.DUMMYFUNCTION("""COMPUTED_VALUE"""),"Member's Lab Role")</f>
        <v>Member's Lab Role</v>
      </c>
      <c r="F417" s="2" t="str">
        <f>IFERROR(__xludf.DUMMYFUNCTION("""COMPUTED_VALUE"""),"viviana@caltech.edu")</f>
        <v>viviana@caltech.edu</v>
      </c>
      <c r="G417" s="2" t="str">
        <f>IFERROR(__xludf.DUMMYFUNCTION("""COMPUTED_VALUE"""),"0000-0001-5868-348X")</f>
        <v>0000-0001-5868-348X</v>
      </c>
    </row>
    <row r="418">
      <c r="A418" s="2" t="str">
        <f>IFERROR(__xludf.DUMMYFUNCTION("""COMPUTED_VALUE"""),"Fox")</f>
        <v>Fox</v>
      </c>
      <c r="B418" s="2" t="str">
        <f>IFERROR(__xludf.DUMMYFUNCTION("""COMPUTED_VALUE"""),"Andrew")</f>
        <v>Andrew</v>
      </c>
      <c r="C418" s="2" t="str">
        <f>IFERROR(__xludf.DUMMYFUNCTION("""COMPUTED_VALUE"""),"Co-PI")</f>
        <v>Co-PI</v>
      </c>
      <c r="D418" s="2" t="str">
        <f>IFERROR(__xludf.DUMMYFUNCTION("""COMPUTED_VALUE"""),"Fox")</f>
        <v>Fox</v>
      </c>
      <c r="E418" s="2"/>
      <c r="F418" s="2" t="str">
        <f>IFERROR(__xludf.DUMMYFUNCTION("""COMPUTED_VALUE"""),"dfox@ucdavis.edu")</f>
        <v>dfox@ucdavis.edu</v>
      </c>
      <c r="G418" s="2" t="str">
        <f>IFERROR(__xludf.DUMMYFUNCTION("""COMPUTED_VALUE"""),"0000-0003-0695-3323")</f>
        <v>0000-0003-0695-3323</v>
      </c>
    </row>
    <row r="419">
      <c r="A419" s="2" t="str">
        <f>IFERROR(__xludf.DUMMYFUNCTION("""COMPUTED_VALUE"""),"Mazmanian")</f>
        <v>Mazmanian</v>
      </c>
      <c r="B419" s="2" t="str">
        <f>IFERROR(__xludf.DUMMYFUNCTION("""COMPUTED_VALUE"""),"Sarkis")</f>
        <v>Sarkis</v>
      </c>
      <c r="C419" s="2" t="str">
        <f>IFERROR(__xludf.DUMMYFUNCTION("""COMPUTED_VALUE"""),"Co-PI")</f>
        <v>Co-PI</v>
      </c>
      <c r="D419" s="2" t="str">
        <f>IFERROR(__xludf.DUMMYFUNCTION("""COMPUTED_VALUE"""),"Mazmanian")</f>
        <v>Mazmanian</v>
      </c>
      <c r="E419" s="2"/>
      <c r="F419" s="2" t="str">
        <f>IFERROR(__xludf.DUMMYFUNCTION("""COMPUTED_VALUE"""),"sarkis@caltech.edu ")</f>
        <v>sarkis@caltech.edu </v>
      </c>
      <c r="G419" s="2" t="str">
        <f>IFERROR(__xludf.DUMMYFUNCTION("""COMPUTED_VALUE"""),"0000-0003-2713-1513")</f>
        <v>0000-0003-2713-1513</v>
      </c>
    </row>
    <row r="420">
      <c r="A420" s="2" t="str">
        <f>IFERROR(__xludf.DUMMYFUNCTION("""COMPUTED_VALUE"""),"Seifert")</f>
        <v>Seifert</v>
      </c>
      <c r="B420" s="2" t="str">
        <f>IFERROR(__xludf.DUMMYFUNCTION("""COMPUTED_VALUE"""),"Ashley")</f>
        <v>Ashley</v>
      </c>
      <c r="C420" s="2" t="str">
        <f>IFERROR(__xludf.DUMMYFUNCTION("""COMPUTED_VALUE"""),"Co-PI")</f>
        <v>Co-PI</v>
      </c>
      <c r="D420" s="2" t="str">
        <f>IFERROR(__xludf.DUMMYFUNCTION("""COMPUTED_VALUE"""),"Seifert")</f>
        <v>Seifert</v>
      </c>
      <c r="E420" s="2"/>
      <c r="F420" s="2" t="str">
        <f>IFERROR(__xludf.DUMMYFUNCTION("""COMPUTED_VALUE"""),"awseifert@uky.edu")</f>
        <v>awseifert@uky.edu</v>
      </c>
      <c r="G420" s="2" t="str">
        <f>IFERROR(__xludf.DUMMYFUNCTION("""COMPUTED_VALUE"""),"0000-0001-6576-3664")</f>
        <v>0000-0001-6576-3664</v>
      </c>
    </row>
    <row r="421">
      <c r="A421" s="2" t="str">
        <f>IFERROR(__xludf.DUMMYFUNCTION("""COMPUTED_VALUE"""),"Van Valen")</f>
        <v>Van Valen</v>
      </c>
      <c r="B421" s="2" t="str">
        <f>IFERROR(__xludf.DUMMYFUNCTION("""COMPUTED_VALUE"""),"David")</f>
        <v>David</v>
      </c>
      <c r="C421" s="2" t="str">
        <f>IFERROR(__xludf.DUMMYFUNCTION("""COMPUTED_VALUE"""),"Co-PI")</f>
        <v>Co-PI</v>
      </c>
      <c r="D421" s="2" t="str">
        <f>IFERROR(__xludf.DUMMYFUNCTION("""COMPUTED_VALUE"""),"Van Valen")</f>
        <v>Van Valen</v>
      </c>
      <c r="E421" s="2"/>
      <c r="F421" s="2" t="str">
        <f>IFERROR(__xludf.DUMMYFUNCTION("""COMPUTED_VALUE"""),"vanvalen@caltech.edu")</f>
        <v>vanvalen@caltech.edu</v>
      </c>
      <c r="G421" s="2" t="str">
        <f>IFERROR(__xludf.DUMMYFUNCTION("""COMPUTED_VALUE"""),"0000-0001-7534-7621")</f>
        <v>0000-0001-7534-7621</v>
      </c>
    </row>
    <row r="422">
      <c r="A422" s="2" t="str">
        <f>IFERROR(__xludf.DUMMYFUNCTION("""COMPUTED_VALUE"""),"Tian")</f>
        <v>Tian</v>
      </c>
      <c r="B422" s="2" t="str">
        <f>IFERROR(__xludf.DUMMYFUNCTION("""COMPUTED_VALUE"""),"Lin")</f>
        <v>Lin</v>
      </c>
      <c r="C422" s="2" t="str">
        <f>IFERROR(__xludf.DUMMYFUNCTION("""COMPUTED_VALUE"""),"Collaborating PI")</f>
        <v>Collaborating PI</v>
      </c>
      <c r="D422" s="2" t="str">
        <f>IFERROR(__xludf.DUMMYFUNCTION("""COMPUTED_VALUE"""),"Tian")</f>
        <v>Tian</v>
      </c>
      <c r="E422" s="2"/>
      <c r="F422" s="2" t="str">
        <f>IFERROR(__xludf.DUMMYFUNCTION("""COMPUTED_VALUE"""),"lintian@ucdavis.edu")</f>
        <v>lintian@ucdavis.edu</v>
      </c>
      <c r="G422" s="2" t="str">
        <f>IFERROR(__xludf.DUMMYFUNCTION("""COMPUTED_VALUE"""),"0000-0001-7012-6926")</f>
        <v>0000-0001-7012-6926</v>
      </c>
    </row>
    <row r="423">
      <c r="A423" s="2" t="str">
        <f>IFERROR(__xludf.DUMMYFUNCTION("""COMPUTED_VALUE"""),"Roy")</f>
        <v>Roy</v>
      </c>
      <c r="B423" s="2" t="str">
        <f>IFERROR(__xludf.DUMMYFUNCTION("""COMPUTED_VALUE"""),"Subhojit")</f>
        <v>Subhojit</v>
      </c>
      <c r="C423" s="2" t="str">
        <f>IFERROR(__xludf.DUMMYFUNCTION("""COMPUTED_VALUE"""),"Collaborating PI")</f>
        <v>Collaborating PI</v>
      </c>
      <c r="D423" s="2" t="str">
        <f>IFERROR(__xludf.DUMMYFUNCTION("""COMPUTED_VALUE"""),"Roy")</f>
        <v>Roy</v>
      </c>
      <c r="E423" s="2"/>
      <c r="F423" s="2" t="str">
        <f>IFERROR(__xludf.DUMMYFUNCTION("""COMPUTED_VALUE"""),"sroy@health.ucsd.edu")</f>
        <v>sroy@health.ucsd.edu</v>
      </c>
      <c r="G423" s="2" t="str">
        <f>IFERROR(__xludf.DUMMYFUNCTION("""COMPUTED_VALUE"""),"0000-0002-1571-2735")</f>
        <v>0000-0002-1571-2735</v>
      </c>
    </row>
    <row r="424">
      <c r="A424" s="2" t="str">
        <f>IFERROR(__xludf.DUMMYFUNCTION("""COMPUTED_VALUE"""),"Pasca")</f>
        <v>Pasca</v>
      </c>
      <c r="B424" s="2" t="str">
        <f>IFERROR(__xludf.DUMMYFUNCTION("""COMPUTED_VALUE"""),"Sergiu")</f>
        <v>Sergiu</v>
      </c>
      <c r="C424" s="2" t="str">
        <f>IFERROR(__xludf.DUMMYFUNCTION("""COMPUTED_VALUE"""),"Collaborating PI")</f>
        <v>Collaborating PI</v>
      </c>
      <c r="D424" s="2" t="str">
        <f>IFERROR(__xludf.DUMMYFUNCTION("""COMPUTED_VALUE"""),"Pasca")</f>
        <v>Pasca</v>
      </c>
      <c r="E424" s="2"/>
      <c r="F424" s="2" t="str">
        <f>IFERROR(__xludf.DUMMYFUNCTION("""COMPUTED_VALUE"""),"spasca@stanford.edu")</f>
        <v>spasca@stanford.edu</v>
      </c>
      <c r="G424" s="2" t="str">
        <f>IFERROR(__xludf.DUMMYFUNCTION("""COMPUTED_VALUE"""),"0000-0002-3216-3248")</f>
        <v>0000-0002-3216-3248</v>
      </c>
    </row>
    <row r="425">
      <c r="A425" s="2" t="str">
        <f>IFERROR(__xludf.DUMMYFUNCTION("""COMPUTED_VALUE"""),"Oikonomou")</f>
        <v>Oikonomou</v>
      </c>
      <c r="B425" s="2" t="str">
        <f>IFERROR(__xludf.DUMMYFUNCTION("""COMPUTED_VALUE"""),"Catherine")</f>
        <v>Catherine</v>
      </c>
      <c r="C425" s="2" t="str">
        <f>IFERROR(__xludf.DUMMYFUNCTION("""COMPUTED_VALUE"""),"Project Manager")</f>
        <v>Project Manager</v>
      </c>
      <c r="D425" s="2" t="str">
        <f>IFERROR(__xludf.DUMMYFUNCTION("""COMPUTED_VALUE"""),"Gradinaru/Mazmanian")</f>
        <v>Gradinaru/Mazmanian</v>
      </c>
      <c r="E425" s="2"/>
      <c r="F425" s="2" t="str">
        <f>IFERROR(__xludf.DUMMYFUNCTION("""COMPUTED_VALUE"""),"coiko@caltech.edu")</f>
        <v>coiko@caltech.edu</v>
      </c>
      <c r="G425" s="2" t="str">
        <f>IFERROR(__xludf.DUMMYFUNCTION("""COMPUTED_VALUE"""),"0000-0003-2312-4746")</f>
        <v>0000-0003-2312-4746</v>
      </c>
    </row>
    <row r="426">
      <c r="A426" s="2" t="str">
        <f>IFERROR(__xludf.DUMMYFUNCTION("""COMPUTED_VALUE"""),"Coughlin")</f>
        <v>Coughlin</v>
      </c>
      <c r="B426" s="2" t="str">
        <f>IFERROR(__xludf.DUMMYFUNCTION("""COMPUTED_VALUE"""),"Gerard")</f>
        <v>Gerard</v>
      </c>
      <c r="C426" s="2" t="str">
        <f>IFERROR(__xludf.DUMMYFUNCTION("""COMPUTED_VALUE"""),"Key Personnel")</f>
        <v>Key Personnel</v>
      </c>
      <c r="D426" s="2" t="str">
        <f>IFERROR(__xludf.DUMMYFUNCTION("""COMPUTED_VALUE"""),"Gradinaru")</f>
        <v>Gradinaru</v>
      </c>
      <c r="E426" s="2" t="str">
        <f>IFERROR(__xludf.DUMMYFUNCTION("""COMPUTED_VALUE"""),"grad student")</f>
        <v>grad student</v>
      </c>
      <c r="F426" s="2" t="str">
        <f>IFERROR(__xludf.DUMMYFUNCTION("""COMPUTED_VALUE"""),"gcoughli@caltech.edu")</f>
        <v>gcoughli@caltech.edu</v>
      </c>
      <c r="G426" s="2" t="str">
        <f>IFERROR(__xludf.DUMMYFUNCTION("""COMPUTED_VALUE"""),"0000-0003-0644-4721")</f>
        <v>0000-0003-0644-4721</v>
      </c>
    </row>
    <row r="427">
      <c r="A427" s="2" t="str">
        <f>IFERROR(__xludf.DUMMYFUNCTION("""COMPUTED_VALUE"""),"Arokiaraj")</f>
        <v>Arokiaraj</v>
      </c>
      <c r="B427" s="2" t="str">
        <f>IFERROR(__xludf.DUMMYFUNCTION("""COMPUTED_VALUE"""),"Cynthia")</f>
        <v>Cynthia</v>
      </c>
      <c r="C427" s="2" t="str">
        <f>IFERROR(__xludf.DUMMYFUNCTION("""COMPUTED_VALUE"""),"Key Personnel")</f>
        <v>Key Personnel</v>
      </c>
      <c r="D427" s="2" t="str">
        <f>IFERROR(__xludf.DUMMYFUNCTION("""COMPUTED_VALUE"""),"Gradinaru")</f>
        <v>Gradinaru</v>
      </c>
      <c r="E427" s="2" t="str">
        <f>IFERROR(__xludf.DUMMYFUNCTION("""COMPUTED_VALUE"""),"postdoc")</f>
        <v>postdoc</v>
      </c>
      <c r="F427" s="2" t="str">
        <f>IFERROR(__xludf.DUMMYFUNCTION("""COMPUTED_VALUE"""),"cyn2aro@caltech.edu")</f>
        <v>cyn2aro@caltech.edu</v>
      </c>
      <c r="G427" s="2" t="str">
        <f>IFERROR(__xludf.DUMMYFUNCTION("""COMPUTED_VALUE"""),"0000-0003-3201-9868")</f>
        <v>0000-0003-3201-9868</v>
      </c>
    </row>
    <row r="428">
      <c r="A428" s="2" t="str">
        <f>IFERROR(__xludf.DUMMYFUNCTION("""COMPUTED_VALUE"""),"de Castro Fonseca")</f>
        <v>de Castro Fonseca</v>
      </c>
      <c r="B428" s="2" t="str">
        <f>IFERROR(__xludf.DUMMYFUNCTION("""COMPUTED_VALUE"""),"Matheus")</f>
        <v>Matheus</v>
      </c>
      <c r="C428" s="2" t="str">
        <f>IFERROR(__xludf.DUMMYFUNCTION("""COMPUTED_VALUE"""),"Key Personnel")</f>
        <v>Key Personnel</v>
      </c>
      <c r="D428" s="2" t="str">
        <f>IFERROR(__xludf.DUMMYFUNCTION("""COMPUTED_VALUE"""),"Mazmanian")</f>
        <v>Mazmanian</v>
      </c>
      <c r="E428" s="2" t="str">
        <f>IFERROR(__xludf.DUMMYFUNCTION("""COMPUTED_VALUE"""),"senior scientist")</f>
        <v>senior scientist</v>
      </c>
      <c r="F428" s="2" t="str">
        <f>IFERROR(__xludf.DUMMYFUNCTION("""COMPUTED_VALUE"""),"hp.matheus@gmail.com")</f>
        <v>hp.matheus@gmail.com</v>
      </c>
      <c r="G428" s="2" t="str">
        <f>IFERROR(__xludf.DUMMYFUNCTION("""COMPUTED_VALUE"""),"0000-0001-9048-9775")</f>
        <v>0000-0001-9048-9775</v>
      </c>
    </row>
    <row r="429">
      <c r="A429" s="2" t="str">
        <f>IFERROR(__xludf.DUMMYFUNCTION("""COMPUTED_VALUE"""),"Schwartz")</f>
        <v>Schwartz</v>
      </c>
      <c r="B429" s="2" t="str">
        <f>IFERROR(__xludf.DUMMYFUNCTION("""COMPUTED_VALUE"""),"Morgan")</f>
        <v>Morgan</v>
      </c>
      <c r="C429" s="2" t="str">
        <f>IFERROR(__xludf.DUMMYFUNCTION("""COMPUTED_VALUE"""),"Key Personnel")</f>
        <v>Key Personnel</v>
      </c>
      <c r="D429" s="2" t="str">
        <f>IFERROR(__xludf.DUMMYFUNCTION("""COMPUTED_VALUE"""),"Van Valen")</f>
        <v>Van Valen</v>
      </c>
      <c r="E429" s="2" t="str">
        <f>IFERROR(__xludf.DUMMYFUNCTION("""COMPUTED_VALUE"""),"grad student")</f>
        <v>grad student</v>
      </c>
      <c r="F429" s="2" t="str">
        <f>IFERROR(__xludf.DUMMYFUNCTION("""COMPUTED_VALUE"""),"msschwartz@caltech.edu")</f>
        <v>msschwartz@caltech.edu</v>
      </c>
      <c r="G429" s="2" t="str">
        <f>IFERROR(__xludf.DUMMYFUNCTION("""COMPUTED_VALUE"""),"0000-0001-8131-9125")</f>
        <v>0000-0001-8131-9125</v>
      </c>
    </row>
    <row r="430">
      <c r="A430" s="2" t="str">
        <f>IFERROR(__xludf.DUMMYFUNCTION("""COMPUTED_VALUE"""),"Ombelets")</f>
        <v>Ombelets</v>
      </c>
      <c r="B430" s="2" t="str">
        <f>IFERROR(__xludf.DUMMYFUNCTION("""COMPUTED_VALUE"""),"Lincoln")</f>
        <v>Lincoln</v>
      </c>
      <c r="C430" s="2" t="str">
        <f>IFERROR(__xludf.DUMMYFUNCTION("""COMPUTED_VALUE"""),"Key Personnel")</f>
        <v>Key Personnel</v>
      </c>
      <c r="D430" s="2" t="str">
        <f>IFERROR(__xludf.DUMMYFUNCTION("""COMPUTED_VALUE"""),"Van Valen")</f>
        <v>Van Valen</v>
      </c>
      <c r="E430" s="2" t="str">
        <f>IFERROR(__xludf.DUMMYFUNCTION("""COMPUTED_VALUE"""),"grad student")</f>
        <v>grad student</v>
      </c>
      <c r="F430" s="2" t="str">
        <f>IFERROR(__xludf.DUMMYFUNCTION("""COMPUTED_VALUE"""),"lombelets@caltech.edu")</f>
        <v>lombelets@caltech.edu</v>
      </c>
      <c r="G430" s="2" t="str">
        <f>IFERROR(__xludf.DUMMYFUNCTION("""COMPUTED_VALUE"""),"0000-0002-5625-5411")</f>
        <v>0000-0002-5625-5411</v>
      </c>
    </row>
    <row r="431">
      <c r="A431" s="2" t="str">
        <f>IFERROR(__xludf.DUMMYFUNCTION("""COMPUTED_VALUE"""),"Drzewiecki")</f>
        <v>Drzewiecki</v>
      </c>
      <c r="B431" s="2" t="str">
        <f>IFERROR(__xludf.DUMMYFUNCTION("""COMPUTED_VALUE"""),"Carly")</f>
        <v>Carly</v>
      </c>
      <c r="C431" s="2" t="str">
        <f>IFERROR(__xludf.DUMMYFUNCTION("""COMPUTED_VALUE"""),"Key Personnel")</f>
        <v>Key Personnel</v>
      </c>
      <c r="D431" s="2" t="str">
        <f>IFERROR(__xludf.DUMMYFUNCTION("""COMPUTED_VALUE"""),"Fox")</f>
        <v>Fox</v>
      </c>
      <c r="E431" s="2" t="str">
        <f>IFERROR(__xludf.DUMMYFUNCTION("""COMPUTED_VALUE"""),"postdoc")</f>
        <v>postdoc</v>
      </c>
      <c r="F431" s="2" t="str">
        <f>IFERROR(__xludf.DUMMYFUNCTION("""COMPUTED_VALUE"""),"cdrzewiecki@ucdavis.edu")</f>
        <v>cdrzewiecki@ucdavis.edu</v>
      </c>
      <c r="G431" s="2" t="str">
        <f>IFERROR(__xludf.DUMMYFUNCTION("""COMPUTED_VALUE"""),"0000-0002-9945-8040")</f>
        <v>0000-0002-9945-8040</v>
      </c>
    </row>
    <row r="432">
      <c r="A432" s="2" t="str">
        <f>IFERROR(__xludf.DUMMYFUNCTION("""COMPUTED_VALUE"""),"Campos")</f>
        <v>Campos</v>
      </c>
      <c r="B432" s="2" t="str">
        <f>IFERROR(__xludf.DUMMYFUNCTION("""COMPUTED_VALUE"""),"Lillian")</f>
        <v>Lillian</v>
      </c>
      <c r="C432" s="2" t="str">
        <f>IFERROR(__xludf.DUMMYFUNCTION("""COMPUTED_VALUE"""),"Key Personnel")</f>
        <v>Key Personnel</v>
      </c>
      <c r="D432" s="2" t="str">
        <f>IFERROR(__xludf.DUMMYFUNCTION("""COMPUTED_VALUE"""),"Fox")</f>
        <v>Fox</v>
      </c>
      <c r="E432" s="2" t="str">
        <f>IFERROR(__xludf.DUMMYFUNCTION("""COMPUTED_VALUE"""),"grad student")</f>
        <v>grad student</v>
      </c>
      <c r="F432" s="2" t="str">
        <f>IFERROR(__xludf.DUMMYFUNCTION("""COMPUTED_VALUE"""),"ljcampos@ucdavis.edu")</f>
        <v>ljcampos@ucdavis.edu</v>
      </c>
      <c r="G432" s="2" t="str">
        <f>IFERROR(__xludf.DUMMYFUNCTION("""COMPUTED_VALUE"""),"0000-0003-0839-0288")</f>
        <v>0000-0003-0839-0288</v>
      </c>
    </row>
    <row r="433">
      <c r="A433" s="2" t="str">
        <f>IFERROR(__xludf.DUMMYFUNCTION("""COMPUTED_VALUE"""),"Kamboj")</f>
        <v>Kamboj</v>
      </c>
      <c r="B433" s="2" t="str">
        <f>IFERROR(__xludf.DUMMYFUNCTION("""COMPUTED_VALUE"""),"Shawn")</f>
        <v>Shawn</v>
      </c>
      <c r="C433" s="2" t="str">
        <f>IFERROR(__xludf.DUMMYFUNCTION("""COMPUTED_VALUE"""),"Key Personnel")</f>
        <v>Key Personnel</v>
      </c>
      <c r="D433" s="2" t="str">
        <f>IFERROR(__xludf.DUMMYFUNCTION("""COMPUTED_VALUE"""),"Fox")</f>
        <v>Fox</v>
      </c>
      <c r="E433" s="2" t="str">
        <f>IFERROR(__xludf.DUMMYFUNCTION("""COMPUTED_VALUE"""),"grad student")</f>
        <v>grad student</v>
      </c>
      <c r="F433" s="2" t="str">
        <f>IFERROR(__xludf.DUMMYFUNCTION("""COMPUTED_VALUE"""),"skamboj@ucdavis.edu")</f>
        <v>skamboj@ucdavis.edu</v>
      </c>
      <c r="G433" s="2" t="str">
        <f>IFERROR(__xludf.DUMMYFUNCTION("""COMPUTED_VALUE"""),"0000-0003-1343-7618")</f>
        <v>0000-0003-1343-7618</v>
      </c>
    </row>
    <row r="434">
      <c r="A434" s="2" t="str">
        <f>IFERROR(__xludf.DUMMYFUNCTION("""COMPUTED_VALUE"""),"Donahue")</f>
        <v>Donahue</v>
      </c>
      <c r="B434" s="2" t="str">
        <f>IFERROR(__xludf.DUMMYFUNCTION("""COMPUTED_VALUE"""),"Renee")</f>
        <v>Renee</v>
      </c>
      <c r="C434" s="2" t="str">
        <f>IFERROR(__xludf.DUMMYFUNCTION("""COMPUTED_VALUE"""),"Key Personnel")</f>
        <v>Key Personnel</v>
      </c>
      <c r="D434" s="2" t="str">
        <f>IFERROR(__xludf.DUMMYFUNCTION("""COMPUTED_VALUE"""),"Seifert")</f>
        <v>Seifert</v>
      </c>
      <c r="E434" s="2" t="str">
        <f>IFERROR(__xludf.DUMMYFUNCTION("""COMPUTED_VALUE"""),"senior scientist")</f>
        <v>senior scientist</v>
      </c>
      <c r="F434" s="2" t="str">
        <f>IFERROR(__xludf.DUMMYFUNCTION("""COMPUTED_VALUE"""),"renee.donahue@uky.edu")</f>
        <v>renee.donahue@uky.edu</v>
      </c>
      <c r="G434" s="2" t="str">
        <f>IFERROR(__xludf.DUMMYFUNCTION("""COMPUTED_VALUE"""),"0000-0002-3344-5650")</f>
        <v>0000-0002-3344-5650</v>
      </c>
    </row>
    <row r="435">
      <c r="A435" s="2" t="str">
        <f>IFERROR(__xludf.DUMMYFUNCTION("""COMPUTED_VALUE"""),"Chung")</f>
        <v>Chung</v>
      </c>
      <c r="B435" s="2" t="str">
        <f>IFERROR(__xludf.DUMMYFUNCTION("""COMPUTED_VALUE"""),"Alex")</f>
        <v>Alex</v>
      </c>
      <c r="C435" s="2" t="str">
        <f>IFERROR(__xludf.DUMMYFUNCTION("""COMPUTED_VALUE"""),"Key Personnel")</f>
        <v>Key Personnel</v>
      </c>
      <c r="D435" s="2" t="str">
        <f>IFERROR(__xludf.DUMMYFUNCTION("""COMPUTED_VALUE"""),"Gradinaru")</f>
        <v>Gradinaru</v>
      </c>
      <c r="E435" s="2" t="str">
        <f>IFERROR(__xludf.DUMMYFUNCTION("""COMPUTED_VALUE"""),"grad student")</f>
        <v>grad student</v>
      </c>
      <c r="F435" s="2" t="str">
        <f>IFERROR(__xludf.DUMMYFUNCTION("""COMPUTED_VALUE"""),"jchung2@caltech.edu")</f>
        <v>jchung2@caltech.edu</v>
      </c>
      <c r="G435" s="2" t="str">
        <f>IFERROR(__xludf.DUMMYFUNCTION("""COMPUTED_VALUE"""),"0000-0003-2965-9530")</f>
        <v>0000-0003-2965-9530</v>
      </c>
    </row>
    <row r="436">
      <c r="A436" s="2" t="str">
        <f>IFERROR(__xludf.DUMMYFUNCTION("""COMPUTED_VALUE"""),"Jang")</f>
        <v>Jang</v>
      </c>
      <c r="B436" s="2" t="str">
        <f>IFERROR(__xludf.DUMMYFUNCTION("""COMPUTED_VALUE"""),"Min Jee")</f>
        <v>Min Jee</v>
      </c>
      <c r="C436" s="2" t="str">
        <f>IFERROR(__xludf.DUMMYFUNCTION("""COMPUTED_VALUE"""),"Key Personnel")</f>
        <v>Key Personnel</v>
      </c>
      <c r="D436" s="2" t="str">
        <f>IFERROR(__xludf.DUMMYFUNCTION("""COMPUTED_VALUE"""),"Gradinaru")</f>
        <v>Gradinaru</v>
      </c>
      <c r="E436" s="2" t="str">
        <f>IFERROR(__xludf.DUMMYFUNCTION("""COMPUTED_VALUE"""),"postdoc")</f>
        <v>postdoc</v>
      </c>
      <c r="F436" s="2" t="str">
        <f>IFERROR(__xludf.DUMMYFUNCTION("""COMPUTED_VALUE"""),"mjjang@caltech.edu")</f>
        <v>mjjang@caltech.edu</v>
      </c>
      <c r="G436" s="2" t="str">
        <f>IFERROR(__xludf.DUMMYFUNCTION("""COMPUTED_VALUE"""),"0000-0002-1536-7177")</f>
        <v>0000-0002-1536-7177</v>
      </c>
    </row>
    <row r="437">
      <c r="A437" s="2" t="str">
        <f>IFERROR(__xludf.DUMMYFUNCTION("""COMPUTED_VALUE"""),"Chen")</f>
        <v>Chen</v>
      </c>
      <c r="B437" s="2" t="str">
        <f>IFERROR(__xludf.DUMMYFUNCTION("""COMPUTED_VALUE"""),"Xinhong")</f>
        <v>Xinhong</v>
      </c>
      <c r="C437" s="2" t="str">
        <f>IFERROR(__xludf.DUMMYFUNCTION("""COMPUTED_VALUE"""),"Key Personnel")</f>
        <v>Key Personnel</v>
      </c>
      <c r="D437" s="2" t="str">
        <f>IFERROR(__xludf.DUMMYFUNCTION("""COMPUTED_VALUE"""),"Gradinaru")</f>
        <v>Gradinaru</v>
      </c>
      <c r="E437" s="2" t="str">
        <f>IFERROR(__xludf.DUMMYFUNCTION("""COMPUTED_VALUE"""),"grad student")</f>
        <v>grad student</v>
      </c>
      <c r="F437" s="2" t="str">
        <f>IFERROR(__xludf.DUMMYFUNCTION("""COMPUTED_VALUE"""),"xchen3@caltech.edu")</f>
        <v>xchen3@caltech.edu</v>
      </c>
      <c r="G437" s="2" t="str">
        <f>IFERROR(__xludf.DUMMYFUNCTION("""COMPUTED_VALUE"""),"0000-0003-0408-0813")</f>
        <v>0000-0003-0408-0813</v>
      </c>
    </row>
    <row r="438">
      <c r="A438" s="2" t="str">
        <f>IFERROR(__xludf.DUMMYFUNCTION("""COMPUTED_VALUE"""),"Dutta")</f>
        <v>Dutta</v>
      </c>
      <c r="B438" s="2" t="str">
        <f>IFERROR(__xludf.DUMMYFUNCTION("""COMPUTED_VALUE"""),"Sayan")</f>
        <v>Sayan</v>
      </c>
      <c r="C438" s="2" t="str">
        <f>IFERROR(__xludf.DUMMYFUNCTION("""COMPUTED_VALUE"""),"Key Personnel")</f>
        <v>Key Personnel</v>
      </c>
      <c r="D438" s="2" t="str">
        <f>IFERROR(__xludf.DUMMYFUNCTION("""COMPUTED_VALUE"""),"Gradinaru")</f>
        <v>Gradinaru</v>
      </c>
      <c r="E438" s="2" t="str">
        <f>IFERROR(__xludf.DUMMYFUNCTION("""COMPUTED_VALUE"""),"postdoc")</f>
        <v>postdoc</v>
      </c>
      <c r="F438" s="2" t="str">
        <f>IFERROR(__xludf.DUMMYFUNCTION("""COMPUTED_VALUE"""),"sdutta2@caltech.edu")</f>
        <v>sdutta2@caltech.edu</v>
      </c>
      <c r="G438" s="2" t="str">
        <f>IFERROR(__xludf.DUMMYFUNCTION("""COMPUTED_VALUE"""),"0000-0003-3577-2193")</f>
        <v>0000-0003-3577-2193</v>
      </c>
    </row>
    <row r="439">
      <c r="A439" s="2" t="str">
        <f>IFERROR(__xludf.DUMMYFUNCTION("""COMPUTED_VALUE"""),"Tjahjono")</f>
        <v>Tjahjono</v>
      </c>
      <c r="B439" s="2" t="str">
        <f>IFERROR(__xludf.DUMMYFUNCTION("""COMPUTED_VALUE"""),"Nikki")</f>
        <v>Nikki</v>
      </c>
      <c r="C439" s="2" t="str">
        <f>IFERROR(__xludf.DUMMYFUNCTION("""COMPUTED_VALUE"""),"Key Personnel")</f>
        <v>Key Personnel</v>
      </c>
      <c r="D439" s="2" t="str">
        <f>IFERROR(__xludf.DUMMYFUNCTION("""COMPUTED_VALUE"""),"Tian")</f>
        <v>Tian</v>
      </c>
      <c r="E439" s="2" t="str">
        <f>IFERROR(__xludf.DUMMYFUNCTION("""COMPUTED_VALUE"""),"grad student")</f>
        <v>grad student</v>
      </c>
      <c r="F439" s="2" t="str">
        <f>IFERROR(__xludf.DUMMYFUNCTION("""COMPUTED_VALUE"""),"ntjahjono@ucdavis.edu")</f>
        <v>ntjahjono@ucdavis.edu</v>
      </c>
      <c r="G439" s="2" t="str">
        <f>IFERROR(__xludf.DUMMYFUNCTION("""COMPUTED_VALUE"""),"0000-0002-6050-3617")</f>
        <v>0000-0002-6050-3617</v>
      </c>
    </row>
    <row r="440">
      <c r="A440" s="2" t="str">
        <f>IFERROR(__xludf.DUMMYFUNCTION("""COMPUTED_VALUE"""),"Scott")</f>
        <v>Scott</v>
      </c>
      <c r="B440" s="2" t="str">
        <f>IFERROR(__xludf.DUMMYFUNCTION("""COMPUTED_VALUE"""),"Erin")</f>
        <v>Erin</v>
      </c>
      <c r="C440" s="2" t="str">
        <f>IFERROR(__xludf.DUMMYFUNCTION("""COMPUTED_VALUE"""),"Key Personnel")</f>
        <v>Key Personnel</v>
      </c>
      <c r="D440" s="2" t="str">
        <f>IFERROR(__xludf.DUMMYFUNCTION("""COMPUTED_VALUE"""),"Fox/Tian")</f>
        <v>Fox/Tian</v>
      </c>
      <c r="E440" s="2" t="str">
        <f>IFERROR(__xludf.DUMMYFUNCTION("""COMPUTED_VALUE"""),"grad student")</f>
        <v>grad student</v>
      </c>
      <c r="F440" s="2" t="str">
        <f>IFERROR(__xludf.DUMMYFUNCTION("""COMPUTED_VALUE"""),"ecscott@ucdavis.edu")</f>
        <v>ecscott@ucdavis.edu</v>
      </c>
      <c r="G440" s="2" t="str">
        <f>IFERROR(__xludf.DUMMYFUNCTION("""COMPUTED_VALUE"""),"0000-0002-9715-1512")</f>
        <v>0000-0002-9715-1512</v>
      </c>
    </row>
    <row r="441">
      <c r="A441" s="2" t="str">
        <f>IFERROR(__xludf.DUMMYFUNCTION("""COMPUTED_VALUE"""),"Hoang")</f>
        <v>Hoang</v>
      </c>
      <c r="B441" s="2" t="str">
        <f>IFERROR(__xludf.DUMMYFUNCTION("""COMPUTED_VALUE"""),"Jonathan")</f>
        <v>Jonathan</v>
      </c>
      <c r="C441" s="2" t="str">
        <f>IFERROR(__xludf.DUMMYFUNCTION("""COMPUTED_VALUE"""),"Key Personnel")</f>
        <v>Key Personnel</v>
      </c>
      <c r="D441" s="2" t="str">
        <f>IFERROR(__xludf.DUMMYFUNCTION("""COMPUTED_VALUE"""),"Gradinaru")</f>
        <v>Gradinaru</v>
      </c>
      <c r="E441" s="2" t="str">
        <f>IFERROR(__xludf.DUMMYFUNCTION("""COMPUTED_VALUE"""),"postdoc")</f>
        <v>postdoc</v>
      </c>
      <c r="F441" s="2" t="str">
        <f>IFERROR(__xludf.DUMMYFUNCTION("""COMPUTED_VALUE"""),"jdhoang@caltech.edu")</f>
        <v>jdhoang@caltech.edu</v>
      </c>
      <c r="G441" s="2" t="str">
        <f>IFERROR(__xludf.DUMMYFUNCTION("""COMPUTED_VALUE"""),"0000-0002-3762-9596")</f>
        <v>0000-0002-3762-9596</v>
      </c>
    </row>
    <row r="442">
      <c r="A442" s="2" t="str">
        <f>IFERROR(__xludf.DUMMYFUNCTION("""COMPUTED_VALUE"""),"Puhger")</f>
        <v>Puhger</v>
      </c>
      <c r="B442" s="2" t="str">
        <f>IFERROR(__xludf.DUMMYFUNCTION("""COMPUTED_VALUE"""),"Kyle")</f>
        <v>Kyle</v>
      </c>
      <c r="C442" s="2" t="str">
        <f>IFERROR(__xludf.DUMMYFUNCTION("""COMPUTED_VALUE"""),"Key Personnel")</f>
        <v>Key Personnel</v>
      </c>
      <c r="D442" s="2" t="str">
        <f>IFERROR(__xludf.DUMMYFUNCTION("""COMPUTED_VALUE"""),"Fox")</f>
        <v>Fox</v>
      </c>
      <c r="E442" s="2" t="str">
        <f>IFERROR(__xludf.DUMMYFUNCTION("""COMPUTED_VALUE"""),"postdoc")</f>
        <v>postdoc</v>
      </c>
      <c r="F442" s="2" t="str">
        <f>IFERROR(__xludf.DUMMYFUNCTION("""COMPUTED_VALUE"""),"krpuhger@ucdavis.edu")</f>
        <v>krpuhger@ucdavis.edu</v>
      </c>
      <c r="G442" s="2" t="str">
        <f>IFERROR(__xludf.DUMMYFUNCTION("""COMPUTED_VALUE"""),"0000-0002-3023-628X")</f>
        <v>0000-0002-3023-628X</v>
      </c>
    </row>
    <row r="443">
      <c r="A443" s="2" t="str">
        <f>IFERROR(__xludf.DUMMYFUNCTION("""COMPUTED_VALUE"""),"Fan")</f>
        <v>Fan</v>
      </c>
      <c r="B443" s="2" t="str">
        <f>IFERROR(__xludf.DUMMYFUNCTION("""COMPUTED_VALUE"""),"Yujie")</f>
        <v>Yujie</v>
      </c>
      <c r="C443" s="2" t="str">
        <f>IFERROR(__xludf.DUMMYFUNCTION("""COMPUTED_VALUE"""),"Key Personnel")</f>
        <v>Key Personnel</v>
      </c>
      <c r="D443" s="2" t="str">
        <f>IFERROR(__xludf.DUMMYFUNCTION("""COMPUTED_VALUE"""),"Gradinaru")</f>
        <v>Gradinaru</v>
      </c>
      <c r="E443" s="2" t="str">
        <f>IFERROR(__xludf.DUMMYFUNCTION("""COMPUTED_VALUE"""),"postdoc")</f>
        <v>postdoc</v>
      </c>
      <c r="F443" s="2" t="str">
        <f>IFERROR(__xludf.DUMMYFUNCTION("""COMPUTED_VALUE"""),"fanyujie@caltech.edu")</f>
        <v>fanyujie@caltech.edu</v>
      </c>
      <c r="G443" s="2" t="str">
        <f>IFERROR(__xludf.DUMMYFUNCTION("""COMPUTED_VALUE"""),"0000-0001-8642-0695")</f>
        <v>0000-0001-8642-0695</v>
      </c>
    </row>
    <row r="444">
      <c r="A444" s="2" t="str">
        <f>IFERROR(__xludf.DUMMYFUNCTION("""COMPUTED_VALUE"""),"Parra Rivas")</f>
        <v>Parra Rivas</v>
      </c>
      <c r="B444" s="2" t="str">
        <f>IFERROR(__xludf.DUMMYFUNCTION("""COMPUTED_VALUE"""),"Leonardo")</f>
        <v>Leonardo</v>
      </c>
      <c r="C444" s="2" t="str">
        <f>IFERROR(__xludf.DUMMYFUNCTION("""COMPUTED_VALUE"""),"Key Personnel")</f>
        <v>Key Personnel</v>
      </c>
      <c r="D444" s="2" t="str">
        <f>IFERROR(__xludf.DUMMYFUNCTION("""COMPUTED_VALUE"""),"Roy")</f>
        <v>Roy</v>
      </c>
      <c r="E444" s="2" t="str">
        <f>IFERROR(__xludf.DUMMYFUNCTION("""COMPUTED_VALUE"""),"postdoc")</f>
        <v>postdoc</v>
      </c>
      <c r="F444" s="2" t="str">
        <f>IFERROR(__xludf.DUMMYFUNCTION("""COMPUTED_VALUE"""),"l2parra@ucsd.edu")</f>
        <v>l2parra@ucsd.edu</v>
      </c>
      <c r="G444" s="2" t="str">
        <f>IFERROR(__xludf.DUMMYFUNCTION("""COMPUTED_VALUE"""),"0000-0002-6707-1255")</f>
        <v>0000-0002-6707-1255</v>
      </c>
    </row>
    <row r="445">
      <c r="A445" s="2" t="str">
        <f>IFERROR(__xludf.DUMMYFUNCTION("""COMPUTED_VALUE"""),"Aulston")</f>
        <v>Aulston</v>
      </c>
      <c r="B445" s="2" t="str">
        <f>IFERROR(__xludf.DUMMYFUNCTION("""COMPUTED_VALUE"""),"Brent")</f>
        <v>Brent</v>
      </c>
      <c r="C445" s="2" t="str">
        <f>IFERROR(__xludf.DUMMYFUNCTION("""COMPUTED_VALUE"""),"Key Personnel")</f>
        <v>Key Personnel</v>
      </c>
      <c r="D445" s="2" t="str">
        <f>IFERROR(__xludf.DUMMYFUNCTION("""COMPUTED_VALUE"""),"Roy")</f>
        <v>Roy</v>
      </c>
      <c r="E445" s="2" t="str">
        <f>IFERROR(__xludf.DUMMYFUNCTION("""COMPUTED_VALUE"""),"postdoc")</f>
        <v>postdoc</v>
      </c>
      <c r="F445" s="2" t="str">
        <f>IFERROR(__xludf.DUMMYFUNCTION("""COMPUTED_VALUE"""),"baulston@ucsd.edu")</f>
        <v>baulston@ucsd.edu</v>
      </c>
      <c r="G445" s="2" t="str">
        <f>IFERROR(__xludf.DUMMYFUNCTION("""COMPUTED_VALUE"""),"0000-0001-6865-0577")</f>
        <v>0000-0001-6865-0577</v>
      </c>
    </row>
    <row r="446">
      <c r="A446" s="2" t="str">
        <f>IFERROR(__xludf.DUMMYFUNCTION("""COMPUTED_VALUE"""),"Cerada")</f>
        <v>Cerada</v>
      </c>
      <c r="B446" s="2" t="str">
        <f>IFERROR(__xludf.DUMMYFUNCTION("""COMPUTED_VALUE"""),"Veronica")</f>
        <v>Veronica</v>
      </c>
      <c r="C446" s="2" t="str">
        <f>IFERROR(__xludf.DUMMYFUNCTION("""COMPUTED_VALUE"""),"Key Personnel")</f>
        <v>Key Personnel</v>
      </c>
      <c r="D446" s="2" t="str">
        <f>IFERROR(__xludf.DUMMYFUNCTION("""COMPUTED_VALUE"""),"Roy")</f>
        <v>Roy</v>
      </c>
      <c r="E446" s="2" t="str">
        <f>IFERROR(__xludf.DUMMYFUNCTION("""COMPUTED_VALUE"""),"postdoc")</f>
        <v>postdoc</v>
      </c>
      <c r="F446" s="2" t="str">
        <f>IFERROR(__xludf.DUMMYFUNCTION("""COMPUTED_VALUE"""),"vmonteirosaiacereda@health.ucsd.edu")</f>
        <v>vmonteirosaiacereda@health.ucsd.edu</v>
      </c>
      <c r="G446" s="2" t="str">
        <f>IFERROR(__xludf.DUMMYFUNCTION("""COMPUTED_VALUE"""),"0000-0002-6285-1201")</f>
        <v>0000-0002-6285-1201</v>
      </c>
    </row>
    <row r="447">
      <c r="A447" s="2" t="str">
        <f>IFERROR(__xludf.DUMMYFUNCTION("""COMPUTED_VALUE"""),"Kearney")</f>
        <v>Kearney</v>
      </c>
      <c r="B447" s="2" t="str">
        <f>IFERROR(__xludf.DUMMYFUNCTION("""COMPUTED_VALUE"""),"Patrick")</f>
        <v>Patrick</v>
      </c>
      <c r="C447" s="2" t="str">
        <f>IFERROR(__xludf.DUMMYFUNCTION("""COMPUTED_VALUE"""),"Key Personnel")</f>
        <v>Key Personnel</v>
      </c>
      <c r="D447" s="2" t="str">
        <f>IFERROR(__xludf.DUMMYFUNCTION("""COMPUTED_VALUE"""),"Roy")</f>
        <v>Roy</v>
      </c>
      <c r="E447" s="2" t="str">
        <f>IFERROR(__xludf.DUMMYFUNCTION("""COMPUTED_VALUE"""),"postdoc")</f>
        <v>postdoc</v>
      </c>
      <c r="F447" s="2" t="str">
        <f>IFERROR(__xludf.DUMMYFUNCTION("""COMPUTED_VALUE"""),"pjkearney@health.ucsd.edu")</f>
        <v>pjkearney@health.ucsd.edu</v>
      </c>
      <c r="G447" s="2" t="str">
        <f>IFERROR(__xludf.DUMMYFUNCTION("""COMPUTED_VALUE"""),"0000-0002-7145-5964")</f>
        <v>0000-0002-7145-5964</v>
      </c>
    </row>
    <row r="448">
      <c r="A448" s="2" t="str">
        <f>IFERROR(__xludf.DUMMYFUNCTION("""COMPUTED_VALUE"""),"Ekaputri")</f>
        <v>Ekaputri</v>
      </c>
      <c r="B448" s="2" t="str">
        <f>IFERROR(__xludf.DUMMYFUNCTION("""COMPUTED_VALUE"""),"Stella")</f>
        <v>Stella</v>
      </c>
      <c r="C448" s="2" t="str">
        <f>IFERROR(__xludf.DUMMYFUNCTION("""COMPUTED_VALUE"""),"Key Personnel")</f>
        <v>Key Personnel</v>
      </c>
      <c r="D448" s="2" t="str">
        <f>IFERROR(__xludf.DUMMYFUNCTION("""COMPUTED_VALUE"""),"Mazmanian")</f>
        <v>Mazmanian</v>
      </c>
      <c r="E448" s="2" t="str">
        <f>IFERROR(__xludf.DUMMYFUNCTION("""COMPUTED_VALUE"""),"postdoc")</f>
        <v>postdoc</v>
      </c>
      <c r="F448" s="2" t="str">
        <f>IFERROR(__xludf.DUMMYFUNCTION("""COMPUTED_VALUE"""),"stellae@caltech.edu")</f>
        <v>stellae@caltech.edu</v>
      </c>
      <c r="G448" s="2" t="str">
        <f>IFERROR(__xludf.DUMMYFUNCTION("""COMPUTED_VALUE"""),"0000-0002-4813-5006")</f>
        <v>0000-0002-4813-5006</v>
      </c>
    </row>
    <row r="449">
      <c r="A449" s="2" t="str">
        <f>IFERROR(__xludf.DUMMYFUNCTION("""COMPUTED_VALUE"""),"Mar'i")</f>
        <v>Mar'i</v>
      </c>
      <c r="B449" s="2" t="str">
        <f>IFERROR(__xludf.DUMMYFUNCTION("""COMPUTED_VALUE"""),"Joud")</f>
        <v>Joud</v>
      </c>
      <c r="C449" s="2" t="str">
        <f>IFERROR(__xludf.DUMMYFUNCTION("""COMPUTED_VALUE"""),"Key Personnel")</f>
        <v>Key Personnel</v>
      </c>
      <c r="D449" s="2" t="str">
        <f>IFERROR(__xludf.DUMMYFUNCTION("""COMPUTED_VALUE"""),"Van Valen")</f>
        <v>Van Valen</v>
      </c>
      <c r="E449" s="2" t="str">
        <f>IFERROR(__xludf.DUMMYFUNCTION("""COMPUTED_VALUE"""),"grad student")</f>
        <v>grad student</v>
      </c>
      <c r="F449" s="2" t="str">
        <f>IFERROR(__xludf.DUMMYFUNCTION("""COMPUTED_VALUE"""),"jmari@caltech.edu")</f>
        <v>jmari@caltech.edu</v>
      </c>
      <c r="G449" s="2" t="str">
        <f>IFERROR(__xludf.DUMMYFUNCTION("""COMPUTED_VALUE"""),"0000-0002-3431-007X")</f>
        <v>0000-0002-3431-007X</v>
      </c>
    </row>
    <row r="450">
      <c r="A450" s="2" t="str">
        <f>IFERROR(__xludf.DUMMYFUNCTION("""COMPUTED_VALUE"""),"Qu")</f>
        <v>Qu</v>
      </c>
      <c r="B450" s="2" t="str">
        <f>IFERROR(__xludf.DUMMYFUNCTION("""COMPUTED_VALUE"""),"Zhe")</f>
        <v>Zhe</v>
      </c>
      <c r="C450" s="2" t="str">
        <f>IFERROR(__xludf.DUMMYFUNCTION("""COMPUTED_VALUE"""),"Key Personnel")</f>
        <v>Key Personnel</v>
      </c>
      <c r="D450" s="2" t="str">
        <f>IFERROR(__xludf.DUMMYFUNCTION("""COMPUTED_VALUE"""),"Gradinaru")</f>
        <v>Gradinaru</v>
      </c>
      <c r="E450" s="2" t="str">
        <f>IFERROR(__xludf.DUMMYFUNCTION("""COMPUTED_VALUE"""),"research scientist")</f>
        <v>research scientist</v>
      </c>
      <c r="F450" s="2" t="str">
        <f>IFERROR(__xludf.DUMMYFUNCTION("""COMPUTED_VALUE"""),"zhequ@caltech.edu")</f>
        <v>zhequ@caltech.edu</v>
      </c>
      <c r="G450" s="2" t="str">
        <f>IFERROR(__xludf.DUMMYFUNCTION("""COMPUTED_VALUE"""),"0009-0001-6323-9305")</f>
        <v>0009-0001-6323-9305</v>
      </c>
    </row>
    <row r="451">
      <c r="A451" s="2" t="str">
        <f>IFERROR(__xludf.DUMMYFUNCTION("""COMPUTED_VALUE"""),"Simpson")</f>
        <v>Simpson</v>
      </c>
      <c r="B451" s="2" t="str">
        <f>IFERROR(__xludf.DUMMYFUNCTION("""COMPUTED_VALUE"""),"Patrick")</f>
        <v>Patrick</v>
      </c>
      <c r="C451" s="2" t="str">
        <f>IFERROR(__xludf.DUMMYFUNCTION("""COMPUTED_VALUE"""),"Key Personnel")</f>
        <v>Key Personnel</v>
      </c>
      <c r="D451" s="2" t="str">
        <f>IFERROR(__xludf.DUMMYFUNCTION("""COMPUTED_VALUE"""),"Mazmanian")</f>
        <v>Mazmanian</v>
      </c>
      <c r="E451" s="2" t="str">
        <f>IFERROR(__xludf.DUMMYFUNCTION("""COMPUTED_VALUE"""),"research scientist")</f>
        <v>research scientist</v>
      </c>
      <c r="F451" s="2" t="str">
        <f>IFERROR(__xludf.DUMMYFUNCTION("""COMPUTED_VALUE"""),"psimpson@caltech.edu")</f>
        <v>psimpson@caltech.edu</v>
      </c>
      <c r="G451" s="2" t="str">
        <f>IFERROR(__xludf.DUMMYFUNCTION("""COMPUTED_VALUE"""),"0009-0000-7328-1921")</f>
        <v>0009-0000-7328-1921</v>
      </c>
    </row>
    <row r="452">
      <c r="A452" s="2" t="str">
        <f>IFERROR(__xludf.DUMMYFUNCTION("""COMPUTED_VALUE"""),"Zhou")</f>
        <v>Zhou</v>
      </c>
      <c r="B452" s="2" t="str">
        <f>IFERROR(__xludf.DUMMYFUNCTION("""COMPUTED_VALUE"""),"Manxuan")</f>
        <v>Manxuan</v>
      </c>
      <c r="C452" s="2" t="str">
        <f>IFERROR(__xludf.DUMMYFUNCTION("""COMPUTED_VALUE"""),"Key Personnel")</f>
        <v>Key Personnel</v>
      </c>
      <c r="D452" s="2" t="str">
        <f>IFERROR(__xludf.DUMMYFUNCTION("""COMPUTED_VALUE"""),"Mazmanian")</f>
        <v>Mazmanian</v>
      </c>
      <c r="E452" s="2" t="str">
        <f>IFERROR(__xludf.DUMMYFUNCTION("""COMPUTED_VALUE"""),"grad student")</f>
        <v>grad student</v>
      </c>
      <c r="F452" s="2" t="str">
        <f>IFERROR(__xludf.DUMMYFUNCTION("""COMPUTED_VALUE"""),"mzzhou@caltech.edu")</f>
        <v>mzzhou@caltech.edu</v>
      </c>
      <c r="G452" s="2" t="str">
        <f>IFERROR(__xludf.DUMMYFUNCTION("""COMPUTED_VALUE"""),"0000-0002-1553-7674")</f>
        <v>0000-0002-1553-7674</v>
      </c>
    </row>
    <row r="453">
      <c r="A453" s="2" t="str">
        <f>IFERROR(__xludf.DUMMYFUNCTION("""COMPUTED_VALUE"""),"Griffiths")</f>
        <v>Griffiths</v>
      </c>
      <c r="B453" s="2" t="str">
        <f>IFERROR(__xludf.DUMMYFUNCTION("""COMPUTED_VALUE"""),"Jessica")</f>
        <v>Jessica</v>
      </c>
      <c r="C453" s="2" t="str">
        <f>IFERROR(__xludf.DUMMYFUNCTION("""COMPUTED_VALUE"""),"Key Personnel")</f>
        <v>Key Personnel</v>
      </c>
      <c r="D453" s="2" t="str">
        <f>IFERROR(__xludf.DUMMYFUNCTION("""COMPUTED_VALUE"""),"Mazmanian")</f>
        <v>Mazmanian</v>
      </c>
      <c r="E453" s="2" t="str">
        <f>IFERROR(__xludf.DUMMYFUNCTION("""COMPUTED_VALUE"""),"grad student")</f>
        <v>grad student</v>
      </c>
      <c r="F453" s="2" t="str">
        <f>IFERROR(__xludf.DUMMYFUNCTION("""COMPUTED_VALUE"""),"jgriffit@caltech.edu")</f>
        <v>jgriffit@caltech.edu</v>
      </c>
      <c r="G453" s="2" t="str">
        <f>IFERROR(__xludf.DUMMYFUNCTION("""COMPUTED_VALUE"""),"0000-0002-5586-1567")</f>
        <v>0000-0002-5586-1567</v>
      </c>
    </row>
    <row r="454">
      <c r="A454" s="2" t="str">
        <f>IFERROR(__xludf.DUMMYFUNCTION("""COMPUTED_VALUE"""),"Wolfe")</f>
        <v>Wolfe</v>
      </c>
      <c r="B454" s="2" t="str">
        <f>IFERROR(__xludf.DUMMYFUNCTION("""COMPUTED_VALUE"""),"Damien")</f>
        <v>Damien</v>
      </c>
      <c r="C454" s="2" t="str">
        <f>IFERROR(__xludf.DUMMYFUNCTION("""COMPUTED_VALUE"""),"Key Personnel")</f>
        <v>Key Personnel</v>
      </c>
      <c r="D454" s="2" t="str">
        <f>IFERROR(__xludf.DUMMYFUNCTION("""COMPUTED_VALUE"""),"Gradinaru")</f>
        <v>Gradinaru</v>
      </c>
      <c r="E454" s="2" t="str">
        <f>IFERROR(__xludf.DUMMYFUNCTION("""COMPUTED_VALUE"""),"research scientist")</f>
        <v>research scientist</v>
      </c>
      <c r="F454" s="2" t="str">
        <f>IFERROR(__xludf.DUMMYFUNCTION("""COMPUTED_VALUE"""),"dwolfe@caltech.edu")</f>
        <v>dwolfe@caltech.edu</v>
      </c>
      <c r="G454" s="2" t="str">
        <f>IFERROR(__xludf.DUMMYFUNCTION("""COMPUTED_VALUE"""),"0000-0003-3005-6788")</f>
        <v>0000-0003-3005-6788</v>
      </c>
    </row>
    <row r="455">
      <c r="A455" s="2" t="str">
        <f>IFERROR(__xludf.DUMMYFUNCTION("""COMPUTED_VALUE"""),"Lin")</f>
        <v>Lin</v>
      </c>
      <c r="B455" s="2" t="str">
        <f>IFERROR(__xludf.DUMMYFUNCTION("""COMPUTED_VALUE"""),"Changfan")</f>
        <v>Changfan</v>
      </c>
      <c r="C455" s="2" t="str">
        <f>IFERROR(__xludf.DUMMYFUNCTION("""COMPUTED_VALUE"""),"Key Personnel")</f>
        <v>Key Personnel</v>
      </c>
      <c r="D455" s="2" t="str">
        <f>IFERROR(__xludf.DUMMYFUNCTION("""COMPUTED_VALUE"""),"Gradinaru")</f>
        <v>Gradinaru</v>
      </c>
      <c r="E455" s="2" t="str">
        <f>IFERROR(__xludf.DUMMYFUNCTION("""COMPUTED_VALUE"""),"postdoc")</f>
        <v>postdoc</v>
      </c>
      <c r="F455" s="2" t="str">
        <f>IFERROR(__xludf.DUMMYFUNCTION("""COMPUTED_VALUE"""),"changfan@caltech.edu")</f>
        <v>changfan@caltech.edu</v>
      </c>
      <c r="G455" s="2" t="str">
        <f>IFERROR(__xludf.DUMMYFUNCTION("""COMPUTED_VALUE"""),"0000-0002-8119-9845")</f>
        <v>0000-0002-8119-9845</v>
      </c>
    </row>
    <row r="456">
      <c r="A456" s="2" t="str">
        <f>IFERROR(__xludf.DUMMYFUNCTION("""COMPUTED_VALUE"""),"Sharma")</f>
        <v>Sharma</v>
      </c>
      <c r="B456" s="2" t="str">
        <f>IFERROR(__xludf.DUMMYFUNCTION("""COMPUTED_VALUE"""),"Jitendra")</f>
        <v>Jitendra</v>
      </c>
      <c r="C456" s="2" t="str">
        <f>IFERROR(__xludf.DUMMYFUNCTION("""COMPUTED_VALUE"""),"Key Personnel")</f>
        <v>Key Personnel</v>
      </c>
      <c r="D456" s="2" t="str">
        <f>IFERROR(__xludf.DUMMYFUNCTION("""COMPUTED_VALUE"""),"Fox")</f>
        <v>Fox</v>
      </c>
      <c r="E456" s="2" t="str">
        <f>IFERROR(__xludf.DUMMYFUNCTION("""COMPUTED_VALUE"""),"research scientist")</f>
        <v>research scientist</v>
      </c>
      <c r="F456" s="2" t="str">
        <f>IFERROR(__xludf.DUMMYFUNCTION("""COMPUTED_VALUE"""),"jitsharma@ucdavis.edu")</f>
        <v>jitsharma@ucdavis.edu</v>
      </c>
      <c r="G456" s="2" t="str">
        <f>IFERROR(__xludf.DUMMYFUNCTION("""COMPUTED_VALUE"""),"0000-0003-4197-9510")</f>
        <v>0000-0003-4197-9510</v>
      </c>
    </row>
    <row r="457">
      <c r="A457" s="2" t="str">
        <f>IFERROR(__xludf.DUMMYFUNCTION("""COMPUTED_VALUE"""),"Aryee")</f>
        <v>Aryee</v>
      </c>
      <c r="B457" s="2" t="str">
        <f>IFERROR(__xludf.DUMMYFUNCTION("""COMPUTED_VALUE"""),"Ebenezer")</f>
        <v>Ebenezer</v>
      </c>
      <c r="C457" s="2" t="str">
        <f>IFERROR(__xludf.DUMMYFUNCTION("""COMPUTED_VALUE"""),"Key Personnel")</f>
        <v>Key Personnel</v>
      </c>
      <c r="D457" s="2" t="str">
        <f>IFERROR(__xludf.DUMMYFUNCTION("""COMPUTED_VALUE"""),"Seifert")</f>
        <v>Seifert</v>
      </c>
      <c r="E457" s="2" t="str">
        <f>IFERROR(__xludf.DUMMYFUNCTION("""COMPUTED_VALUE"""),"grad student")</f>
        <v>grad student</v>
      </c>
      <c r="F457" s="2" t="str">
        <f>IFERROR(__xludf.DUMMYFUNCTION("""COMPUTED_VALUE"""),"ebenezer.aryee@uky.edu")</f>
        <v>ebenezer.aryee@uky.edu</v>
      </c>
      <c r="G457" s="2" t="str">
        <f>IFERROR(__xludf.DUMMYFUNCTION("""COMPUTED_VALUE"""),"0000-0002-3703-0559")</f>
        <v>0000-0002-3703-0559</v>
      </c>
    </row>
    <row r="458">
      <c r="A458" s="2" t="str">
        <f>IFERROR(__xludf.DUMMYFUNCTION("""COMPUTED_VALUE"""),"Shay")</f>
        <v>Shay</v>
      </c>
      <c r="B458" s="2" t="str">
        <f>IFERROR(__xludf.DUMMYFUNCTION("""COMPUTED_VALUE"""),"Tim")</f>
        <v>Tim</v>
      </c>
      <c r="C458" s="2" t="str">
        <f>IFERROR(__xludf.DUMMYFUNCTION("""COMPUTED_VALUE"""),"Key Personnel")</f>
        <v>Key Personnel</v>
      </c>
      <c r="D458" s="2" t="str">
        <f>IFERROR(__xludf.DUMMYFUNCTION("""COMPUTED_VALUE"""),"Gradinaru")</f>
        <v>Gradinaru</v>
      </c>
      <c r="E458" s="2" t="str">
        <f>IFERROR(__xludf.DUMMYFUNCTION("""COMPUTED_VALUE"""),"research scientist")</f>
        <v>research scientist</v>
      </c>
      <c r="F458" s="2" t="str">
        <f>IFERROR(__xludf.DUMMYFUNCTION("""COMPUTED_VALUE"""),"tshay@caltech.edu")</f>
        <v>tshay@caltech.edu</v>
      </c>
      <c r="G458" s="2" t="str">
        <f>IFERROR(__xludf.DUMMYFUNCTION("""COMPUTED_VALUE"""),"0000-0001-6591-3271")</f>
        <v>0000-0001-6591-3271</v>
      </c>
    </row>
    <row r="459">
      <c r="A459" s="2" t="str">
        <f>IFERROR(__xludf.DUMMYFUNCTION("""COMPUTED_VALUE"""),"Mayfield")</f>
        <v>Mayfield</v>
      </c>
      <c r="B459" s="2" t="str">
        <f>IFERROR(__xludf.DUMMYFUNCTION("""COMPUTED_VALUE"""),"Acacia")</f>
        <v>Acacia</v>
      </c>
      <c r="C459" s="2" t="str">
        <f>IFERROR(__xludf.DUMMYFUNCTION("""COMPUTED_VALUE"""),"Key Personnel")</f>
        <v>Key Personnel</v>
      </c>
      <c r="D459" s="2" t="str">
        <f>IFERROR(__xludf.DUMMYFUNCTION("""COMPUTED_VALUE"""),"Gradinaru")</f>
        <v>Gradinaru</v>
      </c>
      <c r="E459" s="2" t="str">
        <f>IFERROR(__xludf.DUMMYFUNCTION("""COMPUTED_VALUE"""),"postdoc")</f>
        <v>postdoc</v>
      </c>
      <c r="F459" s="2" t="str">
        <f>IFERROR(__xludf.DUMMYFUNCTION("""COMPUTED_VALUE"""),"acacia.hori@caltech.edu")</f>
        <v>acacia.hori@caltech.edu</v>
      </c>
      <c r="G459" s="2" t="str">
        <f>IFERROR(__xludf.DUMMYFUNCTION("""COMPUTED_VALUE"""),"0000-0001-7308-6480")</f>
        <v>0000-0001-7308-6480</v>
      </c>
    </row>
    <row r="460">
      <c r="A460" s="2" t="str">
        <f>IFERROR(__xludf.DUMMYFUNCTION("""COMPUTED_VALUE"""),"Tomanic")</f>
        <v>Tomanic</v>
      </c>
      <c r="B460" s="2" t="str">
        <f>IFERROR(__xludf.DUMMYFUNCTION("""COMPUTED_VALUE"""),"Tamara")</f>
        <v>Tamara</v>
      </c>
      <c r="C460" s="2" t="str">
        <f>IFERROR(__xludf.DUMMYFUNCTION("""COMPUTED_VALUE"""),"Key Personnel")</f>
        <v>Key Personnel</v>
      </c>
      <c r="D460" s="2" t="str">
        <f>IFERROR(__xludf.DUMMYFUNCTION("""COMPUTED_VALUE"""),"Roy")</f>
        <v>Roy</v>
      </c>
      <c r="E460" s="2" t="str">
        <f>IFERROR(__xludf.DUMMYFUNCTION("""COMPUTED_VALUE"""),"postdoc")</f>
        <v>postdoc</v>
      </c>
      <c r="F460" s="2" t="str">
        <f>IFERROR(__xludf.DUMMYFUNCTION("""COMPUTED_VALUE"""),"ttomanic@health.ucsd.edu")</f>
        <v>ttomanic@health.ucsd.edu</v>
      </c>
      <c r="G460" s="2" t="str">
        <f>IFERROR(__xludf.DUMMYFUNCTION("""COMPUTED_VALUE"""),"0000-0002-3266-1271")</f>
        <v>0000-0002-3266-1271</v>
      </c>
    </row>
    <row r="461">
      <c r="A461" s="2" t="str">
        <f>IFERROR(__xludf.DUMMYFUNCTION("""COMPUTED_VALUE"""),"Hafler")</f>
        <v>Hafler</v>
      </c>
      <c r="B461" s="2" t="str">
        <f>IFERROR(__xludf.DUMMYFUNCTION("""COMPUTED_VALUE"""),"David")</f>
        <v>David</v>
      </c>
      <c r="C461" s="2" t="str">
        <f>IFERROR(__xludf.DUMMYFUNCTION("""COMPUTED_VALUE"""),"Lead PI")</f>
        <v>Lead PI</v>
      </c>
      <c r="D461" s="2" t="str">
        <f>IFERROR(__xludf.DUMMYFUNCTION("""COMPUTED_VALUE"""),"Hafler")</f>
        <v>Hafler</v>
      </c>
      <c r="E461" s="2" t="str">
        <f>IFERROR(__xludf.DUMMYFUNCTION("""COMPUTED_VALUE"""),"Lead PI")</f>
        <v>Lead PI</v>
      </c>
      <c r="F461" s="2" t="str">
        <f>IFERROR(__xludf.DUMMYFUNCTION("""COMPUTED_VALUE"""),"david.hafler@yale.edu")</f>
        <v>david.hafler@yale.edu</v>
      </c>
      <c r="G461" s="2" t="str">
        <f>IFERROR(__xludf.DUMMYFUNCTION("""COMPUTED_VALUE"""),"0000-0003-4664-535X")</f>
        <v>0000-0003-4664-535X</v>
      </c>
    </row>
    <row r="462">
      <c r="A462" s="2" t="str">
        <f>IFERROR(__xludf.DUMMYFUNCTION("""COMPUTED_VALUE"""),"Chandra")</f>
        <v>Chandra</v>
      </c>
      <c r="B462" s="2" t="str">
        <f>IFERROR(__xludf.DUMMYFUNCTION("""COMPUTED_VALUE"""),"Sreeganga ")</f>
        <v>Sreeganga </v>
      </c>
      <c r="C462" s="2" t="str">
        <f>IFERROR(__xludf.DUMMYFUNCTION("""COMPUTED_VALUE"""),"Co-PI")</f>
        <v>Co-PI</v>
      </c>
      <c r="D462" s="2" t="str">
        <f>IFERROR(__xludf.DUMMYFUNCTION("""COMPUTED_VALUE"""),"Chandra")</f>
        <v>Chandra</v>
      </c>
      <c r="E462" s="2" t="str">
        <f>IFERROR(__xludf.DUMMYFUNCTION("""COMPUTED_VALUE"""),"Co-PI")</f>
        <v>Co-PI</v>
      </c>
      <c r="F462" s="2" t="str">
        <f>IFERROR(__xludf.DUMMYFUNCTION("""COMPUTED_VALUE"""),"sreeganga.chandra@yale.edu")</f>
        <v>sreeganga.chandra@yale.edu</v>
      </c>
      <c r="G462" s="2" t="str">
        <f>IFERROR(__xludf.DUMMYFUNCTION("""COMPUTED_VALUE"""),"0000-0001-9035-1733")</f>
        <v>0000-0001-9035-1733</v>
      </c>
    </row>
    <row r="463">
      <c r="A463" s="2" t="str">
        <f>IFERROR(__xludf.DUMMYFUNCTION("""COMPUTED_VALUE"""),"Chang")</f>
        <v>Chang</v>
      </c>
      <c r="B463" s="2" t="str">
        <f>IFERROR(__xludf.DUMMYFUNCTION("""COMPUTED_VALUE"""),"Rui")</f>
        <v>Rui</v>
      </c>
      <c r="C463" s="2" t="str">
        <f>IFERROR(__xludf.DUMMYFUNCTION("""COMPUTED_VALUE"""),"Co-PI")</f>
        <v>Co-PI</v>
      </c>
      <c r="D463" s="2" t="str">
        <f>IFERROR(__xludf.DUMMYFUNCTION("""COMPUTED_VALUE"""),"Chang")</f>
        <v>Chang</v>
      </c>
      <c r="E463" s="2" t="str">
        <f>IFERROR(__xludf.DUMMYFUNCTION("""COMPUTED_VALUE"""),"Co-PI")</f>
        <v>Co-PI</v>
      </c>
      <c r="F463" s="2" t="str">
        <f>IFERROR(__xludf.DUMMYFUNCTION("""COMPUTED_VALUE"""),"rui.chang@yale.edu")</f>
        <v>rui.chang@yale.edu</v>
      </c>
      <c r="G463" s="2" t="str">
        <f>IFERROR(__xludf.DUMMYFUNCTION("""COMPUTED_VALUE"""),"0000-0001-6953-2943")</f>
        <v>0000-0001-6953-2943</v>
      </c>
    </row>
    <row r="464">
      <c r="A464" s="2" t="str">
        <f>IFERROR(__xludf.DUMMYFUNCTION("""COMPUTED_VALUE"""),"Palm")</f>
        <v>Palm</v>
      </c>
      <c r="B464" s="2" t="str">
        <f>IFERROR(__xludf.DUMMYFUNCTION("""COMPUTED_VALUE"""),"Noah")</f>
        <v>Noah</v>
      </c>
      <c r="C464" s="2" t="str">
        <f>IFERROR(__xludf.DUMMYFUNCTION("""COMPUTED_VALUE"""),"Co-PI")</f>
        <v>Co-PI</v>
      </c>
      <c r="D464" s="2" t="str">
        <f>IFERROR(__xludf.DUMMYFUNCTION("""COMPUTED_VALUE"""),"Palm")</f>
        <v>Palm</v>
      </c>
      <c r="E464" s="2" t="str">
        <f>IFERROR(__xludf.DUMMYFUNCTION("""COMPUTED_VALUE"""),"Co-PI")</f>
        <v>Co-PI</v>
      </c>
      <c r="F464" s="2" t="str">
        <f>IFERROR(__xludf.DUMMYFUNCTION("""COMPUTED_VALUE"""),"noah.palm@yale.edu")</f>
        <v>noah.palm@yale.edu</v>
      </c>
      <c r="G464" s="2" t="str">
        <f>IFERROR(__xludf.DUMMYFUNCTION("""COMPUTED_VALUE"""),"0000-0001-7262-9455")</f>
        <v>0000-0001-7262-9455</v>
      </c>
    </row>
    <row r="465">
      <c r="A465" s="2" t="str">
        <f>IFERROR(__xludf.DUMMYFUNCTION("""COMPUTED_VALUE"""),"Xavier")</f>
        <v>Xavier</v>
      </c>
      <c r="B465" s="2" t="str">
        <f>IFERROR(__xludf.DUMMYFUNCTION("""COMPUTED_VALUE"""),"Ramnik ")</f>
        <v>Ramnik </v>
      </c>
      <c r="C465" s="2" t="str">
        <f>IFERROR(__xludf.DUMMYFUNCTION("""COMPUTED_VALUE"""),"Co-PI")</f>
        <v>Co-PI</v>
      </c>
      <c r="D465" s="2" t="str">
        <f>IFERROR(__xludf.DUMMYFUNCTION("""COMPUTED_VALUE"""),"Xavier")</f>
        <v>Xavier</v>
      </c>
      <c r="E465" s="2" t="str">
        <f>IFERROR(__xludf.DUMMYFUNCTION("""COMPUTED_VALUE"""),"Co-PI")</f>
        <v>Co-PI</v>
      </c>
      <c r="F465" s="2" t="str">
        <f>IFERROR(__xludf.DUMMYFUNCTION("""COMPUTED_VALUE"""),"xavier@molbio.mgh.harvard.edu")</f>
        <v>xavier@molbio.mgh.harvard.edu</v>
      </c>
      <c r="G465" s="2" t="str">
        <f>IFERROR(__xludf.DUMMYFUNCTION("""COMPUTED_VALUE"""),"0000-0002-5630-5167")</f>
        <v>0000-0002-5630-5167</v>
      </c>
    </row>
    <row r="466">
      <c r="A466" s="2" t="str">
        <f>IFERROR(__xludf.DUMMYFUNCTION("""COMPUTED_VALUE"""),"Buitrago-Pocasangre")</f>
        <v>Buitrago-Pocasangre</v>
      </c>
      <c r="B466" s="2" t="str">
        <f>IFERROR(__xludf.DUMMYFUNCTION("""COMPUTED_VALUE"""),"Nick")</f>
        <v>Nick</v>
      </c>
      <c r="C466" s="2" t="str">
        <f>IFERROR(__xludf.DUMMYFUNCTION("""COMPUTED_VALUE"""),"PM")</f>
        <v>PM</v>
      </c>
      <c r="D466" s="2" t="str">
        <f>IFERROR(__xludf.DUMMYFUNCTION("""COMPUTED_VALUE"""),"Hafler")</f>
        <v>Hafler</v>
      </c>
      <c r="E466" s="2" t="str">
        <f>IFERROR(__xludf.DUMMYFUNCTION("""COMPUTED_VALUE"""),"Research Associate")</f>
        <v>Research Associate</v>
      </c>
      <c r="F466" s="2" t="str">
        <f>IFERROR(__xludf.DUMMYFUNCTION("""COMPUTED_VALUE"""),"nicholas.buitrago@yale.edu")</f>
        <v>nicholas.buitrago@yale.edu</v>
      </c>
      <c r="G466" s="2" t="str">
        <f>IFERROR(__xludf.DUMMYFUNCTION("""COMPUTED_VALUE"""),"0000-0002-1333-4435")</f>
        <v>0000-0002-1333-4435</v>
      </c>
    </row>
    <row r="467">
      <c r="A467" s="2" t="str">
        <f>IFERROR(__xludf.DUMMYFUNCTION("""COMPUTED_VALUE"""),"Cedarbaum")</f>
        <v>Cedarbaum</v>
      </c>
      <c r="B467" s="2" t="str">
        <f>IFERROR(__xludf.DUMMYFUNCTION("""COMPUTED_VALUE"""),"Jesse ")</f>
        <v>Jesse </v>
      </c>
      <c r="C467" s="2" t="str">
        <f>IFERROR(__xludf.DUMMYFUNCTION("""COMPUTED_VALUE"""),"Collaborator")</f>
        <v>Collaborator</v>
      </c>
      <c r="D467" s="2" t="str">
        <f>IFERROR(__xludf.DUMMYFUNCTION("""COMPUTED_VALUE"""),"Cedarbaum")</f>
        <v>Cedarbaum</v>
      </c>
      <c r="E467" s="2" t="str">
        <f>IFERROR(__xludf.DUMMYFUNCTION("""COMPUTED_VALUE"""),"Collaborator")</f>
        <v>Collaborator</v>
      </c>
      <c r="F467" s="2" t="str">
        <f>IFERROR(__xludf.DUMMYFUNCTION("""COMPUTED_VALUE"""),"jesse.cedarbaum@yale.edu")</f>
        <v>jesse.cedarbaum@yale.edu</v>
      </c>
      <c r="G467" s="2" t="str">
        <f>IFERROR(__xludf.DUMMYFUNCTION("""COMPUTED_VALUE"""),"0000-0003-3911-9925")</f>
        <v>0000-0003-3911-9925</v>
      </c>
    </row>
    <row r="468">
      <c r="A468" s="2" t="str">
        <f>IFERROR(__xludf.DUMMYFUNCTION("""COMPUTED_VALUE"""),"Graham")</f>
        <v>Graham</v>
      </c>
      <c r="B468" s="2" t="str">
        <f>IFERROR(__xludf.DUMMYFUNCTION("""COMPUTED_VALUE"""),"Daniel")</f>
        <v>Daniel</v>
      </c>
      <c r="C468" s="2" t="str">
        <f>IFERROR(__xludf.DUMMYFUNCTION("""COMPUTED_VALUE"""),"Key Personnel")</f>
        <v>Key Personnel</v>
      </c>
      <c r="D468" s="2" t="str">
        <f>IFERROR(__xludf.DUMMYFUNCTION("""COMPUTED_VALUE"""),"Xavier")</f>
        <v>Xavier</v>
      </c>
      <c r="E468" s="2" t="str">
        <f>IFERROR(__xludf.DUMMYFUNCTION("""COMPUTED_VALUE"""),"faculty")</f>
        <v>faculty</v>
      </c>
      <c r="F468" s="2" t="str">
        <f>IFERROR(__xludf.DUMMYFUNCTION("""COMPUTED_VALUE"""),"dgraham@broadinstitute.org")</f>
        <v>dgraham@broadinstitute.org</v>
      </c>
      <c r="G468" s="2" t="str">
        <f>IFERROR(__xludf.DUMMYFUNCTION("""COMPUTED_VALUE"""),"0000-0002-8403-8115")</f>
        <v>0000-0002-8403-8115</v>
      </c>
    </row>
    <row r="469">
      <c r="A469" s="2" t="str">
        <f>IFERROR(__xludf.DUMMYFUNCTION("""COMPUTED_VALUE"""),"Koo")</f>
        <v>Koo</v>
      </c>
      <c r="B469" s="2" t="str">
        <f>IFERROR(__xludf.DUMMYFUNCTION("""COMPUTED_VALUE"""),"Brian")</f>
        <v>Brian</v>
      </c>
      <c r="C469" s="2" t="str">
        <f>IFERROR(__xludf.DUMMYFUNCTION("""COMPUTED_VALUE"""),"Collaborator")</f>
        <v>Collaborator</v>
      </c>
      <c r="D469" s="2" t="str">
        <f>IFERROR(__xludf.DUMMYFUNCTION("""COMPUTED_VALUE"""),"Koo")</f>
        <v>Koo</v>
      </c>
      <c r="E469" s="2" t="str">
        <f>IFERROR(__xludf.DUMMYFUNCTION("""COMPUTED_VALUE"""),"Collaborator")</f>
        <v>Collaborator</v>
      </c>
      <c r="F469" s="2" t="str">
        <f>IFERROR(__xludf.DUMMYFUNCTION("""COMPUTED_VALUE"""),"brian.koo@yale.edu")</f>
        <v>brian.koo@yale.edu</v>
      </c>
      <c r="G469" s="2" t="str">
        <f>IFERROR(__xludf.DUMMYFUNCTION("""COMPUTED_VALUE"""),"0000-0003-0166-5074")</f>
        <v>0000-0003-0166-5074</v>
      </c>
    </row>
    <row r="470">
      <c r="A470" s="2" t="str">
        <f>IFERROR(__xludf.DUMMYFUNCTION("""COMPUTED_VALUE"""),"Van Dijk")</f>
        <v>Van Dijk</v>
      </c>
      <c r="B470" s="2" t="str">
        <f>IFERROR(__xludf.DUMMYFUNCTION("""COMPUTED_VALUE"""),"David")</f>
        <v>David</v>
      </c>
      <c r="C470" s="2" t="str">
        <f>IFERROR(__xludf.DUMMYFUNCTION("""COMPUTED_VALUE"""),"Collaborator")</f>
        <v>Collaborator</v>
      </c>
      <c r="D470" s="2" t="str">
        <f>IFERROR(__xludf.DUMMYFUNCTION("""COMPUTED_VALUE"""),"Van Dijk")</f>
        <v>Van Dijk</v>
      </c>
      <c r="E470" s="2" t="str">
        <f>IFERROR(__xludf.DUMMYFUNCTION("""COMPUTED_VALUE"""),"Collaborator")</f>
        <v>Collaborator</v>
      </c>
      <c r="F470" s="2" t="str">
        <f>IFERROR(__xludf.DUMMYFUNCTION("""COMPUTED_VALUE"""),"david.vandijk@yale.edu")</f>
        <v>david.vandijk@yale.edu</v>
      </c>
      <c r="G470" s="2" t="str">
        <f>IFERROR(__xludf.DUMMYFUNCTION("""COMPUTED_VALUE"""),"0000-0002-5146-8784")</f>
        <v>0000-0002-5146-8784</v>
      </c>
    </row>
    <row r="471">
      <c r="A471" s="2" t="str">
        <f>IFERROR(__xludf.DUMMYFUNCTION("""COMPUTED_VALUE"""),"Zhang")</f>
        <v>Zhang</v>
      </c>
      <c r="B471" s="2" t="str">
        <f>IFERROR(__xludf.DUMMYFUNCTION("""COMPUTED_VALUE"""),"Le")</f>
        <v>Le</v>
      </c>
      <c r="C471" s="2" t="str">
        <f>IFERROR(__xludf.DUMMYFUNCTION("""COMPUTED_VALUE"""),"Collaborator")</f>
        <v>Collaborator</v>
      </c>
      <c r="D471" s="2" t="str">
        <f>IFERROR(__xludf.DUMMYFUNCTION("""COMPUTED_VALUE"""),"Zhang")</f>
        <v>Zhang</v>
      </c>
      <c r="E471" s="2" t="str">
        <f>IFERROR(__xludf.DUMMYFUNCTION("""COMPUTED_VALUE"""),"Collaborator")</f>
        <v>Collaborator</v>
      </c>
      <c r="F471" s="2" t="str">
        <f>IFERROR(__xludf.DUMMYFUNCTION("""COMPUTED_VALUE"""),"le.zhang@yale.edu")</f>
        <v>le.zhang@yale.edu</v>
      </c>
      <c r="G471" s="2" t="str">
        <f>IFERROR(__xludf.DUMMYFUNCTION("""COMPUTED_VALUE"""),"0000-0002-4860-831X")</f>
        <v>0000-0002-4860-831X</v>
      </c>
    </row>
    <row r="472">
      <c r="A472" s="2" t="str">
        <f>IFERROR(__xludf.DUMMYFUNCTION("""COMPUTED_VALUE"""),"DJ")</f>
        <v>DJ</v>
      </c>
      <c r="B472" s="2" t="str">
        <f>IFERROR(__xludf.DUMMYFUNCTION("""COMPUTED_VALUE"""),"Vidyadhara")</f>
        <v>Vidyadhara</v>
      </c>
      <c r="C472" s="2" t="str">
        <f>IFERROR(__xludf.DUMMYFUNCTION("""COMPUTED_VALUE"""),"personnel")</f>
        <v>personnel</v>
      </c>
      <c r="D472" s="2" t="str">
        <f>IFERROR(__xludf.DUMMYFUNCTION("""COMPUTED_VALUE"""),"Chandra")</f>
        <v>Chandra</v>
      </c>
      <c r="E472" s="2" t="str">
        <f>IFERROR(__xludf.DUMMYFUNCTION("""COMPUTED_VALUE"""),"postdoc")</f>
        <v>postdoc</v>
      </c>
      <c r="F472" s="2" t="str">
        <f>IFERROR(__xludf.DUMMYFUNCTION("""COMPUTED_VALUE"""),"vidyadhara.dj@yale.edu")</f>
        <v>vidyadhara.dj@yale.edu</v>
      </c>
      <c r="G472" s="2" t="str">
        <f>IFERROR(__xludf.DUMMYFUNCTION("""COMPUTED_VALUE"""),"0000-0003-0974-0307")</f>
        <v>0000-0003-0974-0307</v>
      </c>
    </row>
    <row r="473">
      <c r="A473" s="2" t="str">
        <f>IFERROR(__xludf.DUMMYFUNCTION("""COMPUTED_VALUE"""),"Zeng")</f>
        <v>Zeng</v>
      </c>
      <c r="B473" s="2" t="str">
        <f>IFERROR(__xludf.DUMMYFUNCTION("""COMPUTED_VALUE"""),"Jialiu")</f>
        <v>Jialiu</v>
      </c>
      <c r="C473" s="2" t="str">
        <f>IFERROR(__xludf.DUMMYFUNCTION("""COMPUTED_VALUE"""),"personnel")</f>
        <v>personnel</v>
      </c>
      <c r="D473" s="2" t="str">
        <f>IFERROR(__xludf.DUMMYFUNCTION("""COMPUTED_VALUE"""),"Chandra")</f>
        <v>Chandra</v>
      </c>
      <c r="E473" s="2" t="str">
        <f>IFERROR(__xludf.DUMMYFUNCTION("""COMPUTED_VALUE"""),"postdoc")</f>
        <v>postdoc</v>
      </c>
      <c r="F473" s="2" t="str">
        <f>IFERROR(__xludf.DUMMYFUNCTION("""COMPUTED_VALUE"""),"jialiu.zeng@yale.edu")</f>
        <v>jialiu.zeng@yale.edu</v>
      </c>
      <c r="G473" s="2" t="str">
        <f>IFERROR(__xludf.DUMMYFUNCTION("""COMPUTED_VALUE"""),"0000-0001-7802-1432")</f>
        <v>0000-0001-7802-1432</v>
      </c>
    </row>
    <row r="474">
      <c r="A474" s="2" t="str">
        <f>IFERROR(__xludf.DUMMYFUNCTION("""COMPUTED_VALUE"""),"Leopold")</f>
        <v>Leopold</v>
      </c>
      <c r="B474" s="2" t="str">
        <f>IFERROR(__xludf.DUMMYFUNCTION("""COMPUTED_VALUE"""),"Shana")</f>
        <v>Shana</v>
      </c>
      <c r="C474" s="2" t="str">
        <f>IFERROR(__xludf.DUMMYFUNCTION("""COMPUTED_VALUE"""),"Key Personnel")</f>
        <v>Key Personnel</v>
      </c>
      <c r="D474" s="2" t="str">
        <f>IFERROR(__xludf.DUMMYFUNCTION("""COMPUTED_VALUE"""),"Palm")</f>
        <v>Palm</v>
      </c>
      <c r="E474" s="2" t="str">
        <f>IFERROR(__xludf.DUMMYFUNCTION("""COMPUTED_VALUE"""),"Lab manager")</f>
        <v>Lab manager</v>
      </c>
      <c r="F474" s="2" t="str">
        <f>IFERROR(__xludf.DUMMYFUNCTION("""COMPUTED_VALUE"""),"shana.leopold@yale.edu")</f>
        <v>shana.leopold@yale.edu</v>
      </c>
      <c r="G474" s="2" t="str">
        <f>IFERROR(__xludf.DUMMYFUNCTION("""COMPUTED_VALUE"""),"0000-0001-5830-1955")</f>
        <v>0000-0001-5830-1955</v>
      </c>
    </row>
    <row r="475">
      <c r="A475" s="2" t="str">
        <f>IFERROR(__xludf.DUMMYFUNCTION("""COMPUTED_VALUE"""),"Deguine")</f>
        <v>Deguine</v>
      </c>
      <c r="B475" s="2" t="str">
        <f>IFERROR(__xludf.DUMMYFUNCTION("""COMPUTED_VALUE"""),"Jacques ")</f>
        <v>Jacques </v>
      </c>
      <c r="C475" s="2" t="str">
        <f>IFERROR(__xludf.DUMMYFUNCTION("""COMPUTED_VALUE"""),"Key Personnel")</f>
        <v>Key Personnel</v>
      </c>
      <c r="D475" s="2" t="str">
        <f>IFERROR(__xludf.DUMMYFUNCTION("""COMPUTED_VALUE"""),"Xavier")</f>
        <v>Xavier</v>
      </c>
      <c r="E475" s="2" t="str">
        <f>IFERROR(__xludf.DUMMYFUNCTION("""COMPUTED_VALUE"""),"director")</f>
        <v>director</v>
      </c>
      <c r="F475" s="2" t="str">
        <f>IFERROR(__xludf.DUMMYFUNCTION("""COMPUTED_VALUE"""),"jdeguine@broadinstitute.org")</f>
        <v>jdeguine@broadinstitute.org</v>
      </c>
      <c r="G475" s="2" t="str">
        <f>IFERROR(__xludf.DUMMYFUNCTION("""COMPUTED_VALUE"""),"0000-0001-9218-3040")</f>
        <v>0000-0001-9218-3040</v>
      </c>
    </row>
    <row r="476">
      <c r="A476" s="2" t="str">
        <f>IFERROR(__xludf.DUMMYFUNCTION("""COMPUTED_VALUE"""),"Zhao")</f>
        <v>Zhao</v>
      </c>
      <c r="B476" s="2" t="str">
        <f>IFERROR(__xludf.DUMMYFUNCTION("""COMPUTED_VALUE"""),"Qiancheng")</f>
        <v>Qiancheng</v>
      </c>
      <c r="C476" s="2" t="str">
        <f>IFERROR(__xludf.DUMMYFUNCTION("""COMPUTED_VALUE"""),"personnel")</f>
        <v>personnel</v>
      </c>
      <c r="D476" s="2" t="str">
        <f>IFERROR(__xludf.DUMMYFUNCTION("""COMPUTED_VALUE"""),"Chang")</f>
        <v>Chang</v>
      </c>
      <c r="E476" s="2" t="str">
        <f>IFERROR(__xludf.DUMMYFUNCTION("""COMPUTED_VALUE"""),"postdoc")</f>
        <v>postdoc</v>
      </c>
      <c r="F476" s="2" t="str">
        <f>IFERROR(__xludf.DUMMYFUNCTION("""COMPUTED_VALUE"""),"qiancheng.zhao@yale.edu")</f>
        <v>qiancheng.zhao@yale.edu</v>
      </c>
      <c r="G476" s="2" t="str">
        <f>IFERROR(__xludf.DUMMYFUNCTION("""COMPUTED_VALUE"""),"0000-0002-0696-8667")</f>
        <v>0000-0002-0696-8667</v>
      </c>
    </row>
    <row r="477">
      <c r="A477" s="2" t="str">
        <f>IFERROR(__xludf.DUMMYFUNCTION("""COMPUTED_VALUE"""),"Martin")</f>
        <v>Martin</v>
      </c>
      <c r="B477" s="2" t="str">
        <f>IFERROR(__xludf.DUMMYFUNCTION("""COMPUTED_VALUE"""),"Anjelica")</f>
        <v>Anjelica</v>
      </c>
      <c r="C477" s="2" t="str">
        <f>IFERROR(__xludf.DUMMYFUNCTION("""COMPUTED_VALUE"""),"personnel")</f>
        <v>personnel</v>
      </c>
      <c r="D477" s="2" t="str">
        <f>IFERROR(__xludf.DUMMYFUNCTION("""COMPUTED_VALUE"""),"Palm")</f>
        <v>Palm</v>
      </c>
      <c r="E477" s="2" t="str">
        <f>IFERROR(__xludf.DUMMYFUNCTION("""COMPUTED_VALUE"""),"research associate")</f>
        <v>research associate</v>
      </c>
      <c r="F477" s="2" t="str">
        <f>IFERROR(__xludf.DUMMYFUNCTION("""COMPUTED_VALUE"""),"anjelica.martin@yale.edu")</f>
        <v>anjelica.martin@yale.edu</v>
      </c>
      <c r="G477" s="2" t="str">
        <f>IFERROR(__xludf.DUMMYFUNCTION("""COMPUTED_VALUE"""),"0000-0001-9669-8842")</f>
        <v>0000-0001-9669-8842</v>
      </c>
    </row>
    <row r="478">
      <c r="A478" s="2" t="str">
        <f>IFERROR(__xludf.DUMMYFUNCTION("""COMPUTED_VALUE"""),"Khetrapal ")</f>
        <v>Khetrapal </v>
      </c>
      <c r="B478" s="2" t="str">
        <f>IFERROR(__xludf.DUMMYFUNCTION("""COMPUTED_VALUE"""),"Varnica ")</f>
        <v>Varnica </v>
      </c>
      <c r="C478" s="2" t="str">
        <f>IFERROR(__xludf.DUMMYFUNCTION("""COMPUTED_VALUE"""),"personnel")</f>
        <v>personnel</v>
      </c>
      <c r="D478" s="2" t="str">
        <f>IFERROR(__xludf.DUMMYFUNCTION("""COMPUTED_VALUE"""),"Palm")</f>
        <v>Palm</v>
      </c>
      <c r="E478" s="2" t="str">
        <f>IFERROR(__xludf.DUMMYFUNCTION("""COMPUTED_VALUE"""),"postdoc")</f>
        <v>postdoc</v>
      </c>
      <c r="F478" s="2" t="str">
        <f>IFERROR(__xludf.DUMMYFUNCTION("""COMPUTED_VALUE"""),"&lt;varnica.khetrapal@yale.edu&gt;")</f>
        <v>&lt;varnica.khetrapal@yale.edu&gt;</v>
      </c>
      <c r="G478" s="2" t="str">
        <f>IFERROR(__xludf.DUMMYFUNCTION("""COMPUTED_VALUE"""),"0000-0003-2913-9375")</f>
        <v>0000-0003-2913-9375</v>
      </c>
    </row>
    <row r="479">
      <c r="A479" s="2" t="str">
        <f>IFERROR(__xludf.DUMMYFUNCTION("""COMPUTED_VALUE"""),"Allnut")</f>
        <v>Allnut</v>
      </c>
      <c r="B479" s="2" t="str">
        <f>IFERROR(__xludf.DUMMYFUNCTION("""COMPUTED_VALUE"""),"Mary Alice")</f>
        <v>Mary Alice</v>
      </c>
      <c r="C479" s="2" t="str">
        <f>IFERROR(__xludf.DUMMYFUNCTION("""COMPUTED_VALUE"""),"personnel")</f>
        <v>personnel</v>
      </c>
      <c r="D479" s="2" t="str">
        <f>IFERROR(__xludf.DUMMYFUNCTION("""COMPUTED_VALUE"""),"Chandra")</f>
        <v>Chandra</v>
      </c>
      <c r="E479" s="2" t="str">
        <f>IFERROR(__xludf.DUMMYFUNCTION("""COMPUTED_VALUE"""),"graduate student")</f>
        <v>graduate student</v>
      </c>
      <c r="F479" s="2" t="str">
        <f>IFERROR(__xludf.DUMMYFUNCTION("""COMPUTED_VALUE"""),"maryalice.allnutt@yale.edu")</f>
        <v>maryalice.allnutt@yale.edu</v>
      </c>
      <c r="G479" s="2" t="str">
        <f>IFERROR(__xludf.DUMMYFUNCTION("""COMPUTED_VALUE"""),"0000-0002-1093-4013")</f>
        <v>0000-0002-1093-4013</v>
      </c>
    </row>
    <row r="480">
      <c r="A480" s="2" t="str">
        <f>IFERROR(__xludf.DUMMYFUNCTION("""COMPUTED_VALUE"""),"Videnovic")</f>
        <v>Videnovic</v>
      </c>
      <c r="B480" s="2" t="str">
        <f>IFERROR(__xludf.DUMMYFUNCTION("""COMPUTED_VALUE"""),"Aleks")</f>
        <v>Aleks</v>
      </c>
      <c r="C480" s="2" t="str">
        <f>IFERROR(__xludf.DUMMYFUNCTION("""COMPUTED_VALUE"""),"Collaborator")</f>
        <v>Collaborator</v>
      </c>
      <c r="D480" s="2" t="str">
        <f>IFERROR(__xludf.DUMMYFUNCTION("""COMPUTED_VALUE"""),"Videnovic")</f>
        <v>Videnovic</v>
      </c>
      <c r="E480" s="2" t="str">
        <f>IFERROR(__xludf.DUMMYFUNCTION("""COMPUTED_VALUE"""),"Collaborator")</f>
        <v>Collaborator</v>
      </c>
      <c r="F480" s="2" t="str">
        <f>IFERROR(__xludf.DUMMYFUNCTION("""COMPUTED_VALUE"""),"avidenovic@mgh.harvard.edu")</f>
        <v>avidenovic@mgh.harvard.edu</v>
      </c>
      <c r="G480" s="2" t="str">
        <f>IFERROR(__xludf.DUMMYFUNCTION("""COMPUTED_VALUE"""),"0000-0002-9237-1516")</f>
        <v>0000-0002-9237-1516</v>
      </c>
    </row>
    <row r="481">
      <c r="A481" s="2" t="str">
        <f>IFERROR(__xludf.DUMMYFUNCTION("""COMPUTED_VALUE"""),"Zhu")</f>
        <v>Zhu</v>
      </c>
      <c r="B481" s="2" t="str">
        <f>IFERROR(__xludf.DUMMYFUNCTION("""COMPUTED_VALUE"""),"Biqing")</f>
        <v>Biqing</v>
      </c>
      <c r="C481" s="2" t="str">
        <f>IFERROR(__xludf.DUMMYFUNCTION("""COMPUTED_VALUE"""),"personnel")</f>
        <v>personnel</v>
      </c>
      <c r="D481" s="2" t="str">
        <f>IFERROR(__xludf.DUMMYFUNCTION("""COMPUTED_VALUE"""),"Hafler")</f>
        <v>Hafler</v>
      </c>
      <c r="E481" s="2" t="str">
        <f>IFERROR(__xludf.DUMMYFUNCTION("""COMPUTED_VALUE"""),"Grad Student")</f>
        <v>Grad Student</v>
      </c>
      <c r="F481" s="2" t="str">
        <f>IFERROR(__xludf.DUMMYFUNCTION("""COMPUTED_VALUE"""),"biqing.zhu@yale.edu")</f>
        <v>biqing.zhu@yale.edu</v>
      </c>
      <c r="G481" s="2" t="str">
        <f>IFERROR(__xludf.DUMMYFUNCTION("""COMPUTED_VALUE"""),"0000-0002-7428-6297")</f>
        <v>0000-0002-7428-6297</v>
      </c>
    </row>
    <row r="482">
      <c r="A482" s="2" t="str">
        <f>IFERROR(__xludf.DUMMYFUNCTION("""COMPUTED_VALUE"""),"Wang")</f>
        <v>Wang</v>
      </c>
      <c r="B482" s="2" t="str">
        <f>IFERROR(__xludf.DUMMYFUNCTION("""COMPUTED_VALUE"""),"Haowei")</f>
        <v>Haowei</v>
      </c>
      <c r="C482" s="2" t="str">
        <f>IFERROR(__xludf.DUMMYFUNCTION("""COMPUTED_VALUE"""),"personnel")</f>
        <v>personnel</v>
      </c>
      <c r="D482" s="2" t="str">
        <f>IFERROR(__xludf.DUMMYFUNCTION("""COMPUTED_VALUE"""),"Hafler")</f>
        <v>Hafler</v>
      </c>
      <c r="E482" s="2" t="str">
        <f>IFERROR(__xludf.DUMMYFUNCTION("""COMPUTED_VALUE"""),"Research Associate")</f>
        <v>Research Associate</v>
      </c>
      <c r="F482" s="2" t="str">
        <f>IFERROR(__xludf.DUMMYFUNCTION("""COMPUTED_VALUE"""),"haowei.wang@yale.edu")</f>
        <v>haowei.wang@yale.edu</v>
      </c>
      <c r="G482" s="2" t="str">
        <f>IFERROR(__xludf.DUMMYFUNCTION("""COMPUTED_VALUE"""),"0000-0002-5420-1153")</f>
        <v>0000-0002-5420-1153</v>
      </c>
    </row>
    <row r="483">
      <c r="A483" s="2" t="str">
        <f>IFERROR(__xludf.DUMMYFUNCTION("""COMPUTED_VALUE"""),"Russo")</f>
        <v>Russo</v>
      </c>
      <c r="B483" s="2" t="str">
        <f>IFERROR(__xludf.DUMMYFUNCTION("""COMPUTED_VALUE"""),"Anthony")</f>
        <v>Anthony</v>
      </c>
      <c r="C483" s="2" t="str">
        <f>IFERROR(__xludf.DUMMYFUNCTION("""COMPUTED_VALUE"""),"personnel")</f>
        <v>personnel</v>
      </c>
      <c r="D483" s="2" t="str">
        <f>IFERROR(__xludf.DUMMYFUNCTION("""COMPUTED_VALUE"""),"Hafler")</f>
        <v>Hafler</v>
      </c>
      <c r="E483" s="2" t="str">
        <f>IFERROR(__xludf.DUMMYFUNCTION("""COMPUTED_VALUE"""),"Research Associate")</f>
        <v>Research Associate</v>
      </c>
      <c r="F483" s="2" t="str">
        <f>IFERROR(__xludf.DUMMYFUNCTION("""COMPUTED_VALUE"""),"anthony.russo@yale.edu")</f>
        <v>anthony.russo@yale.edu</v>
      </c>
      <c r="G483" s="2" t="str">
        <f>IFERROR(__xludf.DUMMYFUNCTION("""COMPUTED_VALUE"""),"0000-0002-0623-6618")</f>
        <v>0000-0002-0623-6618</v>
      </c>
    </row>
    <row r="484">
      <c r="A484" s="2" t="str">
        <f>IFERROR(__xludf.DUMMYFUNCTION("""COMPUTED_VALUE"""),"Mead")</f>
        <v>Mead</v>
      </c>
      <c r="B484" s="2" t="str">
        <f>IFERROR(__xludf.DUMMYFUNCTION("""COMPUTED_VALUE"""),"Kara")</f>
        <v>Kara</v>
      </c>
      <c r="C484" s="2" t="str">
        <f>IFERROR(__xludf.DUMMYFUNCTION("""COMPUTED_VALUE"""),"personnel")</f>
        <v>personnel</v>
      </c>
      <c r="D484" s="2" t="str">
        <f>IFERROR(__xludf.DUMMYFUNCTION("""COMPUTED_VALUE"""),"Hafler")</f>
        <v>Hafler</v>
      </c>
      <c r="E484" s="2" t="str">
        <f>IFERROR(__xludf.DUMMYFUNCTION("""COMPUTED_VALUE"""),"Clinical Coordinator")</f>
        <v>Clinical Coordinator</v>
      </c>
      <c r="F484" s="2" t="str">
        <f>IFERROR(__xludf.DUMMYFUNCTION("""COMPUTED_VALUE"""),"kara.mead@yale.edu")</f>
        <v>kara.mead@yale.edu</v>
      </c>
      <c r="G484" s="2" t="str">
        <f>IFERROR(__xludf.DUMMYFUNCTION("""COMPUTED_VALUE"""),"0000-0002-1166-1125")</f>
        <v>0000-0002-1166-1125</v>
      </c>
    </row>
    <row r="485">
      <c r="A485" s="2" t="str">
        <f>IFERROR(__xludf.DUMMYFUNCTION("""COMPUTED_VALUE"""),"Elkolaly")</f>
        <v>Elkolaly</v>
      </c>
      <c r="B485" s="2" t="str">
        <f>IFERROR(__xludf.DUMMYFUNCTION("""COMPUTED_VALUE"""),"Salma")</f>
        <v>Salma</v>
      </c>
      <c r="C485" s="2" t="str">
        <f>IFERROR(__xludf.DUMMYFUNCTION("""COMPUTED_VALUE"""),"personnel")</f>
        <v>personnel</v>
      </c>
      <c r="D485" s="2" t="str">
        <f>IFERROR(__xludf.DUMMYFUNCTION("""COMPUTED_VALUE"""),"Hafler")</f>
        <v>Hafler</v>
      </c>
      <c r="E485" s="2" t="str">
        <f>IFERROR(__xludf.DUMMYFUNCTION("""COMPUTED_VALUE"""),"Research Associate")</f>
        <v>Research Associate</v>
      </c>
      <c r="F485" s="2" t="str">
        <f>IFERROR(__xludf.DUMMYFUNCTION("""COMPUTED_VALUE"""),"salmasaidelsayed.elkolaly@yale.edu")</f>
        <v>salmasaidelsayed.elkolaly@yale.edu</v>
      </c>
      <c r="G485" s="2" t="str">
        <f>IFERROR(__xludf.DUMMYFUNCTION("""COMPUTED_VALUE"""),"0000-0003-0226-503X")</f>
        <v>0000-0003-0226-503X</v>
      </c>
    </row>
    <row r="486">
      <c r="A486" s="2" t="str">
        <f>IFERROR(__xludf.DUMMYFUNCTION("""COMPUTED_VALUE"""),"Zhao")</f>
        <v>Zhao</v>
      </c>
      <c r="B486" s="2" t="str">
        <f>IFERROR(__xludf.DUMMYFUNCTION("""COMPUTED_VALUE"""),"Angela")</f>
        <v>Angela</v>
      </c>
      <c r="C486" s="2" t="str">
        <f>IFERROR(__xludf.DUMMYFUNCTION("""COMPUTED_VALUE"""),"personnel")</f>
        <v>personnel</v>
      </c>
      <c r="D486" s="2" t="str">
        <f>IFERROR(__xludf.DUMMYFUNCTION("""COMPUTED_VALUE"""),"Chandra")</f>
        <v>Chandra</v>
      </c>
      <c r="E486" s="2" t="str">
        <f>IFERROR(__xludf.DUMMYFUNCTION("""COMPUTED_VALUE"""),"Undergraduate Student")</f>
        <v>Undergraduate Student</v>
      </c>
      <c r="F486" s="2" t="str">
        <f>IFERROR(__xludf.DUMMYFUNCTION("""COMPUTED_VALUE"""),"angela.zhao.az397@yale.edu")</f>
        <v>angela.zhao.az397@yale.edu</v>
      </c>
      <c r="G486" s="2" t="str">
        <f>IFERROR(__xludf.DUMMYFUNCTION("""COMPUTED_VALUE"""),"0009-0004-5907-1804")</f>
        <v>0009-0004-5907-1804</v>
      </c>
    </row>
    <row r="487">
      <c r="A487" s="2" t="str">
        <f>IFERROR(__xludf.DUMMYFUNCTION("""COMPUTED_VALUE"""),"Islam")</f>
        <v>Islam</v>
      </c>
      <c r="B487" s="2" t="str">
        <f>IFERROR(__xludf.DUMMYFUNCTION("""COMPUTED_VALUE"""),"Rafiad")</f>
        <v>Rafiad</v>
      </c>
      <c r="C487" s="2" t="str">
        <f>IFERROR(__xludf.DUMMYFUNCTION("""COMPUTED_VALUE"""),"personnel")</f>
        <v>personnel</v>
      </c>
      <c r="D487" s="2" t="str">
        <f>IFERROR(__xludf.DUMMYFUNCTION("""COMPUTED_VALUE"""),"Hafler")</f>
        <v>Hafler</v>
      </c>
      <c r="E487" s="2" t="str">
        <f>IFERROR(__xludf.DUMMYFUNCTION("""COMPUTED_VALUE"""),"Research Associate")</f>
        <v>Research Associate</v>
      </c>
      <c r="F487" s="2" t="str">
        <f>IFERROR(__xludf.DUMMYFUNCTION("""COMPUTED_VALUE"""),"rafiad.islam@yale.edu")</f>
        <v>rafiad.islam@yale.edu</v>
      </c>
      <c r="G487" s="2" t="str">
        <f>IFERROR(__xludf.DUMMYFUNCTION("""COMPUTED_VALUE"""),"0000-0001-5039-6240")</f>
        <v>0000-0001-5039-6240</v>
      </c>
    </row>
    <row r="488">
      <c r="A488" s="2" t="str">
        <f>IFERROR(__xludf.DUMMYFUNCTION("""COMPUTED_VALUE"""),"Corbin-Stein")</f>
        <v>Corbin-Stein</v>
      </c>
      <c r="B488" s="2" t="str">
        <f>IFERROR(__xludf.DUMMYFUNCTION("""COMPUTED_VALUE"""),"Nicole")</f>
        <v>Nicole</v>
      </c>
      <c r="C488" s="2" t="str">
        <f>IFERROR(__xludf.DUMMYFUNCTION("""COMPUTED_VALUE"""),"personnel")</f>
        <v>personnel</v>
      </c>
      <c r="D488" s="2" t="str">
        <f>IFERROR(__xludf.DUMMYFUNCTION("""COMPUTED_VALUE"""),"Zhang")</f>
        <v>Zhang</v>
      </c>
      <c r="E488" s="2" t="str">
        <f>IFERROR(__xludf.DUMMYFUNCTION("""COMPUTED_VALUE"""),"Postdoc")</f>
        <v>Postdoc</v>
      </c>
      <c r="F488" s="2" t="str">
        <f>IFERROR(__xludf.DUMMYFUNCTION("""COMPUTED_VALUE"""),"nicole.corbinstein@yale.edu")</f>
        <v>nicole.corbinstein@yale.edu</v>
      </c>
      <c r="G488" s="2" t="str">
        <f>IFERROR(__xludf.DUMMYFUNCTION("""COMPUTED_VALUE"""),"0000-0003-0820-0085")</f>
        <v>0000-0003-0820-0085</v>
      </c>
    </row>
    <row r="489">
      <c r="A489" s="2" t="str">
        <f>IFERROR(__xludf.DUMMYFUNCTION("""COMPUTED_VALUE"""),"Aditya")</f>
        <v>Aditya</v>
      </c>
      <c r="B489" s="2" t="str">
        <f>IFERROR(__xludf.DUMMYFUNCTION("""COMPUTED_VALUE"""),"Bajaj")</f>
        <v>Bajaj</v>
      </c>
      <c r="C489" s="2" t="str">
        <f>IFERROR(__xludf.DUMMYFUNCTION("""COMPUTED_VALUE"""),"personnel")</f>
        <v>personnel</v>
      </c>
      <c r="D489" s="2" t="str">
        <f>IFERROR(__xludf.DUMMYFUNCTION("""COMPUTED_VALUE"""),"Xavier")</f>
        <v>Xavier</v>
      </c>
      <c r="E489" s="2" t="str">
        <f>IFERROR(__xludf.DUMMYFUNCTION("""COMPUTED_VALUE"""),"Postdoc")</f>
        <v>Postdoc</v>
      </c>
      <c r="F489" s="2" t="str">
        <f>IFERROR(__xludf.DUMMYFUNCTION("""COMPUTED_VALUE"""),"abajaj@broadinstitute.org")</f>
        <v>abajaj@broadinstitute.org</v>
      </c>
      <c r="G489" s="2" t="str">
        <f>IFERROR(__xludf.DUMMYFUNCTION("""COMPUTED_VALUE"""),"0000-0002-6738-0031")</f>
        <v>0000-0002-6738-0031</v>
      </c>
    </row>
    <row r="490">
      <c r="A490" s="2" t="str">
        <f>IFERROR(__xludf.DUMMYFUNCTION("""COMPUTED_VALUE"""),"Lily")</f>
        <v>Lily</v>
      </c>
      <c r="B490" s="2" t="str">
        <f>IFERROR(__xludf.DUMMYFUNCTION("""COMPUTED_VALUE"""),"Rothschild")</f>
        <v>Rothschild</v>
      </c>
      <c r="C490" s="2" t="str">
        <f>IFERROR(__xludf.DUMMYFUNCTION("""COMPUTED_VALUE"""),"personnel")</f>
        <v>personnel</v>
      </c>
      <c r="D490" s="2" t="str">
        <f>IFERROR(__xludf.DUMMYFUNCTION("""COMPUTED_VALUE"""),"Xavier")</f>
        <v>Xavier</v>
      </c>
      <c r="E490" s="2"/>
      <c r="F490" s="2" t="str">
        <f>IFERROR(__xludf.DUMMYFUNCTION("""COMPUTED_VALUE"""),"lrothsch@broadinstitute.org")</f>
        <v>lrothsch@broadinstitute.org</v>
      </c>
      <c r="G490" s="2" t="str">
        <f>IFERROR(__xludf.DUMMYFUNCTION("""COMPUTED_VALUE"""),"0000-0002-1295-8764")</f>
        <v>0000-0002-1295-8764</v>
      </c>
    </row>
    <row r="491">
      <c r="A491" s="2" t="str">
        <f>IFERROR(__xludf.DUMMYFUNCTION("""COMPUTED_VALUE"""),"Li")</f>
        <v>Li</v>
      </c>
      <c r="B491" s="2" t="str">
        <f>IFERROR(__xludf.DUMMYFUNCTION("""COMPUTED_VALUE"""),"Chung-Jung")</f>
        <v>Chung-Jung</v>
      </c>
      <c r="C491" s="2" t="str">
        <f>IFERROR(__xludf.DUMMYFUNCTION("""COMPUTED_VALUE"""),"personnel")</f>
        <v>personnel</v>
      </c>
      <c r="D491" s="2" t="str">
        <f>IFERROR(__xludf.DUMMYFUNCTION("""COMPUTED_VALUE"""),"Chandra")</f>
        <v>Chandra</v>
      </c>
      <c r="E491" s="2" t="str">
        <f>IFERROR(__xludf.DUMMYFUNCTION("""COMPUTED_VALUE"""),"Post-Doc")</f>
        <v>Post-Doc</v>
      </c>
      <c r="F491" s="2" t="str">
        <f>IFERROR(__xludf.DUMMYFUNCTION("""COMPUTED_VALUE"""),"chung-jung.li@yale.edu")</f>
        <v>chung-jung.li@yale.edu</v>
      </c>
      <c r="G491" s="2" t="str">
        <f>IFERROR(__xludf.DUMMYFUNCTION("""COMPUTED_VALUE"""),"0000-0002-4114-3628")</f>
        <v>0000-0002-4114-3628</v>
      </c>
    </row>
    <row r="492">
      <c r="A492" s="2" t="str">
        <f>IFERROR(__xludf.DUMMYFUNCTION("""COMPUTED_VALUE"""),"Tian")</f>
        <v>Tian</v>
      </c>
      <c r="B492" s="2" t="str">
        <f>IFERROR(__xludf.DUMMYFUNCTION("""COMPUTED_VALUE"""),"Weiyi ")</f>
        <v>Weiyi </v>
      </c>
      <c r="C492" s="2" t="str">
        <f>IFERROR(__xludf.DUMMYFUNCTION("""COMPUTED_VALUE"""),"personnel")</f>
        <v>personnel</v>
      </c>
      <c r="D492" s="2" t="str">
        <f>IFERROR(__xludf.DUMMYFUNCTION("""COMPUTED_VALUE"""),"Chandra")</f>
        <v>Chandra</v>
      </c>
      <c r="E492" s="2" t="str">
        <f>IFERROR(__xludf.DUMMYFUNCTION("""COMPUTED_VALUE"""),"Graduate Student")</f>
        <v>Graduate Student</v>
      </c>
      <c r="F492" s="2" t="str">
        <f>IFERROR(__xludf.DUMMYFUNCTION("""COMPUTED_VALUE"""),"rose.tian@yale.edu")</f>
        <v>rose.tian@yale.edu</v>
      </c>
      <c r="G492" s="2" t="str">
        <f>IFERROR(__xludf.DUMMYFUNCTION("""COMPUTED_VALUE"""),"0009-0005-7134-9271")</f>
        <v>0009-0005-7134-9271</v>
      </c>
    </row>
    <row r="493">
      <c r="A493" s="2" t="str">
        <f>IFERROR(__xludf.DUMMYFUNCTION("""COMPUTED_VALUE"""),"Yasumizu")</f>
        <v>Yasumizu</v>
      </c>
      <c r="B493" s="2" t="str">
        <f>IFERROR(__xludf.DUMMYFUNCTION("""COMPUTED_VALUE"""),"Yoshiaki")</f>
        <v>Yoshiaki</v>
      </c>
      <c r="C493" s="2" t="str">
        <f>IFERROR(__xludf.DUMMYFUNCTION("""COMPUTED_VALUE"""),"personnel")</f>
        <v>personnel</v>
      </c>
      <c r="D493" s="2" t="str">
        <f>IFERROR(__xludf.DUMMYFUNCTION("""COMPUTED_VALUE"""),"Hafler")</f>
        <v>Hafler</v>
      </c>
      <c r="E493" s="2" t="str">
        <f>IFERROR(__xludf.DUMMYFUNCTION("""COMPUTED_VALUE"""),"Research Associate")</f>
        <v>Research Associate</v>
      </c>
      <c r="F493" s="2" t="str">
        <f>IFERROR(__xludf.DUMMYFUNCTION("""COMPUTED_VALUE"""),"yoshiaki.yasumizu@yale.edu")</f>
        <v>yoshiaki.yasumizu@yale.edu</v>
      </c>
      <c r="G493" s="2" t="str">
        <f>IFERROR(__xludf.DUMMYFUNCTION("""COMPUTED_VALUE"""),"0000-0002-9872-4909")</f>
        <v>0000-0002-9872-4909</v>
      </c>
    </row>
    <row r="494">
      <c r="A494" s="2" t="str">
        <f>IFERROR(__xludf.DUMMYFUNCTION("""COMPUTED_VALUE"""),"Harmon")</f>
        <v>Harmon</v>
      </c>
      <c r="B494" s="2" t="str">
        <f>IFERROR(__xludf.DUMMYFUNCTION("""COMPUTED_VALUE"""),"Leah")</f>
        <v>Leah</v>
      </c>
      <c r="C494" s="2" t="str">
        <f>IFERROR(__xludf.DUMMYFUNCTION("""COMPUTED_VALUE"""),"personnel")</f>
        <v>personnel</v>
      </c>
      <c r="D494" s="2" t="str">
        <f>IFERROR(__xludf.DUMMYFUNCTION("""COMPUTED_VALUE"""),"Chandra")</f>
        <v>Chandra</v>
      </c>
      <c r="E494" s="2" t="str">
        <f>IFERROR(__xludf.DUMMYFUNCTION("""COMPUTED_VALUE"""),"Grad Student")</f>
        <v>Grad Student</v>
      </c>
      <c r="F494" s="2" t="str">
        <f>IFERROR(__xludf.DUMMYFUNCTION("""COMPUTED_VALUE"""),"leah.harmon@yale.edu")</f>
        <v>leah.harmon@yale.edu</v>
      </c>
      <c r="G494" s="2" t="str">
        <f>IFERROR(__xludf.DUMMYFUNCTION("""COMPUTED_VALUE"""),"0000-0001-7102-8586")</f>
        <v>0000-0001-7102-8586</v>
      </c>
    </row>
    <row r="495">
      <c r="A495" s="2" t="str">
        <f>IFERROR(__xludf.DUMMYFUNCTION("""COMPUTED_VALUE"""),"Lingjia")</f>
        <v>Lingjia</v>
      </c>
      <c r="B495" s="2" t="str">
        <f>IFERROR(__xludf.DUMMYFUNCTION("""COMPUTED_VALUE"""),"Kong")</f>
        <v>Kong</v>
      </c>
      <c r="C495" s="2" t="str">
        <f>IFERROR(__xludf.DUMMYFUNCTION("""COMPUTED_VALUE"""),"personnel")</f>
        <v>personnel</v>
      </c>
      <c r="D495" s="2" t="str">
        <f>IFERROR(__xludf.DUMMYFUNCTION("""COMPUTED_VALUE"""),"Xavier")</f>
        <v>Xavier</v>
      </c>
      <c r="E495" s="2" t="str">
        <f>IFERROR(__xludf.DUMMYFUNCTION("""COMPUTED_VALUE"""),"Research Associate")</f>
        <v>Research Associate</v>
      </c>
      <c r="F495" s="2" t="str">
        <f>IFERROR(__xludf.DUMMYFUNCTION("""COMPUTED_VALUE"""),"Lingjia Kong &lt;lkong@broadinstitute.org&gt;")</f>
        <v>Lingjia Kong &lt;lkong@broadinstitute.org&gt;</v>
      </c>
      <c r="G495" s="2" t="str">
        <f>IFERROR(__xludf.DUMMYFUNCTION("""COMPUTED_VALUE"""),"0000-0003-1016-030X")</f>
        <v>0000-0003-1016-030X</v>
      </c>
    </row>
    <row r="496">
      <c r="A496" s="2" t="str">
        <f>IFERROR(__xludf.DUMMYFUNCTION("""COMPUTED_VALUE"""),"Young")</f>
        <v>Young</v>
      </c>
      <c r="B496" s="2" t="str">
        <f>IFERROR(__xludf.DUMMYFUNCTION("""COMPUTED_VALUE"""),"Lindsay")</f>
        <v>Lindsay</v>
      </c>
      <c r="C496" s="2" t="str">
        <f>IFERROR(__xludf.DUMMYFUNCTION("""COMPUTED_VALUE"""),"Halfer Admin")</f>
        <v>Halfer Admin</v>
      </c>
      <c r="D496" s="2" t="str">
        <f>IFERROR(__xludf.DUMMYFUNCTION("""COMPUTED_VALUE"""),"Hafler")</f>
        <v>Hafler</v>
      </c>
      <c r="E496" s="2" t="str">
        <f>IFERROR(__xludf.DUMMYFUNCTION("""COMPUTED_VALUE"""),"Sr Admin Assistant")</f>
        <v>Sr Admin Assistant</v>
      </c>
      <c r="F496" s="2" t="str">
        <f>IFERROR(__xludf.DUMMYFUNCTION("""COMPUTED_VALUE"""),"lindsay.young@yale.edu")</f>
        <v>lindsay.young@yale.edu</v>
      </c>
      <c r="G496" s="2"/>
    </row>
    <row r="497">
      <c r="A497" s="2" t="str">
        <f>IFERROR(__xludf.DUMMYFUNCTION("""COMPUTED_VALUE"""),"Moore")</f>
        <v>Moore</v>
      </c>
      <c r="B497" s="2" t="str">
        <f>IFERROR(__xludf.DUMMYFUNCTION("""COMPUTED_VALUE"""),"Greg")</f>
        <v>Greg</v>
      </c>
      <c r="C497" s="2" t="str">
        <f>IFERROR(__xludf.DUMMYFUNCTION("""COMPUTED_VALUE"""),"Palm Admin")</f>
        <v>Palm Admin</v>
      </c>
      <c r="D497" s="2" t="str">
        <f>IFERROR(__xludf.DUMMYFUNCTION("""COMPUTED_VALUE"""),"Palm")</f>
        <v>Palm</v>
      </c>
      <c r="E497" s="2" t="str">
        <f>IFERROR(__xludf.DUMMYFUNCTION("""COMPUTED_VALUE"""),"Admin")</f>
        <v>Admin</v>
      </c>
      <c r="F497" s="2" t="str">
        <f>IFERROR(__xludf.DUMMYFUNCTION("""COMPUTED_VALUE"""),"gregory.moore@yale.edu")</f>
        <v>gregory.moore@yale.edu</v>
      </c>
      <c r="G497" s="2"/>
    </row>
    <row r="498">
      <c r="A498" s="2" t="str">
        <f>IFERROR(__xludf.DUMMYFUNCTION("""COMPUTED_VALUE"""),"Grimm")</f>
        <v>Grimm</v>
      </c>
      <c r="B498" s="2" t="str">
        <f>IFERROR(__xludf.DUMMYFUNCTION("""COMPUTED_VALUE"""),"Courtney")</f>
        <v>Courtney</v>
      </c>
      <c r="C498" s="2" t="str">
        <f>IFERROR(__xludf.DUMMYFUNCTION("""COMPUTED_VALUE"""),"Associate Director")</f>
        <v>Associate Director</v>
      </c>
      <c r="D498" s="2" t="str">
        <f>IFERROR(__xludf.DUMMYFUNCTION("""COMPUTED_VALUE"""),"Hafler")</f>
        <v>Hafler</v>
      </c>
      <c r="E498" s="2" t="str">
        <f>IFERROR(__xludf.DUMMYFUNCTION("""COMPUTED_VALUE"""),"Finance Director")</f>
        <v>Finance Director</v>
      </c>
      <c r="F498" s="2" t="str">
        <f>IFERROR(__xludf.DUMMYFUNCTION("""COMPUTED_VALUE"""),"courtney.grimm@yale.edu")</f>
        <v>courtney.grimm@yale.edu</v>
      </c>
      <c r="G498" s="2"/>
    </row>
    <row r="499">
      <c r="A499" s="2" t="str">
        <f>IFERROR(__xludf.DUMMYFUNCTION("""COMPUTED_VALUE"""),"Hardy")</f>
        <v>Hardy</v>
      </c>
      <c r="B499" s="2" t="str">
        <f>IFERROR(__xludf.DUMMYFUNCTION("""COMPUTED_VALUE"""),"John")</f>
        <v>John</v>
      </c>
      <c r="C499" s="2" t="str">
        <f>IFERROR(__xludf.DUMMYFUNCTION("""COMPUTED_VALUE"""),"Lead-PI")</f>
        <v>Lead-PI</v>
      </c>
      <c r="D499" s="2" t="str">
        <f>IFERROR(__xludf.DUMMYFUNCTION("""COMPUTED_VALUE"""),"Hardy")</f>
        <v>Hardy</v>
      </c>
      <c r="E499" s="2" t="str">
        <f>IFERROR(__xludf.DUMMYFUNCTION("""COMPUTED_VALUE"""),"Professor")</f>
        <v>Professor</v>
      </c>
      <c r="F499" s="2" t="str">
        <f>IFERROR(__xludf.DUMMYFUNCTION("""COMPUTED_VALUE"""),"j.hardy@ucl.ac.uk")</f>
        <v>j.hardy@ucl.ac.uk</v>
      </c>
      <c r="G499" s="2" t="str">
        <f>IFERROR(__xludf.DUMMYFUNCTION("""COMPUTED_VALUE"""),"0000-0002-3122-0423")</f>
        <v>0000-0002-3122-0423</v>
      </c>
    </row>
    <row r="500">
      <c r="A500" s="2" t="str">
        <f>IFERROR(__xludf.DUMMYFUNCTION("""COMPUTED_VALUE"""),"Platt")</f>
        <v>Platt</v>
      </c>
      <c r="B500" s="2" t="str">
        <f>IFERROR(__xludf.DUMMYFUNCTION("""COMPUTED_VALUE"""),"Frances")</f>
        <v>Frances</v>
      </c>
      <c r="C500" s="2" t="str">
        <f>IFERROR(__xludf.DUMMYFUNCTION("""COMPUTED_VALUE"""),"Co-PI")</f>
        <v>Co-PI</v>
      </c>
      <c r="D500" s="2" t="str">
        <f>IFERROR(__xludf.DUMMYFUNCTION("""COMPUTED_VALUE"""),"Platt")</f>
        <v>Platt</v>
      </c>
      <c r="E500" s="2" t="str">
        <f>IFERROR(__xludf.DUMMYFUNCTION("""COMPUTED_VALUE"""),"Professor")</f>
        <v>Professor</v>
      </c>
      <c r="F500" s="2" t="str">
        <f>IFERROR(__xludf.DUMMYFUNCTION("""COMPUTED_VALUE"""),"frances.platt@pharm.ox.ac.uk")</f>
        <v>frances.platt@pharm.ox.ac.uk</v>
      </c>
      <c r="G500" s="2" t="str">
        <f>IFERROR(__xludf.DUMMYFUNCTION("""COMPUTED_VALUE"""),"0000-0001-7614-0403")</f>
        <v>0000-0001-7614-0403</v>
      </c>
    </row>
    <row r="501">
      <c r="A501" s="2" t="str">
        <f>IFERROR(__xludf.DUMMYFUNCTION("""COMPUTED_VALUE"""),"Spillantini")</f>
        <v>Spillantini</v>
      </c>
      <c r="B501" s="2" t="str">
        <f>IFERROR(__xludf.DUMMYFUNCTION("""COMPUTED_VALUE"""),"Maria Grazia")</f>
        <v>Maria Grazia</v>
      </c>
      <c r="C501" s="2" t="str">
        <f>IFERROR(__xludf.DUMMYFUNCTION("""COMPUTED_VALUE"""),"Co-PI")</f>
        <v>Co-PI</v>
      </c>
      <c r="D501" s="2" t="str">
        <f>IFERROR(__xludf.DUMMYFUNCTION("""COMPUTED_VALUE"""),"Spillantini")</f>
        <v>Spillantini</v>
      </c>
      <c r="E501" s="2" t="str">
        <f>IFERROR(__xludf.DUMMYFUNCTION("""COMPUTED_VALUE"""),"Professor")</f>
        <v>Professor</v>
      </c>
      <c r="F501" s="2" t="str">
        <f>IFERROR(__xludf.DUMMYFUNCTION("""COMPUTED_VALUE"""),"mgs11@cam.ac.uk")</f>
        <v>mgs11@cam.ac.uk</v>
      </c>
      <c r="G501" s="2" t="str">
        <f>IFERROR(__xludf.DUMMYFUNCTION("""COMPUTED_VALUE"""),"0000-0002-8544-7332")</f>
        <v>0000-0002-8544-7332</v>
      </c>
    </row>
    <row r="502">
      <c r="A502" s="2" t="str">
        <f>IFERROR(__xludf.DUMMYFUNCTION("""COMPUTED_VALUE"""),"Ryten")</f>
        <v>Ryten</v>
      </c>
      <c r="B502" s="2" t="str">
        <f>IFERROR(__xludf.DUMMYFUNCTION("""COMPUTED_VALUE"""),"Mina")</f>
        <v>Mina</v>
      </c>
      <c r="C502" s="2" t="str">
        <f>IFERROR(__xludf.DUMMYFUNCTION("""COMPUTED_VALUE"""),"Co-PI")</f>
        <v>Co-PI</v>
      </c>
      <c r="D502" s="2" t="str">
        <f>IFERROR(__xludf.DUMMYFUNCTION("""COMPUTED_VALUE"""),"Ryten")</f>
        <v>Ryten</v>
      </c>
      <c r="E502" s="2" t="str">
        <f>IFERROR(__xludf.DUMMYFUNCTION("""COMPUTED_VALUE"""),"Professor")</f>
        <v>Professor</v>
      </c>
      <c r="F502" s="2" t="str">
        <f>IFERROR(__xludf.DUMMYFUNCTION("""COMPUTED_VALUE"""),"mr2022@cam.ac.uk")</f>
        <v>mr2022@cam.ac.uk</v>
      </c>
      <c r="G502" s="2" t="str">
        <f>IFERROR(__xludf.DUMMYFUNCTION("""COMPUTED_VALUE"""),"0000-0001-9520-6957")</f>
        <v>0000-0001-9520-6957</v>
      </c>
    </row>
    <row r="503">
      <c r="A503" s="2" t="str">
        <f>IFERROR(__xludf.DUMMYFUNCTION("""COMPUTED_VALUE"""),"Jaunmuktane")</f>
        <v>Jaunmuktane</v>
      </c>
      <c r="B503" s="2" t="str">
        <f>IFERROR(__xludf.DUMMYFUNCTION("""COMPUTED_VALUE"""),"Zane ")</f>
        <v>Zane </v>
      </c>
      <c r="C503" s="2" t="str">
        <f>IFERROR(__xludf.DUMMYFUNCTION("""COMPUTED_VALUE"""),"Co-PI")</f>
        <v>Co-PI</v>
      </c>
      <c r="D503" s="2" t="str">
        <f>IFERROR(__xludf.DUMMYFUNCTION("""COMPUTED_VALUE"""),"Jaunmuktane")</f>
        <v>Jaunmuktane</v>
      </c>
      <c r="E503" s="2" t="str">
        <f>IFERROR(__xludf.DUMMYFUNCTION("""COMPUTED_VALUE"""),"Consultant Neuropathologist; Clinical Lecturer in Neuropathology")</f>
        <v>Consultant Neuropathologist; Clinical Lecturer in Neuropathology</v>
      </c>
      <c r="F503" s="2" t="str">
        <f>IFERROR(__xludf.DUMMYFUNCTION("""COMPUTED_VALUE"""),"z.jaunmuktane@ucl.ac.uk")</f>
        <v>z.jaunmuktane@ucl.ac.uk</v>
      </c>
      <c r="G503" s="2" t="str">
        <f>IFERROR(__xludf.DUMMYFUNCTION("""COMPUTED_VALUE"""),"0000-0001-7738-8881")</f>
        <v>0000-0001-7738-8881</v>
      </c>
    </row>
    <row r="504">
      <c r="A504" s="2" t="str">
        <f>IFERROR(__xludf.DUMMYFUNCTION("""COMPUTED_VALUE"""),"Hicks")</f>
        <v>Hicks</v>
      </c>
      <c r="B504" s="2" t="str">
        <f>IFERROR(__xludf.DUMMYFUNCTION("""COMPUTED_VALUE"""),"Amy")</f>
        <v>Amy</v>
      </c>
      <c r="C504" s="2" t="str">
        <f>IFERROR(__xludf.DUMMYFUNCTION("""COMPUTED_VALUE"""),"Key Personnel")</f>
        <v>Key Personnel</v>
      </c>
      <c r="D504" s="2" t="str">
        <f>IFERROR(__xludf.DUMMYFUNCTION("""COMPUTED_VALUE"""),"Plun-Favreau / Ryten")</f>
        <v>Plun-Favreau / Ryten</v>
      </c>
      <c r="E504" s="2" t="str">
        <f>IFERROR(__xludf.DUMMYFUNCTION("""COMPUTED_VALUE"""),"Postdoc")</f>
        <v>Postdoc</v>
      </c>
      <c r="F504" s="2" t="str">
        <f>IFERROR(__xludf.DUMMYFUNCTION("""COMPUTED_VALUE"""),"amy.hicks.19@ucl.ac.uk")</f>
        <v>amy.hicks.19@ucl.ac.uk</v>
      </c>
      <c r="G504" s="2" t="str">
        <f>IFERROR(__xludf.DUMMYFUNCTION("""COMPUTED_VALUE"""),"0000-0002-3965-5253")</f>
        <v>0000-0002-3965-5253</v>
      </c>
    </row>
    <row r="505">
      <c r="A505" s="2" t="str">
        <f>IFERROR(__xludf.DUMMYFUNCTION("""COMPUTED_VALUE"""),"Gil Martinez")</f>
        <v>Gil Martinez</v>
      </c>
      <c r="B505" s="2" t="str">
        <f>IFERROR(__xludf.DUMMYFUNCTION("""COMPUTED_VALUE"""),"Ana Luisa")</f>
        <v>Ana Luisa</v>
      </c>
      <c r="C505" s="2" t="str">
        <f>IFERROR(__xludf.DUMMYFUNCTION("""COMPUTED_VALUE"""),"Key Personnel")</f>
        <v>Key Personnel</v>
      </c>
      <c r="D505" s="2" t="str">
        <f>IFERROR(__xludf.DUMMYFUNCTION("""COMPUTED_VALUE"""),"Morris")</f>
        <v>Morris</v>
      </c>
      <c r="E505" s="2" t="str">
        <f>IFERROR(__xludf.DUMMYFUNCTION("""COMPUTED_VALUE"""),"Postdoc")</f>
        <v>Postdoc</v>
      </c>
      <c r="F505" s="2" t="str">
        <f>IFERROR(__xludf.DUMMYFUNCTION("""COMPUTED_VALUE"""),"analuisa.gil@ucl.ac.uk")</f>
        <v>analuisa.gil@ucl.ac.uk</v>
      </c>
      <c r="G505" s="2" t="str">
        <f>IFERROR(__xludf.DUMMYFUNCTION("""COMPUTED_VALUE"""),"0000-0001-8455-5676")</f>
        <v>0000-0001-8455-5676</v>
      </c>
    </row>
    <row r="506">
      <c r="A506" s="2" t="str">
        <f>IFERROR(__xludf.DUMMYFUNCTION("""COMPUTED_VALUE"""),"Wernick")</f>
        <v>Wernick</v>
      </c>
      <c r="B506" s="2" t="str">
        <f>IFERROR(__xludf.DUMMYFUNCTION("""COMPUTED_VALUE"""),"Anna")</f>
        <v>Anna</v>
      </c>
      <c r="C506" s="2" t="str">
        <f>IFERROR(__xludf.DUMMYFUNCTION("""COMPUTED_VALUE"""),"Key Personnel")</f>
        <v>Key Personnel</v>
      </c>
      <c r="D506" s="2" t="str">
        <f>IFERROR(__xludf.DUMMYFUNCTION("""COMPUTED_VALUE"""),"Plun-Favreau")</f>
        <v>Plun-Favreau</v>
      </c>
      <c r="E506" s="2" t="str">
        <f>IFERROR(__xludf.DUMMYFUNCTION("""COMPUTED_VALUE"""),"PhD Student")</f>
        <v>PhD Student</v>
      </c>
      <c r="F506" s="2" t="str">
        <f>IFERROR(__xludf.DUMMYFUNCTION("""COMPUTED_VALUE"""),"anna.wernick.19@ucl.ac.uk")</f>
        <v>anna.wernick.19@ucl.ac.uk</v>
      </c>
      <c r="G506" s="2" t="str">
        <f>IFERROR(__xludf.DUMMYFUNCTION("""COMPUTED_VALUE"""),"0000-0001-9048-9492")</f>
        <v>0000-0001-9048-9492</v>
      </c>
    </row>
    <row r="507">
      <c r="A507" s="2" t="str">
        <f>IFERROR(__xludf.DUMMYFUNCTION("""COMPUTED_VALUE"""),"Costa")</f>
        <v>Costa</v>
      </c>
      <c r="B507" s="2" t="str">
        <f>IFERROR(__xludf.DUMMYFUNCTION("""COMPUTED_VALUE"""),"Beatrice")</f>
        <v>Beatrice</v>
      </c>
      <c r="C507" s="2" t="str">
        <f>IFERROR(__xludf.DUMMYFUNCTION("""COMPUTED_VALUE"""),"Key Personnel")</f>
        <v>Key Personnel</v>
      </c>
      <c r="D507" s="2" t="str">
        <f>IFERROR(__xludf.DUMMYFUNCTION("""COMPUTED_VALUE"""),"Plun-Favreau")</f>
        <v>Plun-Favreau</v>
      </c>
      <c r="E507" s="2" t="str">
        <f>IFERROR(__xludf.DUMMYFUNCTION("""COMPUTED_VALUE"""),"PhD Student")</f>
        <v>PhD Student</v>
      </c>
      <c r="F507" s="2" t="str">
        <f>IFERROR(__xludf.DUMMYFUNCTION("""COMPUTED_VALUE"""),"b.costa@ucl.ac.uk")</f>
        <v>b.costa@ucl.ac.uk</v>
      </c>
      <c r="G507" s="2" t="str">
        <f>IFERROR(__xludf.DUMMYFUNCTION("""COMPUTED_VALUE"""),"0000-0002-3508-8757")</f>
        <v>0000-0002-3508-8757</v>
      </c>
    </row>
    <row r="508">
      <c r="A508" s="2" t="str">
        <f>IFERROR(__xludf.DUMMYFUNCTION("""COMPUTED_VALUE"""),"O'Callaghan")</f>
        <v>O'Callaghan</v>
      </c>
      <c r="B508" s="2" t="str">
        <f>IFERROR(__xludf.DUMMYFUNCTION("""COMPUTED_VALUE"""),"Benjamin")</f>
        <v>Benjamin</v>
      </c>
      <c r="C508" s="2" t="str">
        <f>IFERROR(__xludf.DUMMYFUNCTION("""COMPUTED_VALUE"""),"Key Personnel")</f>
        <v>Key Personnel</v>
      </c>
      <c r="D508" s="2" t="str">
        <f>IFERROR(__xludf.DUMMYFUNCTION("""COMPUTED_VALUE"""),"Plun-Favreau")</f>
        <v>Plun-Favreau</v>
      </c>
      <c r="E508" s="2" t="str">
        <f>IFERROR(__xludf.DUMMYFUNCTION("""COMPUTED_VALUE"""),"Postdoc")</f>
        <v>Postdoc</v>
      </c>
      <c r="F508" s="2" t="str">
        <f>IFERROR(__xludf.DUMMYFUNCTION("""COMPUTED_VALUE"""),"ben.ocallaghan@ucl.ac.uk")</f>
        <v>ben.ocallaghan@ucl.ac.uk</v>
      </c>
      <c r="G508" s="2" t="str">
        <f>IFERROR(__xludf.DUMMYFUNCTION("""COMPUTED_VALUE"""),"0000-0002-1323-6843")</f>
        <v>0000-0002-1323-6843</v>
      </c>
    </row>
    <row r="509">
      <c r="A509" s="2" t="str">
        <f>IFERROR(__xludf.DUMMYFUNCTION("""COMPUTED_VALUE"""),"De Talhouet")</f>
        <v>De Talhouet</v>
      </c>
      <c r="B509" s="2" t="str">
        <f>IFERROR(__xludf.DUMMYFUNCTION("""COMPUTED_VALUE"""),"Capucine")</f>
        <v>Capucine</v>
      </c>
      <c r="C509" s="2" t="str">
        <f>IFERROR(__xludf.DUMMYFUNCTION("""COMPUTED_VALUE"""),"Key Personnel")</f>
        <v>Key Personnel</v>
      </c>
      <c r="D509" s="2" t="str">
        <f>IFERROR(__xludf.DUMMYFUNCTION("""COMPUTED_VALUE"""),"Plun-Favreau")</f>
        <v>Plun-Favreau</v>
      </c>
      <c r="E509" s="2" t="str">
        <f>IFERROR(__xludf.DUMMYFUNCTION("""COMPUTED_VALUE"""),"PhD Student")</f>
        <v>PhD Student</v>
      </c>
      <c r="F509" s="2" t="str">
        <f>IFERROR(__xludf.DUMMYFUNCTION("""COMPUTED_VALUE"""),"capucine.talhouet.20@ucl.ac.uk")</f>
        <v>capucine.talhouet.20@ucl.ac.uk</v>
      </c>
      <c r="G509" s="2" t="str">
        <f>IFERROR(__xludf.DUMMYFUNCTION("""COMPUTED_VALUE"""),"0000-0001-5958-0693")</f>
        <v>0000-0001-5958-0693</v>
      </c>
    </row>
    <row r="510">
      <c r="A510" s="2" t="str">
        <f>IFERROR(__xludf.DUMMYFUNCTION("""COMPUTED_VALUE"""),"Manzoni")</f>
        <v>Manzoni</v>
      </c>
      <c r="B510" s="2" t="str">
        <f>IFERROR(__xludf.DUMMYFUNCTION("""COMPUTED_VALUE"""),"Claudia")</f>
        <v>Claudia</v>
      </c>
      <c r="C510" s="2" t="str">
        <f>IFERROR(__xludf.DUMMYFUNCTION("""COMPUTED_VALUE"""),"Key Personnel")</f>
        <v>Key Personnel</v>
      </c>
      <c r="D510" s="2" t="str">
        <f>IFERROR(__xludf.DUMMYFUNCTION("""COMPUTED_VALUE"""),"own lab (Manzoni)")</f>
        <v>own lab (Manzoni)</v>
      </c>
      <c r="E510" s="2" t="str">
        <f>IFERROR(__xludf.DUMMYFUNCTION("""COMPUTED_VALUE"""),"Senior Research Associate")</f>
        <v>Senior Research Associate</v>
      </c>
      <c r="F510" s="2" t="str">
        <f>IFERROR(__xludf.DUMMYFUNCTION("""COMPUTED_VALUE"""),"c.manzoni@ucl.ac.uk")</f>
        <v>c.manzoni@ucl.ac.uk</v>
      </c>
      <c r="G510" s="2" t="str">
        <f>IFERROR(__xludf.DUMMYFUNCTION("""COMPUTED_VALUE"""),"0000-0001-5367-4023")</f>
        <v>0000-0001-5367-4023</v>
      </c>
    </row>
    <row r="511">
      <c r="A511" s="2" t="str">
        <f>IFERROR(__xludf.DUMMYFUNCTION("""COMPUTED_VALUE"""),"Karishma")</f>
        <v>Karishma</v>
      </c>
      <c r="B511" s="2" t="str">
        <f>IFERROR(__xludf.DUMMYFUNCTION("""COMPUTED_VALUE"""),"D'Sa")</f>
        <v>D'Sa</v>
      </c>
      <c r="C511" s="2" t="str">
        <f>IFERROR(__xludf.DUMMYFUNCTION("""COMPUTED_VALUE"""),"Key Personnel")</f>
        <v>Key Personnel</v>
      </c>
      <c r="D511" s="2" t="str">
        <f>IFERROR(__xludf.DUMMYFUNCTION("""COMPUTED_VALUE"""),"Gandhi &amp; Ryten")</f>
        <v>Gandhi &amp; Ryten</v>
      </c>
      <c r="E511" s="2" t="str">
        <f>IFERROR(__xludf.DUMMYFUNCTION("""COMPUTED_VALUE"""),"Postdoc")</f>
        <v>Postdoc</v>
      </c>
      <c r="F511" s="2" t="str">
        <f>IFERROR(__xludf.DUMMYFUNCTION("""COMPUTED_VALUE"""),"k.d'sa@ucl.ac.uk")</f>
        <v>k.d'sa@ucl.ac.uk</v>
      </c>
      <c r="G511" s="2" t="str">
        <f>IFERROR(__xludf.DUMMYFUNCTION("""COMPUTED_VALUE"""),"0000-0003-1266-419X")</f>
        <v>0000-0003-1266-419X</v>
      </c>
    </row>
    <row r="512">
      <c r="A512" s="2" t="str">
        <f>IFERROR(__xludf.DUMMYFUNCTION("""COMPUTED_VALUE"""),"Taylor te Vruchte")</f>
        <v>Taylor te Vruchte</v>
      </c>
      <c r="B512" s="2" t="str">
        <f>IFERROR(__xludf.DUMMYFUNCTION("""COMPUTED_VALUE"""),"Danielle")</f>
        <v>Danielle</v>
      </c>
      <c r="C512" s="2" t="str">
        <f>IFERROR(__xludf.DUMMYFUNCTION("""COMPUTED_VALUE"""),"Key Personnel")</f>
        <v>Key Personnel</v>
      </c>
      <c r="D512" s="2" t="str">
        <f>IFERROR(__xludf.DUMMYFUNCTION("""COMPUTED_VALUE"""),"Platt")</f>
        <v>Platt</v>
      </c>
      <c r="E512" s="2" t="str">
        <f>IFERROR(__xludf.DUMMYFUNCTION("""COMPUTED_VALUE"""),"Research Assistant")</f>
        <v>Research Assistant</v>
      </c>
      <c r="F512" s="2" t="str">
        <f>IFERROR(__xludf.DUMMYFUNCTION("""COMPUTED_VALUE"""),"danielle.tevruchte@pharm.ox.ac.uk")</f>
        <v>danielle.tevruchte@pharm.ox.ac.uk</v>
      </c>
      <c r="G512" s="2" t="str">
        <f>IFERROR(__xludf.DUMMYFUNCTION("""COMPUTED_VALUE"""),"0000-0002-1709-1709")</f>
        <v>0000-0002-1709-1709</v>
      </c>
    </row>
    <row r="513">
      <c r="A513" s="2" t="str">
        <f>IFERROR(__xludf.DUMMYFUNCTION("""COMPUTED_VALUE"""),"Priestman")</f>
        <v>Priestman</v>
      </c>
      <c r="B513" s="2" t="str">
        <f>IFERROR(__xludf.DUMMYFUNCTION("""COMPUTED_VALUE"""),"David")</f>
        <v>David</v>
      </c>
      <c r="C513" s="2" t="str">
        <f>IFERROR(__xludf.DUMMYFUNCTION("""COMPUTED_VALUE"""),"Key Personnel")</f>
        <v>Key Personnel</v>
      </c>
      <c r="D513" s="2" t="str">
        <f>IFERROR(__xludf.DUMMYFUNCTION("""COMPUTED_VALUE"""),"Platt")</f>
        <v>Platt</v>
      </c>
      <c r="E513" s="2" t="str">
        <f>IFERROR(__xludf.DUMMYFUNCTION("""COMPUTED_VALUE"""),"Senior Post Doc Research Associate")</f>
        <v>Senior Post Doc Research Associate</v>
      </c>
      <c r="F513" s="2" t="str">
        <f>IFERROR(__xludf.DUMMYFUNCTION("""COMPUTED_VALUE"""),"david.priestman@pharm.ox.ac.uk")</f>
        <v>david.priestman@pharm.ox.ac.uk</v>
      </c>
      <c r="G513" s="2" t="str">
        <f>IFERROR(__xludf.DUMMYFUNCTION("""COMPUTED_VALUE"""),"0000-0002-0030-0148")</f>
        <v>0000-0002-0030-0148</v>
      </c>
    </row>
    <row r="514">
      <c r="A514" s="2" t="str">
        <f>IFERROR(__xludf.DUMMYFUNCTION("""COMPUTED_VALUE"""),"Shoai")</f>
        <v>Shoai</v>
      </c>
      <c r="B514" s="2" t="str">
        <f>IFERROR(__xludf.DUMMYFUNCTION("""COMPUTED_VALUE"""),"Maryam ")</f>
        <v>Maryam </v>
      </c>
      <c r="C514" s="2" t="str">
        <f>IFERROR(__xludf.DUMMYFUNCTION("""COMPUTED_VALUE"""),"Key Personnel")</f>
        <v>Key Personnel</v>
      </c>
      <c r="D514" s="2" t="str">
        <f>IFERROR(__xludf.DUMMYFUNCTION("""COMPUTED_VALUE"""),"Hardy")</f>
        <v>Hardy</v>
      </c>
      <c r="E514" s="2" t="str">
        <f>IFERROR(__xludf.DUMMYFUNCTION("""COMPUTED_VALUE"""),"Postdoc")</f>
        <v>Postdoc</v>
      </c>
      <c r="F514" s="2" t="str">
        <f>IFERROR(__xludf.DUMMYFUNCTION("""COMPUTED_VALUE"""),"m.shoai@ucl.ac.uk")</f>
        <v>m.shoai@ucl.ac.uk</v>
      </c>
      <c r="G514" s="2" t="str">
        <f>IFERROR(__xludf.DUMMYFUNCTION("""COMPUTED_VALUE"""),"0000-0003-2499-8533")</f>
        <v>0000-0003-2499-8533</v>
      </c>
    </row>
    <row r="515">
      <c r="A515" s="2" t="str">
        <f>IFERROR(__xludf.DUMMYFUNCTION("""COMPUTED_VALUE"""),"Jabbari")</f>
        <v>Jabbari</v>
      </c>
      <c r="B515" s="2" t="str">
        <f>IFERROR(__xludf.DUMMYFUNCTION("""COMPUTED_VALUE"""),"Ed")</f>
        <v>Ed</v>
      </c>
      <c r="C515" s="2" t="str">
        <f>IFERROR(__xludf.DUMMYFUNCTION("""COMPUTED_VALUE"""),"Key Personnel")</f>
        <v>Key Personnel</v>
      </c>
      <c r="D515" s="2" t="str">
        <f>IFERROR(__xludf.DUMMYFUNCTION("""COMPUTED_VALUE"""),"Morris")</f>
        <v>Morris</v>
      </c>
      <c r="E515" s="2" t="str">
        <f>IFERROR(__xludf.DUMMYFUNCTION("""COMPUTED_VALUE"""),"PhD Student")</f>
        <v>PhD Student</v>
      </c>
      <c r="F515" s="2" t="str">
        <f>IFERROR(__xludf.DUMMYFUNCTION("""COMPUTED_VALUE"""),"e.jabbari@ucl.ac.uk")</f>
        <v>e.jabbari@ucl.ac.uk</v>
      </c>
      <c r="G515" s="2" t="str">
        <f>IFERROR(__xludf.DUMMYFUNCTION("""COMPUTED_VALUE"""),"0000-0001-6844-882X")</f>
        <v>0000-0001-6844-882X</v>
      </c>
    </row>
    <row r="516">
      <c r="A516" s="2" t="str">
        <f>IFERROR(__xludf.DUMMYFUNCTION("""COMPUTED_VALUE"""),"Gustavsson")</f>
        <v>Gustavsson</v>
      </c>
      <c r="B516" s="2" t="str">
        <f>IFERROR(__xludf.DUMMYFUNCTION("""COMPUTED_VALUE"""),"Emil")</f>
        <v>Emil</v>
      </c>
      <c r="C516" s="2" t="str">
        <f>IFERROR(__xludf.DUMMYFUNCTION("""COMPUTED_VALUE"""),"Key Personnel")</f>
        <v>Key Personnel</v>
      </c>
      <c r="D516" s="2" t="str">
        <f>IFERROR(__xludf.DUMMYFUNCTION("""COMPUTED_VALUE"""),"Ryten")</f>
        <v>Ryten</v>
      </c>
      <c r="E516" s="2" t="str">
        <f>IFERROR(__xludf.DUMMYFUNCTION("""COMPUTED_VALUE"""),"Postdoc")</f>
        <v>Postdoc</v>
      </c>
      <c r="F516" s="2" t="str">
        <f>IFERROR(__xludf.DUMMYFUNCTION("""COMPUTED_VALUE"""),"e.gustavsson@ucl.ac.uk")</f>
        <v>e.gustavsson@ucl.ac.uk</v>
      </c>
      <c r="G516" s="2" t="str">
        <f>IFERROR(__xludf.DUMMYFUNCTION("""COMPUTED_VALUE"""),"0000-0003-0541-7537")</f>
        <v>0000-0003-0541-7537</v>
      </c>
    </row>
    <row r="517">
      <c r="A517" s="2" t="str">
        <f>IFERROR(__xludf.DUMMYFUNCTION("""COMPUTED_VALUE"""),"Deangeli  ")</f>
        <v>Deangeli  </v>
      </c>
      <c r="B517" s="2" t="str">
        <f>IFERROR(__xludf.DUMMYFUNCTION("""COMPUTED_VALUE"""),"Giulio")</f>
        <v>Giulio</v>
      </c>
      <c r="C517" s="2" t="str">
        <f>IFERROR(__xludf.DUMMYFUNCTION("""COMPUTED_VALUE"""),"Key Personnel")</f>
        <v>Key Personnel</v>
      </c>
      <c r="D517" s="2" t="str">
        <f>IFERROR(__xludf.DUMMYFUNCTION("""COMPUTED_VALUE"""),"Spillantini")</f>
        <v>Spillantini</v>
      </c>
      <c r="E517" s="2" t="str">
        <f>IFERROR(__xludf.DUMMYFUNCTION("""COMPUTED_VALUE"""),"PhD Student")</f>
        <v>PhD Student</v>
      </c>
      <c r="F517" s="2" t="str">
        <f>IFERROR(__xludf.DUMMYFUNCTION("""COMPUTED_VALUE"""),"gd456@cam.ac.uk")</f>
        <v>gd456@cam.ac.uk</v>
      </c>
      <c r="G517" s="2" t="str">
        <f>IFERROR(__xludf.DUMMYFUNCTION("""COMPUTED_VALUE"""),"0000-0001-8894-9955")</f>
        <v>0000-0001-8894-9955</v>
      </c>
    </row>
    <row r="518">
      <c r="A518" s="2" t="str">
        <f>IFERROR(__xludf.DUMMYFUNCTION("""COMPUTED_VALUE"""),"Brandes")</f>
        <v>Brandes</v>
      </c>
      <c r="B518" s="2" t="str">
        <f>IFERROR(__xludf.DUMMYFUNCTION("""COMPUTED_VALUE"""),"Janine")</f>
        <v>Janine</v>
      </c>
      <c r="C518" s="2" t="str">
        <f>IFERROR(__xludf.DUMMYFUNCTION("""COMPUTED_VALUE"""),"Key Personnel")</f>
        <v>Key Personnel</v>
      </c>
      <c r="D518" s="2" t="str">
        <f>IFERROR(__xludf.DUMMYFUNCTION("""COMPUTED_VALUE"""),"Spillantini")</f>
        <v>Spillantini</v>
      </c>
      <c r="E518" s="2" t="str">
        <f>IFERROR(__xludf.DUMMYFUNCTION("""COMPUTED_VALUE"""),"Postdoc")</f>
        <v>Postdoc</v>
      </c>
      <c r="F518" s="2" t="str">
        <f>IFERROR(__xludf.DUMMYFUNCTION("""COMPUTED_VALUE"""),"jb2274@cam.ac.uk")</f>
        <v>jb2274@cam.ac.uk</v>
      </c>
      <c r="G518" s="2" t="str">
        <f>IFERROR(__xludf.DUMMYFUNCTION("""COMPUTED_VALUE"""),"0000-0002-2959-1081")</f>
        <v>0000-0002-2959-1081</v>
      </c>
    </row>
    <row r="519">
      <c r="A519" s="2" t="str">
        <f>IFERROR(__xludf.DUMMYFUNCTION("""COMPUTED_VALUE"""),"Brenton")</f>
        <v>Brenton</v>
      </c>
      <c r="B519" s="2" t="str">
        <f>IFERROR(__xludf.DUMMYFUNCTION("""COMPUTED_VALUE"""),"Jonathon")</f>
        <v>Jonathon</v>
      </c>
      <c r="C519" s="2" t="str">
        <f>IFERROR(__xludf.DUMMYFUNCTION("""COMPUTED_VALUE"""),"Key Personnel")</f>
        <v>Key Personnel</v>
      </c>
      <c r="D519" s="2" t="str">
        <f>IFERROR(__xludf.DUMMYFUNCTION("""COMPUTED_VALUE"""),"Ryten")</f>
        <v>Ryten</v>
      </c>
      <c r="E519" s="2" t="str">
        <f>IFERROR(__xludf.DUMMYFUNCTION("""COMPUTED_VALUE"""),"Post Doc Research Associate  ")</f>
        <v>Post Doc Research Associate  </v>
      </c>
      <c r="F519" s="2" t="str">
        <f>IFERROR(__xludf.DUMMYFUNCTION("""COMPUTED_VALUE"""),"jonathan.brenton.14@ucl.ac.uk")</f>
        <v>jonathan.brenton.14@ucl.ac.uk</v>
      </c>
      <c r="G519" s="2" t="str">
        <f>IFERROR(__xludf.DUMMYFUNCTION("""COMPUTED_VALUE"""),"0000-0002-2381-8484")</f>
        <v>0000-0002-2381-8484</v>
      </c>
    </row>
    <row r="520">
      <c r="A520" s="2" t="str">
        <f>IFERROR(__xludf.DUMMYFUNCTION("""COMPUTED_VALUE"""),"Botia")</f>
        <v>Botia</v>
      </c>
      <c r="B520" s="2" t="str">
        <f>IFERROR(__xludf.DUMMYFUNCTION("""COMPUTED_VALUE"""),"Juan")</f>
        <v>Juan</v>
      </c>
      <c r="C520" s="2" t="str">
        <f>IFERROR(__xludf.DUMMYFUNCTION("""COMPUTED_VALUE"""),"Key Personnel")</f>
        <v>Key Personnel</v>
      </c>
      <c r="D520" s="2" t="str">
        <f>IFERROR(__xludf.DUMMYFUNCTION("""COMPUTED_VALUE"""),"Ryten")</f>
        <v>Ryten</v>
      </c>
      <c r="E520" s="2" t="str">
        <f>IFERROR(__xludf.DUMMYFUNCTION("""COMPUTED_VALUE"""),"Affiliated Senior Researcher")</f>
        <v>Affiliated Senior Researcher</v>
      </c>
      <c r="F520" s="2" t="str">
        <f>IFERROR(__xludf.DUMMYFUNCTION("""COMPUTED_VALUE"""),"j.botia@ucl.ac.uk")</f>
        <v>j.botia@ucl.ac.uk</v>
      </c>
      <c r="G520" s="2" t="str">
        <f>IFERROR(__xludf.DUMMYFUNCTION("""COMPUTED_VALUE"""),"0000-0002-6992-598X")</f>
        <v>0000-0002-6992-598X</v>
      </c>
    </row>
    <row r="521">
      <c r="A521" s="2" t="str">
        <f>IFERROR(__xludf.DUMMYFUNCTION("""COMPUTED_VALUE"""),"Smalley")</f>
        <v>Smalley</v>
      </c>
      <c r="B521" s="2" t="str">
        <f>IFERROR(__xludf.DUMMYFUNCTION("""COMPUTED_VALUE"""),"June")</f>
        <v>June</v>
      </c>
      <c r="C521" s="2" t="str">
        <f>IFERROR(__xludf.DUMMYFUNCTION("""COMPUTED_VALUE"""),"Project Manager")</f>
        <v>Project Manager</v>
      </c>
      <c r="D521" s="2" t="str">
        <f>IFERROR(__xludf.DUMMYFUNCTION("""COMPUTED_VALUE"""),"Hardy")</f>
        <v>Hardy</v>
      </c>
      <c r="E521" s="2" t="str">
        <f>IFERROR(__xludf.DUMMYFUNCTION("""COMPUTED_VALUE"""),"PA to Prof Hardy")</f>
        <v>PA to Prof Hardy</v>
      </c>
      <c r="F521" s="2" t="str">
        <f>IFERROR(__xludf.DUMMYFUNCTION("""COMPUTED_VALUE"""),"j.smalley@ucl.ac.uk")</f>
        <v>j.smalley@ucl.ac.uk</v>
      </c>
      <c r="G521" s="2" t="str">
        <f>IFERROR(__xludf.DUMMYFUNCTION("""COMPUTED_VALUE"""),"0000-0001-9080-1319")</f>
        <v>0000-0001-9080-1319</v>
      </c>
    </row>
    <row r="522">
      <c r="A522" s="2" t="str">
        <f>IFERROR(__xludf.DUMMYFUNCTION("""COMPUTED_VALUE"""),"Wallom")</f>
        <v>Wallom</v>
      </c>
      <c r="B522" s="2" t="str">
        <f>IFERROR(__xludf.DUMMYFUNCTION("""COMPUTED_VALUE"""),"Kerri")</f>
        <v>Kerri</v>
      </c>
      <c r="C522" s="2" t="str">
        <f>IFERROR(__xludf.DUMMYFUNCTION("""COMPUTED_VALUE"""),"Key Personnel")</f>
        <v>Key Personnel</v>
      </c>
      <c r="D522" s="2" t="str">
        <f>IFERROR(__xludf.DUMMYFUNCTION("""COMPUTED_VALUE"""),"Platt")</f>
        <v>Platt</v>
      </c>
      <c r="E522" s="2" t="str">
        <f>IFERROR(__xludf.DUMMYFUNCTION("""COMPUTED_VALUE"""),"Postdoctoral Research Associate")</f>
        <v>Postdoctoral Research Associate</v>
      </c>
      <c r="F522" s="2" t="str">
        <f>IFERROR(__xludf.DUMMYFUNCTION("""COMPUTED_VALUE"""),"kerri-lee.wallom@pharm.ox.ac.uk")</f>
        <v>kerri-lee.wallom@pharm.ox.ac.uk</v>
      </c>
      <c r="G522" s="2" t="str">
        <f>IFERROR(__xludf.DUMMYFUNCTION("""COMPUTED_VALUE"""),"0000-0002-2842-1275")</f>
        <v>0000-0002-2842-1275</v>
      </c>
    </row>
    <row r="523">
      <c r="A523" s="2" t="str">
        <f>IFERROR(__xludf.DUMMYFUNCTION("""COMPUTED_VALUE"""),"Mok")</f>
        <v>Mok</v>
      </c>
      <c r="B523" s="2" t="str">
        <f>IFERROR(__xludf.DUMMYFUNCTION("""COMPUTED_VALUE"""),"Kin")</f>
        <v>Kin</v>
      </c>
      <c r="C523" s="2" t="str">
        <f>IFERROR(__xludf.DUMMYFUNCTION("""COMPUTED_VALUE"""),"Key Personnel")</f>
        <v>Key Personnel</v>
      </c>
      <c r="D523" s="2" t="str">
        <f>IFERROR(__xludf.DUMMYFUNCTION("""COMPUTED_VALUE"""),"Hardy")</f>
        <v>Hardy</v>
      </c>
      <c r="E523" s="2" t="str">
        <f>IFERROR(__xludf.DUMMYFUNCTION("""COMPUTED_VALUE"""),"Professor")</f>
        <v>Professor</v>
      </c>
      <c r="F523" s="2" t="str">
        <f>IFERROR(__xludf.DUMMYFUNCTION("""COMPUTED_VALUE"""),"k.mok@ucl.ac.uk")</f>
        <v>k.mok@ucl.ac.uk</v>
      </c>
      <c r="G523" s="2" t="str">
        <f>IFERROR(__xludf.DUMMYFUNCTION("""COMPUTED_VALUE"""),"0000-0003-3145-880X")</f>
        <v>0000-0003-3145-880X</v>
      </c>
    </row>
    <row r="524">
      <c r="A524" s="2" t="str">
        <f>IFERROR(__xludf.DUMMYFUNCTION("""COMPUTED_VALUE"""),"Wu")</f>
        <v>Wu</v>
      </c>
      <c r="B524" s="2" t="str">
        <f>IFERROR(__xludf.DUMMYFUNCTION("""COMPUTED_VALUE"""),"Lesley")</f>
        <v>Lesley</v>
      </c>
      <c r="C524" s="2" t="str">
        <f>IFERROR(__xludf.DUMMYFUNCTION("""COMPUTED_VALUE"""),"Key Personnel")</f>
        <v>Key Personnel</v>
      </c>
      <c r="D524" s="2" t="str">
        <f>IFERROR(__xludf.DUMMYFUNCTION("""COMPUTED_VALUE"""),"Morris")</f>
        <v>Morris</v>
      </c>
      <c r="E524" s="2" t="str">
        <f>IFERROR(__xludf.DUMMYFUNCTION("""COMPUTED_VALUE"""),"Masters Student")</f>
        <v>Masters Student</v>
      </c>
      <c r="F524" s="2" t="str">
        <f>IFERROR(__xludf.DUMMYFUNCTION("""COMPUTED_VALUE"""),"l.wu.17@ucl.ac.uk")</f>
        <v>l.wu.17@ucl.ac.uk</v>
      </c>
      <c r="G524" s="2" t="str">
        <f>IFERROR(__xludf.DUMMYFUNCTION("""COMPUTED_VALUE"""),"0000-0001-5464-5603")</f>
        <v>0000-0001-5464-5603</v>
      </c>
    </row>
    <row r="525">
      <c r="A525" s="2" t="str">
        <f>IFERROR(__xludf.DUMMYFUNCTION("""COMPUTED_VALUE"""),"Bacioglu")</f>
        <v>Bacioglu</v>
      </c>
      <c r="B525" s="2" t="str">
        <f>IFERROR(__xludf.DUMMYFUNCTION("""COMPUTED_VALUE"""),"Methap")</f>
        <v>Methap</v>
      </c>
      <c r="C525" s="2" t="str">
        <f>IFERROR(__xludf.DUMMYFUNCTION("""COMPUTED_VALUE"""),"Key Personnel")</f>
        <v>Key Personnel</v>
      </c>
      <c r="D525" s="2" t="str">
        <f>IFERROR(__xludf.DUMMYFUNCTION("""COMPUTED_VALUE"""),"Spillantini")</f>
        <v>Spillantini</v>
      </c>
      <c r="E525" s="2" t="str">
        <f>IFERROR(__xludf.DUMMYFUNCTION("""COMPUTED_VALUE"""),"Postdoctoral Researcher")</f>
        <v>Postdoctoral Researcher</v>
      </c>
      <c r="F525" s="2" t="str">
        <f>IFERROR(__xludf.DUMMYFUNCTION("""COMPUTED_VALUE"""),"mb2262@medschl.cam.ac.uk")</f>
        <v>mb2262@medschl.cam.ac.uk</v>
      </c>
      <c r="G525" s="2" t="str">
        <f>IFERROR(__xludf.DUMMYFUNCTION("""COMPUTED_VALUE"""),"0000-0003-0304-7026 ")</f>
        <v>0000-0003-0304-7026 </v>
      </c>
    </row>
    <row r="526">
      <c r="A526" s="2" t="str">
        <f>IFERROR(__xludf.DUMMYFUNCTION("""COMPUTED_VALUE"""),"Lewis")</f>
        <v>Lewis</v>
      </c>
      <c r="B526" s="2" t="str">
        <f>IFERROR(__xludf.DUMMYFUNCTION("""COMPUTED_VALUE"""),"Patrick")</f>
        <v>Patrick</v>
      </c>
      <c r="C526" s="2" t="str">
        <f>IFERROR(__xludf.DUMMYFUNCTION("""COMPUTED_VALUE"""),"Collaborating PI")</f>
        <v>Collaborating PI</v>
      </c>
      <c r="D526" s="2" t="str">
        <f>IFERROR(__xludf.DUMMYFUNCTION("""COMPUTED_VALUE"""),"own lab (Lewis)")</f>
        <v>own lab (Lewis)</v>
      </c>
      <c r="E526" s="2" t="str">
        <f>IFERROR(__xludf.DUMMYFUNCTION("""COMPUTED_VALUE"""),"Professor")</f>
        <v>Professor</v>
      </c>
      <c r="F526" s="2" t="str">
        <f>IFERROR(__xludf.DUMMYFUNCTION("""COMPUTED_VALUE"""),"plewis@rvc.ac.uk")</f>
        <v>plewis@rvc.ac.uk</v>
      </c>
      <c r="G526" s="2" t="str">
        <f>IFERROR(__xludf.DUMMYFUNCTION("""COMPUTED_VALUE"""),"0000-0003-4537-0489")</f>
        <v>0000-0003-4537-0489</v>
      </c>
    </row>
    <row r="527">
      <c r="A527" s="2" t="str">
        <f>IFERROR(__xludf.DUMMYFUNCTION("""COMPUTED_VALUE"""),"Plun-Favreau")</f>
        <v>Plun-Favreau</v>
      </c>
      <c r="B527" s="2" t="str">
        <f>IFERROR(__xludf.DUMMYFUNCTION("""COMPUTED_VALUE"""),"Helene ")</f>
        <v>Helene </v>
      </c>
      <c r="C527" s="2" t="str">
        <f>IFERROR(__xludf.DUMMYFUNCTION("""COMPUTED_VALUE"""),"Collaborating PI")</f>
        <v>Collaborating PI</v>
      </c>
      <c r="D527" s="2" t="str">
        <f>IFERROR(__xludf.DUMMYFUNCTION("""COMPUTED_VALUE"""),"own lab (Plun-Favreau)")</f>
        <v>own lab (Plun-Favreau)</v>
      </c>
      <c r="E527" s="2" t="str">
        <f>IFERROR(__xludf.DUMMYFUNCTION("""COMPUTED_VALUE"""),"Professor")</f>
        <v>Professor</v>
      </c>
      <c r="F527" s="2" t="str">
        <f>IFERROR(__xludf.DUMMYFUNCTION("""COMPUTED_VALUE"""),"h.plun-favreau@ucl.ac.uk")</f>
        <v>h.plun-favreau@ucl.ac.uk</v>
      </c>
      <c r="G527" s="2" t="str">
        <f>IFERROR(__xludf.DUMMYFUNCTION("""COMPUTED_VALUE"""),"0000-0002-1401-9656")</f>
        <v>0000-0002-1401-9656</v>
      </c>
    </row>
    <row r="528">
      <c r="A528" s="2" t="str">
        <f>IFERROR(__xludf.DUMMYFUNCTION("""COMPUTED_VALUE"""),"Morris")</f>
        <v>Morris</v>
      </c>
      <c r="B528" s="2" t="str">
        <f>IFERROR(__xludf.DUMMYFUNCTION("""COMPUTED_VALUE"""),"Huw")</f>
        <v>Huw</v>
      </c>
      <c r="C528" s="2" t="str">
        <f>IFERROR(__xludf.DUMMYFUNCTION("""COMPUTED_VALUE"""),"Collaborating PI")</f>
        <v>Collaborating PI</v>
      </c>
      <c r="D528" s="2" t="str">
        <f>IFERROR(__xludf.DUMMYFUNCTION("""COMPUTED_VALUE"""),"own lab (Morris)")</f>
        <v>own lab (Morris)</v>
      </c>
      <c r="E528" s="2" t="str">
        <f>IFERROR(__xludf.DUMMYFUNCTION("""COMPUTED_VALUE"""),"Professor")</f>
        <v>Professor</v>
      </c>
      <c r="F528" s="2" t="str">
        <f>IFERROR(__xludf.DUMMYFUNCTION("""COMPUTED_VALUE"""),"h.morris@ucl.ac.uk")</f>
        <v>h.morris@ucl.ac.uk</v>
      </c>
      <c r="G528" s="2" t="str">
        <f>IFERROR(__xludf.DUMMYFUNCTION("""COMPUTED_VALUE"""),"0000-0002-5473-3774")</f>
        <v>0000-0002-5473-3774</v>
      </c>
    </row>
    <row r="529">
      <c r="A529" s="2" t="str">
        <f>IFERROR(__xludf.DUMMYFUNCTION("""COMPUTED_VALUE"""),"Real")</f>
        <v>Real</v>
      </c>
      <c r="B529" s="2" t="str">
        <f>IFERROR(__xludf.DUMMYFUNCTION("""COMPUTED_VALUE"""),"Raquel")</f>
        <v>Raquel</v>
      </c>
      <c r="C529" s="2" t="str">
        <f>IFERROR(__xludf.DUMMYFUNCTION("""COMPUTED_VALUE"""),"Key Personnel")</f>
        <v>Key Personnel</v>
      </c>
      <c r="D529" s="2" t="str">
        <f>IFERROR(__xludf.DUMMYFUNCTION("""COMPUTED_VALUE"""),"Morris")</f>
        <v>Morris</v>
      </c>
      <c r="E529" s="2" t="str">
        <f>IFERROR(__xludf.DUMMYFUNCTION("""COMPUTED_VALUE"""),"Clinical Research Associate")</f>
        <v>Clinical Research Associate</v>
      </c>
      <c r="F529" s="2" t="str">
        <f>IFERROR(__xludf.DUMMYFUNCTION("""COMPUTED_VALUE"""),"r.real@ucl.ac.uk")</f>
        <v>r.real@ucl.ac.uk</v>
      </c>
      <c r="G529" s="2" t="str">
        <f>IFERROR(__xludf.DUMMYFUNCTION("""COMPUTED_VALUE"""),"0000-0001-8117-742X")</f>
        <v>0000-0001-8117-742X</v>
      </c>
    </row>
    <row r="530">
      <c r="A530" s="2" t="str">
        <f>IFERROR(__xludf.DUMMYFUNCTION("""COMPUTED_VALUE"""),"Herbst")</f>
        <v>Herbst</v>
      </c>
      <c r="B530" s="2" t="str">
        <f>IFERROR(__xludf.DUMMYFUNCTION("""COMPUTED_VALUE"""),"Susanne")</f>
        <v>Susanne</v>
      </c>
      <c r="C530" s="2" t="str">
        <f>IFERROR(__xludf.DUMMYFUNCTION("""COMPUTED_VALUE"""),"Key Personnel")</f>
        <v>Key Personnel</v>
      </c>
      <c r="D530" s="2" t="str">
        <f>IFERROR(__xludf.DUMMYFUNCTION("""COMPUTED_VALUE"""),"Lewis")</f>
        <v>Lewis</v>
      </c>
      <c r="E530" s="2" t="str">
        <f>IFERROR(__xludf.DUMMYFUNCTION("""COMPUTED_VALUE"""),"Senior Research Associate")</f>
        <v>Senior Research Associate</v>
      </c>
      <c r="F530" s="2" t="str">
        <f>IFERROR(__xludf.DUMMYFUNCTION("""COMPUTED_VALUE"""),"sherbst@rvc.ac.uk")</f>
        <v>sherbst@rvc.ac.uk</v>
      </c>
      <c r="G530" s="2" t="str">
        <f>IFERROR(__xludf.DUMMYFUNCTION("""COMPUTED_VALUE"""),"0000-0003-2255-7371")</f>
        <v>0000-0003-2255-7371</v>
      </c>
    </row>
    <row r="531">
      <c r="A531" s="2" t="str">
        <f>IFERROR(__xludf.DUMMYFUNCTION("""COMPUTED_VALUE"""),"Zheng")</f>
        <v>Zheng</v>
      </c>
      <c r="B531" s="2" t="str">
        <f>IFERROR(__xludf.DUMMYFUNCTION("""COMPUTED_VALUE"""),"Kevin (Zhiguang)")</f>
        <v>Kevin (Zhiguang)</v>
      </c>
      <c r="C531" s="2" t="str">
        <f>IFERROR(__xludf.DUMMYFUNCTION("""COMPUTED_VALUE"""),"Key Personnel")</f>
        <v>Key Personnel</v>
      </c>
      <c r="D531" s="2" t="str">
        <f>IFERROR(__xludf.DUMMYFUNCTION("""COMPUTED_VALUE"""),"Spillantini")</f>
        <v>Spillantini</v>
      </c>
      <c r="E531" s="2" t="str">
        <f>IFERROR(__xludf.DUMMYFUNCTION("""COMPUTED_VALUE"""),"Research Assistant")</f>
        <v>Research Assistant</v>
      </c>
      <c r="F531" s="2" t="str">
        <f>IFERROR(__xludf.DUMMYFUNCTION("""COMPUTED_VALUE"""),"zz217@cam.ac.uk")</f>
        <v>zz217@cam.ac.uk</v>
      </c>
      <c r="G531" s="2" t="str">
        <f>IFERROR(__xludf.DUMMYFUNCTION("""COMPUTED_VALUE"""),"0000-0003-1675-2912")</f>
        <v>0000-0003-1675-2912</v>
      </c>
    </row>
    <row r="532">
      <c r="A532" s="2" t="str">
        <f>IFERROR(__xludf.DUMMYFUNCTION("""COMPUTED_VALUE"""),"Duffy")</f>
        <v>Duffy</v>
      </c>
      <c r="B532" s="2" t="str">
        <f>IFERROR(__xludf.DUMMYFUNCTION("""COMPUTED_VALUE"""),"Hannah")</f>
        <v>Hannah</v>
      </c>
      <c r="C532" s="2" t="str">
        <f>IFERROR(__xludf.DUMMYFUNCTION("""COMPUTED_VALUE"""),"Key Personnel")</f>
        <v>Key Personnel</v>
      </c>
      <c r="D532" s="2" t="str">
        <f>IFERROR(__xludf.DUMMYFUNCTION("""COMPUTED_VALUE"""),"Platt")</f>
        <v>Platt</v>
      </c>
      <c r="E532" s="2" t="str">
        <f>IFERROR(__xludf.DUMMYFUNCTION("""COMPUTED_VALUE"""),"PhD Student")</f>
        <v>PhD Student</v>
      </c>
      <c r="F532" s="2" t="str">
        <f>IFERROR(__xludf.DUMMYFUNCTION("""COMPUTED_VALUE"""),"hannah.duffy@chch.ox.ac.uk")</f>
        <v>hannah.duffy@chch.ox.ac.uk</v>
      </c>
      <c r="G532" s="2" t="str">
        <f>IFERROR(__xludf.DUMMYFUNCTION("""COMPUTED_VALUE"""),"0000-0002-0358-6997")</f>
        <v>0000-0002-0358-6997</v>
      </c>
    </row>
    <row r="533">
      <c r="A533" s="2" t="str">
        <f>IFERROR(__xludf.DUMMYFUNCTION("""COMPUTED_VALUE"""),"Zhang")</f>
        <v>Zhang</v>
      </c>
      <c r="B533" s="2" t="str">
        <f>IFERROR(__xludf.DUMMYFUNCTION("""COMPUTED_VALUE"""),"Qiaochu")</f>
        <v>Qiaochu</v>
      </c>
      <c r="C533" s="2" t="str">
        <f>IFERROR(__xludf.DUMMYFUNCTION("""COMPUTED_VALUE"""),"Key Personnel")</f>
        <v>Key Personnel</v>
      </c>
      <c r="D533" s="2" t="str">
        <f>IFERROR(__xludf.DUMMYFUNCTION("""COMPUTED_VALUE"""),"Platt")</f>
        <v>Platt</v>
      </c>
      <c r="E533" s="2" t="str">
        <f>IFERROR(__xludf.DUMMYFUNCTION("""COMPUTED_VALUE"""),"PhD Student")</f>
        <v>PhD Student</v>
      </c>
      <c r="F533" s="2" t="str">
        <f>IFERROR(__xludf.DUMMYFUNCTION("""COMPUTED_VALUE"""),"qiaochu.zhang@bnc.ox.ac.uk")</f>
        <v>qiaochu.zhang@bnc.ox.ac.uk</v>
      </c>
      <c r="G533" s="2" t="str">
        <f>IFERROR(__xludf.DUMMYFUNCTION("""COMPUTED_VALUE"""),"0000-0003-3554-9215")</f>
        <v>0000-0003-3554-9215</v>
      </c>
    </row>
    <row r="534">
      <c r="A534" s="2" t="str">
        <f>IFERROR(__xludf.DUMMYFUNCTION("""COMPUTED_VALUE"""),"Stafford")</f>
        <v>Stafford</v>
      </c>
      <c r="B534" s="2" t="str">
        <f>IFERROR(__xludf.DUMMYFUNCTION("""COMPUTED_VALUE"""),"Ellie")</f>
        <v>Ellie</v>
      </c>
      <c r="C534" s="2" t="str">
        <f>IFERROR(__xludf.DUMMYFUNCTION("""COMPUTED_VALUE"""),"Key Personnel")</f>
        <v>Key Personnel</v>
      </c>
      <c r="D534" s="2" t="str">
        <f>IFERROR(__xludf.DUMMYFUNCTION("""COMPUTED_VALUE"""),"Morris")</f>
        <v>Morris</v>
      </c>
      <c r="E534" s="2" t="str">
        <f>IFERROR(__xludf.DUMMYFUNCTION("""COMPUTED_VALUE"""),"Research Assistant")</f>
        <v>Research Assistant</v>
      </c>
      <c r="F534" s="2" t="str">
        <f>IFERROR(__xludf.DUMMYFUNCTION("""COMPUTED_VALUE"""),"e.stafford@ucl.ac.uk ")</f>
        <v>e.stafford@ucl.ac.uk </v>
      </c>
      <c r="G534" s="2" t="str">
        <f>IFERROR(__xludf.DUMMYFUNCTION("""COMPUTED_VALUE"""),"0000-0003-2451-4308")</f>
        <v>0000-0003-2451-4308</v>
      </c>
    </row>
    <row r="535">
      <c r="A535" s="2" t="str">
        <f>IFERROR(__xludf.DUMMYFUNCTION("""COMPUTED_VALUE"""),"Bhore")</f>
        <v>Bhore</v>
      </c>
      <c r="B535" s="2" t="str">
        <f>IFERROR(__xludf.DUMMYFUNCTION("""COMPUTED_VALUE"""),"Noopur")</f>
        <v>Noopur</v>
      </c>
      <c r="C535" s="2" t="str">
        <f>IFERROR(__xludf.DUMMYFUNCTION("""COMPUTED_VALUE"""),"Key Personnel")</f>
        <v>Key Personnel</v>
      </c>
      <c r="D535" s="2" t="str">
        <f>IFERROR(__xludf.DUMMYFUNCTION("""COMPUTED_VALUE"""),"Lewis")</f>
        <v>Lewis</v>
      </c>
      <c r="E535" s="2" t="str">
        <f>IFERROR(__xludf.DUMMYFUNCTION("""COMPUTED_VALUE"""),"Postdoctoral Researcher")</f>
        <v>Postdoctoral Researcher</v>
      </c>
      <c r="F535" s="2" t="str">
        <f>IFERROR(__xludf.DUMMYFUNCTION("""COMPUTED_VALUE"""),"nbhore@rvc.ac.uk")</f>
        <v>nbhore@rvc.ac.uk</v>
      </c>
      <c r="G535" s="2" t="str">
        <f>IFERROR(__xludf.DUMMYFUNCTION("""COMPUTED_VALUE"""),"0000-0002-9176-1395")</f>
        <v>0000-0002-9176-1395</v>
      </c>
    </row>
    <row r="536">
      <c r="A536" s="2" t="str">
        <f>IFERROR(__xludf.DUMMYFUNCTION("""COMPUTED_VALUE"""),"Curless")</f>
        <v>Curless</v>
      </c>
      <c r="B536" s="2" t="str">
        <f>IFERROR(__xludf.DUMMYFUNCTION("""COMPUTED_VALUE"""),"Toby")</f>
        <v>Toby</v>
      </c>
      <c r="C536" s="2" t="str">
        <f>IFERROR(__xludf.DUMMYFUNCTION("""COMPUTED_VALUE"""),"Key Personnel")</f>
        <v>Key Personnel</v>
      </c>
      <c r="D536" s="2" t="str">
        <f>IFERROR(__xludf.DUMMYFUNCTION("""COMPUTED_VALUE"""),"Jaunmuktane")</f>
        <v>Jaunmuktane</v>
      </c>
      <c r="E536" s="2" t="str">
        <f>IFERROR(__xludf.DUMMYFUNCTION("""COMPUTED_VALUE"""),"PhD Student")</f>
        <v>PhD Student</v>
      </c>
      <c r="F536" s="2" t="str">
        <f>IFERROR(__xludf.DUMMYFUNCTION("""COMPUTED_VALUE"""),"toby.curless.21@ucl.ac.uk")</f>
        <v>toby.curless.21@ucl.ac.uk</v>
      </c>
      <c r="G536" s="2" t="str">
        <f>IFERROR(__xludf.DUMMYFUNCTION("""COMPUTED_VALUE"""),"0000-0002-3277-7813")</f>
        <v>0000-0002-3277-7813</v>
      </c>
    </row>
    <row r="537">
      <c r="A537" s="2" t="str">
        <f>IFERROR(__xludf.DUMMYFUNCTION("""COMPUTED_VALUE"""),"Trasobares Magdalena")</f>
        <v>Trasobares Magdalena</v>
      </c>
      <c r="B537" s="2" t="str">
        <f>IFERROR(__xludf.DUMMYFUNCTION("""COMPUTED_VALUE"""),"Iria ")</f>
        <v>Iria </v>
      </c>
      <c r="C537" s="2" t="str">
        <f>IFERROR(__xludf.DUMMYFUNCTION("""COMPUTED_VALUE"""),"Key Personnel")</f>
        <v>Key Personnel</v>
      </c>
      <c r="D537" s="2" t="str">
        <f>IFERROR(__xludf.DUMMYFUNCTION("""COMPUTED_VALUE"""),"Plun-Favreau")</f>
        <v>Plun-Favreau</v>
      </c>
      <c r="E537" s="2" t="str">
        <f>IFERROR(__xludf.DUMMYFUNCTION("""COMPUTED_VALUE"""),"PhD Student")</f>
        <v>PhD Student</v>
      </c>
      <c r="F537" s="2" t="str">
        <f>IFERROR(__xludf.DUMMYFUNCTION("""COMPUTED_VALUE"""),"iria.trasobares.22@ucl.ac.uk")</f>
        <v>iria.trasobares.22@ucl.ac.uk</v>
      </c>
      <c r="G537" s="2" t="str">
        <f>IFERROR(__xludf.DUMMYFUNCTION("""COMPUTED_VALUE"""),"0000-0001-6918-3974")</f>
        <v>0000-0001-6918-3974</v>
      </c>
    </row>
    <row r="538">
      <c r="A538" s="2" t="str">
        <f>IFERROR(__xludf.DUMMYFUNCTION("""COMPUTED_VALUE"""),"Lim")</f>
        <v>Lim</v>
      </c>
      <c r="B538" s="2" t="str">
        <f>IFERROR(__xludf.DUMMYFUNCTION("""COMPUTED_VALUE"""),"Yau Mun")</f>
        <v>Yau Mun</v>
      </c>
      <c r="C538" s="2" t="str">
        <f>IFERROR(__xludf.DUMMYFUNCTION("""COMPUTED_VALUE"""),"Key Personnel")</f>
        <v>Key Personnel</v>
      </c>
      <c r="D538" s="2" t="str">
        <f>IFERROR(__xludf.DUMMYFUNCTION("""COMPUTED_VALUE"""),"Jaunmuktane")</f>
        <v>Jaunmuktane</v>
      </c>
      <c r="E538" s="2" t="str">
        <f>IFERROR(__xludf.DUMMYFUNCTION("""COMPUTED_VALUE"""),"Postdoctoral Researcher")</f>
        <v>Postdoctoral Researcher</v>
      </c>
      <c r="F538" s="2" t="str">
        <f>IFERROR(__xludf.DUMMYFUNCTION("""COMPUTED_VALUE"""),"yau.lim@ucl.ac.uk")</f>
        <v>yau.lim@ucl.ac.uk</v>
      </c>
      <c r="G538" s="2" t="str">
        <f>IFERROR(__xludf.DUMMYFUNCTION("""COMPUTED_VALUE"""),"0000-0002-8774-9537")</f>
        <v>0000-0002-8774-9537</v>
      </c>
    </row>
    <row r="539">
      <c r="A539" s="2" t="str">
        <f>IFERROR(__xludf.DUMMYFUNCTION("""COMPUTED_VALUE"""),"Vessiere")</f>
        <v>Vessiere</v>
      </c>
      <c r="B539" s="2" t="str">
        <f>IFERROR(__xludf.DUMMYFUNCTION("""COMPUTED_VALUE"""),"Pauline")</f>
        <v>Pauline</v>
      </c>
      <c r="C539" s="2" t="str">
        <f>IFERROR(__xludf.DUMMYFUNCTION("""COMPUTED_VALUE"""),"Key Personnel")</f>
        <v>Key Personnel</v>
      </c>
      <c r="D539" s="2" t="str">
        <f>IFERROR(__xludf.DUMMYFUNCTION("""COMPUTED_VALUE"""),"Spillantini")</f>
        <v>Spillantini</v>
      </c>
      <c r="E539" s="2" t="str">
        <f>IFERROR(__xludf.DUMMYFUNCTION("""COMPUTED_VALUE"""),"PhD Student")</f>
        <v>PhD Student</v>
      </c>
      <c r="F539" s="2" t="str">
        <f>IFERROR(__xludf.DUMMYFUNCTION("""COMPUTED_VALUE"""),"paav2@cam.ac.uk")</f>
        <v>paav2@cam.ac.uk</v>
      </c>
      <c r="G539" s="2" t="str">
        <f>IFERROR(__xludf.DUMMYFUNCTION("""COMPUTED_VALUE"""),"0000-0003-2217-4725 ")</f>
        <v>0000-0003-2217-4725 </v>
      </c>
    </row>
    <row r="540">
      <c r="A540" s="2" t="str">
        <f>IFERROR(__xludf.DUMMYFUNCTION("""COMPUTED_VALUE"""),"Andrews")</f>
        <v>Andrews</v>
      </c>
      <c r="B540" s="2" t="str">
        <f>IFERROR(__xludf.DUMMYFUNCTION("""COMPUTED_VALUE"""),"Charlotte")</f>
        <v>Charlotte</v>
      </c>
      <c r="C540" s="2" t="str">
        <f>IFERROR(__xludf.DUMMYFUNCTION("""COMPUTED_VALUE"""),"Key Personnel")</f>
        <v>Key Personnel</v>
      </c>
      <c r="D540" s="2" t="str">
        <f>IFERROR(__xludf.DUMMYFUNCTION("""COMPUTED_VALUE"""),"Plun-Favreau")</f>
        <v>Plun-Favreau</v>
      </c>
      <c r="E540" s="2" t="str">
        <f>IFERROR(__xludf.DUMMYFUNCTION("""COMPUTED_VALUE"""),"MRes Student")</f>
        <v>MRes Student</v>
      </c>
      <c r="F540" s="2" t="str">
        <f>IFERROR(__xludf.DUMMYFUNCTION("""COMPUTED_VALUE"""),"charlotte.andrews.22@ucl.ac.uk")</f>
        <v>charlotte.andrews.22@ucl.ac.uk</v>
      </c>
      <c r="G540" s="2" t="str">
        <f>IFERROR(__xludf.DUMMYFUNCTION("""COMPUTED_VALUE"""),"0000-0002-7069-5616. ")</f>
        <v>0000-0002-7069-5616. </v>
      </c>
    </row>
    <row r="541">
      <c r="A541" s="2" t="str">
        <f>IFERROR(__xludf.DUMMYFUNCTION("""COMPUTED_VALUE"""),"Nelvagal")</f>
        <v>Nelvagal</v>
      </c>
      <c r="B541" s="2" t="str">
        <f>IFERROR(__xludf.DUMMYFUNCTION("""COMPUTED_VALUE"""),"Hemanth")</f>
        <v>Hemanth</v>
      </c>
      <c r="C541" s="2" t="str">
        <f>IFERROR(__xludf.DUMMYFUNCTION("""COMPUTED_VALUE"""),"Key Personnel")</f>
        <v>Key Personnel</v>
      </c>
      <c r="D541" s="2" t="str">
        <f>IFERROR(__xludf.DUMMYFUNCTION("""COMPUTED_VALUE"""),"Jaunmuktane")</f>
        <v>Jaunmuktane</v>
      </c>
      <c r="E541" s="2" t="str">
        <f>IFERROR(__xludf.DUMMYFUNCTION("""COMPUTED_VALUE"""),"Postdoctoral Reseacher")</f>
        <v>Postdoctoral Reseacher</v>
      </c>
      <c r="F541" s="2" t="str">
        <f>IFERROR(__xludf.DUMMYFUNCTION("""COMPUTED_VALUE"""),"h.nelvagal@ucl.ac.uk")</f>
        <v>h.nelvagal@ucl.ac.uk</v>
      </c>
      <c r="G541" s="2" t="str">
        <f>IFERROR(__xludf.DUMMYFUNCTION("""COMPUTED_VALUE"""),"0000-0003-2407-4517")</f>
        <v>0000-0003-2407-4517</v>
      </c>
    </row>
    <row r="542">
      <c r="A542" s="2" t="str">
        <f>IFERROR(__xludf.DUMMYFUNCTION("""COMPUTED_VALUE"""),"Sabir")</f>
        <v>Sabir</v>
      </c>
      <c r="B542" s="2" t="str">
        <f>IFERROR(__xludf.DUMMYFUNCTION("""COMPUTED_VALUE"""),"Marya  ")</f>
        <v>Marya  </v>
      </c>
      <c r="C542" s="2" t="str">
        <f>IFERROR(__xludf.DUMMYFUNCTION("""COMPUTED_VALUE"""),"Key Personnel")</f>
        <v>Key Personnel</v>
      </c>
      <c r="D542" s="2" t="str">
        <f>IFERROR(__xludf.DUMMYFUNCTION("""COMPUTED_VALUE"""),"Platt")</f>
        <v>Platt</v>
      </c>
      <c r="E542" s="2" t="str">
        <f>IFERROR(__xludf.DUMMYFUNCTION("""COMPUTED_VALUE"""),"PhD Student")</f>
        <v>PhD Student</v>
      </c>
      <c r="F542" s="2" t="str">
        <f>IFERROR(__xludf.DUMMYFUNCTION("""COMPUTED_VALUE"""),"marya.sabir@nih.gov")</f>
        <v>marya.sabir@nih.gov</v>
      </c>
      <c r="G542" s="2" t="str">
        <f>IFERROR(__xludf.DUMMYFUNCTION("""COMPUTED_VALUE"""),"0000-0001-6333-4049 ")</f>
        <v>0000-0001-6333-4049 </v>
      </c>
    </row>
    <row r="543">
      <c r="A543" s="2" t="str">
        <f>IFERROR(__xludf.DUMMYFUNCTION("""COMPUTED_VALUE"""),"Bush")</f>
        <v>Bush</v>
      </c>
      <c r="B543" s="2" t="str">
        <f>IFERROR(__xludf.DUMMYFUNCTION("""COMPUTED_VALUE"""),"Reuben")</f>
        <v>Reuben</v>
      </c>
      <c r="C543" s="2" t="str">
        <f>IFERROR(__xludf.DUMMYFUNCTION("""COMPUTED_VALUE"""),"Key Personnel")</f>
        <v>Key Personnel</v>
      </c>
      <c r="D543" s="2" t="str">
        <f>IFERROR(__xludf.DUMMYFUNCTION("""COMPUTED_VALUE"""),"Platt")</f>
        <v>Platt</v>
      </c>
      <c r="E543" s="2" t="str">
        <f>IFERROR(__xludf.DUMMYFUNCTION("""COMPUTED_VALUE"""),"Research Technician")</f>
        <v>Research Technician</v>
      </c>
      <c r="F543" s="2" t="str">
        <f>IFERROR(__xludf.DUMMYFUNCTION("""COMPUTED_VALUE"""),"reuben.bush@pharm.ox.ac.uk")</f>
        <v>reuben.bush@pharm.ox.ac.uk</v>
      </c>
      <c r="G543" s="2" t="str">
        <f>IFERROR(__xludf.DUMMYFUNCTION("""COMPUTED_VALUE"""),"0000-0001-7711-8806")</f>
        <v>0000-0001-7711-8806</v>
      </c>
    </row>
    <row r="544">
      <c r="A544" s="2" t="str">
        <f>IFERROR(__xludf.DUMMYFUNCTION("""COMPUTED_VALUE"""),"Fernandez-Suarez")</f>
        <v>Fernandez-Suarez</v>
      </c>
      <c r="B544" s="2" t="str">
        <f>IFERROR(__xludf.DUMMYFUNCTION("""COMPUTED_VALUE"""),"Maria ")</f>
        <v>Maria </v>
      </c>
      <c r="C544" s="2" t="str">
        <f>IFERROR(__xludf.DUMMYFUNCTION("""COMPUTED_VALUE"""),"Key Personnel")</f>
        <v>Key Personnel</v>
      </c>
      <c r="D544" s="2" t="str">
        <f>IFERROR(__xludf.DUMMYFUNCTION("""COMPUTED_VALUE"""),"Platt")</f>
        <v>Platt</v>
      </c>
      <c r="E544" s="2" t="str">
        <f>IFERROR(__xludf.DUMMYFUNCTION("""COMPUTED_VALUE"""),"Research Associate")</f>
        <v>Research Associate</v>
      </c>
      <c r="F544" s="2" t="str">
        <f>IFERROR(__xludf.DUMMYFUNCTION("""COMPUTED_VALUE"""),"maria.fernandez-suarez@pharm.ox.ac.uk")</f>
        <v>maria.fernandez-suarez@pharm.ox.ac.uk</v>
      </c>
      <c r="G544" s="2" t="str">
        <f>IFERROR(__xludf.DUMMYFUNCTION("""COMPUTED_VALUE"""),"0000-0003-4277-2079")</f>
        <v>0000-0003-4277-2079</v>
      </c>
    </row>
    <row r="545">
      <c r="A545" s="2" t="str">
        <f>IFERROR(__xludf.DUMMYFUNCTION("""COMPUTED_VALUE"""),"Šoltić")</f>
        <v>Šoltić</v>
      </c>
      <c r="B545" s="2" t="str">
        <f>IFERROR(__xludf.DUMMYFUNCTION("""COMPUTED_VALUE"""),"Darija")</f>
        <v>Darija</v>
      </c>
      <c r="C545" s="2" t="str">
        <f>IFERROR(__xludf.DUMMYFUNCTION("""COMPUTED_VALUE"""),"Key Personnel")</f>
        <v>Key Personnel</v>
      </c>
      <c r="D545" s="2" t="str">
        <f>IFERROR(__xludf.DUMMYFUNCTION("""COMPUTED_VALUE"""),"Plun-Favreau")</f>
        <v>Plun-Favreau</v>
      </c>
      <c r="E545" s="2" t="str">
        <f>IFERROR(__xludf.DUMMYFUNCTION("""COMPUTED_VALUE"""),"Postdoctoral Researcher")</f>
        <v>Postdoctoral Researcher</v>
      </c>
      <c r="F545" s="2" t="str">
        <f>IFERROR(__xludf.DUMMYFUNCTION("""COMPUTED_VALUE"""),"d.soltic@ucl.ac.uk")</f>
        <v>d.soltic@ucl.ac.uk</v>
      </c>
      <c r="G545" s="2" t="str">
        <f>IFERROR(__xludf.DUMMYFUNCTION("""COMPUTED_VALUE"""),"0009-0000-3151-6016")</f>
        <v>0009-0000-3151-6016</v>
      </c>
    </row>
    <row r="546">
      <c r="A546" s="2" t="str">
        <f>IFERROR(__xludf.DUMMYFUNCTION("""COMPUTED_VALUE"""),"Cosker")</f>
        <v>Cosker</v>
      </c>
      <c r="B546" s="2" t="str">
        <f>IFERROR(__xludf.DUMMYFUNCTION("""COMPUTED_VALUE"""),"Katharina")</f>
        <v>Katharina</v>
      </c>
      <c r="C546" s="2" t="str">
        <f>IFERROR(__xludf.DUMMYFUNCTION("""COMPUTED_VALUE"""),"Key Personnel")</f>
        <v>Key Personnel</v>
      </c>
      <c r="D546" s="2" t="str">
        <f>IFERROR(__xludf.DUMMYFUNCTION("""COMPUTED_VALUE"""),"Plun-Favreau")</f>
        <v>Plun-Favreau</v>
      </c>
      <c r="E546" s="2" t="str">
        <f>IFERROR(__xludf.DUMMYFUNCTION("""COMPUTED_VALUE"""),"Senior Research Associate")</f>
        <v>Senior Research Associate</v>
      </c>
      <c r="F546" s="2" t="str">
        <f>IFERROR(__xludf.DUMMYFUNCTION("""COMPUTED_VALUE"""),"k.cosker@ucl.ac.uk")</f>
        <v>k.cosker@ucl.ac.uk</v>
      </c>
      <c r="G546" s="2" t="str">
        <f>IFERROR(__xludf.DUMMYFUNCTION("""COMPUTED_VALUE"""),"0009-0009-7766-5469")</f>
        <v>0009-0009-7766-5469</v>
      </c>
    </row>
    <row r="547">
      <c r="A547" s="2" t="str">
        <f>IFERROR(__xludf.DUMMYFUNCTION("""COMPUTED_VALUE"""),"Yu")</f>
        <v>Yu</v>
      </c>
      <c r="B547" s="2" t="str">
        <f>IFERROR(__xludf.DUMMYFUNCTION("""COMPUTED_VALUE"""),"Samantha")</f>
        <v>Samantha</v>
      </c>
      <c r="C547" s="2" t="str">
        <f>IFERROR(__xludf.DUMMYFUNCTION("""COMPUTED_VALUE"""),"Key Personnel")</f>
        <v>Key Personnel</v>
      </c>
      <c r="D547" s="2" t="str">
        <f>IFERROR(__xludf.DUMMYFUNCTION("""COMPUTED_VALUE"""),"Plun-Favreau")</f>
        <v>Plun-Favreau</v>
      </c>
      <c r="E547" s="2" t="str">
        <f>IFERROR(__xludf.DUMMYFUNCTION("""COMPUTED_VALUE"""),"PhD Student")</f>
        <v>PhD Student</v>
      </c>
      <c r="F547" s="2" t="str">
        <f>IFERROR(__xludf.DUMMYFUNCTION("""COMPUTED_VALUE"""),"samantha.yu.19@ucl.ac.uk")</f>
        <v>samantha.yu.19@ucl.ac.uk</v>
      </c>
      <c r="G547" s="2" t="str">
        <f>IFERROR(__xludf.DUMMYFUNCTION("""COMPUTED_VALUE"""),"0000-0001-5321-0536")</f>
        <v>0000-0001-5321-0536</v>
      </c>
    </row>
    <row r="548">
      <c r="A548" s="2" t="str">
        <f>IFERROR(__xludf.DUMMYFUNCTION("""COMPUTED_VALUE"""),"Cuenca-Bermejo")</f>
        <v>Cuenca-Bermejo</v>
      </c>
      <c r="B548" s="2" t="str">
        <f>IFERROR(__xludf.DUMMYFUNCTION("""COMPUTED_VALUE"""),"Lorena")</f>
        <v>Lorena</v>
      </c>
      <c r="C548" s="2" t="str">
        <f>IFERROR(__xludf.DUMMYFUNCTION("""COMPUTED_VALUE"""),"Key Personnel")</f>
        <v>Key Personnel</v>
      </c>
      <c r="D548" s="2" t="str">
        <f>IFERROR(__xludf.DUMMYFUNCTION("""COMPUTED_VALUE"""),"Plun-Faverau")</f>
        <v>Plun-Faverau</v>
      </c>
      <c r="E548" s="2" t="str">
        <f>IFERROR(__xludf.DUMMYFUNCTION("""COMPUTED_VALUE"""),"Postdoctoral Researcher")</f>
        <v>Postdoctoral Researcher</v>
      </c>
      <c r="F548" s="2" t="str">
        <f>IFERROR(__xludf.DUMMYFUNCTION("""COMPUTED_VALUE"""),"l.cuenca-bermejo@ucl.ac.uk ")</f>
        <v>l.cuenca-bermejo@ucl.ac.uk </v>
      </c>
      <c r="G548" s="2" t="str">
        <f>IFERROR(__xludf.DUMMYFUNCTION("""COMPUTED_VALUE"""),"0000-0003-1589-2139")</f>
        <v>0000-0003-1589-2139</v>
      </c>
    </row>
    <row r="549">
      <c r="A549" s="2" t="str">
        <f>IFERROR(__xludf.DUMMYFUNCTION("""COMPUTED_VALUE"""),"Lau")</f>
        <v>Lau</v>
      </c>
      <c r="B549" s="2" t="str">
        <f>IFERROR(__xludf.DUMMYFUNCTION("""COMPUTED_VALUE"""),"Harry")</f>
        <v>Harry</v>
      </c>
      <c r="C549" s="2" t="str">
        <f>IFERROR(__xludf.DUMMYFUNCTION("""COMPUTED_VALUE"""),"Key Personnel")</f>
        <v>Key Personnel</v>
      </c>
      <c r="D549" s="2" t="str">
        <f>IFERROR(__xludf.DUMMYFUNCTION("""COMPUTED_VALUE"""),"Plun-Favreau")</f>
        <v>Plun-Favreau</v>
      </c>
      <c r="E549" s="2" t="str">
        <f>IFERROR(__xludf.DUMMYFUNCTION("""COMPUTED_VALUE"""),"Research Assistant")</f>
        <v>Research Assistant</v>
      </c>
      <c r="F549" s="2" t="str">
        <f>IFERROR(__xludf.DUMMYFUNCTION("""COMPUTED_VALUE"""),"skgthjl@ucl.ac.uk")</f>
        <v>skgthjl@ucl.ac.uk</v>
      </c>
      <c r="G549" s="2" t="str">
        <f>IFERROR(__xludf.DUMMYFUNCTION("""COMPUTED_VALUE"""),"0009-0007-6803-1152")</f>
        <v>0009-0007-6803-1152</v>
      </c>
    </row>
    <row r="550">
      <c r="A550" s="2" t="str">
        <f>IFERROR(__xludf.DUMMYFUNCTION("""COMPUTED_VALUE"""),"Loh")</f>
        <v>Loh</v>
      </c>
      <c r="B550" s="2" t="str">
        <f>IFERROR(__xludf.DUMMYFUNCTION("""COMPUTED_VALUE"""),"Caitlin")</f>
        <v>Caitlin</v>
      </c>
      <c r="C550" s="2" t="str">
        <f>IFERROR(__xludf.DUMMYFUNCTION("""COMPUTED_VALUE"""),"Key Personnel")</f>
        <v>Key Personnel</v>
      </c>
      <c r="D550" s="2" t="str">
        <f>IFERROR(__xludf.DUMMYFUNCTION("""COMPUTED_VALUE"""),"Plun-Favreau")</f>
        <v>Plun-Favreau</v>
      </c>
      <c r="E550" s="2" t="str">
        <f>IFERROR(__xludf.DUMMYFUNCTION("""COMPUTED_VALUE"""),"Research Technician")</f>
        <v>Research Technician</v>
      </c>
      <c r="F550" s="2" t="str">
        <f>IFERROR(__xludf.DUMMYFUNCTION("""COMPUTED_VALUE"""),"c.loh@ucl.ac.uk")</f>
        <v>c.loh@ucl.ac.uk</v>
      </c>
      <c r="G550" s="2" t="str">
        <f>IFERROR(__xludf.DUMMYFUNCTION("""COMPUTED_VALUE"""),"0009-0006-7305-3885 ")</f>
        <v>0009-0006-7305-3885 </v>
      </c>
    </row>
    <row r="551">
      <c r="A551" s="2" t="str">
        <f>IFERROR(__xludf.DUMMYFUNCTION("""COMPUTED_VALUE"""),"van Kruining")</f>
        <v>van Kruining</v>
      </c>
      <c r="B551" s="2" t="str">
        <f>IFERROR(__xludf.DUMMYFUNCTION("""COMPUTED_VALUE"""),"Daan")</f>
        <v>Daan</v>
      </c>
      <c r="C551" s="2" t="str">
        <f>IFERROR(__xludf.DUMMYFUNCTION("""COMPUTED_VALUE"""),"Key Personnel")</f>
        <v>Key Personnel</v>
      </c>
      <c r="D551" s="2" t="str">
        <f>IFERROR(__xludf.DUMMYFUNCTION("""COMPUTED_VALUE"""),"Platt")</f>
        <v>Platt</v>
      </c>
      <c r="E551" s="2" t="str">
        <f>IFERROR(__xludf.DUMMYFUNCTION("""COMPUTED_VALUE"""),"Post-doctoral Research Fellow")</f>
        <v>Post-doctoral Research Fellow</v>
      </c>
      <c r="F551" s="2" t="str">
        <f>IFERROR(__xludf.DUMMYFUNCTION("""COMPUTED_VALUE"""),"daan.vankruining@pharm.ox.ac.uk")</f>
        <v>daan.vankruining@pharm.ox.ac.uk</v>
      </c>
      <c r="G551" s="2" t="str">
        <f>IFERROR(__xludf.DUMMYFUNCTION("""COMPUTED_VALUE"""),"0000-0001-9329-7744")</f>
        <v>0000-0001-9329-7744</v>
      </c>
    </row>
    <row r="552">
      <c r="A552" s="2" t="str">
        <f>IFERROR(__xludf.DUMMYFUNCTION("""COMPUTED_VALUE"""),"Chiraki")</f>
        <v>Chiraki</v>
      </c>
      <c r="B552" s="2" t="str">
        <f>IFERROR(__xludf.DUMMYFUNCTION("""COMPUTED_VALUE"""),"Nancy")</f>
        <v>Nancy</v>
      </c>
      <c r="C552" s="2" t="str">
        <f>IFERROR(__xludf.DUMMYFUNCTION("""COMPUTED_VALUE"""),"Key Personnel")</f>
        <v>Key Personnel</v>
      </c>
      <c r="D552" s="2" t="str">
        <f>IFERROR(__xludf.DUMMYFUNCTION("""COMPUTED_VALUE"""),"Jaunmuktane")</f>
        <v>Jaunmuktane</v>
      </c>
      <c r="E552" s="2" t="str">
        <f>IFERROR(__xludf.DUMMYFUNCTION("""COMPUTED_VALUE"""),"Research Technician")</f>
        <v>Research Technician</v>
      </c>
      <c r="F552" s="2" t="str">
        <f>IFERROR(__xludf.DUMMYFUNCTION("""COMPUTED_VALUE"""),"athanasia.chiraki.22@ucl.ac.uk")</f>
        <v>athanasia.chiraki.22@ucl.ac.uk</v>
      </c>
      <c r="G552" s="2" t="str">
        <f>IFERROR(__xludf.DUMMYFUNCTION("""COMPUTED_VALUE"""),"0009-0006-8383-5717")</f>
        <v>0009-0006-8383-5717</v>
      </c>
    </row>
    <row r="553">
      <c r="A553" s="2" t="str">
        <f>IFERROR(__xludf.DUMMYFUNCTION("""COMPUTED_VALUE"""),"Abramovich")</f>
        <v>Abramovich</v>
      </c>
      <c r="B553" s="2" t="str">
        <f>IFERROR(__xludf.DUMMYFUNCTION("""COMPUTED_VALUE"""),"Juliana")</f>
        <v>Juliana</v>
      </c>
      <c r="C553" s="2" t="str">
        <f>IFERROR(__xludf.DUMMYFUNCTION("""COMPUTED_VALUE"""),"Key Personnel")</f>
        <v>Key Personnel</v>
      </c>
      <c r="D553" s="2" t="str">
        <f>IFERROR(__xludf.DUMMYFUNCTION("""COMPUTED_VALUE"""),"Frydman")</f>
        <v>Frydman</v>
      </c>
      <c r="E553" s="2" t="str">
        <f>IFERROR(__xludf.DUMMYFUNCTION("""COMPUTED_VALUE"""),"Research Technician ")</f>
        <v>Research Technician </v>
      </c>
      <c r="F553" s="2" t="str">
        <f>IFERROR(__xludf.DUMMYFUNCTION("""COMPUTED_VALUE"""),"jabramov@stanford.edu")</f>
        <v>jabramov@stanford.edu</v>
      </c>
      <c r="G553" s="2" t="str">
        <f>IFERROR(__xludf.DUMMYFUNCTION("""COMPUTED_VALUE"""),"0000-0001-9466-979X")</f>
        <v>0000-0001-9466-979X</v>
      </c>
    </row>
    <row r="554">
      <c r="A554" s="2" t="str">
        <f>IFERROR(__xludf.DUMMYFUNCTION("""COMPUTED_VALUE"""),"Adolf")</f>
        <v>Adolf</v>
      </c>
      <c r="B554" s="2" t="str">
        <f>IFERROR(__xludf.DUMMYFUNCTION("""COMPUTED_VALUE"""),"Frank")</f>
        <v>Frank</v>
      </c>
      <c r="C554" s="2" t="str">
        <f>IFERROR(__xludf.DUMMYFUNCTION("""COMPUTED_VALUE"""),"Key Personnel")</f>
        <v>Key Personnel</v>
      </c>
      <c r="D554" s="2" t="str">
        <f>IFERROR(__xludf.DUMMYFUNCTION("""COMPUTED_VALUE"""),"Schulman")</f>
        <v>Schulman</v>
      </c>
      <c r="E554" s="2" t="str">
        <f>IFERROR(__xludf.DUMMYFUNCTION("""COMPUTED_VALUE"""),"Post-Doc")</f>
        <v>Post-Doc</v>
      </c>
      <c r="F554" s="2" t="str">
        <f>IFERROR(__xludf.DUMMYFUNCTION("""COMPUTED_VALUE"""),"fadolf@biochem.mpg.de")</f>
        <v>fadolf@biochem.mpg.de</v>
      </c>
      <c r="G554" s="2" t="str">
        <f>IFERROR(__xludf.DUMMYFUNCTION("""COMPUTED_VALUE"""),"0000-0002-9812-5711")</f>
        <v>0000-0002-9812-5711</v>
      </c>
    </row>
    <row r="555">
      <c r="A555" s="2" t="str">
        <f>IFERROR(__xludf.DUMMYFUNCTION("""COMPUTED_VALUE"""),"Baumeister")</f>
        <v>Baumeister</v>
      </c>
      <c r="B555" s="2" t="str">
        <f>IFERROR(__xludf.DUMMYFUNCTION("""COMPUTED_VALUE"""),"Wolfgang")</f>
        <v>Wolfgang</v>
      </c>
      <c r="C555" s="2" t="str">
        <f>IFERROR(__xludf.DUMMYFUNCTION("""COMPUTED_VALUE"""),"Key Collaborator")</f>
        <v>Key Collaborator</v>
      </c>
      <c r="D555" s="2" t="str">
        <f>IFERROR(__xludf.DUMMYFUNCTION("""COMPUTED_VALUE"""),"Baumeister")</f>
        <v>Baumeister</v>
      </c>
      <c r="E555" s="2" t="str">
        <f>IFERROR(__xludf.DUMMYFUNCTION("""COMPUTED_VALUE"""),"Professor")</f>
        <v>Professor</v>
      </c>
      <c r="F555" s="2" t="str">
        <f>IFERROR(__xludf.DUMMYFUNCTION("""COMPUTED_VALUE"""),"baumeist@biochem.mpg.de")</f>
        <v>baumeist@biochem.mpg.de</v>
      </c>
      <c r="G555" s="2" t="str">
        <f>IFERROR(__xludf.DUMMYFUNCTION("""COMPUTED_VALUE"""),"0000-0001-8154-8809")</f>
        <v>0000-0001-8154-8809</v>
      </c>
    </row>
    <row r="556">
      <c r="A556" s="2" t="str">
        <f>IFERROR(__xludf.DUMMYFUNCTION("""COMPUTED_VALUE"""),"Bieber")</f>
        <v>Bieber</v>
      </c>
      <c r="B556" s="2" t="str">
        <f>IFERROR(__xludf.DUMMYFUNCTION("""COMPUTED_VALUE"""),"Anna")</f>
        <v>Anna</v>
      </c>
      <c r="C556" s="2" t="str">
        <f>IFERROR(__xludf.DUMMYFUNCTION("""COMPUTED_VALUE"""),"Key Personnel")</f>
        <v>Key Personnel</v>
      </c>
      <c r="D556" s="2" t="str">
        <f>IFERROR(__xludf.DUMMYFUNCTION("""COMPUTED_VALUE"""),"Baumeister")</f>
        <v>Baumeister</v>
      </c>
      <c r="E556" s="2" t="str">
        <f>IFERROR(__xludf.DUMMYFUNCTION("""COMPUTED_VALUE"""),"Grad Student ")</f>
        <v>Grad Student </v>
      </c>
      <c r="F556" s="2" t="str">
        <f>IFERROR(__xludf.DUMMYFUNCTION("""COMPUTED_VALUE"""),"anbieber@biochem.mpg.de")</f>
        <v>anbieber@biochem.mpg.de</v>
      </c>
      <c r="G556" s="2" t="str">
        <f>IFERROR(__xludf.DUMMYFUNCTION("""COMPUTED_VALUE"""),"0000-0001-5014-6620")</f>
        <v>0000-0001-5014-6620</v>
      </c>
    </row>
    <row r="557">
      <c r="A557" s="2" t="str">
        <f>IFERROR(__xludf.DUMMYFUNCTION("""COMPUTED_VALUE"""),"Capitanio")</f>
        <v>Capitanio</v>
      </c>
      <c r="B557" s="2" t="str">
        <f>IFERROR(__xludf.DUMMYFUNCTION("""COMPUTED_VALUE"""),"Cristina")</f>
        <v>Cristina</v>
      </c>
      <c r="C557" s="2" t="str">
        <f>IFERROR(__xludf.DUMMYFUNCTION("""COMPUTED_VALUE"""),"Key Personnel")</f>
        <v>Key Personnel</v>
      </c>
      <c r="D557" s="2" t="str">
        <f>IFERROR(__xludf.DUMMYFUNCTION("""COMPUTED_VALUE"""),"Schulman")</f>
        <v>Schulman</v>
      </c>
      <c r="E557" s="2" t="str">
        <f>IFERROR(__xludf.DUMMYFUNCTION("""COMPUTED_VALUE"""),"Grad Student ")</f>
        <v>Grad Student </v>
      </c>
      <c r="F557" s="2" t="str">
        <f>IFERROR(__xludf.DUMMYFUNCTION("""COMPUTED_VALUE"""),"capitanio@biochem.mpg.de")</f>
        <v>capitanio@biochem.mpg.de</v>
      </c>
      <c r="G557" s="2" t="str">
        <f>IFERROR(__xludf.DUMMYFUNCTION("""COMPUTED_VALUE"""),"0000-0002-5297-9156")</f>
        <v>0000-0002-5297-9156</v>
      </c>
    </row>
    <row r="558">
      <c r="A558" s="2" t="str">
        <f>IFERROR(__xludf.DUMMYFUNCTION("""COMPUTED_VALUE"""),"Chou")</f>
        <v>Chou</v>
      </c>
      <c r="B558" s="2" t="str">
        <f>IFERROR(__xludf.DUMMYFUNCTION("""COMPUTED_VALUE"""),"Ching Chieh (Ian)")</f>
        <v>Ching Chieh (Ian)</v>
      </c>
      <c r="C558" s="2" t="str">
        <f>IFERROR(__xludf.DUMMYFUNCTION("""COMPUTED_VALUE"""),"Key Personnel")</f>
        <v>Key Personnel</v>
      </c>
      <c r="D558" s="2" t="str">
        <f>IFERROR(__xludf.DUMMYFUNCTION("""COMPUTED_VALUE"""),"Frydman")</f>
        <v>Frydman</v>
      </c>
      <c r="E558" s="2" t="str">
        <f>IFERROR(__xludf.DUMMYFUNCTION("""COMPUTED_VALUE"""),"Research Fellow")</f>
        <v>Research Fellow</v>
      </c>
      <c r="F558" s="2" t="str">
        <f>IFERROR(__xludf.DUMMYFUNCTION("""COMPUTED_VALUE"""),"cchou6@stanford.edu")</f>
        <v>cchou6@stanford.edu</v>
      </c>
      <c r="G558" s="2" t="str">
        <f>IFERROR(__xludf.DUMMYFUNCTION("""COMPUTED_VALUE"""),"0000-0001-8302-2915")</f>
        <v>0000-0001-8302-2915</v>
      </c>
    </row>
    <row r="559">
      <c r="A559" s="2" t="str">
        <f>IFERROR(__xludf.DUMMYFUNCTION("""COMPUTED_VALUE"""),"Do")</f>
        <v>Do</v>
      </c>
      <c r="B559" s="2" t="str">
        <f>IFERROR(__xludf.DUMMYFUNCTION("""COMPUTED_VALUE"""),"Thanh Thao")</f>
        <v>Thanh Thao</v>
      </c>
      <c r="C559" s="2" t="str">
        <f>IFERROR(__xludf.DUMMYFUNCTION("""COMPUTED_VALUE"""),"Key Personnel")</f>
        <v>Key Personnel</v>
      </c>
      <c r="D559" s="2" t="str">
        <f>IFERROR(__xludf.DUMMYFUNCTION("""COMPUTED_VALUE"""),"Fernandez-Busnadiego")</f>
        <v>Fernandez-Busnadiego</v>
      </c>
      <c r="E559" s="2" t="str">
        <f>IFERROR(__xludf.DUMMYFUNCTION("""COMPUTED_VALUE"""),"Grad Student ")</f>
        <v>Grad Student </v>
      </c>
      <c r="F559" s="2" t="str">
        <f>IFERROR(__xludf.DUMMYFUNCTION("""COMPUTED_VALUE"""),"thanhthao.do@stud.uni-goettingen.de")</f>
        <v>thanhthao.do@stud.uni-goettingen.de</v>
      </c>
      <c r="G559" s="2" t="str">
        <f>IFERROR(__xludf.DUMMYFUNCTION("""COMPUTED_VALUE"""),"0009-0004-2374-5803")</f>
        <v>0009-0004-2374-5803</v>
      </c>
    </row>
    <row r="560">
      <c r="A560" s="2" t="str">
        <f>IFERROR(__xludf.DUMMYFUNCTION("""COMPUTED_VALUE"""),"Dransfeld")</f>
        <v>Dransfeld</v>
      </c>
      <c r="B560" s="2" t="str">
        <f>IFERROR(__xludf.DUMMYFUNCTION("""COMPUTED_VALUE"""),"Ulrich")</f>
        <v>Ulrich</v>
      </c>
      <c r="C560" s="2" t="str">
        <f>IFERROR(__xludf.DUMMYFUNCTION("""COMPUTED_VALUE"""),"Key Personnel")</f>
        <v>Key Personnel</v>
      </c>
      <c r="D560" s="2" t="str">
        <f>IFERROR(__xludf.DUMMYFUNCTION("""COMPUTED_VALUE"""),"Hartl")</f>
        <v>Hartl</v>
      </c>
      <c r="E560" s="2" t="str">
        <f>IFERROR(__xludf.DUMMYFUNCTION("""COMPUTED_VALUE"""),"Grad Student ")</f>
        <v>Grad Student </v>
      </c>
      <c r="F560" s="2" t="str">
        <f>IFERROR(__xludf.DUMMYFUNCTION("""COMPUTED_VALUE"""),"dransfeld@biochem.mpg.de")</f>
        <v>dransfeld@biochem.mpg.de</v>
      </c>
      <c r="G560" s="2" t="str">
        <f>IFERROR(__xludf.DUMMYFUNCTION("""COMPUTED_VALUE"""),"0000-0002-4054-5852")</f>
        <v>0000-0002-4054-5852</v>
      </c>
    </row>
    <row r="561">
      <c r="A561" s="2" t="str">
        <f>IFERROR(__xludf.DUMMYFUNCTION("""COMPUTED_VALUE"""),"Du")</f>
        <v>Du</v>
      </c>
      <c r="B561" s="2" t="str">
        <f>IFERROR(__xludf.DUMMYFUNCTION("""COMPUTED_VALUE"""),"Jiale")</f>
        <v>Jiale</v>
      </c>
      <c r="C561" s="2" t="str">
        <f>IFERROR(__xludf.DUMMYFUNCTION("""COMPUTED_VALUE"""),"Key Personnel")</f>
        <v>Key Personnel</v>
      </c>
      <c r="D561" s="2" t="str">
        <f>IFERROR(__xludf.DUMMYFUNCTION("""COMPUTED_VALUE"""),"Schulman")</f>
        <v>Schulman</v>
      </c>
      <c r="E561" s="2" t="str">
        <f>IFERROR(__xludf.DUMMYFUNCTION("""COMPUTED_VALUE"""),"Post-Doc")</f>
        <v>Post-Doc</v>
      </c>
      <c r="F561" s="2" t="str">
        <f>IFERROR(__xludf.DUMMYFUNCTION("""COMPUTED_VALUE"""),"jdu@biochem.mpg.de")</f>
        <v>jdu@biochem.mpg.de</v>
      </c>
      <c r="G561" s="2" t="str">
        <f>IFERROR(__xludf.DUMMYFUNCTION("""COMPUTED_VALUE"""),"0000-0003-1410-7020")</f>
        <v>0000-0003-1410-7020</v>
      </c>
    </row>
    <row r="562">
      <c r="A562" s="2" t="str">
        <f>IFERROR(__xludf.DUMMYFUNCTION("""COMPUTED_VALUE"""),"Ehses")</f>
        <v>Ehses</v>
      </c>
      <c r="B562" s="2" t="str">
        <f>IFERROR(__xludf.DUMMYFUNCTION("""COMPUTED_VALUE"""),"Kenneth")</f>
        <v>Kenneth</v>
      </c>
      <c r="C562" s="2" t="str">
        <f>IFERROR(__xludf.DUMMYFUNCTION("""COMPUTED_VALUE"""),"Key Personnel")</f>
        <v>Key Personnel</v>
      </c>
      <c r="D562" s="2" t="str">
        <f>IFERROR(__xludf.DUMMYFUNCTION("""COMPUTED_VALUE"""),"Fernandez-Busnadiego")</f>
        <v>Fernandez-Busnadiego</v>
      </c>
      <c r="E562" s="2" t="str">
        <f>IFERROR(__xludf.DUMMYFUNCTION("""COMPUTED_VALUE"""),"Grad Student ")</f>
        <v>Grad Student </v>
      </c>
      <c r="F562" s="2" t="str">
        <f>IFERROR(__xludf.DUMMYFUNCTION("""COMPUTED_VALUE"""),"kennethleostefan.ehses@med.uni-goettingen.de")</f>
        <v>kennethleostefan.ehses@med.uni-goettingen.de</v>
      </c>
      <c r="G562" s="2" t="str">
        <f>IFERROR(__xludf.DUMMYFUNCTION("""COMPUTED_VALUE"""),"0000-0002-8595-5994")</f>
        <v>0000-0002-8595-5994</v>
      </c>
    </row>
    <row r="563">
      <c r="A563" s="2" t="str">
        <f>IFERROR(__xludf.DUMMYFUNCTION("""COMPUTED_VALUE"""),"Fernandez-Busnadiego")</f>
        <v>Fernandez-Busnadiego</v>
      </c>
      <c r="B563" s="2" t="str">
        <f>IFERROR(__xludf.DUMMYFUNCTION("""COMPUTED_VALUE"""),"Ruben")</f>
        <v>Ruben</v>
      </c>
      <c r="C563" s="2" t="str">
        <f>IFERROR(__xludf.DUMMYFUNCTION("""COMPUTED_VALUE"""),"Co-PI")</f>
        <v>Co-PI</v>
      </c>
      <c r="D563" s="2" t="str">
        <f>IFERROR(__xludf.DUMMYFUNCTION("""COMPUTED_VALUE"""),"Fernandez-Busnadiego")</f>
        <v>Fernandez-Busnadiego</v>
      </c>
      <c r="E563" s="2" t="str">
        <f>IFERROR(__xludf.DUMMYFUNCTION("""COMPUTED_VALUE"""),"Professor")</f>
        <v>Professor</v>
      </c>
      <c r="F563" s="2" t="str">
        <f>IFERROR(__xludf.DUMMYFUNCTION("""COMPUTED_VALUE"""),"ruben.fernandezbusnadiego@med.uni-goettingen.de")</f>
        <v>ruben.fernandezbusnadiego@med.uni-goettingen.de</v>
      </c>
      <c r="G563" s="2" t="str">
        <f>IFERROR(__xludf.DUMMYFUNCTION("""COMPUTED_VALUE"""),"0000-0002-8366-7622")</f>
        <v>0000-0002-8366-7622</v>
      </c>
    </row>
    <row r="564">
      <c r="A564" s="2" t="str">
        <f>IFERROR(__xludf.DUMMYFUNCTION("""COMPUTED_VALUE"""),"Frydman")</f>
        <v>Frydman</v>
      </c>
      <c r="B564" s="2" t="str">
        <f>IFERROR(__xludf.DUMMYFUNCTION("""COMPUTED_VALUE"""),"Judith")</f>
        <v>Judith</v>
      </c>
      <c r="C564" s="2" t="str">
        <f>IFERROR(__xludf.DUMMYFUNCTION("""COMPUTED_VALUE"""),"Co-PI")</f>
        <v>Co-PI</v>
      </c>
      <c r="D564" s="2" t="str">
        <f>IFERROR(__xludf.DUMMYFUNCTION("""COMPUTED_VALUE"""),"Frydman")</f>
        <v>Frydman</v>
      </c>
      <c r="E564" s="2" t="str">
        <f>IFERROR(__xludf.DUMMYFUNCTION("""COMPUTED_VALUE"""),"Professor")</f>
        <v>Professor</v>
      </c>
      <c r="F564" s="2" t="str">
        <f>IFERROR(__xludf.DUMMYFUNCTION("""COMPUTED_VALUE"""),"jfrydman@stanford.edu")</f>
        <v>jfrydman@stanford.edu</v>
      </c>
      <c r="G564" s="2" t="str">
        <f>IFERROR(__xludf.DUMMYFUNCTION("""COMPUTED_VALUE"""),"0000-0003-2302-6943")</f>
        <v>0000-0003-2302-6943</v>
      </c>
    </row>
    <row r="565">
      <c r="A565" s="2" t="str">
        <f>IFERROR(__xludf.DUMMYFUNCTION("""COMPUTED_VALUE"""),"Fu")</f>
        <v>Fu</v>
      </c>
      <c r="B565" s="2" t="str">
        <f>IFERROR(__xludf.DUMMYFUNCTION("""COMPUTED_VALUE"""),"Tao")</f>
        <v>Tao</v>
      </c>
      <c r="C565" s="2" t="str">
        <f>IFERROR(__xludf.DUMMYFUNCTION("""COMPUTED_VALUE"""),"Key Personnel")</f>
        <v>Key Personnel</v>
      </c>
      <c r="D565" s="2" t="str">
        <f>IFERROR(__xludf.DUMMYFUNCTION("""COMPUTED_VALUE"""),"Harper")</f>
        <v>Harper</v>
      </c>
      <c r="E565" s="2" t="str">
        <f>IFERROR(__xludf.DUMMYFUNCTION("""COMPUTED_VALUE"""),"Post-Doc")</f>
        <v>Post-Doc</v>
      </c>
      <c r="F565" s="2" t="str">
        <f>IFERROR(__xludf.DUMMYFUNCTION("""COMPUTED_VALUE"""),"tao_fu@hms.harvard.edu")</f>
        <v>tao_fu@hms.harvard.edu</v>
      </c>
      <c r="G565" s="2" t="str">
        <f>IFERROR(__xludf.DUMMYFUNCTION("""COMPUTED_VALUE"""),"0000-0003-1783-2631")</f>
        <v>0000-0003-1783-2631</v>
      </c>
    </row>
    <row r="566">
      <c r="A566" s="2" t="str">
        <f>IFERROR(__xludf.DUMMYFUNCTION("""COMPUTED_VALUE"""),"Galesic")</f>
        <v>Galesic</v>
      </c>
      <c r="B566" s="2" t="str">
        <f>IFERROR(__xludf.DUMMYFUNCTION("""COMPUTED_VALUE"""),"Ana")</f>
        <v>Ana</v>
      </c>
      <c r="C566" s="2" t="str">
        <f>IFERROR(__xludf.DUMMYFUNCTION("""COMPUTED_VALUE"""),"Key Personnel")</f>
        <v>Key Personnel</v>
      </c>
      <c r="D566" s="2" t="str">
        <f>IFERROR(__xludf.DUMMYFUNCTION("""COMPUTED_VALUE"""),"Harper")</f>
        <v>Harper</v>
      </c>
      <c r="E566" s="2" t="str">
        <f>IFERROR(__xludf.DUMMYFUNCTION("""COMPUTED_VALUE"""),"Post-Doc")</f>
        <v>Post-Doc</v>
      </c>
      <c r="F566" s="2" t="str">
        <f>IFERROR(__xludf.DUMMYFUNCTION("""COMPUTED_VALUE"""),"Ana_Galesic@hms.harvard.edu")</f>
        <v>Ana_Galesic@hms.harvard.edu</v>
      </c>
      <c r="G566" s="2" t="str">
        <f>IFERROR(__xludf.DUMMYFUNCTION("""COMPUTED_VALUE"""),"0000-0003-1899-814X")</f>
        <v>0000-0003-1899-814X</v>
      </c>
    </row>
    <row r="567">
      <c r="A567" s="2" t="str">
        <f>IFERROR(__xludf.DUMMYFUNCTION("""COMPUTED_VALUE"""),"Garhammer")</f>
        <v>Garhammer</v>
      </c>
      <c r="B567" s="2" t="str">
        <f>IFERROR(__xludf.DUMMYFUNCTION("""COMPUTED_VALUE"""),"Maximilian")</f>
        <v>Maximilian</v>
      </c>
      <c r="C567" s="2" t="str">
        <f>IFERROR(__xludf.DUMMYFUNCTION("""COMPUTED_VALUE"""),"Key Personnel")</f>
        <v>Key Personnel</v>
      </c>
      <c r="D567" s="2" t="str">
        <f>IFERROR(__xludf.DUMMYFUNCTION("""COMPUTED_VALUE"""),"Hartl")</f>
        <v>Hartl</v>
      </c>
      <c r="E567" s="2" t="str">
        <f>IFERROR(__xludf.DUMMYFUNCTION("""COMPUTED_VALUE"""),"Grad Student ")</f>
        <v>Grad Student </v>
      </c>
      <c r="F567" s="2" t="str">
        <f>IFERROR(__xludf.DUMMYFUNCTION("""COMPUTED_VALUE"""),"garhammer@biochem.mpg.de")</f>
        <v>garhammer@biochem.mpg.de</v>
      </c>
      <c r="G567" s="2" t="str">
        <f>IFERROR(__xludf.DUMMYFUNCTION("""COMPUTED_VALUE"""),"0000-0002-9755-4733")</f>
        <v>0000-0002-9755-4733</v>
      </c>
    </row>
    <row r="568">
      <c r="A568" s="2" t="str">
        <f>IFERROR(__xludf.DUMMYFUNCTION("""COMPUTED_VALUE"""),"Gonzalez")</f>
        <v>Gonzalez</v>
      </c>
      <c r="B568" s="2" t="str">
        <f>IFERROR(__xludf.DUMMYFUNCTION("""COMPUTED_VALUE"""),"Miguel")</f>
        <v>Miguel</v>
      </c>
      <c r="C568" s="2" t="str">
        <f>IFERROR(__xludf.DUMMYFUNCTION("""COMPUTED_VALUE"""),"Key Personnel")</f>
        <v>Key Personnel</v>
      </c>
      <c r="D568" s="2" t="str">
        <f>IFERROR(__xludf.DUMMYFUNCTION("""COMPUTED_VALUE"""),"Harper")</f>
        <v>Harper</v>
      </c>
      <c r="E568" s="2" t="str">
        <f>IFERROR(__xludf.DUMMYFUNCTION("""COMPUTED_VALUE"""),"Post-Doc")</f>
        <v>Post-Doc</v>
      </c>
      <c r="F568" s="2" t="str">
        <f>IFERROR(__xludf.DUMMYFUNCTION("""COMPUTED_VALUE""")," Miguel_GonzalezLozano@hms.harvard.edu")</f>
        <v> Miguel_GonzalezLozano@hms.harvard.edu</v>
      </c>
      <c r="G568" s="2" t="str">
        <f>IFERROR(__xludf.DUMMYFUNCTION("""COMPUTED_VALUE"""),"0000-0002-7837-151X")</f>
        <v>0000-0002-7837-151X</v>
      </c>
    </row>
    <row r="569">
      <c r="A569" s="2" t="str">
        <f>IFERROR(__xludf.DUMMYFUNCTION("""COMPUTED_VALUE"""),"Goodall")</f>
        <v>Goodall</v>
      </c>
      <c r="B569" s="2" t="str">
        <f>IFERROR(__xludf.DUMMYFUNCTION("""COMPUTED_VALUE"""),"Ellen")</f>
        <v>Ellen</v>
      </c>
      <c r="C569" s="2" t="str">
        <f>IFERROR(__xludf.DUMMYFUNCTION("""COMPUTED_VALUE"""),"Key Personnel")</f>
        <v>Key Personnel</v>
      </c>
      <c r="D569" s="2" t="str">
        <f>IFERROR(__xludf.DUMMYFUNCTION("""COMPUTED_VALUE"""),"Harper")</f>
        <v>Harper</v>
      </c>
      <c r="E569" s="2" t="str">
        <f>IFERROR(__xludf.DUMMYFUNCTION("""COMPUTED_VALUE"""),"Post-Doc")</f>
        <v>Post-Doc</v>
      </c>
      <c r="F569" s="2" t="str">
        <f>IFERROR(__xludf.DUMMYFUNCTION("""COMPUTED_VALUE"""),"ellen_goodall@hms.harvard.edu")</f>
        <v>ellen_goodall@hms.harvard.edu</v>
      </c>
      <c r="G569" s="2" t="str">
        <f>IFERROR(__xludf.DUMMYFUNCTION("""COMPUTED_VALUE"""),"0000-0001-9876-5973")</f>
        <v>0000-0001-9876-5973</v>
      </c>
    </row>
    <row r="570">
      <c r="A570" s="2" t="str">
        <f>IFERROR(__xludf.DUMMYFUNCTION("""COMPUTED_VALUE"""),"Harper")</f>
        <v>Harper</v>
      </c>
      <c r="B570" s="2" t="str">
        <f>IFERROR(__xludf.DUMMYFUNCTION("""COMPUTED_VALUE"""),"J. Wade")</f>
        <v>J. Wade</v>
      </c>
      <c r="C570" s="2" t="str">
        <f>IFERROR(__xludf.DUMMYFUNCTION("""COMPUTED_VALUE"""),"Lead PI")</f>
        <v>Lead PI</v>
      </c>
      <c r="D570" s="2" t="str">
        <f>IFERROR(__xludf.DUMMYFUNCTION("""COMPUTED_VALUE"""),"Harper")</f>
        <v>Harper</v>
      </c>
      <c r="E570" s="2" t="str">
        <f>IFERROR(__xludf.DUMMYFUNCTION("""COMPUTED_VALUE"""),"Professor")</f>
        <v>Professor</v>
      </c>
      <c r="F570" s="2" t="str">
        <f>IFERROR(__xludf.DUMMYFUNCTION("""COMPUTED_VALUE"""),"wade_harper@hms.harvard.edu")</f>
        <v>wade_harper@hms.harvard.edu</v>
      </c>
      <c r="G570" s="2" t="str">
        <f>IFERROR(__xludf.DUMMYFUNCTION("""COMPUTED_VALUE"""),"0000-0002-6944-7236")</f>
        <v>0000-0002-6944-7236</v>
      </c>
    </row>
    <row r="571">
      <c r="A571" s="2" t="str">
        <f>IFERROR(__xludf.DUMMYFUNCTION("""COMPUTED_VALUE"""),"Hartl")</f>
        <v>Hartl</v>
      </c>
      <c r="B571" s="2" t="str">
        <f>IFERROR(__xludf.DUMMYFUNCTION("""COMPUTED_VALUE"""),"Franz-Ulrich")</f>
        <v>Franz-Ulrich</v>
      </c>
      <c r="C571" s="2" t="str">
        <f>IFERROR(__xludf.DUMMYFUNCTION("""COMPUTED_VALUE"""),"Co-PI")</f>
        <v>Co-PI</v>
      </c>
      <c r="D571" s="2" t="str">
        <f>IFERROR(__xludf.DUMMYFUNCTION("""COMPUTED_VALUE"""),"Hartl")</f>
        <v>Hartl</v>
      </c>
      <c r="E571" s="2" t="str">
        <f>IFERROR(__xludf.DUMMYFUNCTION("""COMPUTED_VALUE"""),"Professor")</f>
        <v>Professor</v>
      </c>
      <c r="F571" s="2" t="str">
        <f>IFERROR(__xludf.DUMMYFUNCTION("""COMPUTED_VALUE"""),"uhartl@biochem.mpg.de")</f>
        <v>uhartl@biochem.mpg.de</v>
      </c>
      <c r="G571" s="2" t="str">
        <f>IFERROR(__xludf.DUMMYFUNCTION("""COMPUTED_VALUE"""),"0000-0002-7941-135X")</f>
        <v>0000-0002-7941-135X</v>
      </c>
    </row>
    <row r="572">
      <c r="A572" s="2" t="str">
        <f>IFERROR(__xludf.DUMMYFUNCTION("""COMPUTED_VALUE"""),"Hickey")</f>
        <v>Hickey</v>
      </c>
      <c r="B572" s="2" t="str">
        <f>IFERROR(__xludf.DUMMYFUNCTION("""COMPUTED_VALUE"""),"Kelsey")</f>
        <v>Kelsey</v>
      </c>
      <c r="C572" s="2" t="str">
        <f>IFERROR(__xludf.DUMMYFUNCTION("""COMPUTED_VALUE"""),"Key Personnel")</f>
        <v>Key Personnel</v>
      </c>
      <c r="D572" s="2" t="str">
        <f>IFERROR(__xludf.DUMMYFUNCTION("""COMPUTED_VALUE"""),"Harper")</f>
        <v>Harper</v>
      </c>
      <c r="E572" s="2" t="str">
        <f>IFERROR(__xludf.DUMMYFUNCTION("""COMPUTED_VALUE"""),"Post-Doc")</f>
        <v>Post-Doc</v>
      </c>
      <c r="F572" s="2" t="str">
        <f>IFERROR(__xludf.DUMMYFUNCTION("""COMPUTED_VALUE"""),"kelsey_hickey@hms.harvard.edu")</f>
        <v>kelsey_hickey@hms.harvard.edu</v>
      </c>
      <c r="G572" s="2" t="str">
        <f>IFERROR(__xludf.DUMMYFUNCTION("""COMPUTED_VALUE"""),"0000-0001-9904-0966")</f>
        <v>0000-0001-9904-0966</v>
      </c>
    </row>
    <row r="573">
      <c r="A573" s="2" t="str">
        <f>IFERROR(__xludf.DUMMYFUNCTION("""COMPUTED_VALUE"""),"Hundley")</f>
        <v>Hundley</v>
      </c>
      <c r="B573" s="2" t="str">
        <f>IFERROR(__xludf.DUMMYFUNCTION("""COMPUTED_VALUE"""),"Frances")</f>
        <v>Frances</v>
      </c>
      <c r="C573" s="2" t="str">
        <f>IFERROR(__xludf.DUMMYFUNCTION("""COMPUTED_VALUE"""),"Project Manager")</f>
        <v>Project Manager</v>
      </c>
      <c r="D573" s="2" t="str">
        <f>IFERROR(__xludf.DUMMYFUNCTION("""COMPUTED_VALUE"""),"Harper")</f>
        <v>Harper</v>
      </c>
      <c r="E573" s="2" t="str">
        <f>IFERROR(__xludf.DUMMYFUNCTION("""COMPUTED_VALUE"""),"Post-Doc")</f>
        <v>Post-Doc</v>
      </c>
      <c r="F573" s="2" t="str">
        <f>IFERROR(__xludf.DUMMYFUNCTION("""COMPUTED_VALUE"""),"frances_hundley@hms.harvard.edu")</f>
        <v>frances_hundley@hms.harvard.edu</v>
      </c>
      <c r="G573" s="2" t="str">
        <f>IFERROR(__xludf.DUMMYFUNCTION("""COMPUTED_VALUE"""),"0000-0001-9469-301X")</f>
        <v>0000-0001-9469-301X</v>
      </c>
    </row>
    <row r="574">
      <c r="A574" s="2" t="str">
        <f>IFERROR(__xludf.DUMMYFUNCTION("""COMPUTED_VALUE"""),"Hussain")</f>
        <v>Hussain</v>
      </c>
      <c r="B574" s="2" t="str">
        <f>IFERROR(__xludf.DUMMYFUNCTION("""COMPUTED_VALUE"""),"Nazia")</f>
        <v>Nazia</v>
      </c>
      <c r="C574" s="2" t="str">
        <f>IFERROR(__xludf.DUMMYFUNCTION("""COMPUTED_VALUE"""),"Key Personnel")</f>
        <v>Key Personnel</v>
      </c>
      <c r="D574" s="2" t="str">
        <f>IFERROR(__xludf.DUMMYFUNCTION("""COMPUTED_VALUE"""),"Fernandez-Busnadiego")</f>
        <v>Fernandez-Busnadiego</v>
      </c>
      <c r="E574" s="2" t="str">
        <f>IFERROR(__xludf.DUMMYFUNCTION("""COMPUTED_VALUE"""),"Post-Doc")</f>
        <v>Post-Doc</v>
      </c>
      <c r="F574" s="2" t="str">
        <f>IFERROR(__xludf.DUMMYFUNCTION("""COMPUTED_VALUE"""),"nazia.hussain@med.uni-goettingen.de")</f>
        <v>nazia.hussain@med.uni-goettingen.de</v>
      </c>
      <c r="G574" s="2" t="str">
        <f>IFERROR(__xludf.DUMMYFUNCTION("""COMPUTED_VALUE"""),"0000-0002-4391-5353")</f>
        <v>0000-0002-4391-5353</v>
      </c>
    </row>
    <row r="575">
      <c r="A575" s="2" t="str">
        <f>IFERROR(__xludf.DUMMYFUNCTION("""COMPUTED_VALUE"""),"Jayaraj")</f>
        <v>Jayaraj</v>
      </c>
      <c r="B575" s="2" t="str">
        <f>IFERROR(__xludf.DUMMYFUNCTION("""COMPUTED_VALUE"""),"Gopal")</f>
        <v>Gopal</v>
      </c>
      <c r="C575" s="2" t="str">
        <f>IFERROR(__xludf.DUMMYFUNCTION("""COMPUTED_VALUE"""),"Key Personnel")</f>
        <v>Key Personnel</v>
      </c>
      <c r="D575" s="2" t="str">
        <f>IFERROR(__xludf.DUMMYFUNCTION("""COMPUTED_VALUE"""),"Hartl")</f>
        <v>Hartl</v>
      </c>
      <c r="E575" s="2" t="str">
        <f>IFERROR(__xludf.DUMMYFUNCTION("""COMPUTED_VALUE"""),"Post-Doc")</f>
        <v>Post-Doc</v>
      </c>
      <c r="F575" s="2" t="str">
        <f>IFERROR(__xludf.DUMMYFUNCTION("""COMPUTED_VALUE"""),"jayaraj@biochem.mpg.de")</f>
        <v>jayaraj@biochem.mpg.de</v>
      </c>
      <c r="G575" s="2" t="str">
        <f>IFERROR(__xludf.DUMMYFUNCTION("""COMPUTED_VALUE"""),"0000-0001-8197-5122")</f>
        <v>0000-0001-8197-5122</v>
      </c>
    </row>
    <row r="576">
      <c r="A576" s="2" t="str">
        <f>IFERROR(__xludf.DUMMYFUNCTION("""COMPUTED_VALUE"""),"Jiang")</f>
        <v>Jiang</v>
      </c>
      <c r="B576" s="2" t="str">
        <f>IFERROR(__xludf.DUMMYFUNCTION("""COMPUTED_VALUE"""),"Yizhi")</f>
        <v>Yizhi</v>
      </c>
      <c r="C576" s="2" t="str">
        <f>IFERROR(__xludf.DUMMYFUNCTION("""COMPUTED_VALUE"""),"Key Personnel")</f>
        <v>Key Personnel</v>
      </c>
      <c r="D576" s="2" t="str">
        <f>IFERROR(__xludf.DUMMYFUNCTION("""COMPUTED_VALUE"""),"Harper")</f>
        <v>Harper</v>
      </c>
      <c r="E576" s="2" t="str">
        <f>IFERROR(__xludf.DUMMYFUNCTION("""COMPUTED_VALUE"""),"Lab Technician ")</f>
        <v>Lab Technician </v>
      </c>
      <c r="F576" s="2" t="str">
        <f>IFERROR(__xludf.DUMMYFUNCTION("""COMPUTED_VALUE"""),"Yizhi_Jiang@hms.harvard.edu")</f>
        <v>Yizhi_Jiang@hms.harvard.edu</v>
      </c>
      <c r="G576" s="2" t="str">
        <f>IFERROR(__xludf.DUMMYFUNCTION("""COMPUTED_VALUE"""),"0000-0001-9016-1104.")</f>
        <v>0000-0001-9016-1104.</v>
      </c>
    </row>
    <row r="577">
      <c r="A577" s="2" t="str">
        <f>IFERROR(__xludf.DUMMYFUNCTION("""COMPUTED_VALUE"""),"Kiss")</f>
        <v>Kiss</v>
      </c>
      <c r="B577" s="2" t="str">
        <f>IFERROR(__xludf.DUMMYFUNCTION("""COMPUTED_VALUE"""),"Leo")</f>
        <v>Leo</v>
      </c>
      <c r="C577" s="2" t="str">
        <f>IFERROR(__xludf.DUMMYFUNCTION("""COMPUTED_VALUE"""),"Key Personnel")</f>
        <v>Key Personnel</v>
      </c>
      <c r="D577" s="2" t="str">
        <f>IFERROR(__xludf.DUMMYFUNCTION("""COMPUTED_VALUE"""),"Schulman")</f>
        <v>Schulman</v>
      </c>
      <c r="E577" s="2" t="str">
        <f>IFERROR(__xludf.DUMMYFUNCTION("""COMPUTED_VALUE"""),"Post-Doc")</f>
        <v>Post-Doc</v>
      </c>
      <c r="F577" s="2" t="str">
        <f>IFERROR(__xludf.DUMMYFUNCTION("""COMPUTED_VALUE"""),"lkiss@biochem.mpg.de")</f>
        <v>lkiss@biochem.mpg.de</v>
      </c>
      <c r="G577" s="2"/>
    </row>
    <row r="578">
      <c r="A578" s="2" t="str">
        <f>IFERROR(__xludf.DUMMYFUNCTION("""COMPUTED_VALUE"""),"Lee")</f>
        <v>Lee</v>
      </c>
      <c r="B578" s="2" t="str">
        <f>IFERROR(__xludf.DUMMYFUNCTION("""COMPUTED_VALUE"""),"Tina")</f>
        <v>Tina</v>
      </c>
      <c r="C578" s="2" t="str">
        <f>IFERROR(__xludf.DUMMYFUNCTION("""COMPUTED_VALUE"""),"Key Personnel")</f>
        <v>Key Personnel</v>
      </c>
      <c r="D578" s="2" t="str">
        <f>IFERROR(__xludf.DUMMYFUNCTION("""COMPUTED_VALUE"""),"Frydman")</f>
        <v>Frydman</v>
      </c>
      <c r="E578" s="2" t="str">
        <f>IFERROR(__xludf.DUMMYFUNCTION("""COMPUTED_VALUE"""),"Lab Technician ")</f>
        <v>Lab Technician </v>
      </c>
      <c r="F578" s="2" t="str">
        <f>IFERROR(__xludf.DUMMYFUNCTION("""COMPUTED_VALUE"""),"tina0104@stanford.edu")</f>
        <v>tina0104@stanford.edu</v>
      </c>
      <c r="G578" s="2" t="str">
        <f>IFERROR(__xludf.DUMMYFUNCTION("""COMPUTED_VALUE"""),"0000-0003-1010-3292")</f>
        <v>0000-0003-1010-3292</v>
      </c>
    </row>
    <row r="579">
      <c r="A579" s="2" t="str">
        <f>IFERROR(__xludf.DUMMYFUNCTION("""COMPUTED_VALUE"""),"Li ")</f>
        <v>Li </v>
      </c>
      <c r="B579" s="2" t="str">
        <f>IFERROR(__xludf.DUMMYFUNCTION("""COMPUTED_VALUE"""),"Lisa")</f>
        <v>Lisa</v>
      </c>
      <c r="C579" s="2" t="str">
        <f>IFERROR(__xludf.DUMMYFUNCTION("""COMPUTED_VALUE"""),"Key Personnel")</f>
        <v>Key Personnel</v>
      </c>
      <c r="D579" s="2" t="str">
        <f>IFERROR(__xludf.DUMMYFUNCTION("""COMPUTED_VALUE"""),"Frydman")</f>
        <v>Frydman</v>
      </c>
      <c r="E579" s="2" t="str">
        <f>IFERROR(__xludf.DUMMYFUNCTION("""COMPUTED_VALUE"""),"Post-Doc")</f>
        <v>Post-Doc</v>
      </c>
      <c r="F579" s="2" t="str">
        <f>IFERROR(__xludf.DUMMYFUNCTION("""COMPUTED_VALUE"""),"lisali04@stanford.edu")</f>
        <v>lisali04@stanford.edu</v>
      </c>
      <c r="G579" s="4" t="str">
        <f>IFERROR(__xludf.DUMMYFUNCTION("""COMPUTED_VALUE"""),"https://orcid.org/0000-0001-5478-8970")</f>
        <v>https://orcid.org/0000-0001-5478-8970</v>
      </c>
    </row>
    <row r="580">
      <c r="A580" s="2" t="str">
        <f>IFERROR(__xludf.DUMMYFUNCTION("""COMPUTED_VALUE"""),"Madero")</f>
        <v>Madero</v>
      </c>
      <c r="B580" s="2" t="str">
        <f>IFERROR(__xludf.DUMMYFUNCTION("""COMPUTED_VALUE"""),"Angel")</f>
        <v>Angel</v>
      </c>
      <c r="C580" s="2" t="str">
        <f>IFERROR(__xludf.DUMMYFUNCTION("""COMPUTED_VALUE"""),"Key Personnel")</f>
        <v>Key Personnel</v>
      </c>
      <c r="D580" s="2" t="str">
        <f>IFERROR(__xludf.DUMMYFUNCTION("""COMPUTED_VALUE"""),"Frydman")</f>
        <v>Frydman</v>
      </c>
      <c r="E580" s="2" t="str">
        <f>IFERROR(__xludf.DUMMYFUNCTION("""COMPUTED_VALUE"""),"Grad Student ")</f>
        <v>Grad Student </v>
      </c>
      <c r="F580" s="2" t="str">
        <f>IFERROR(__xludf.DUMMYFUNCTION("""COMPUTED_VALUE"""),"angelmadero@stanford.edu")</f>
        <v>angelmadero@stanford.edu</v>
      </c>
      <c r="G580" s="2" t="str">
        <f>IFERROR(__xludf.DUMMYFUNCTION("""COMPUTED_VALUE"""),"0000-0002-6238-4658")</f>
        <v>0000-0002-6238-4658</v>
      </c>
    </row>
    <row r="581">
      <c r="A581" s="2" t="str">
        <f>IFERROR(__xludf.DUMMYFUNCTION("""COMPUTED_VALUE"""),"Masto")</f>
        <v>Masto</v>
      </c>
      <c r="B581" s="2" t="str">
        <f>IFERROR(__xludf.DUMMYFUNCTION("""COMPUTED_VALUE"""),"Vince")</f>
        <v>Vince</v>
      </c>
      <c r="C581" s="2" t="str">
        <f>IFERROR(__xludf.DUMMYFUNCTION("""COMPUTED_VALUE"""),"Key Personnel")</f>
        <v>Key Personnel</v>
      </c>
      <c r="D581" s="2" t="str">
        <f>IFERROR(__xludf.DUMMYFUNCTION("""COMPUTED_VALUE"""),"Frydman")</f>
        <v>Frydman</v>
      </c>
      <c r="E581" s="2" t="str">
        <f>IFERROR(__xludf.DUMMYFUNCTION("""COMPUTED_VALUE"""),"Grad Student ")</f>
        <v>Grad Student </v>
      </c>
      <c r="F581" s="2" t="str">
        <f>IFERROR(__xludf.DUMMYFUNCTION("""COMPUTED_VALUE"""),"vmasto@stanford.edu")</f>
        <v>vmasto@stanford.edu</v>
      </c>
      <c r="G581" s="2" t="str">
        <f>IFERROR(__xludf.DUMMYFUNCTION("""COMPUTED_VALUE"""),"0000-0001-8858-7798")</f>
        <v>0000-0001-8858-7798</v>
      </c>
    </row>
    <row r="582">
      <c r="A582" s="2" t="str">
        <f>IFERROR(__xludf.DUMMYFUNCTION("""COMPUTED_VALUE"""),"Petrovic")</f>
        <v>Petrovic</v>
      </c>
      <c r="B582" s="2" t="str">
        <f>IFERROR(__xludf.DUMMYFUNCTION("""COMPUTED_VALUE"""),"Arsen")</f>
        <v>Arsen</v>
      </c>
      <c r="C582" s="2" t="str">
        <f>IFERROR(__xludf.DUMMYFUNCTION("""COMPUTED_VALUE"""),"Key Personnel")</f>
        <v>Key Personnel</v>
      </c>
      <c r="D582" s="2" t="str">
        <f>IFERROR(__xludf.DUMMYFUNCTION("""COMPUTED_VALUE"""),"Fernandez-Busnadiego")</f>
        <v>Fernandez-Busnadiego</v>
      </c>
      <c r="E582" s="2" t="str">
        <f>IFERROR(__xludf.DUMMYFUNCTION("""COMPUTED_VALUE"""),"Post-Doc")</f>
        <v>Post-Doc</v>
      </c>
      <c r="F582" s="2" t="str">
        <f>IFERROR(__xludf.DUMMYFUNCTION("""COMPUTED_VALUE"""),"arsen.petrovic@med.uni-goettingen.de")</f>
        <v>arsen.petrovic@med.uni-goettingen.de</v>
      </c>
      <c r="G582" s="2" t="str">
        <f>IFERROR(__xludf.DUMMYFUNCTION("""COMPUTED_VALUE"""),"0000-0003-4448-4230")</f>
        <v>0000-0003-4448-4230</v>
      </c>
    </row>
    <row r="583">
      <c r="A583" s="2" t="str">
        <f>IFERROR(__xludf.DUMMYFUNCTION("""COMPUTED_VALUE"""),"Prabu")</f>
        <v>Prabu</v>
      </c>
      <c r="B583" s="2" t="str">
        <f>IFERROR(__xludf.DUMMYFUNCTION("""COMPUTED_VALUE"""),"Rajan Jesuraj")</f>
        <v>Rajan Jesuraj</v>
      </c>
      <c r="C583" s="2" t="str">
        <f>IFERROR(__xludf.DUMMYFUNCTION("""COMPUTED_VALUE"""),"Key Personnel")</f>
        <v>Key Personnel</v>
      </c>
      <c r="D583" s="2" t="str">
        <f>IFERROR(__xludf.DUMMYFUNCTION("""COMPUTED_VALUE"""),"Schulman")</f>
        <v>Schulman</v>
      </c>
      <c r="E583" s="2" t="str">
        <f>IFERROR(__xludf.DUMMYFUNCTION("""COMPUTED_VALUE"""),"Post-Doc")</f>
        <v>Post-Doc</v>
      </c>
      <c r="F583" s="2" t="str">
        <f>IFERROR(__xludf.DUMMYFUNCTION("""COMPUTED_VALUE"""),"prabu@biochem.mpg.de")</f>
        <v>prabu@biochem.mpg.de</v>
      </c>
      <c r="G583" s="2" t="str">
        <f>IFERROR(__xludf.DUMMYFUNCTION("""COMPUTED_VALUE"""),"0000-0002-7726-9310")</f>
        <v>0000-0002-7726-9310</v>
      </c>
    </row>
    <row r="584">
      <c r="A584" s="2" t="str">
        <f>IFERROR(__xludf.DUMMYFUNCTION("""COMPUTED_VALUE"""),"Rios")</f>
        <v>Rios</v>
      </c>
      <c r="B584" s="2" t="str">
        <f>IFERROR(__xludf.DUMMYFUNCTION("""COMPUTED_VALUE"""),"Midea Ortiz ")</f>
        <v>Midea Ortiz </v>
      </c>
      <c r="C584" s="2" t="str">
        <f>IFERROR(__xludf.DUMMYFUNCTION("""COMPUTED_VALUE"""),"Key Personnel")</f>
        <v>Key Personnel</v>
      </c>
      <c r="D584" s="2" t="str">
        <f>IFERROR(__xludf.DUMMYFUNCTION("""COMPUTED_VALUE"""),"Fernandez-Busnadiego")</f>
        <v>Fernandez-Busnadiego</v>
      </c>
      <c r="E584" s="2" t="str">
        <f>IFERROR(__xludf.DUMMYFUNCTION("""COMPUTED_VALUE"""),"Grad Student ")</f>
        <v>Grad Student </v>
      </c>
      <c r="F584" s="2" t="str">
        <f>IFERROR(__xludf.DUMMYFUNCTION("""COMPUTED_VALUE"""),"mideamalena.ortizrios@med.uni-goettingen.de")</f>
        <v>mideamalena.ortizrios@med.uni-goettingen.de</v>
      </c>
      <c r="G584" s="2" t="str">
        <f>IFERROR(__xludf.DUMMYFUNCTION("""COMPUTED_VALUE"""),"0000-0001-9431-4251")</f>
        <v>0000-0001-9431-4251</v>
      </c>
    </row>
    <row r="585">
      <c r="A585" s="2" t="str">
        <f>IFERROR(__xludf.DUMMYFUNCTION("""COMPUTED_VALUE"""),"Saha")</f>
        <v>Saha</v>
      </c>
      <c r="B585" s="2" t="str">
        <f>IFERROR(__xludf.DUMMYFUNCTION("""COMPUTED_VALUE"""),"Itika")</f>
        <v>Itika</v>
      </c>
      <c r="C585" s="2" t="str">
        <f>IFERROR(__xludf.DUMMYFUNCTION("""COMPUTED_VALUE"""),"Key Personnel")</f>
        <v>Key Personnel</v>
      </c>
      <c r="D585" s="2" t="str">
        <f>IFERROR(__xludf.DUMMYFUNCTION("""COMPUTED_VALUE"""),"Hartl")</f>
        <v>Hartl</v>
      </c>
      <c r="E585" s="2" t="str">
        <f>IFERROR(__xludf.DUMMYFUNCTION("""COMPUTED_VALUE"""),"Post-Doc")</f>
        <v>Post-Doc</v>
      </c>
      <c r="F585" s="2" t="str">
        <f>IFERROR(__xludf.DUMMYFUNCTION("""COMPUTED_VALUE"""),"saha@biochem.mpg.de")</f>
        <v>saha@biochem.mpg.de</v>
      </c>
      <c r="G585" s="2" t="str">
        <f>IFERROR(__xludf.DUMMYFUNCTION("""COMPUTED_VALUE"""),"0000-0002-0289-4082")</f>
        <v>0000-0002-0289-4082</v>
      </c>
    </row>
    <row r="586">
      <c r="A586" s="2" t="str">
        <f>IFERROR(__xludf.DUMMYFUNCTION("""COMPUTED_VALUE"""),"Schulman")</f>
        <v>Schulman</v>
      </c>
      <c r="B586" s="2" t="str">
        <f>IFERROR(__xludf.DUMMYFUNCTION("""COMPUTED_VALUE"""),"Brenda")</f>
        <v>Brenda</v>
      </c>
      <c r="C586" s="2" t="str">
        <f>IFERROR(__xludf.DUMMYFUNCTION("""COMPUTED_VALUE"""),"Co-PI")</f>
        <v>Co-PI</v>
      </c>
      <c r="D586" s="2" t="str">
        <f>IFERROR(__xludf.DUMMYFUNCTION("""COMPUTED_VALUE"""),"Schulman")</f>
        <v>Schulman</v>
      </c>
      <c r="E586" s="2" t="str">
        <f>IFERROR(__xludf.DUMMYFUNCTION("""COMPUTED_VALUE"""),"Professor")</f>
        <v>Professor</v>
      </c>
      <c r="F586" s="2" t="str">
        <f>IFERROR(__xludf.DUMMYFUNCTION("""COMPUTED_VALUE"""),"schulman@biochem.mpg.de")</f>
        <v>schulman@biochem.mpg.de</v>
      </c>
      <c r="G586" s="2" t="str">
        <f>IFERROR(__xludf.DUMMYFUNCTION("""COMPUTED_VALUE"""),"0000-0002-3083-1126")</f>
        <v>0000-0002-3083-1126</v>
      </c>
    </row>
    <row r="587">
      <c r="A587" s="2" t="str">
        <f>IFERROR(__xludf.DUMMYFUNCTION("""COMPUTED_VALUE"""),"Sicking")</f>
        <v>Sicking</v>
      </c>
      <c r="B587" s="2" t="str">
        <f>IFERROR(__xludf.DUMMYFUNCTION("""COMPUTED_VALUE"""),"Kevin")</f>
        <v>Kevin</v>
      </c>
      <c r="C587" s="2" t="str">
        <f>IFERROR(__xludf.DUMMYFUNCTION("""COMPUTED_VALUE"""),"Key Personnel")</f>
        <v>Key Personnel</v>
      </c>
      <c r="D587" s="2" t="str">
        <f>IFERROR(__xludf.DUMMYFUNCTION("""COMPUTED_VALUE"""),"Fernandez-Busnadiego")</f>
        <v>Fernandez-Busnadiego</v>
      </c>
      <c r="E587" s="2" t="str">
        <f>IFERROR(__xludf.DUMMYFUNCTION("""COMPUTED_VALUE"""),"Post-Doc")</f>
        <v>Post-Doc</v>
      </c>
      <c r="F587" s="2" t="str">
        <f>IFERROR(__xludf.DUMMYFUNCTION("""COMPUTED_VALUE"""),"kevin.sicking@med.uni-goettingen.de")</f>
        <v>kevin.sicking@med.uni-goettingen.de</v>
      </c>
      <c r="G587" s="2" t="str">
        <f>IFERROR(__xludf.DUMMYFUNCTION("""COMPUTED_VALUE"""),"0000-0001-8828-835X")</f>
        <v>0000-0001-8828-835X</v>
      </c>
    </row>
    <row r="588">
      <c r="A588" s="2" t="str">
        <f>IFERROR(__xludf.DUMMYFUNCTION("""COMPUTED_VALUE"""),"Siegert")</f>
        <v>Siegert</v>
      </c>
      <c r="B588" s="2" t="str">
        <f>IFERROR(__xludf.DUMMYFUNCTION("""COMPUTED_VALUE"""),"Anna")</f>
        <v>Anna</v>
      </c>
      <c r="C588" s="2" t="str">
        <f>IFERROR(__xludf.DUMMYFUNCTION("""COMPUTED_VALUE"""),"Key Personnel")</f>
        <v>Key Personnel</v>
      </c>
      <c r="D588" s="2" t="str">
        <f>IFERROR(__xludf.DUMMYFUNCTION("""COMPUTED_VALUE"""),"Fernandez-Busnadiego")</f>
        <v>Fernandez-Busnadiego</v>
      </c>
      <c r="E588" s="2" t="str">
        <f>IFERROR(__xludf.DUMMYFUNCTION("""COMPUTED_VALUE"""),"Post-Doc")</f>
        <v>Post-Doc</v>
      </c>
      <c r="F588" s="2" t="str">
        <f>IFERROR(__xludf.DUMMYFUNCTION("""COMPUTED_VALUE"""),"anna.siegert@stud.uni-goettingen.de")</f>
        <v>anna.siegert@stud.uni-goettingen.de</v>
      </c>
      <c r="G588" s="2"/>
    </row>
    <row r="589">
      <c r="A589" s="2" t="str">
        <f>IFERROR(__xludf.DUMMYFUNCTION("""COMPUTED_VALUE"""),"Sivan")</f>
        <v>Sivan</v>
      </c>
      <c r="B589" s="2" t="str">
        <f>IFERROR(__xludf.DUMMYFUNCTION("""COMPUTED_VALUE"""),"Pinto")</f>
        <v>Pinto</v>
      </c>
      <c r="C589" s="2" t="str">
        <f>IFERROR(__xludf.DUMMYFUNCTION("""COMPUTED_VALUE"""),"Key Personnel")</f>
        <v>Key Personnel</v>
      </c>
      <c r="D589" s="2" t="str">
        <f>IFERROR(__xludf.DUMMYFUNCTION("""COMPUTED_VALUE"""),"Frydman")</f>
        <v>Frydman</v>
      </c>
      <c r="E589" s="2" t="str">
        <f>IFERROR(__xludf.DUMMYFUNCTION("""COMPUTED_VALUE"""),"Post-Doc")</f>
        <v>Post-Doc</v>
      </c>
      <c r="F589" s="2" t="str">
        <f>IFERROR(__xludf.DUMMYFUNCTION("""COMPUTED_VALUE"""),"sivanp@stanford.edu")</f>
        <v>sivanp@stanford.edu</v>
      </c>
      <c r="G589" s="2" t="str">
        <f>IFERROR(__xludf.DUMMYFUNCTION("""COMPUTED_VALUE"""),"0000-0002-1087-8779.")</f>
        <v>0000-0002-1087-8779.</v>
      </c>
    </row>
    <row r="590">
      <c r="A590" s="2" t="str">
        <f>IFERROR(__xludf.DUMMYFUNCTION("""COMPUTED_VALUE"""),"Sitron")</f>
        <v>Sitron</v>
      </c>
      <c r="B590" s="2" t="str">
        <f>IFERROR(__xludf.DUMMYFUNCTION("""COMPUTED_VALUE"""),"Cole")</f>
        <v>Cole</v>
      </c>
      <c r="C590" s="2" t="str">
        <f>IFERROR(__xludf.DUMMYFUNCTION("""COMPUTED_VALUE"""),"Key Personnel")</f>
        <v>Key Personnel</v>
      </c>
      <c r="D590" s="2" t="str">
        <f>IFERROR(__xludf.DUMMYFUNCTION("""COMPUTED_VALUE"""),"Hartl")</f>
        <v>Hartl</v>
      </c>
      <c r="E590" s="2" t="str">
        <f>IFERROR(__xludf.DUMMYFUNCTION("""COMPUTED_VALUE"""),"Post-Doc")</f>
        <v>Post-Doc</v>
      </c>
      <c r="F590" s="2" t="str">
        <f>IFERROR(__xludf.DUMMYFUNCTION("""COMPUTED_VALUE"""),"sitron@biochem.mpg.de")</f>
        <v>sitron@biochem.mpg.de</v>
      </c>
      <c r="G590" s="2" t="str">
        <f>IFERROR(__xludf.DUMMYFUNCTION("""COMPUTED_VALUE"""),"0000-0001-6584-5926")</f>
        <v>0000-0001-6584-5926</v>
      </c>
    </row>
    <row r="591">
      <c r="A591" s="2" t="str">
        <f>IFERROR(__xludf.DUMMYFUNCTION("""COMPUTED_VALUE"""),"Tarutani")</f>
        <v>Tarutani</v>
      </c>
      <c r="B591" s="2" t="str">
        <f>IFERROR(__xludf.DUMMYFUNCTION("""COMPUTED_VALUE"""),"Airi")</f>
        <v>Airi</v>
      </c>
      <c r="C591" s="2" t="str">
        <f>IFERROR(__xludf.DUMMYFUNCTION("""COMPUTED_VALUE"""),"Key Personnel")</f>
        <v>Key Personnel</v>
      </c>
      <c r="D591" s="2" t="str">
        <f>IFERROR(__xludf.DUMMYFUNCTION("""COMPUTED_VALUE"""),"Fernandez-Busnadiego")</f>
        <v>Fernandez-Busnadiego</v>
      </c>
      <c r="E591" s="2" t="str">
        <f>IFERROR(__xludf.DUMMYFUNCTION("""COMPUTED_VALUE"""),"Post-Doc")</f>
        <v>Post-Doc</v>
      </c>
      <c r="F591" s="2" t="str">
        <f>IFERROR(__xludf.DUMMYFUNCTION("""COMPUTED_VALUE"""),"airi.tarutani@med.uni-goettingen.de")</f>
        <v>airi.tarutani@med.uni-goettingen.de</v>
      </c>
      <c r="G591" s="2" t="str">
        <f>IFERROR(__xludf.DUMMYFUNCTION("""COMPUTED_VALUE"""),"0000-0003-3835-9070")</f>
        <v>0000-0003-3835-9070</v>
      </c>
    </row>
    <row r="592">
      <c r="A592" s="2" t="str">
        <f>IFERROR(__xludf.DUMMYFUNCTION("""COMPUTED_VALUE"""),"Wilfling")</f>
        <v>Wilfling</v>
      </c>
      <c r="B592" s="2" t="str">
        <f>IFERROR(__xludf.DUMMYFUNCTION("""COMPUTED_VALUE"""),"Florian")</f>
        <v>Florian</v>
      </c>
      <c r="C592" s="2" t="str">
        <f>IFERROR(__xludf.DUMMYFUNCTION("""COMPUTED_VALUE"""),"Key Personnel")</f>
        <v>Key Personnel</v>
      </c>
      <c r="D592" s="2" t="str">
        <f>IFERROR(__xludf.DUMMYFUNCTION("""COMPUTED_VALUE"""),"Wilfling")</f>
        <v>Wilfling</v>
      </c>
      <c r="E592" s="2" t="str">
        <f>IFERROR(__xludf.DUMMYFUNCTION("""COMPUTED_VALUE"""),"Associated Groupleader")</f>
        <v>Associated Groupleader</v>
      </c>
      <c r="F592" s="2" t="str">
        <f>IFERROR(__xludf.DUMMYFUNCTION("""COMPUTED_VALUE"""),"Florian.Wilfling@biophys.mpg.de")</f>
        <v>Florian.Wilfling@biophys.mpg.de</v>
      </c>
      <c r="G592" s="2" t="str">
        <f>IFERROR(__xludf.DUMMYFUNCTION("""COMPUTED_VALUE"""),"0000-0002-6559-7261")</f>
        <v>0000-0002-6559-7261</v>
      </c>
    </row>
    <row r="593">
      <c r="A593" s="2" t="str">
        <f>IFERROR(__xludf.DUMMYFUNCTION("""COMPUTED_VALUE"""),"Yuste-Checa")</f>
        <v>Yuste-Checa</v>
      </c>
      <c r="B593" s="2" t="str">
        <f>IFERROR(__xludf.DUMMYFUNCTION("""COMPUTED_VALUE"""),"Patricia")</f>
        <v>Patricia</v>
      </c>
      <c r="C593" s="2" t="str">
        <f>IFERROR(__xludf.DUMMYFUNCTION("""COMPUTED_VALUE"""),"Key Personnel")</f>
        <v>Key Personnel</v>
      </c>
      <c r="D593" s="2" t="str">
        <f>IFERROR(__xludf.DUMMYFUNCTION("""COMPUTED_VALUE"""),"Hartl")</f>
        <v>Hartl</v>
      </c>
      <c r="E593" s="2" t="str">
        <f>IFERROR(__xludf.DUMMYFUNCTION("""COMPUTED_VALUE"""),"Post-Doc")</f>
        <v>Post-Doc</v>
      </c>
      <c r="F593" s="2" t="str">
        <f>IFERROR(__xludf.DUMMYFUNCTION("""COMPUTED_VALUE"""),"yuste@biochem.mpg.de")</f>
        <v>yuste@biochem.mpg.de</v>
      </c>
      <c r="G593" s="2" t="str">
        <f>IFERROR(__xludf.DUMMYFUNCTION("""COMPUTED_VALUE"""),"0000-0002-1056-3849")</f>
        <v>0000-0002-1056-3849</v>
      </c>
    </row>
    <row r="594">
      <c r="A594" s="2" t="str">
        <f>IFERROR(__xludf.DUMMYFUNCTION("""COMPUTED_VALUE"""),"Cook")</f>
        <v>Cook</v>
      </c>
      <c r="B594" s="2" t="str">
        <f>IFERROR(__xludf.DUMMYFUNCTION("""COMPUTED_VALUE"""),"Aslan")</f>
        <v>Aslan</v>
      </c>
      <c r="C594" s="2" t="str">
        <f>IFERROR(__xludf.DUMMYFUNCTION("""COMPUTED_VALUE"""),"Key Personnel")</f>
        <v>Key Personnel</v>
      </c>
      <c r="D594" s="2" t="str">
        <f>IFERROR(__xludf.DUMMYFUNCTION("""COMPUTED_VALUE"""),"Harper")</f>
        <v>Harper</v>
      </c>
      <c r="E594" s="2" t="str">
        <f>IFERROR(__xludf.DUMMYFUNCTION("""COMPUTED_VALUE"""),"Lab Technician ")</f>
        <v>Lab Technician </v>
      </c>
      <c r="F594" s="2" t="str">
        <f>IFERROR(__xludf.DUMMYFUNCTION("""COMPUTED_VALUE"""),"Aslan_Cook@hms.harvard.edu")</f>
        <v>Aslan_Cook@hms.harvard.edu</v>
      </c>
      <c r="G594" s="2" t="str">
        <f>IFERROR(__xludf.DUMMYFUNCTION("""COMPUTED_VALUE"""),"0009-0009-2901-3001")</f>
        <v>0009-0009-2901-3001</v>
      </c>
    </row>
    <row r="595">
      <c r="A595" s="2" t="str">
        <f>IFERROR(__xludf.DUMMYFUNCTION("""COMPUTED_VALUE"""),"Schroeter")</f>
        <v>Schroeter</v>
      </c>
      <c r="B595" s="2" t="str">
        <f>IFERROR(__xludf.DUMMYFUNCTION("""COMPUTED_VALUE"""),"Christina")</f>
        <v>Christina</v>
      </c>
      <c r="C595" s="2" t="str">
        <f>IFERROR(__xludf.DUMMYFUNCTION("""COMPUTED_VALUE"""),"External Collaborator")</f>
        <v>External Collaborator</v>
      </c>
      <c r="D595" s="2" t="str">
        <f>IFERROR(__xludf.DUMMYFUNCTION("""COMPUTED_VALUE"""),"Harper")</f>
        <v>Harper</v>
      </c>
      <c r="E595" s="2" t="str">
        <f>IFERROR(__xludf.DUMMYFUNCTION("""COMPUTED_VALUE"""),"Post-Doc")</f>
        <v>Post-Doc</v>
      </c>
      <c r="F595" s="2" t="str">
        <f>IFERROR(__xludf.DUMMYFUNCTION("""COMPUTED_VALUE"""),"ChristinaBarbara.Menskes@med.uni-duesseldorf.de")</f>
        <v>ChristinaBarbara.Menskes@med.uni-duesseldorf.de</v>
      </c>
      <c r="G595" s="2" t="str">
        <f>IFERROR(__xludf.DUMMYFUNCTION("""COMPUTED_VALUE"""),"0000-0002-1391-7817")</f>
        <v>0000-0002-1391-7817</v>
      </c>
    </row>
    <row r="596">
      <c r="A596" s="2" t="str">
        <f>IFERROR(__xludf.DUMMYFUNCTION("""COMPUTED_VALUE"""),"Andree")</f>
        <v>Andree</v>
      </c>
      <c r="B596" s="2" t="str">
        <f>IFERROR(__xludf.DUMMYFUNCTION("""COMPUTED_VALUE"""),"Gisele")</f>
        <v>Gisele</v>
      </c>
      <c r="C596" s="2" t="str">
        <f>IFERROR(__xludf.DUMMYFUNCTION("""COMPUTED_VALUE"""),"Key Personnel")</f>
        <v>Key Personnel</v>
      </c>
      <c r="D596" s="2" t="str">
        <f>IFERROR(__xludf.DUMMYFUNCTION("""COMPUTED_VALUE"""),"Schulman")</f>
        <v>Schulman</v>
      </c>
      <c r="E596" s="2" t="str">
        <f>IFERROR(__xludf.DUMMYFUNCTION("""COMPUTED_VALUE"""),"post-doc")</f>
        <v>post-doc</v>
      </c>
      <c r="F596" s="2" t="str">
        <f>IFERROR(__xludf.DUMMYFUNCTION("""COMPUTED_VALUE"""),"andree@biochem.mpg.de")</f>
        <v>andree@biochem.mpg.de</v>
      </c>
      <c r="G596" s="2" t="str">
        <f>IFERROR(__xludf.DUMMYFUNCTION("""COMPUTED_VALUE"""),"0000-0002-5620-6951")</f>
        <v>0000-0002-5620-6951</v>
      </c>
    </row>
    <row r="597">
      <c r="A597" s="2" t="str">
        <f>IFERROR(__xludf.DUMMYFUNCTION("""COMPUTED_VALUE"""),"Mizrak")</f>
        <v>Mizrak</v>
      </c>
      <c r="B597" s="2" t="str">
        <f>IFERROR(__xludf.DUMMYFUNCTION("""COMPUTED_VALUE"""),"Arda")</f>
        <v>Arda</v>
      </c>
      <c r="C597" s="2" t="str">
        <f>IFERROR(__xludf.DUMMYFUNCTION("""COMPUTED_VALUE"""),"Key Personnel")</f>
        <v>Key Personnel</v>
      </c>
      <c r="D597" s="2" t="str">
        <f>IFERROR(__xludf.DUMMYFUNCTION("""COMPUTED_VALUE"""),"Harper ")</f>
        <v>Harper </v>
      </c>
      <c r="E597" s="2" t="str">
        <f>IFERROR(__xludf.DUMMYFUNCTION("""COMPUTED_VALUE"""),"post-doc")</f>
        <v>post-doc</v>
      </c>
      <c r="F597" s="2" t="str">
        <f>IFERROR(__xludf.DUMMYFUNCTION("""COMPUTED_VALUE"""),"arda_mizrak@hms.harvard.edu")</f>
        <v>arda_mizrak@hms.harvard.edu</v>
      </c>
      <c r="G597" s="2" t="str">
        <f>IFERROR(__xludf.DUMMYFUNCTION("""COMPUTED_VALUE"""),"0000-0001-6524-4864")</f>
        <v>0000-0001-6524-4864</v>
      </c>
    </row>
    <row r="598">
      <c r="A598" s="2" t="str">
        <f>IFERROR(__xludf.DUMMYFUNCTION("""COMPUTED_VALUE"""),"Kleczko")</f>
        <v>Kleczko</v>
      </c>
      <c r="B598" s="2" t="str">
        <f>IFERROR(__xludf.DUMMYFUNCTION("""COMPUTED_VALUE"""),"Korbin")</f>
        <v>Korbin</v>
      </c>
      <c r="C598" s="2" t="str">
        <f>IFERROR(__xludf.DUMMYFUNCTION("""COMPUTED_VALUE"""),"Key Personnel")</f>
        <v>Key Personnel</v>
      </c>
      <c r="D598" s="2" t="str">
        <f>IFERROR(__xludf.DUMMYFUNCTION("""COMPUTED_VALUE"""),"Frydman")</f>
        <v>Frydman</v>
      </c>
      <c r="E598" s="2" t="str">
        <f>IFERROR(__xludf.DUMMYFUNCTION("""COMPUTED_VALUE"""),"Grad Student ")</f>
        <v>Grad Student </v>
      </c>
      <c r="F598" s="2" t="str">
        <f>IFERROR(__xludf.DUMMYFUNCTION("""COMPUTED_VALUE"""),"kklec001@stanford.edu")</f>
        <v>kklec001@stanford.edu</v>
      </c>
      <c r="G598" s="2" t="str">
        <f>IFERROR(__xludf.DUMMYFUNCTION("""COMPUTED_VALUE"""),"0000-0002-6262-720X")</f>
        <v>0000-0002-6262-720X</v>
      </c>
    </row>
    <row r="599">
      <c r="A599" s="2" t="str">
        <f>IFERROR(__xludf.DUMMYFUNCTION("""COMPUTED_VALUE"""),"Schneider")</f>
        <v>Schneider</v>
      </c>
      <c r="B599" s="2" t="str">
        <f>IFERROR(__xludf.DUMMYFUNCTION("""COMPUTED_VALUE"""),"Matthias")</f>
        <v>Matthias</v>
      </c>
      <c r="C599" s="2" t="str">
        <f>IFERROR(__xludf.DUMMYFUNCTION("""COMPUTED_VALUE"""),"Key Personnel")</f>
        <v>Key Personnel</v>
      </c>
      <c r="D599" s="2" t="str">
        <f>IFERROR(__xludf.DUMMYFUNCTION("""COMPUTED_VALUE"""),"Hartl ")</f>
        <v>Hartl </v>
      </c>
      <c r="E599" s="2" t="str">
        <f>IFERROR(__xludf.DUMMYFUNCTION("""COMPUTED_VALUE"""),"post-doc")</f>
        <v>post-doc</v>
      </c>
      <c r="F599" s="2" t="str">
        <f>IFERROR(__xludf.DUMMYFUNCTION("""COMPUTED_VALUE"""),"matschneider@biochem.mpg.de")</f>
        <v>matschneider@biochem.mpg.de</v>
      </c>
      <c r="G599" s="2" t="str">
        <f>IFERROR(__xludf.DUMMYFUNCTION("""COMPUTED_VALUE"""),"0000-0002-1894-1859")</f>
        <v>0000-0002-1894-1859</v>
      </c>
    </row>
    <row r="600">
      <c r="A600" s="2" t="str">
        <f>IFERROR(__xludf.DUMMYFUNCTION("""COMPUTED_VALUE"""),"Civril Stocker ")</f>
        <v>Civril Stocker </v>
      </c>
      <c r="B600" s="2" t="str">
        <f>IFERROR(__xludf.DUMMYFUNCTION("""COMPUTED_VALUE"""),"Filiz")</f>
        <v>Filiz</v>
      </c>
      <c r="C600" s="2" t="str">
        <f>IFERROR(__xludf.DUMMYFUNCTION("""COMPUTED_VALUE"""),"Key Personnel")</f>
        <v>Key Personnel</v>
      </c>
      <c r="D600" s="2" t="str">
        <f>IFERROR(__xludf.DUMMYFUNCTION("""COMPUTED_VALUE"""),"Schulman")</f>
        <v>Schulman</v>
      </c>
      <c r="E600" s="2" t="str">
        <f>IFERROR(__xludf.DUMMYFUNCTION("""COMPUTED_VALUE"""),"scientific coordinator")</f>
        <v>scientific coordinator</v>
      </c>
      <c r="F600" s="2" t="str">
        <f>IFERROR(__xludf.DUMMYFUNCTION("""COMPUTED_VALUE"""),"civril@biochem.mpg.de")</f>
        <v>civril@biochem.mpg.de</v>
      </c>
      <c r="G600" s="2" t="str">
        <f>IFERROR(__xludf.DUMMYFUNCTION("""COMPUTED_VALUE"""),"0009-0009-2322-6938")</f>
        <v>0009-0009-2322-6938</v>
      </c>
    </row>
    <row r="601">
      <c r="A601" s="2" t="str">
        <f>IFERROR(__xludf.DUMMYFUNCTION("""COMPUTED_VALUE"""),"Li ")</f>
        <v>Li </v>
      </c>
      <c r="B601" s="2" t="str">
        <f>IFERROR(__xludf.DUMMYFUNCTION("""COMPUTED_VALUE"""),"Delong")</f>
        <v>Delong</v>
      </c>
      <c r="C601" s="2" t="str">
        <f>IFERROR(__xludf.DUMMYFUNCTION("""COMPUTED_VALUE"""),"Key Personnel")</f>
        <v>Key Personnel</v>
      </c>
      <c r="D601" s="2" t="str">
        <f>IFERROR(__xludf.DUMMYFUNCTION("""COMPUTED_VALUE"""),"Wilfling")</f>
        <v>Wilfling</v>
      </c>
      <c r="E601" s="2" t="str">
        <f>IFERROR(__xludf.DUMMYFUNCTION("""COMPUTED_VALUE"""),"Grad Student ")</f>
        <v>Grad Student </v>
      </c>
      <c r="F601" s="2" t="str">
        <f>IFERROR(__xludf.DUMMYFUNCTION("""COMPUTED_VALUE"""),"delong.li@biophys.mpg.de")</f>
        <v>delong.li@biophys.mpg.de</v>
      </c>
      <c r="G601" s="2" t="str">
        <f>IFERROR(__xludf.DUMMYFUNCTION("""COMPUTED_VALUE"""),"0009-0006-7900-489X")</f>
        <v>0009-0006-7900-489X</v>
      </c>
    </row>
    <row r="602">
      <c r="A602" s="2" t="str">
        <f>IFERROR(__xludf.DUMMYFUNCTION("""COMPUTED_VALUE"""),"Singh")</f>
        <v>Singh</v>
      </c>
      <c r="B602" s="2" t="str">
        <f>IFERROR(__xludf.DUMMYFUNCTION("""COMPUTED_VALUE"""),"Ekampreet")</f>
        <v>Ekampreet</v>
      </c>
      <c r="C602" s="2" t="str">
        <f>IFERROR(__xludf.DUMMYFUNCTION("""COMPUTED_VALUE"""),"Key Personnel")</f>
        <v>Key Personnel</v>
      </c>
      <c r="D602" s="2" t="str">
        <f>IFERROR(__xludf.DUMMYFUNCTION("""COMPUTED_VALUE"""),"Schulman")</f>
        <v>Schulman</v>
      </c>
      <c r="E602" s="2" t="str">
        <f>IFERROR(__xludf.DUMMYFUNCTION("""COMPUTED_VALUE"""),"Grad Student ")</f>
        <v>Grad Student </v>
      </c>
      <c r="F602" s="2" t="str">
        <f>IFERROR(__xludf.DUMMYFUNCTION("""COMPUTED_VALUE"""),"esingh@biochem.mpg.de")</f>
        <v>esingh@biochem.mpg.de</v>
      </c>
      <c r="G602" s="2" t="str">
        <f>IFERROR(__xludf.DUMMYFUNCTION("""COMPUTED_VALUE"""),"0000-0002-7976-1608")</f>
        <v>0000-0002-7976-1608</v>
      </c>
    </row>
    <row r="603">
      <c r="A603" s="2" t="str">
        <f>IFERROR(__xludf.DUMMYFUNCTION("""COMPUTED_VALUE"""),"Zhang")</f>
        <v>Zhang</v>
      </c>
      <c r="B603" s="2" t="str">
        <f>IFERROR(__xludf.DUMMYFUNCTION("""COMPUTED_VALUE"""),"Wenxin")</f>
        <v>Wenxin</v>
      </c>
      <c r="C603" s="2" t="str">
        <f>IFERROR(__xludf.DUMMYFUNCTION("""COMPUTED_VALUE"""),"Key Personnel ")</f>
        <v>Key Personnel </v>
      </c>
      <c r="D603" s="2" t="str">
        <f>IFERROR(__xludf.DUMMYFUNCTION("""COMPUTED_VALUE"""),"Wilfling")</f>
        <v>Wilfling</v>
      </c>
      <c r="E603" s="2" t="str">
        <f>IFERROR(__xludf.DUMMYFUNCTION("""COMPUTED_VALUE"""),"post-doc")</f>
        <v>post-doc</v>
      </c>
      <c r="F603" s="2" t="str">
        <f>IFERROR(__xludf.DUMMYFUNCTION("""COMPUTED_VALUE"""),"Wenxin.Zhang@biophys.mpg.de")</f>
        <v>Wenxin.Zhang@biophys.mpg.de</v>
      </c>
      <c r="G603" s="2" t="str">
        <f>IFERROR(__xludf.DUMMYFUNCTION("""COMPUTED_VALUE"""),"0000-0002-7657-4495")</f>
        <v>0000-0002-7657-4495</v>
      </c>
    </row>
    <row r="604">
      <c r="A604" s="2" t="str">
        <f>IFERROR(__xludf.DUMMYFUNCTION("""COMPUTED_VALUE"""),"Hurley")</f>
        <v>Hurley</v>
      </c>
      <c r="B604" s="2" t="str">
        <f>IFERROR(__xludf.DUMMYFUNCTION("""COMPUTED_VALUE"""),"James")</f>
        <v>James</v>
      </c>
      <c r="C604" s="2" t="str">
        <f>IFERROR(__xludf.DUMMYFUNCTION("""COMPUTED_VALUE"""),"Lead PI")</f>
        <v>Lead PI</v>
      </c>
      <c r="D604" s="2" t="str">
        <f>IFERROR(__xludf.DUMMYFUNCTION("""COMPUTED_VALUE"""),"Hurley Lab")</f>
        <v>Hurley Lab</v>
      </c>
      <c r="E604" s="2" t="str">
        <f>IFERROR(__xludf.DUMMYFUNCTION("""COMPUTED_VALUE"""),"PI")</f>
        <v>PI</v>
      </c>
      <c r="F604" s="2" t="str">
        <f>IFERROR(__xludf.DUMMYFUNCTION("""COMPUTED_VALUE"""),"jimhurley@berkeley.edu")</f>
        <v>jimhurley@berkeley.edu</v>
      </c>
      <c r="G604" s="2" t="str">
        <f>IFERROR(__xludf.DUMMYFUNCTION("""COMPUTED_VALUE"""),"0000-0001-5054-5445")</f>
        <v>0000-0001-5054-5445</v>
      </c>
    </row>
    <row r="605">
      <c r="A605" s="2" t="str">
        <f>IFERROR(__xludf.DUMMYFUNCTION("""COMPUTED_VALUE"""),"Holzbaur")</f>
        <v>Holzbaur</v>
      </c>
      <c r="B605" s="2" t="str">
        <f>IFERROR(__xludf.DUMMYFUNCTION("""COMPUTED_VALUE"""),"Erika ")</f>
        <v>Erika </v>
      </c>
      <c r="C605" s="2" t="str">
        <f>IFERROR(__xludf.DUMMYFUNCTION("""COMPUTED_VALUE"""),"Co-PI")</f>
        <v>Co-PI</v>
      </c>
      <c r="D605" s="2" t="str">
        <f>IFERROR(__xludf.DUMMYFUNCTION("""COMPUTED_VALUE"""),"Holzbaur Lab")</f>
        <v>Holzbaur Lab</v>
      </c>
      <c r="E605" s="2" t="str">
        <f>IFERROR(__xludf.DUMMYFUNCTION("""COMPUTED_VALUE"""),"PI")</f>
        <v>PI</v>
      </c>
      <c r="F605" s="2" t="str">
        <f>IFERROR(__xludf.DUMMYFUNCTION("""COMPUTED_VALUE"""),"holzbaur@pennmedicine.upenn.edu, elfholzbaur@gmail.com")</f>
        <v>holzbaur@pennmedicine.upenn.edu, elfholzbaur@gmail.com</v>
      </c>
      <c r="G605" s="2" t="str">
        <f>IFERROR(__xludf.DUMMYFUNCTION("""COMPUTED_VALUE"""),"0000-0001-5389-4114")</f>
        <v>0000-0001-5389-4114</v>
      </c>
    </row>
    <row r="606">
      <c r="A606" s="2" t="str">
        <f>IFERROR(__xludf.DUMMYFUNCTION("""COMPUTED_VALUE"""),"Lazarou")</f>
        <v>Lazarou</v>
      </c>
      <c r="B606" s="2" t="str">
        <f>IFERROR(__xludf.DUMMYFUNCTION("""COMPUTED_VALUE"""),"Michael ")</f>
        <v>Michael </v>
      </c>
      <c r="C606" s="2" t="str">
        <f>IFERROR(__xludf.DUMMYFUNCTION("""COMPUTED_VALUE"""),"Co-PI")</f>
        <v>Co-PI</v>
      </c>
      <c r="D606" s="2" t="str">
        <f>IFERROR(__xludf.DUMMYFUNCTION("""COMPUTED_VALUE"""),"Lazarou Lab")</f>
        <v>Lazarou Lab</v>
      </c>
      <c r="E606" s="2" t="str">
        <f>IFERROR(__xludf.DUMMYFUNCTION("""COMPUTED_VALUE"""),"PI")</f>
        <v>PI</v>
      </c>
      <c r="F606" s="2" t="str">
        <f>IFERROR(__xludf.DUMMYFUNCTION("""COMPUTED_VALUE"""),"michael.lazarou@monash.edu")</f>
        <v>michael.lazarou@monash.edu</v>
      </c>
      <c r="G606" s="2" t="str">
        <f>IFERROR(__xludf.DUMMYFUNCTION("""COMPUTED_VALUE"""),"0000-0003-2150-5545")</f>
        <v>0000-0003-2150-5545</v>
      </c>
    </row>
    <row r="607">
      <c r="A607" s="2" t="str">
        <f>IFERROR(__xludf.DUMMYFUNCTION("""COMPUTED_VALUE"""),"Martens")</f>
        <v>Martens</v>
      </c>
      <c r="B607" s="2" t="str">
        <f>IFERROR(__xludf.DUMMYFUNCTION("""COMPUTED_VALUE"""),"Sascha ")</f>
        <v>Sascha </v>
      </c>
      <c r="C607" s="2" t="str">
        <f>IFERROR(__xludf.DUMMYFUNCTION("""COMPUTED_VALUE"""),"Co-PI")</f>
        <v>Co-PI</v>
      </c>
      <c r="D607" s="2" t="str">
        <f>IFERROR(__xludf.DUMMYFUNCTION("""COMPUTED_VALUE"""),"Martens Lab")</f>
        <v>Martens Lab</v>
      </c>
      <c r="E607" s="2" t="str">
        <f>IFERROR(__xludf.DUMMYFUNCTION("""COMPUTED_VALUE"""),"PI")</f>
        <v>PI</v>
      </c>
      <c r="F607" s="2" t="str">
        <f>IFERROR(__xludf.DUMMYFUNCTION("""COMPUTED_VALUE"""),"sascha.martens@univie.ac.at")</f>
        <v>sascha.martens@univie.ac.at</v>
      </c>
      <c r="G607" s="2" t="str">
        <f>IFERROR(__xludf.DUMMYFUNCTION("""COMPUTED_VALUE"""),"0000-0003-3786-8199")</f>
        <v>0000-0003-3786-8199</v>
      </c>
    </row>
    <row r="608">
      <c r="A608" s="2" t="str">
        <f>IFERROR(__xludf.DUMMYFUNCTION("""COMPUTED_VALUE"""),"Fracchiolla")</f>
        <v>Fracchiolla</v>
      </c>
      <c r="B608" s="2" t="str">
        <f>IFERROR(__xludf.DUMMYFUNCTION("""COMPUTED_VALUE"""),"Dorotea  ")</f>
        <v>Dorotea  </v>
      </c>
      <c r="C608" s="2" t="str">
        <f>IFERROR(__xludf.DUMMYFUNCTION("""COMPUTED_VALUE"""),"Project Manager")</f>
        <v>Project Manager</v>
      </c>
      <c r="D608" s="2" t="str">
        <f>IFERROR(__xludf.DUMMYFUNCTION("""COMPUTED_VALUE"""),"Hummer Lab")</f>
        <v>Hummer Lab</v>
      </c>
      <c r="E608" s="2" t="str">
        <f>IFERROR(__xludf.DUMMYFUNCTION("""COMPUTED_VALUE"""),"Postdoc")</f>
        <v>Postdoc</v>
      </c>
      <c r="F608" s="2" t="str">
        <f>IFERROR(__xludf.DUMMYFUNCTION("""COMPUTED_VALUE"""),"Dorotea.Fracchiolla@biophys.mpg.de")</f>
        <v>Dorotea.Fracchiolla@biophys.mpg.de</v>
      </c>
      <c r="G608" s="2" t="str">
        <f>IFERROR(__xludf.DUMMYFUNCTION("""COMPUTED_VALUE"""),"0000-0002-1612-5225")</f>
        <v>0000-0002-1612-5225</v>
      </c>
    </row>
    <row r="609">
      <c r="A609" s="2" t="str">
        <f>IFERROR(__xludf.DUMMYFUNCTION("""COMPUTED_VALUE"""),"Khuu")</f>
        <v>Khuu</v>
      </c>
      <c r="B609" s="2" t="str">
        <f>IFERROR(__xludf.DUMMYFUNCTION("""COMPUTED_VALUE"""),"Grace")</f>
        <v>Grace</v>
      </c>
      <c r="C609" s="2" t="str">
        <f>IFERROR(__xludf.DUMMYFUNCTION("""COMPUTED_VALUE"""),"Key Personnel")</f>
        <v>Key Personnel</v>
      </c>
      <c r="D609" s="2" t="str">
        <f>IFERROR(__xludf.DUMMYFUNCTION("""COMPUTED_VALUE"""),"Lazarou Lab")</f>
        <v>Lazarou Lab</v>
      </c>
      <c r="E609" s="2" t="str">
        <f>IFERROR(__xludf.DUMMYFUNCTION("""COMPUTED_VALUE"""),"Research Assistant")</f>
        <v>Research Assistant</v>
      </c>
      <c r="F609" s="2" t="str">
        <f>IFERROR(__xludf.DUMMYFUNCTION("""COMPUTED_VALUE"""),"grace.Khuu@monash.edu")</f>
        <v>grace.Khuu@monash.edu</v>
      </c>
      <c r="G609" s="2" t="str">
        <f>IFERROR(__xludf.DUMMYFUNCTION("""COMPUTED_VALUE"""),"0000-0002-2550-0605")</f>
        <v>0000-0002-2550-0605</v>
      </c>
    </row>
    <row r="610">
      <c r="A610" s="2" t="str">
        <f>IFERROR(__xludf.DUMMYFUNCTION("""COMPUTED_VALUE"""),"Nguyen")</f>
        <v>Nguyen</v>
      </c>
      <c r="B610" s="2" t="str">
        <f>IFERROR(__xludf.DUMMYFUNCTION("""COMPUTED_VALUE"""),"Thanh ")</f>
        <v>Thanh </v>
      </c>
      <c r="C610" s="2" t="str">
        <f>IFERROR(__xludf.DUMMYFUNCTION("""COMPUTED_VALUE"""),"Key Personnel")</f>
        <v>Key Personnel</v>
      </c>
      <c r="D610" s="2" t="str">
        <f>IFERROR(__xludf.DUMMYFUNCTION("""COMPUTED_VALUE"""),"Lazarou Lab")</f>
        <v>Lazarou Lab</v>
      </c>
      <c r="E610" s="2" t="str">
        <f>IFERROR(__xludf.DUMMYFUNCTION("""COMPUTED_VALUE"""),"Postdoc")</f>
        <v>Postdoc</v>
      </c>
      <c r="F610" s="2" t="str">
        <f>IFERROR(__xludf.DUMMYFUNCTION("""COMPUTED_VALUE"""),"nguyen.tha@wehi.edu.au")</f>
        <v>nguyen.tha@wehi.edu.au</v>
      </c>
      <c r="G610" s="2" t="str">
        <f>IFERROR(__xludf.DUMMYFUNCTION("""COMPUTED_VALUE"""),"0000-0001-9698-0020")</f>
        <v>0000-0001-9698-0020</v>
      </c>
    </row>
    <row r="611">
      <c r="A611" s="2" t="str">
        <f>IFERROR(__xludf.DUMMYFUNCTION("""COMPUTED_VALUE"""),"Dea")</f>
        <v>Dea</v>
      </c>
      <c r="B611" s="2" t="str">
        <f>IFERROR(__xludf.DUMMYFUNCTION("""COMPUTED_VALUE"""),"Catherine")</f>
        <v>Catherine</v>
      </c>
      <c r="C611" s="2" t="str">
        <f>IFERROR(__xludf.DUMMYFUNCTION("""COMPUTED_VALUE"""),"Acting Project Manager")</f>
        <v>Acting Project Manager</v>
      </c>
      <c r="D611" s="2" t="str">
        <f>IFERROR(__xludf.DUMMYFUNCTION("""COMPUTED_VALUE"""),"Hurley Lab")</f>
        <v>Hurley Lab</v>
      </c>
      <c r="E611" s="2" t="str">
        <f>IFERROR(__xludf.DUMMYFUNCTION("""COMPUTED_VALUE"""),"Administrative Officer")</f>
        <v>Administrative Officer</v>
      </c>
      <c r="F611" s="2" t="str">
        <f>IFERROR(__xludf.DUMMYFUNCTION("""COMPUTED_VALUE"""),"intoku@berkeley.edu")</f>
        <v>intoku@berkeley.edu</v>
      </c>
      <c r="G611" s="2" t="str">
        <f>IFERROR(__xludf.DUMMYFUNCTION("""COMPUTED_VALUE"""),"0000-0003-3715-4479")</f>
        <v>0000-0003-3715-4479</v>
      </c>
    </row>
    <row r="612">
      <c r="A612" s="2" t="str">
        <f>IFERROR(__xludf.DUMMYFUNCTION("""COMPUTED_VALUE"""),"Hummer")</f>
        <v>Hummer</v>
      </c>
      <c r="B612" s="2" t="str">
        <f>IFERROR(__xludf.DUMMYFUNCTION("""COMPUTED_VALUE"""),"Gerhard")</f>
        <v>Gerhard</v>
      </c>
      <c r="C612" s="2" t="str">
        <f>IFERROR(__xludf.DUMMYFUNCTION("""COMPUTED_VALUE"""),"Paid Collaborator")</f>
        <v>Paid Collaborator</v>
      </c>
      <c r="D612" s="2" t="str">
        <f>IFERROR(__xludf.DUMMYFUNCTION("""COMPUTED_VALUE"""),"Hummer Lab")</f>
        <v>Hummer Lab</v>
      </c>
      <c r="E612" s="2" t="str">
        <f>IFERROR(__xludf.DUMMYFUNCTION("""COMPUTED_VALUE"""),"PI")</f>
        <v>PI</v>
      </c>
      <c r="F612" s="2" t="str">
        <f>IFERROR(__xludf.DUMMYFUNCTION("""COMPUTED_VALUE"""),"gerhard.hummer@biophys.mpg.de")</f>
        <v>gerhard.hummer@biophys.mpg.de</v>
      </c>
      <c r="G612" s="2" t="str">
        <f>IFERROR(__xludf.DUMMYFUNCTION("""COMPUTED_VALUE"""),"0000-0001-7768-746X")</f>
        <v>0000-0001-7768-746X</v>
      </c>
    </row>
    <row r="613">
      <c r="A613" s="2" t="str">
        <f>IFERROR(__xludf.DUMMYFUNCTION("""COMPUTED_VALUE"""),"Sawa-Makarska")</f>
        <v>Sawa-Makarska</v>
      </c>
      <c r="B613" s="2" t="str">
        <f>IFERROR(__xludf.DUMMYFUNCTION("""COMPUTED_VALUE"""),"Justyna")</f>
        <v>Justyna</v>
      </c>
      <c r="C613" s="2" t="str">
        <f>IFERROR(__xludf.DUMMYFUNCTION("""COMPUTED_VALUE"""),"Key Personnel")</f>
        <v>Key Personnel</v>
      </c>
      <c r="D613" s="2" t="str">
        <f>IFERROR(__xludf.DUMMYFUNCTION("""COMPUTED_VALUE"""),"Martens Lab")</f>
        <v>Martens Lab</v>
      </c>
      <c r="E613" s="2" t="str">
        <f>IFERROR(__xludf.DUMMYFUNCTION("""COMPUTED_VALUE"""),"Postdoc")</f>
        <v>Postdoc</v>
      </c>
      <c r="F613" s="2" t="str">
        <f>IFERROR(__xludf.DUMMYFUNCTION("""COMPUTED_VALUE"""),"justyna.sawa-makarska@univie.ac.at")</f>
        <v>justyna.sawa-makarska@univie.ac.at</v>
      </c>
      <c r="G613" s="2" t="str">
        <f>IFERROR(__xludf.DUMMYFUNCTION("""COMPUTED_VALUE"""),"0000-0002-9321-976X")</f>
        <v>0000-0002-9321-976X</v>
      </c>
    </row>
    <row r="614">
      <c r="A614" s="2" t="str">
        <f>IFERROR(__xludf.DUMMYFUNCTION("""COMPUTED_VALUE"""),"Adriaenssens")</f>
        <v>Adriaenssens</v>
      </c>
      <c r="B614" s="2" t="str">
        <f>IFERROR(__xludf.DUMMYFUNCTION("""COMPUTED_VALUE"""),"Elias")</f>
        <v>Elias</v>
      </c>
      <c r="C614" s="2" t="str">
        <f>IFERROR(__xludf.DUMMYFUNCTION("""COMPUTED_VALUE"""),"Key Personnel")</f>
        <v>Key Personnel</v>
      </c>
      <c r="D614" s="2" t="str">
        <f>IFERROR(__xludf.DUMMYFUNCTION("""COMPUTED_VALUE"""),"Martens Lab")</f>
        <v>Martens Lab</v>
      </c>
      <c r="E614" s="2" t="str">
        <f>IFERROR(__xludf.DUMMYFUNCTION("""COMPUTED_VALUE"""),"Postdoc")</f>
        <v>Postdoc</v>
      </c>
      <c r="F614" s="2" t="str">
        <f>IFERROR(__xludf.DUMMYFUNCTION("""COMPUTED_VALUE"""),"eliasa55@univie.ac.at")</f>
        <v>eliasa55@univie.ac.at</v>
      </c>
      <c r="G614" s="2" t="str">
        <f>IFERROR(__xludf.DUMMYFUNCTION("""COMPUTED_VALUE"""),"0000-0001-9430-917X")</f>
        <v>0000-0001-9430-917X</v>
      </c>
    </row>
    <row r="615">
      <c r="A615" s="2" t="str">
        <f>IFERROR(__xludf.DUMMYFUNCTION("""COMPUTED_VALUE"""),"Lam")</f>
        <v>Lam</v>
      </c>
      <c r="B615" s="2" t="str">
        <f>IFERROR(__xludf.DUMMYFUNCTION("""COMPUTED_VALUE"""),"Wai Kit (Leo)")</f>
        <v>Wai Kit (Leo)</v>
      </c>
      <c r="C615" s="2" t="str">
        <f>IFERROR(__xludf.DUMMYFUNCTION("""COMPUTED_VALUE"""),"Key Personnel")</f>
        <v>Key Personnel</v>
      </c>
      <c r="D615" s="2" t="str">
        <f>IFERROR(__xludf.DUMMYFUNCTION("""COMPUTED_VALUE"""),"Lazarou Lab")</f>
        <v>Lazarou Lab</v>
      </c>
      <c r="E615" s="2" t="str">
        <f>IFERROR(__xludf.DUMMYFUNCTION("""COMPUTED_VALUE"""),"Postdoc")</f>
        <v>Postdoc</v>
      </c>
      <c r="F615" s="2" t="str">
        <f>IFERROR(__xludf.DUMMYFUNCTION("""COMPUTED_VALUE"""),"wai.lam@monash.edu")</f>
        <v>wai.lam@monash.edu</v>
      </c>
      <c r="G615" s="2" t="str">
        <f>IFERROR(__xludf.DUMMYFUNCTION("""COMPUTED_VALUE"""),"0000-0002-7433-9205")</f>
        <v>0000-0002-7433-9205</v>
      </c>
    </row>
    <row r="616">
      <c r="A616" s="2" t="str">
        <f>IFERROR(__xludf.DUMMYFUNCTION("""COMPUTED_VALUE"""),"Lindblom")</f>
        <v>Lindblom</v>
      </c>
      <c r="B616" s="2" t="str">
        <f>IFERROR(__xludf.DUMMYFUNCTION("""COMPUTED_VALUE"""),"Runa")</f>
        <v>Runa</v>
      </c>
      <c r="C616" s="2" t="str">
        <f>IFERROR(__xludf.DUMMYFUNCTION("""COMPUTED_VALUE"""),"Key Personnel")</f>
        <v>Key Personnel</v>
      </c>
      <c r="D616" s="2" t="str">
        <f>IFERROR(__xludf.DUMMYFUNCTION("""COMPUTED_VALUE"""),"Key Personnel")</f>
        <v>Key Personnel</v>
      </c>
      <c r="E616" s="2" t="str">
        <f>IFERROR(__xludf.DUMMYFUNCTION("""COMPUTED_VALUE"""),"Postdoc")</f>
        <v>Postdoc</v>
      </c>
      <c r="F616" s="2" t="str">
        <f>IFERROR(__xludf.DUMMYFUNCTION("""COMPUTED_VALUE"""),"lindblom.r@wehi.edu.au")</f>
        <v>lindblom.r@wehi.edu.au</v>
      </c>
      <c r="G616" s="2" t="str">
        <f>IFERROR(__xludf.DUMMYFUNCTION("""COMPUTED_VALUE"""),"0000-0001-6755-8744")</f>
        <v>0000-0001-6755-8744</v>
      </c>
    </row>
    <row r="617">
      <c r="A617" s="2" t="str">
        <f>IFERROR(__xludf.DUMMYFUNCTION("""COMPUTED_VALUE"""),"Tudorica")</f>
        <v>Tudorica</v>
      </c>
      <c r="B617" s="2" t="str">
        <f>IFERROR(__xludf.DUMMYFUNCTION("""COMPUTED_VALUE"""),"Dan")</f>
        <v>Dan</v>
      </c>
      <c r="C617" s="2" t="str">
        <f>IFERROR(__xludf.DUMMYFUNCTION("""COMPUTED_VALUE"""),"Key Personnel")</f>
        <v>Key Personnel</v>
      </c>
      <c r="D617" s="2" t="str">
        <f>IFERROR(__xludf.DUMMYFUNCTION("""COMPUTED_VALUE"""),"Hurley Lab")</f>
        <v>Hurley Lab</v>
      </c>
      <c r="E617" s="2" t="str">
        <f>IFERROR(__xludf.DUMMYFUNCTION("""COMPUTED_VALUE"""),"Grad Student")</f>
        <v>Grad Student</v>
      </c>
      <c r="F617" s="2" t="str">
        <f>IFERROR(__xludf.DUMMYFUNCTION("""COMPUTED_VALUE"""),"dan_tudorica@berkeley.edu")</f>
        <v>dan_tudorica@berkeley.edu</v>
      </c>
      <c r="G617" s="2" t="str">
        <f>IFERROR(__xludf.DUMMYFUNCTION("""COMPUTED_VALUE"""),"0000-0003-0337-5150")</f>
        <v>0000-0003-0337-5150</v>
      </c>
    </row>
    <row r="618">
      <c r="A618" s="2" t="str">
        <f>IFERROR(__xludf.DUMMYFUNCTION("""COMPUTED_VALUE"""),"Cook")</f>
        <v>Cook</v>
      </c>
      <c r="B618" s="2" t="str">
        <f>IFERROR(__xludf.DUMMYFUNCTION("""COMPUTED_VALUE"""),"Zeke/Annan")</f>
        <v>Zeke/Annan</v>
      </c>
      <c r="C618" s="2" t="str">
        <f>IFERROR(__xludf.DUMMYFUNCTION("""COMPUTED_VALUE"""),"Key Personnel")</f>
        <v>Key Personnel</v>
      </c>
      <c r="D618" s="2" t="str">
        <f>IFERROR(__xludf.DUMMYFUNCTION("""COMPUTED_VALUE"""),"Hurley Lab")</f>
        <v>Hurley Lab</v>
      </c>
      <c r="E618" s="2" t="str">
        <f>IFERROR(__xludf.DUMMYFUNCTION("""COMPUTED_VALUE"""),"Grad Student")</f>
        <v>Grad Student</v>
      </c>
      <c r="F618" s="2" t="str">
        <f>IFERROR(__xludf.DUMMYFUNCTION("""COMPUTED_VALUE"""),"zeke_cook@berkeley.edu")</f>
        <v>zeke_cook@berkeley.edu</v>
      </c>
      <c r="G618" s="2" t="str">
        <f>IFERROR(__xludf.DUMMYFUNCTION("""COMPUTED_VALUE"""),"0000-0001-6415-9107")</f>
        <v>0000-0001-6415-9107</v>
      </c>
    </row>
    <row r="619">
      <c r="A619" s="2" t="str">
        <f>IFERROR(__xludf.DUMMYFUNCTION("""COMPUTED_VALUE"""),"Riley")</f>
        <v>Riley</v>
      </c>
      <c r="B619" s="2" t="str">
        <f>IFERROR(__xludf.DUMMYFUNCTION("""COMPUTED_VALUE"""),"Julia")</f>
        <v>Julia</v>
      </c>
      <c r="C619" s="2" t="str">
        <f>IFERROR(__xludf.DUMMYFUNCTION("""COMPUTED_VALUE"""),"Key Personnel")</f>
        <v>Key Personnel</v>
      </c>
      <c r="D619" s="2" t="str">
        <f>IFERROR(__xludf.DUMMYFUNCTION("""COMPUTED_VALUE"""),"Holzbaur Lab")</f>
        <v>Holzbaur Lab</v>
      </c>
      <c r="E619" s="2"/>
      <c r="F619" s="2" t="str">
        <f>IFERROR(__xludf.DUMMYFUNCTION("""COMPUTED_VALUE"""),"juriley@pennmedicine.upenn.edu")</f>
        <v>juriley@pennmedicine.upenn.edu</v>
      </c>
      <c r="G619" s="2" t="str">
        <f>IFERROR(__xludf.DUMMYFUNCTION("""COMPUTED_VALUE"""),"0000-0001-8518-9786")</f>
        <v>0000-0001-8518-9786</v>
      </c>
    </row>
    <row r="620">
      <c r="A620" s="2" t="str">
        <f>IFERROR(__xludf.DUMMYFUNCTION("""COMPUTED_VALUE"""),"Basak")</f>
        <v>Basak</v>
      </c>
      <c r="B620" s="2" t="str">
        <f>IFERROR(__xludf.DUMMYFUNCTION("""COMPUTED_VALUE"""),"Bishal")</f>
        <v>Bishal</v>
      </c>
      <c r="C620" s="2" t="str">
        <f>IFERROR(__xludf.DUMMYFUNCTION("""COMPUTED_VALUE"""),"Key Personnel")</f>
        <v>Key Personnel</v>
      </c>
      <c r="D620" s="2" t="str">
        <f>IFERROR(__xludf.DUMMYFUNCTION("""COMPUTED_VALUE"""),"Holzbaur Lab")</f>
        <v>Holzbaur Lab</v>
      </c>
      <c r="E620" s="2" t="str">
        <f>IFERROR(__xludf.DUMMYFUNCTION("""COMPUTED_VALUE"""),"Postdoc")</f>
        <v>Postdoc</v>
      </c>
      <c r="F620" s="2" t="str">
        <f>IFERROR(__xludf.DUMMYFUNCTION("""COMPUTED_VALUE"""),"Bishal.Basak@Pennmedicine.upenn.edu")</f>
        <v>Bishal.Basak@Pennmedicine.upenn.edu</v>
      </c>
      <c r="G620" s="2" t="str">
        <f>IFERROR(__xludf.DUMMYFUNCTION("""COMPUTED_VALUE"""),"0000-0003-4496-4162")</f>
        <v>0000-0003-4496-4162</v>
      </c>
    </row>
    <row r="621">
      <c r="A621" s="2" t="str">
        <f>IFERROR(__xludf.DUMMYFUNCTION("""COMPUTED_VALUE"""),"Holzer")</f>
        <v>Holzer</v>
      </c>
      <c r="B621" s="2" t="str">
        <f>IFERROR(__xludf.DUMMYFUNCTION("""COMPUTED_VALUE"""),"Elisabeth")</f>
        <v>Elisabeth</v>
      </c>
      <c r="C621" s="2" t="str">
        <f>IFERROR(__xludf.DUMMYFUNCTION("""COMPUTED_VALUE"""),"Key Personnel")</f>
        <v>Key Personnel</v>
      </c>
      <c r="D621" s="2" t="str">
        <f>IFERROR(__xludf.DUMMYFUNCTION("""COMPUTED_VALUE"""),"Martens Lab")</f>
        <v>Martens Lab</v>
      </c>
      <c r="E621" s="2" t="str">
        <f>IFERROR(__xludf.DUMMYFUNCTION("""COMPUTED_VALUE"""),"Grad Student")</f>
        <v>Grad Student</v>
      </c>
      <c r="F621" s="2" t="str">
        <f>IFERROR(__xludf.DUMMYFUNCTION("""COMPUTED_VALUE"""),"elisabeth.holzer@univie.ac.at")</f>
        <v>elisabeth.holzer@univie.ac.at</v>
      </c>
      <c r="G621" s="2" t="str">
        <f>IFERROR(__xludf.DUMMYFUNCTION("""COMPUTED_VALUE"""),"0000-0003-1806-737X")</f>
        <v>0000-0003-1806-737X</v>
      </c>
    </row>
    <row r="622">
      <c r="A622" s="2" t="str">
        <f>IFERROR(__xludf.DUMMYFUNCTION("""COMPUTED_VALUE"""),"Palumbos")</f>
        <v>Palumbos</v>
      </c>
      <c r="B622" s="2" t="str">
        <f>IFERROR(__xludf.DUMMYFUNCTION("""COMPUTED_VALUE"""),"Sierra")</f>
        <v>Sierra</v>
      </c>
      <c r="C622" s="2" t="str">
        <f>IFERROR(__xludf.DUMMYFUNCTION("""COMPUTED_VALUE"""),"Key Personnel")</f>
        <v>Key Personnel</v>
      </c>
      <c r="D622" s="2" t="str">
        <f>IFERROR(__xludf.DUMMYFUNCTION("""COMPUTED_VALUE"""),"Holzbaur Lab")</f>
        <v>Holzbaur Lab</v>
      </c>
      <c r="E622" s="2" t="str">
        <f>IFERROR(__xludf.DUMMYFUNCTION("""COMPUTED_VALUE"""),"Postdoc")</f>
        <v>Postdoc</v>
      </c>
      <c r="F622" s="2" t="str">
        <f>IFERROR(__xludf.DUMMYFUNCTION("""COMPUTED_VALUE"""),"Sierra.Palumbos@Pennmedicine.upenn.edu")</f>
        <v>Sierra.Palumbos@Pennmedicine.upenn.edu</v>
      </c>
      <c r="G622" s="2" t="str">
        <f>IFERROR(__xludf.DUMMYFUNCTION("""COMPUTED_VALUE"""),"0000-0002-3595-984X")</f>
        <v>0000-0002-3595-984X</v>
      </c>
    </row>
    <row r="623">
      <c r="A623" s="2" t="str">
        <f>IFERROR(__xludf.DUMMYFUNCTION("""COMPUTED_VALUE"""),"Ren")</f>
        <v>Ren</v>
      </c>
      <c r="B623" s="2" t="str">
        <f>IFERROR(__xludf.DUMMYFUNCTION("""COMPUTED_VALUE"""),"Xuefeng")</f>
        <v>Xuefeng</v>
      </c>
      <c r="C623" s="2" t="str">
        <f>IFERROR(__xludf.DUMMYFUNCTION("""COMPUTED_VALUE"""),"Key Personnel")</f>
        <v>Key Personnel</v>
      </c>
      <c r="D623" s="2" t="str">
        <f>IFERROR(__xludf.DUMMYFUNCTION("""COMPUTED_VALUE"""),"Hurley Lab")</f>
        <v>Hurley Lab</v>
      </c>
      <c r="E623" s="2" t="str">
        <f>IFERROR(__xludf.DUMMYFUNCTION("""COMPUTED_VALUE"""),"Research Technician")</f>
        <v>Research Technician</v>
      </c>
      <c r="F623" s="2" t="str">
        <f>IFERROR(__xludf.DUMMYFUNCTION("""COMPUTED_VALUE"""),"snowren@berkeley.edu")</f>
        <v>snowren@berkeley.edu</v>
      </c>
      <c r="G623" s="2" t="str">
        <f>IFERROR(__xludf.DUMMYFUNCTION("""COMPUTED_VALUE"""),"0000-0002-4822-4316")</f>
        <v>0000-0002-4822-4316</v>
      </c>
    </row>
    <row r="624">
      <c r="A624" s="2" t="str">
        <f>IFERROR(__xludf.DUMMYFUNCTION("""COMPUTED_VALUE"""),"Minghao")</f>
        <v>Minghao</v>
      </c>
      <c r="B624" s="2" t="str">
        <f>IFERROR(__xludf.DUMMYFUNCTION("""COMPUTED_VALUE"""),"Chen")</f>
        <v>Chen</v>
      </c>
      <c r="C624" s="2" t="str">
        <f>IFERROR(__xludf.DUMMYFUNCTION("""COMPUTED_VALUE"""),"Key Personnel")</f>
        <v>Key Personnel</v>
      </c>
      <c r="D624" s="2" t="str">
        <f>IFERROR(__xludf.DUMMYFUNCTION("""COMPUTED_VALUE"""),"Hurley Lab")</f>
        <v>Hurley Lab</v>
      </c>
      <c r="E624" s="2" t="str">
        <f>IFERROR(__xludf.DUMMYFUNCTION("""COMPUTED_VALUE"""),"Assistant Project Scientist")</f>
        <v>Assistant Project Scientist</v>
      </c>
      <c r="F624" s="2" t="str">
        <f>IFERROR(__xludf.DUMMYFUNCTION("""COMPUTED_VALUE"""),"minghao.chen@berkeley.edu")</f>
        <v>minghao.chen@berkeley.edu</v>
      </c>
      <c r="G624" s="2" t="str">
        <f>IFERROR(__xludf.DUMMYFUNCTION("""COMPUTED_VALUE"""),"0000-0002-7668-3974")</f>
        <v>0000-0002-7668-3974</v>
      </c>
    </row>
    <row r="625">
      <c r="A625" s="2" t="str">
        <f>IFERROR(__xludf.DUMMYFUNCTION("""COMPUTED_VALUE"""),"Uoselis")</f>
        <v>Uoselis</v>
      </c>
      <c r="B625" s="2" t="str">
        <f>IFERROR(__xludf.DUMMYFUNCTION("""COMPUTED_VALUE"""),"Louise")</f>
        <v>Louise</v>
      </c>
      <c r="C625" s="2" t="str">
        <f>IFERROR(__xludf.DUMMYFUNCTION("""COMPUTED_VALUE"""),"Key Personnel")</f>
        <v>Key Personnel</v>
      </c>
      <c r="D625" s="2" t="str">
        <f>IFERROR(__xludf.DUMMYFUNCTION("""COMPUTED_VALUE"""),"Lazarou Lab")</f>
        <v>Lazarou Lab</v>
      </c>
      <c r="E625" s="2" t="str">
        <f>IFERROR(__xludf.DUMMYFUNCTION("""COMPUTED_VALUE"""),"Grad Student")</f>
        <v>Grad Student</v>
      </c>
      <c r="F625" s="2" t="str">
        <f>IFERROR(__xludf.DUMMYFUNCTION("""COMPUTED_VALUE"""),"uoselis.l@wehi.edu.au")</f>
        <v>uoselis.l@wehi.edu.au</v>
      </c>
      <c r="G625" s="2" t="str">
        <f>IFERROR(__xludf.DUMMYFUNCTION("""COMPUTED_VALUE"""),"0000-0001-8538-9817")</f>
        <v>0000-0001-8538-9817</v>
      </c>
    </row>
    <row r="626">
      <c r="A626" s="2" t="str">
        <f>IFERROR(__xludf.DUMMYFUNCTION("""COMPUTED_VALUE"""),"Claveras")</f>
        <v>Claveras</v>
      </c>
      <c r="B626" s="2" t="str">
        <f>IFERROR(__xludf.DUMMYFUNCTION("""COMPUTED_VALUE"""),"Ainara")</f>
        <v>Ainara</v>
      </c>
      <c r="C626" s="2" t="str">
        <f>IFERROR(__xludf.DUMMYFUNCTION("""COMPUTED_VALUE"""),"Key Personnel")</f>
        <v>Key Personnel</v>
      </c>
      <c r="D626" s="2" t="str">
        <f>IFERROR(__xludf.DUMMYFUNCTION("""COMPUTED_VALUE"""),"Hummer Lab")</f>
        <v>Hummer Lab</v>
      </c>
      <c r="E626" s="2" t="str">
        <f>IFERROR(__xludf.DUMMYFUNCTION("""COMPUTED_VALUE"""),"Grad Student")</f>
        <v>Grad Student</v>
      </c>
      <c r="F626" s="2" t="str">
        <f>IFERROR(__xludf.DUMMYFUNCTION("""COMPUTED_VALUE"""),"ainara.claveras@biophys.mpg.de")</f>
        <v>ainara.claveras@biophys.mpg.de</v>
      </c>
      <c r="G626" s="2" t="str">
        <f>IFERROR(__xludf.DUMMYFUNCTION("""COMPUTED_VALUE"""),"0000-0003-1400-4929")</f>
        <v>0000-0003-1400-4929</v>
      </c>
    </row>
    <row r="627">
      <c r="A627" s="2" t="str">
        <f>IFERROR(__xludf.DUMMYFUNCTION("""COMPUTED_VALUE"""),"Herrman")</f>
        <v>Herrman</v>
      </c>
      <c r="B627" s="2" t="str">
        <f>IFERROR(__xludf.DUMMYFUNCTION("""COMPUTED_VALUE"""),"Eric")</f>
        <v>Eric</v>
      </c>
      <c r="C627" s="2" t="str">
        <f>IFERROR(__xludf.DUMMYFUNCTION("""COMPUTED_VALUE"""),"Key Personnel")</f>
        <v>Key Personnel</v>
      </c>
      <c r="D627" s="2" t="str">
        <f>IFERROR(__xludf.DUMMYFUNCTION("""COMPUTED_VALUE"""),"Hurley Lab")</f>
        <v>Hurley Lab</v>
      </c>
      <c r="E627" s="2" t="str">
        <f>IFERROR(__xludf.DUMMYFUNCTION("""COMPUTED_VALUE"""),"Postdoc  ")</f>
        <v>Postdoc  </v>
      </c>
      <c r="F627" s="2" t="str">
        <f>IFERROR(__xludf.DUMMYFUNCTION("""COMPUTED_VALUE"""),"eric.herrmann@berkeley.edu")</f>
        <v>eric.herrmann@berkeley.edu</v>
      </c>
      <c r="G627" s="2" t="str">
        <f>IFERROR(__xludf.DUMMYFUNCTION("""COMPUTED_VALUE"""),"0000-0003-0499-0083")</f>
        <v>0000-0003-0499-0083</v>
      </c>
    </row>
    <row r="628">
      <c r="A628" s="2" t="str">
        <f>IFERROR(__xludf.DUMMYFUNCTION("""COMPUTED_VALUE"""),"Neha")</f>
        <v>Neha</v>
      </c>
      <c r="B628" s="2" t="str">
        <f>IFERROR(__xludf.DUMMYFUNCTION("""COMPUTED_VALUE"""),"Nataraj")</f>
        <v>Nataraj</v>
      </c>
      <c r="C628" s="2" t="str">
        <f>IFERROR(__xludf.DUMMYFUNCTION("""COMPUTED_VALUE"""),"Key Personnel")</f>
        <v>Key Personnel</v>
      </c>
      <c r="D628" s="2" t="str">
        <f>IFERROR(__xludf.DUMMYFUNCTION("""COMPUTED_VALUE"""),"Holzbaur Lab")</f>
        <v>Holzbaur Lab</v>
      </c>
      <c r="E628" s="2" t="str">
        <f>IFERROR(__xludf.DUMMYFUNCTION("""COMPUTED_VALUE"""),"Postdoc  ")</f>
        <v>Postdoc  </v>
      </c>
      <c r="F628" s="2" t="str">
        <f>IFERROR(__xludf.DUMMYFUNCTION("""COMPUTED_VALUE"""),"natarajn@pennmedicine.upenn.edu")</f>
        <v>natarajn@pennmedicine.upenn.edu</v>
      </c>
      <c r="G628" s="2" t="str">
        <f>IFERROR(__xludf.DUMMYFUNCTION("""COMPUTED_VALUE"""),"0000-0003-0117-2026")</f>
        <v>0000-0003-0117-2026</v>
      </c>
    </row>
    <row r="629">
      <c r="A629" s="2" t="str">
        <f>IFERROR(__xludf.DUMMYFUNCTION("""COMPUTED_VALUE"""),"Sanjoy")</f>
        <v>Sanjoy</v>
      </c>
      <c r="B629" s="2" t="str">
        <f>IFERROR(__xludf.DUMMYFUNCTION("""COMPUTED_VALUE"""),"Paul")</f>
        <v>Paul</v>
      </c>
      <c r="C629" s="2" t="str">
        <f>IFERROR(__xludf.DUMMYFUNCTION("""COMPUTED_VALUE"""),"Key Personnel")</f>
        <v>Key Personnel</v>
      </c>
      <c r="D629" s="2" t="str">
        <f>IFERROR(__xludf.DUMMYFUNCTION("""COMPUTED_VALUE"""),"Hummer Lab")</f>
        <v>Hummer Lab</v>
      </c>
      <c r="E629" s="2" t="str">
        <f>IFERROR(__xludf.DUMMYFUNCTION("""COMPUTED_VALUE"""),"Postdoc")</f>
        <v>Postdoc</v>
      </c>
      <c r="F629" s="2" t="str">
        <f>IFERROR(__xludf.DUMMYFUNCTION("""COMPUTED_VALUE"""),"Sanjoy.Paul@biophys.mpg.de")</f>
        <v>Sanjoy.Paul@biophys.mpg.de</v>
      </c>
      <c r="G629" s="2" t="str">
        <f>IFERROR(__xludf.DUMMYFUNCTION("""COMPUTED_VALUE"""),"0000-0001-5040-8002")</f>
        <v>0000-0001-5040-8002</v>
      </c>
    </row>
    <row r="630">
      <c r="A630" s="2" t="str">
        <f>IFERROR(__xludf.DUMMYFUNCTION("""COMPUTED_VALUE"""),"Aayush")</f>
        <v>Aayush</v>
      </c>
      <c r="B630" s="2" t="str">
        <f>IFERROR(__xludf.DUMMYFUNCTION("""COMPUTED_VALUE"""),"Srivastava")</f>
        <v>Srivastava</v>
      </c>
      <c r="C630" s="2" t="str">
        <f>IFERROR(__xludf.DUMMYFUNCTION("""COMPUTED_VALUE"""),"Key Personnel")</f>
        <v>Key Personnel</v>
      </c>
      <c r="D630" s="2" t="str">
        <f>IFERROR(__xludf.DUMMYFUNCTION("""COMPUTED_VALUE"""),"Hummer Lab")</f>
        <v>Hummer Lab</v>
      </c>
      <c r="E630" s="2" t="str">
        <f>IFERROR(__xludf.DUMMYFUNCTION("""COMPUTED_VALUE"""),"Postdoc")</f>
        <v>Postdoc</v>
      </c>
      <c r="F630" s="2" t="str">
        <f>IFERROR(__xludf.DUMMYFUNCTION("""COMPUTED_VALUE"""),"Aayush.Srivastava@biophys.mpg.de")</f>
        <v>Aayush.Srivastava@biophys.mpg.de</v>
      </c>
      <c r="G630" s="2" t="str">
        <f>IFERROR(__xludf.DUMMYFUNCTION("""COMPUTED_VALUE"""),"0009-0007-1500-9584")</f>
        <v>0009-0007-1500-9584</v>
      </c>
    </row>
    <row r="631">
      <c r="A631" s="2" t="str">
        <f>IFERROR(__xludf.DUMMYFUNCTION("""COMPUTED_VALUE"""),"Zhicheng (Chen)")</f>
        <v>Zhicheng (Chen)</v>
      </c>
      <c r="B631" s="2" t="str">
        <f>IFERROR(__xludf.DUMMYFUNCTION("""COMPUTED_VALUE"""),"Cui")</f>
        <v>Cui</v>
      </c>
      <c r="C631" s="2" t="str">
        <f>IFERROR(__xludf.DUMMYFUNCTION("""COMPUTED_VALUE"""),"Key Personnel")</f>
        <v>Key Personnel</v>
      </c>
      <c r="D631" s="2" t="str">
        <f>IFERROR(__xludf.DUMMYFUNCTION("""COMPUTED_VALUE"""),"Hurley Lab")</f>
        <v>Hurley Lab</v>
      </c>
      <c r="E631" s="2" t="str">
        <f>IFERROR(__xludf.DUMMYFUNCTION("""COMPUTED_VALUE"""),"Postdoc")</f>
        <v>Postdoc</v>
      </c>
      <c r="F631" s="2" t="str">
        <f>IFERROR(__xludf.DUMMYFUNCTION("""COMPUTED_VALUE"""),"zhicheng.cui@berkeley.edu")</f>
        <v>zhicheng.cui@berkeley.edu</v>
      </c>
      <c r="G631" s="2" t="str">
        <f>IFERROR(__xludf.DUMMYFUNCTION("""COMPUTED_VALUE"""),"0000-0003-2398-9344")</f>
        <v>0000-0003-2398-9344</v>
      </c>
    </row>
    <row r="632">
      <c r="A632" s="2" t="str">
        <f>IFERROR(__xludf.DUMMYFUNCTION("""COMPUTED_VALUE"""),"Joiner")</f>
        <v>Joiner</v>
      </c>
      <c r="B632" s="2" t="str">
        <f>IFERROR(__xludf.DUMMYFUNCTION("""COMPUTED_VALUE"""),"Aaron")</f>
        <v>Aaron</v>
      </c>
      <c r="C632" s="2" t="str">
        <f>IFERROR(__xludf.DUMMYFUNCTION("""COMPUTED_VALUE"""),"Key Personnel")</f>
        <v>Key Personnel</v>
      </c>
      <c r="D632" s="2" t="str">
        <f>IFERROR(__xludf.DUMMYFUNCTION("""COMPUTED_VALUE"""),"Hurley Lab")</f>
        <v>Hurley Lab</v>
      </c>
      <c r="E632" s="2" t="str">
        <f>IFERROR(__xludf.DUMMYFUNCTION("""COMPUTED_VALUE"""),"Postdoc")</f>
        <v>Postdoc</v>
      </c>
      <c r="F632" s="2" t="str">
        <f>IFERROR(__xludf.DUMMYFUNCTION("""COMPUTED_VALUE"""),"amj85@berkeley.edu")</f>
        <v>amj85@berkeley.edu</v>
      </c>
      <c r="G632" s="2" t="str">
        <f>IFERROR(__xludf.DUMMYFUNCTION("""COMPUTED_VALUE"""),"0000-0001-9049-2384")</f>
        <v>0000-0001-9049-2384</v>
      </c>
    </row>
    <row r="633">
      <c r="A633" s="2" t="str">
        <f>IFERROR(__xludf.DUMMYFUNCTION("""COMPUTED_VALUE"""),"Lizarrondo")</f>
        <v>Lizarrondo</v>
      </c>
      <c r="B633" s="2" t="str">
        <f>IFERROR(__xludf.DUMMYFUNCTION("""COMPUTED_VALUE"""),"Javier")</f>
        <v>Javier</v>
      </c>
      <c r="C633" s="2" t="str">
        <f>IFERROR(__xludf.DUMMYFUNCTION("""COMPUTED_VALUE"""),"Key Personnel")</f>
        <v>Key Personnel</v>
      </c>
      <c r="D633" s="2" t="str">
        <f>IFERROR(__xludf.DUMMYFUNCTION("""COMPUTED_VALUE"""),"Wilfling Lab")</f>
        <v>Wilfling Lab</v>
      </c>
      <c r="E633" s="2" t="str">
        <f>IFERROR(__xludf.DUMMYFUNCTION("""COMPUTED_VALUE"""),"Postdoc")</f>
        <v>Postdoc</v>
      </c>
      <c r="F633" s="2" t="str">
        <f>IFERROR(__xludf.DUMMYFUNCTION("""COMPUTED_VALUE"""),"Javier.Lizarrondo@biophys.mpg.de")</f>
        <v>Javier.Lizarrondo@biophys.mpg.de</v>
      </c>
      <c r="G633" s="2" t="str">
        <f>IFERROR(__xludf.DUMMYFUNCTION("""COMPUTED_VALUE"""),"0000-0001-5199-4170")</f>
        <v>0000-0001-5199-4170</v>
      </c>
    </row>
    <row r="634">
      <c r="A634" s="2" t="str">
        <f>IFERROR(__xludf.DUMMYFUNCTION("""COMPUTED_VALUE"""),"Duan")</f>
        <v>Duan</v>
      </c>
      <c r="B634" s="2" t="str">
        <f>IFERROR(__xludf.DUMMYFUNCTION("""COMPUTED_VALUE"""),"Yongjia")</f>
        <v>Yongjia</v>
      </c>
      <c r="C634" s="2" t="str">
        <f>IFERROR(__xludf.DUMMYFUNCTION("""COMPUTED_VALUE"""),"Key Personnel")</f>
        <v>Key Personnel</v>
      </c>
      <c r="D634" s="2" t="str">
        <f>IFERROR(__xludf.DUMMYFUNCTION("""COMPUTED_VALUE"""),"Hurley Lab")</f>
        <v>Hurley Lab</v>
      </c>
      <c r="E634" s="2" t="str">
        <f>IFERROR(__xludf.DUMMYFUNCTION("""COMPUTED_VALUE"""),"Postdoc")</f>
        <v>Postdoc</v>
      </c>
      <c r="F634" s="2" t="str">
        <f>IFERROR(__xludf.DUMMYFUNCTION("""COMPUTED_VALUE"""),"duanyj2024@berkeley.edu")</f>
        <v>duanyj2024@berkeley.edu</v>
      </c>
      <c r="G634" s="2" t="str">
        <f>IFERROR(__xludf.DUMMYFUNCTION("""COMPUTED_VALUE"""),"0009-0001-7553-0124")</f>
        <v>0009-0001-7553-0124</v>
      </c>
    </row>
    <row r="635">
      <c r="A635" s="2" t="str">
        <f>IFERROR(__xludf.DUMMYFUNCTION("""COMPUTED_VALUE"""),"Rose")</f>
        <v>Rose</v>
      </c>
      <c r="B635" s="2" t="str">
        <f>IFERROR(__xludf.DUMMYFUNCTION("""COMPUTED_VALUE"""),"Kevin Matthew")</f>
        <v>Kevin Matthew</v>
      </c>
      <c r="C635" s="2" t="str">
        <f>IFERROR(__xludf.DUMMYFUNCTION("""COMPUTED_VALUE"""),"Key Personnel")</f>
        <v>Key Personnel</v>
      </c>
      <c r="D635" s="2" t="str">
        <f>IFERROR(__xludf.DUMMYFUNCTION("""COMPUTED_VALUE"""),"Hurley Lab")</f>
        <v>Hurley Lab</v>
      </c>
      <c r="E635" s="2" t="str">
        <f>IFERROR(__xludf.DUMMYFUNCTION("""COMPUTED_VALUE"""),"Grad Student")</f>
        <v>Grad Student</v>
      </c>
      <c r="F635" s="2" t="str">
        <f>IFERROR(__xludf.DUMMYFUNCTION("""COMPUTED_VALUE"""),"kevin_rose@berkeley.edu")</f>
        <v>kevin_rose@berkeley.edu</v>
      </c>
      <c r="G635" s="2" t="str">
        <f>IFERROR(__xludf.DUMMYFUNCTION("""COMPUTED_VALUE"""),"0000-0002-9373-4147")</f>
        <v>0000-0002-9373-4147</v>
      </c>
    </row>
    <row r="636">
      <c r="A636" s="2" t="str">
        <f>IFERROR(__xludf.DUMMYFUNCTION("""COMPUTED_VALUE"""),"Liang")</f>
        <v>Liang</v>
      </c>
      <c r="B636" s="2" t="str">
        <f>IFERROR(__xludf.DUMMYFUNCTION("""COMPUTED_VALUE"""),"Siwen")</f>
        <v>Siwen</v>
      </c>
      <c r="C636" s="2" t="str">
        <f>IFERROR(__xludf.DUMMYFUNCTION("""COMPUTED_VALUE"""),"Key Personnel")</f>
        <v>Key Personnel</v>
      </c>
      <c r="D636" s="2" t="str">
        <f>IFERROR(__xludf.DUMMYFUNCTION("""COMPUTED_VALUE"""),"Martens Lab")</f>
        <v>Martens Lab</v>
      </c>
      <c r="E636" s="2" t="str">
        <f>IFERROR(__xludf.DUMMYFUNCTION("""COMPUTED_VALUE"""),"Grad Student")</f>
        <v>Grad Student</v>
      </c>
      <c r="F636" s="2" t="str">
        <f>IFERROR(__xludf.DUMMYFUNCTION("""COMPUTED_VALUE"""),"siwen.liang@univie.ac.at")</f>
        <v>siwen.liang@univie.ac.at</v>
      </c>
      <c r="G636" s="2" t="str">
        <f>IFERROR(__xludf.DUMMYFUNCTION("""COMPUTED_VALUE"""),"0009 0001 7290 8638")</f>
        <v>0009 0001 7290 8638</v>
      </c>
    </row>
    <row r="637">
      <c r="A637" s="2" t="str">
        <f>IFERROR(__xludf.DUMMYFUNCTION("""COMPUTED_VALUE"""),"Ganley")</f>
        <v>Ganley</v>
      </c>
      <c r="B637" s="2" t="str">
        <f>IFERROR(__xludf.DUMMYFUNCTION("""COMPUTED_VALUE"""),"Ian")</f>
        <v>Ian</v>
      </c>
      <c r="C637" s="2" t="str">
        <f>IFERROR(__xludf.DUMMYFUNCTION("""COMPUTED_VALUE"""),"Co-PI")</f>
        <v>Co-PI</v>
      </c>
      <c r="D637" s="2" t="str">
        <f>IFERROR(__xludf.DUMMYFUNCTION("""COMPUTED_VALUE"""),"Ganley Lab")</f>
        <v>Ganley Lab</v>
      </c>
      <c r="E637" s="2" t="str">
        <f>IFERROR(__xludf.DUMMYFUNCTION("""COMPUTED_VALUE"""),"PI")</f>
        <v>PI</v>
      </c>
      <c r="F637" s="2" t="str">
        <f>IFERROR(__xludf.DUMMYFUNCTION("""COMPUTED_VALUE"""),"i.ganley@dundee.ac.uk")</f>
        <v>i.ganley@dundee.ac.uk</v>
      </c>
      <c r="G637" s="2" t="str">
        <f>IFERROR(__xludf.DUMMYFUNCTION("""COMPUTED_VALUE"""),"0000-0003-1481-9407")</f>
        <v>0000-0003-1481-9407</v>
      </c>
    </row>
    <row r="638">
      <c r="A638" s="2" t="str">
        <f>IFERROR(__xludf.DUMMYFUNCTION("""COMPUTED_VALUE"""),"Lewis")</f>
        <v>Lewis</v>
      </c>
      <c r="B638" s="2" t="str">
        <f>IFERROR(__xludf.DUMMYFUNCTION("""COMPUTED_VALUE"""),"Samantha")</f>
        <v>Samantha</v>
      </c>
      <c r="C638" s="2" t="str">
        <f>IFERROR(__xludf.DUMMYFUNCTION("""COMPUTED_VALUE"""),"Paid Collaborator")</f>
        <v>Paid Collaborator</v>
      </c>
      <c r="D638" s="2" t="str">
        <f>IFERROR(__xludf.DUMMYFUNCTION("""COMPUTED_VALUE"""),"Lewis Lab")</f>
        <v>Lewis Lab</v>
      </c>
      <c r="E638" s="2" t="str">
        <f>IFERROR(__xludf.DUMMYFUNCTION("""COMPUTED_VALUE"""),"PI")</f>
        <v>PI</v>
      </c>
      <c r="F638" s="2" t="str">
        <f>IFERROR(__xludf.DUMMYFUNCTION("""COMPUTED_VALUE"""),"samlewis@berkeley.edu")</f>
        <v>samlewis@berkeley.edu</v>
      </c>
      <c r="G638" s="2" t="str">
        <f>IFERROR(__xludf.DUMMYFUNCTION("""COMPUTED_VALUE"""),"0000-0001-6306-443X")</f>
        <v>0000-0001-6306-443X</v>
      </c>
    </row>
    <row r="639">
      <c r="A639" s="2" t="str">
        <f>IFERROR(__xludf.DUMMYFUNCTION("""COMPUTED_VALUE"""),"Wilfling")</f>
        <v>Wilfling</v>
      </c>
      <c r="B639" s="2" t="str">
        <f>IFERROR(__xludf.DUMMYFUNCTION("""COMPUTED_VALUE"""),"Florian")</f>
        <v>Florian</v>
      </c>
      <c r="C639" s="2" t="str">
        <f>IFERROR(__xludf.DUMMYFUNCTION("""COMPUTED_VALUE"""),"Paid Collaborator")</f>
        <v>Paid Collaborator</v>
      </c>
      <c r="D639" s="2" t="str">
        <f>IFERROR(__xludf.DUMMYFUNCTION("""COMPUTED_VALUE"""),"Wilfling Lab")</f>
        <v>Wilfling Lab</v>
      </c>
      <c r="E639" s="2" t="str">
        <f>IFERROR(__xludf.DUMMYFUNCTION("""COMPUTED_VALUE"""),"PI")</f>
        <v>PI</v>
      </c>
      <c r="F639" s="2" t="str">
        <f>IFERROR(__xludf.DUMMYFUNCTION("""COMPUTED_VALUE"""),"Florian.Wilfling@biophys.mpg.de")</f>
        <v>Florian.Wilfling@biophys.mpg.de</v>
      </c>
      <c r="G639" s="2" t="str">
        <f>IFERROR(__xludf.DUMMYFUNCTION("""COMPUTED_VALUE"""),"0000-0002-6559-7261")</f>
        <v>0000-0002-6559-7261</v>
      </c>
    </row>
    <row r="640">
      <c r="A640" s="2" t="str">
        <f>IFERROR(__xludf.DUMMYFUNCTION("""COMPUTED_VALUE"""),"Kakudji")</f>
        <v>Kakudji</v>
      </c>
      <c r="B640" s="2" t="str">
        <f>IFERROR(__xludf.DUMMYFUNCTION("""COMPUTED_VALUE"""),"Eve")</f>
        <v>Eve</v>
      </c>
      <c r="C640" s="2" t="str">
        <f>IFERROR(__xludf.DUMMYFUNCTION("""COMPUTED_VALUE"""),"Key Personnel")</f>
        <v>Key Personnel</v>
      </c>
      <c r="D640" s="2" t="str">
        <f>IFERROR(__xludf.DUMMYFUNCTION("""COMPUTED_VALUE"""),"Lewis Lab")</f>
        <v>Lewis Lab</v>
      </c>
      <c r="E640" s="2" t="str">
        <f>IFERROR(__xludf.DUMMYFUNCTION("""COMPUTED_VALUE"""),"Grad Student")</f>
        <v>Grad Student</v>
      </c>
      <c r="F640" s="2" t="str">
        <f>IFERROR(__xludf.DUMMYFUNCTION("""COMPUTED_VALUE"""),"eve.kakudji@berkeley.edu")</f>
        <v>eve.kakudji@berkeley.edu</v>
      </c>
      <c r="G640" s="2" t="str">
        <f>IFERROR(__xludf.DUMMYFUNCTION("""COMPUTED_VALUE"""),"0009-0007-1179-5901")</f>
        <v>0009-0007-1179-5901</v>
      </c>
    </row>
    <row r="641">
      <c r="A641" s="2" t="str">
        <f>IFERROR(__xludf.DUMMYFUNCTION("""COMPUTED_VALUE"""),"Bishnu")</f>
        <v>Bishnu</v>
      </c>
      <c r="B641" s="2" t="str">
        <f>IFERROR(__xludf.DUMMYFUNCTION("""COMPUTED_VALUE"""),"Aniketh")</f>
        <v>Aniketh</v>
      </c>
      <c r="C641" s="2" t="str">
        <f>IFERROR(__xludf.DUMMYFUNCTION("""COMPUTED_VALUE"""),"Key Personnel")</f>
        <v>Key Personnel</v>
      </c>
      <c r="D641" s="2" t="str">
        <f>IFERROR(__xludf.DUMMYFUNCTION("""COMPUTED_VALUE"""),"Ganley Lab")</f>
        <v>Ganley Lab</v>
      </c>
      <c r="E641" s="2" t="str">
        <f>IFERROR(__xludf.DUMMYFUNCTION("""COMPUTED_VALUE"""),"Postdoc")</f>
        <v>Postdoc</v>
      </c>
      <c r="F641" s="2" t="str">
        <f>IFERROR(__xludf.DUMMYFUNCTION("""COMPUTED_VALUE"""),"ABishnu001@dundee.ac.uk")</f>
        <v>ABishnu001@dundee.ac.uk</v>
      </c>
      <c r="G641" s="2" t="str">
        <f>IFERROR(__xludf.DUMMYFUNCTION("""COMPUTED_VALUE"""),"0009-0007-9374-4584")</f>
        <v>0009-0007-9374-4584</v>
      </c>
    </row>
    <row r="642">
      <c r="A642" s="2" t="str">
        <f>IFERROR(__xludf.DUMMYFUNCTION("""COMPUTED_VALUE"""),"Lu")</f>
        <v>Lu</v>
      </c>
      <c r="B642" s="2" t="str">
        <f>IFERROR(__xludf.DUMMYFUNCTION("""COMPUTED_VALUE"""),"Ye")</f>
        <v>Ye</v>
      </c>
      <c r="C642" s="2" t="str">
        <f>IFERROR(__xludf.DUMMYFUNCTION("""COMPUTED_VALUE"""),"Key Personnel")</f>
        <v>Key Personnel</v>
      </c>
      <c r="D642" s="2" t="str">
        <f>IFERROR(__xludf.DUMMYFUNCTION("""COMPUTED_VALUE"""),"Hurley Lab")</f>
        <v>Hurley Lab</v>
      </c>
      <c r="E642" s="2" t="str">
        <f>IFERROR(__xludf.DUMMYFUNCTION("""COMPUTED_VALUE"""),"Postdoc")</f>
        <v>Postdoc</v>
      </c>
      <c r="F642" s="2" t="str">
        <f>IFERROR(__xludf.DUMMYFUNCTION("""COMPUTED_VALUE"""),"luye@berkeley.edu")</f>
        <v>luye@berkeley.edu</v>
      </c>
      <c r="G642" s="2" t="str">
        <f>IFERROR(__xludf.DUMMYFUNCTION("""COMPUTED_VALUE"""),"0009-0001-6788-4205")</f>
        <v>0009-0001-6788-4205</v>
      </c>
    </row>
    <row r="643">
      <c r="A643" s="2" t="str">
        <f>IFERROR(__xludf.DUMMYFUNCTION("""COMPUTED_VALUE"""),"Zapata Munoz")</f>
        <v>Zapata Munoz</v>
      </c>
      <c r="B643" s="2" t="str">
        <f>IFERROR(__xludf.DUMMYFUNCTION("""COMPUTED_VALUE"""),"Juan")</f>
        <v>Juan</v>
      </c>
      <c r="C643" s="2" t="str">
        <f>IFERROR(__xludf.DUMMYFUNCTION("""COMPUTED_VALUE"""),"Key Personnel")</f>
        <v>Key Personnel</v>
      </c>
      <c r="D643" s="2" t="str">
        <f>IFERROR(__xludf.DUMMYFUNCTION("""COMPUTED_VALUE"""),"Ganley Lab")</f>
        <v>Ganley Lab</v>
      </c>
      <c r="E643" s="2" t="str">
        <f>IFERROR(__xludf.DUMMYFUNCTION("""COMPUTED_VALUE"""),"Postdoc")</f>
        <v>Postdoc</v>
      </c>
      <c r="F643" s="2" t="str">
        <f>IFERROR(__xludf.DUMMYFUNCTION("""COMPUTED_VALUE"""),"JZapatamunoz001@dundee.ac.uk")</f>
        <v>JZapatamunoz001@dundee.ac.uk</v>
      </c>
      <c r="G643" s="2" t="str">
        <f>IFERROR(__xludf.DUMMYFUNCTION("""COMPUTED_VALUE"""),"0000-0003-4747-920X")</f>
        <v>0000-0003-4747-920X</v>
      </c>
    </row>
    <row r="644">
      <c r="A644" s="2" t="str">
        <f>IFERROR(__xludf.DUMMYFUNCTION("""COMPUTED_VALUE"""),"Jakobsson")</f>
        <v>Jakobsson</v>
      </c>
      <c r="B644" s="2" t="str">
        <f>IFERROR(__xludf.DUMMYFUNCTION("""COMPUTED_VALUE"""),"Johan")</f>
        <v>Johan</v>
      </c>
      <c r="C644" s="2" t="str">
        <f>IFERROR(__xludf.DUMMYFUNCTION("""COMPUTED_VALUE"""),"Lead PI")</f>
        <v>Lead PI</v>
      </c>
      <c r="D644" s="2" t="str">
        <f>IFERROR(__xludf.DUMMYFUNCTION("""COMPUTED_VALUE"""),"Jakobsson")</f>
        <v>Jakobsson</v>
      </c>
      <c r="E644" s="2" t="str">
        <f>IFERROR(__xludf.DUMMYFUNCTION("""COMPUTED_VALUE"""),"PI")</f>
        <v>PI</v>
      </c>
      <c r="F644" s="2" t="str">
        <f>IFERROR(__xludf.DUMMYFUNCTION("""COMPUTED_VALUE"""),"johan.jakobsson@med.lu.se")</f>
        <v>johan.jakobsson@med.lu.se</v>
      </c>
      <c r="G644" s="2" t="str">
        <f>IFERROR(__xludf.DUMMYFUNCTION("""COMPUTED_VALUE"""),"0000-0003-0669-7673")</f>
        <v>0000-0003-0669-7673</v>
      </c>
    </row>
    <row r="645">
      <c r="A645" s="2" t="str">
        <f>IFERROR(__xludf.DUMMYFUNCTION("""COMPUTED_VALUE"""),"Barker")</f>
        <v>Barker</v>
      </c>
      <c r="B645" s="2" t="str">
        <f>IFERROR(__xludf.DUMMYFUNCTION("""COMPUTED_VALUE"""),"Roger")</f>
        <v>Roger</v>
      </c>
      <c r="C645" s="2" t="str">
        <f>IFERROR(__xludf.DUMMYFUNCTION("""COMPUTED_VALUE"""),"Co-PI")</f>
        <v>Co-PI</v>
      </c>
      <c r="D645" s="2" t="str">
        <f>IFERROR(__xludf.DUMMYFUNCTION("""COMPUTED_VALUE"""),"Barker")</f>
        <v>Barker</v>
      </c>
      <c r="E645" s="2" t="str">
        <f>IFERROR(__xludf.DUMMYFUNCTION("""COMPUTED_VALUE"""),"PI")</f>
        <v>PI</v>
      </c>
      <c r="F645" s="2" t="str">
        <f>IFERROR(__xludf.DUMMYFUNCTION("""COMPUTED_VALUE"""),"rab46@cam.ac.uk")</f>
        <v>rab46@cam.ac.uk</v>
      </c>
      <c r="G645" s="2" t="str">
        <f>IFERROR(__xludf.DUMMYFUNCTION("""COMPUTED_VALUE"""),"0000-0001-8843-7730")</f>
        <v>0000-0001-8843-7730</v>
      </c>
    </row>
    <row r="646">
      <c r="A646" s="2" t="str">
        <f>IFERROR(__xludf.DUMMYFUNCTION("""COMPUTED_VALUE"""),"Gale Hammell")</f>
        <v>Gale Hammell</v>
      </c>
      <c r="B646" s="2" t="str">
        <f>IFERROR(__xludf.DUMMYFUNCTION("""COMPUTED_VALUE"""),"Molly")</f>
        <v>Molly</v>
      </c>
      <c r="C646" s="2" t="str">
        <f>IFERROR(__xludf.DUMMYFUNCTION("""COMPUTED_VALUE"""),"Co-PI")</f>
        <v>Co-PI</v>
      </c>
      <c r="D646" s="2" t="str">
        <f>IFERROR(__xludf.DUMMYFUNCTION("""COMPUTED_VALUE"""),"Hammell")</f>
        <v>Hammell</v>
      </c>
      <c r="E646" s="2" t="str">
        <f>IFERROR(__xludf.DUMMYFUNCTION("""COMPUTED_VALUE"""),"PI")</f>
        <v>PI</v>
      </c>
      <c r="F646" s="2" t="str">
        <f>IFERROR(__xludf.DUMMYFUNCTION("""COMPUTED_VALUE"""),"Molly.GaleHammell@nyulangone.org")</f>
        <v>Molly.GaleHammell@nyulangone.org</v>
      </c>
      <c r="G646" s="2" t="str">
        <f>IFERROR(__xludf.DUMMYFUNCTION("""COMPUTED_VALUE"""),"0000-0003-0405-8392")</f>
        <v>0000-0003-0405-8392</v>
      </c>
    </row>
    <row r="647">
      <c r="A647" s="2" t="str">
        <f>IFERROR(__xludf.DUMMYFUNCTION("""COMPUTED_VALUE"""),"Kirkeby")</f>
        <v>Kirkeby</v>
      </c>
      <c r="B647" s="2" t="str">
        <f>IFERROR(__xludf.DUMMYFUNCTION("""COMPUTED_VALUE"""),"Agnete ")</f>
        <v>Agnete </v>
      </c>
      <c r="C647" s="2" t="str">
        <f>IFERROR(__xludf.DUMMYFUNCTION("""COMPUTED_VALUE"""),"Co-PI")</f>
        <v>Co-PI</v>
      </c>
      <c r="D647" s="2" t="str">
        <f>IFERROR(__xludf.DUMMYFUNCTION("""COMPUTED_VALUE"""),"Kirkeby")</f>
        <v>Kirkeby</v>
      </c>
      <c r="E647" s="2" t="str">
        <f>IFERROR(__xludf.DUMMYFUNCTION("""COMPUTED_VALUE"""),"PI")</f>
        <v>PI</v>
      </c>
      <c r="F647" s="2" t="str">
        <f>IFERROR(__xludf.DUMMYFUNCTION("""COMPUTED_VALUE"""),"agnete.kirkeby@sund.ku.dk")</f>
        <v>agnete.kirkeby@sund.ku.dk</v>
      </c>
      <c r="G647" s="2" t="str">
        <f>IFERROR(__xludf.DUMMYFUNCTION("""COMPUTED_VALUE"""),"0000-0001-8203-6901")</f>
        <v>0000-0001-8203-6901</v>
      </c>
    </row>
    <row r="648">
      <c r="A648" s="2" t="str">
        <f>IFERROR(__xludf.DUMMYFUNCTION("""COMPUTED_VALUE"""),"Garza")</f>
        <v>Garza</v>
      </c>
      <c r="B648" s="2" t="str">
        <f>IFERROR(__xludf.DUMMYFUNCTION("""COMPUTED_VALUE"""),"Raquel")</f>
        <v>Raquel</v>
      </c>
      <c r="C648" s="2" t="str">
        <f>IFERROR(__xludf.DUMMYFUNCTION("""COMPUTED_VALUE"""),"Key Personnel")</f>
        <v>Key Personnel</v>
      </c>
      <c r="D648" s="2" t="str">
        <f>IFERROR(__xludf.DUMMYFUNCTION("""COMPUTED_VALUE"""),"Jakobsson")</f>
        <v>Jakobsson</v>
      </c>
      <c r="E648" s="2" t="str">
        <f>IFERROR(__xludf.DUMMYFUNCTION("""COMPUTED_VALUE"""),"PhD Student")</f>
        <v>PhD Student</v>
      </c>
      <c r="F648" s="2" t="str">
        <f>IFERROR(__xludf.DUMMYFUNCTION("""COMPUTED_VALUE"""),"raquel.garza@med.lu.se")</f>
        <v>raquel.garza@med.lu.se</v>
      </c>
      <c r="G648" s="2" t="str">
        <f>IFERROR(__xludf.DUMMYFUNCTION("""COMPUTED_VALUE"""),"0000-0002-2524-3055")</f>
        <v>0000-0002-2524-3055</v>
      </c>
    </row>
    <row r="649">
      <c r="A649" s="2" t="str">
        <f>IFERROR(__xludf.DUMMYFUNCTION("""COMPUTED_VALUE"""),"Sharma")</f>
        <v>Sharma</v>
      </c>
      <c r="B649" s="2" t="str">
        <f>IFERROR(__xludf.DUMMYFUNCTION("""COMPUTED_VALUE"""),"Yogita")</f>
        <v>Yogita</v>
      </c>
      <c r="C649" s="2" t="str">
        <f>IFERROR(__xludf.DUMMYFUNCTION("""COMPUTED_VALUE"""),"Key Personnel")</f>
        <v>Key Personnel</v>
      </c>
      <c r="D649" s="2" t="str">
        <f>IFERROR(__xludf.DUMMYFUNCTION("""COMPUTED_VALUE"""),"Jakobsson")</f>
        <v>Jakobsson</v>
      </c>
      <c r="E649" s="2" t="str">
        <f>IFERROR(__xludf.DUMMYFUNCTION("""COMPUTED_VALUE"""),"Bioinformatician")</f>
        <v>Bioinformatician</v>
      </c>
      <c r="F649" s="2" t="str">
        <f>IFERROR(__xludf.DUMMYFUNCTION("""COMPUTED_VALUE"""),"yogita.sharma@med.lu.se")</f>
        <v>yogita.sharma@med.lu.se</v>
      </c>
      <c r="G649" s="2" t="str">
        <f>IFERROR(__xludf.DUMMYFUNCTION("""COMPUTED_VALUE"""),"0000-0001-9702-1809")</f>
        <v>0000-0001-9702-1809</v>
      </c>
    </row>
    <row r="650">
      <c r="A650" s="2" t="str">
        <f>IFERROR(__xludf.DUMMYFUNCTION("""COMPUTED_VALUE"""),"Tam")</f>
        <v>Tam</v>
      </c>
      <c r="B650" s="2" t="str">
        <f>IFERROR(__xludf.DUMMYFUNCTION("""COMPUTED_VALUE"""),"Oliver")</f>
        <v>Oliver</v>
      </c>
      <c r="C650" s="2" t="str">
        <f>IFERROR(__xludf.DUMMYFUNCTION("""COMPUTED_VALUE"""),"Key Personnel")</f>
        <v>Key Personnel</v>
      </c>
      <c r="D650" s="2" t="str">
        <f>IFERROR(__xludf.DUMMYFUNCTION("""COMPUTED_VALUE"""),"Hammell")</f>
        <v>Hammell</v>
      </c>
      <c r="E650" s="2" t="str">
        <f>IFERROR(__xludf.DUMMYFUNCTION("""COMPUTED_VALUE"""),"Computational Science Analyst")</f>
        <v>Computational Science Analyst</v>
      </c>
      <c r="F650" s="2" t="str">
        <f>IFERROR(__xludf.DUMMYFUNCTION("""COMPUTED_VALUE"""),"Oliver.Tam@nyulangone.org")</f>
        <v>Oliver.Tam@nyulangone.org</v>
      </c>
      <c r="G650" s="2" t="str">
        <f>IFERROR(__xludf.DUMMYFUNCTION("""COMPUTED_VALUE"""),"0000-0002-1023-3655")</f>
        <v>0000-0002-1023-3655</v>
      </c>
    </row>
    <row r="651">
      <c r="A651" s="2" t="str">
        <f>IFERROR(__xludf.DUMMYFUNCTION("""COMPUTED_VALUE"""),"Wunderlich")</f>
        <v>Wunderlich</v>
      </c>
      <c r="B651" s="2" t="str">
        <f>IFERROR(__xludf.DUMMYFUNCTION("""COMPUTED_VALUE"""),"Cole")</f>
        <v>Cole</v>
      </c>
      <c r="C651" s="2" t="str">
        <f>IFERROR(__xludf.DUMMYFUNCTION("""COMPUTED_VALUE"""),"Key Personnel")</f>
        <v>Key Personnel</v>
      </c>
      <c r="D651" s="2" t="str">
        <f>IFERROR(__xludf.DUMMYFUNCTION("""COMPUTED_VALUE"""),"Hammell")</f>
        <v>Hammell</v>
      </c>
      <c r="E651" s="2" t="str">
        <f>IFERROR(__xludf.DUMMYFUNCTION("""COMPUTED_VALUE"""),"PhD Student")</f>
        <v>PhD Student</v>
      </c>
      <c r="F651" s="2" t="str">
        <f>IFERROR(__xludf.DUMMYFUNCTION("""COMPUTED_VALUE"""),"wunderl@cshl.edu")</f>
        <v>wunderl@cshl.edu</v>
      </c>
      <c r="G651" s="2" t="str">
        <f>IFERROR(__xludf.DUMMYFUNCTION("""COMPUTED_VALUE"""),"0000-0002-6171-888X")</f>
        <v>0000-0002-6171-888X</v>
      </c>
    </row>
    <row r="652">
      <c r="A652" s="2" t="str">
        <f>IFERROR(__xludf.DUMMYFUNCTION("""COMPUTED_VALUE"""),"Forcier")</f>
        <v>Forcier</v>
      </c>
      <c r="B652" s="2" t="str">
        <f>IFERROR(__xludf.DUMMYFUNCTION("""COMPUTED_VALUE"""),"Talitha ")</f>
        <v>Talitha </v>
      </c>
      <c r="C652" s="2" t="str">
        <f>IFERROR(__xludf.DUMMYFUNCTION("""COMPUTED_VALUE"""),"Key Personnel")</f>
        <v>Key Personnel</v>
      </c>
      <c r="D652" s="2" t="str">
        <f>IFERROR(__xludf.DUMMYFUNCTION("""COMPUTED_VALUE"""),"Hammell")</f>
        <v>Hammell</v>
      </c>
      <c r="E652" s="2" t="str">
        <f>IFERROR(__xludf.DUMMYFUNCTION("""COMPUTED_VALUE"""),"Post Doctoral Fellow")</f>
        <v>Post Doctoral Fellow</v>
      </c>
      <c r="F652" s="2" t="str">
        <f>IFERROR(__xludf.DUMMYFUNCTION("""COMPUTED_VALUE"""),"Talitha.Forcier@nyulangone.org")</f>
        <v>Talitha.Forcier@nyulangone.org</v>
      </c>
      <c r="G652" s="2" t="str">
        <f>IFERROR(__xludf.DUMMYFUNCTION("""COMPUTED_VALUE"""),"0000-0002-7933-5086")</f>
        <v>0000-0002-7933-5086</v>
      </c>
    </row>
    <row r="653">
      <c r="A653" s="2" t="str">
        <f>IFERROR(__xludf.DUMMYFUNCTION("""COMPUTED_VALUE"""),"Jones")</f>
        <v>Jones</v>
      </c>
      <c r="B653" s="2" t="str">
        <f>IFERROR(__xludf.DUMMYFUNCTION("""COMPUTED_VALUE"""),"Jo")</f>
        <v>Jo</v>
      </c>
      <c r="C653" s="2" t="str">
        <f>IFERROR(__xludf.DUMMYFUNCTION("""COMPUTED_VALUE"""),"Unpaid Collaborator")</f>
        <v>Unpaid Collaborator</v>
      </c>
      <c r="D653" s="2" t="str">
        <f>IFERROR(__xludf.DUMMYFUNCTION("""COMPUTED_VALUE"""),"Barker")</f>
        <v>Barker</v>
      </c>
      <c r="E653" s="2" t="str">
        <f>IFERROR(__xludf.DUMMYFUNCTION("""COMPUTED_VALUE"""),"Principal Research Associate")</f>
        <v>Principal Research Associate</v>
      </c>
      <c r="F653" s="2" t="str">
        <f>IFERROR(__xludf.DUMMYFUNCTION("""COMPUTED_VALUE"""),"jls53@medschl.cam.ac.uk")</f>
        <v>jls53@medschl.cam.ac.uk</v>
      </c>
      <c r="G653" s="2" t="str">
        <f>IFERROR(__xludf.DUMMYFUNCTION("""COMPUTED_VALUE"""),"0000-0003-4974-1371")</f>
        <v>0000-0003-4974-1371</v>
      </c>
    </row>
    <row r="654">
      <c r="A654" s="2" t="str">
        <f>IFERROR(__xludf.DUMMYFUNCTION("""COMPUTED_VALUE"""),"Curle")</f>
        <v>Curle</v>
      </c>
      <c r="B654" s="2" t="str">
        <f>IFERROR(__xludf.DUMMYFUNCTION("""COMPUTED_VALUE"""),"Annabel")</f>
        <v>Annabel</v>
      </c>
      <c r="C654" s="2" t="str">
        <f>IFERROR(__xludf.DUMMYFUNCTION("""COMPUTED_VALUE"""),"Unpaid Collaborator")</f>
        <v>Unpaid Collaborator</v>
      </c>
      <c r="D654" s="2" t="str">
        <f>IFERROR(__xludf.DUMMYFUNCTION("""COMPUTED_VALUE"""),"Barker")</f>
        <v>Barker</v>
      </c>
      <c r="E654" s="2" t="str">
        <f>IFERROR(__xludf.DUMMYFUNCTION("""COMPUTED_VALUE"""),"PhD Student")</f>
        <v>PhD Student</v>
      </c>
      <c r="F654" s="2" t="str">
        <f>IFERROR(__xludf.DUMMYFUNCTION("""COMPUTED_VALUE"""),"ajc337@cam.ac.uk")</f>
        <v>ajc337@cam.ac.uk</v>
      </c>
      <c r="G654" s="2" t="str">
        <f>IFERROR(__xludf.DUMMYFUNCTION("""COMPUTED_VALUE"""),"0000-0002-9105-1131")</f>
        <v>0000-0002-9105-1131</v>
      </c>
    </row>
    <row r="655">
      <c r="A655" s="2" t="str">
        <f>IFERROR(__xludf.DUMMYFUNCTION("""COMPUTED_VALUE"""),"QUAEGEBEUR,")</f>
        <v>QUAEGEBEUR,</v>
      </c>
      <c r="B655" s="2" t="str">
        <f>IFERROR(__xludf.DUMMYFUNCTION("""COMPUTED_VALUE"""),"Annelies")</f>
        <v>Annelies</v>
      </c>
      <c r="C655" s="2" t="str">
        <f>IFERROR(__xludf.DUMMYFUNCTION("""COMPUTED_VALUE"""),"Key Personnel")</f>
        <v>Key Personnel</v>
      </c>
      <c r="D655" s="2" t="str">
        <f>IFERROR(__xludf.DUMMYFUNCTION("""COMPUTED_VALUE"""),"Barker")</f>
        <v>Barker</v>
      </c>
      <c r="E655" s="2" t="str">
        <f>IFERROR(__xludf.DUMMYFUNCTION("""COMPUTED_VALUE"""),"Clinical Pathologist")</f>
        <v>Clinical Pathologist</v>
      </c>
      <c r="F655" s="2" t="str">
        <f>IFERROR(__xludf.DUMMYFUNCTION("""COMPUTED_VALUE"""),"annelies.quaegebeur@nhs.net")</f>
        <v>annelies.quaegebeur@nhs.net</v>
      </c>
      <c r="G655" s="2" t="str">
        <f>IFERROR(__xludf.DUMMYFUNCTION("""COMPUTED_VALUE"""),"0000-0001-5357-9341")</f>
        <v>0000-0001-5357-9341</v>
      </c>
    </row>
    <row r="656" ht="21.0" customHeight="1">
      <c r="A656" s="2" t="str">
        <f>IFERROR(__xludf.DUMMYFUNCTION("""COMPUTED_VALUE""")," Karlsson")</f>
        <v> Karlsson</v>
      </c>
      <c r="B656" s="2" t="str">
        <f>IFERROR(__xludf.DUMMYFUNCTION("""COMPUTED_VALUE"""),"Ofelia")</f>
        <v>Ofelia</v>
      </c>
      <c r="C656" s="2" t="str">
        <f>IFERROR(__xludf.DUMMYFUNCTION("""COMPUTED_VALUE"""),"Key Personnel")</f>
        <v>Key Personnel</v>
      </c>
      <c r="D656" s="2" t="str">
        <f>IFERROR(__xludf.DUMMYFUNCTION("""COMPUTED_VALUE"""),"Jakobsson")</f>
        <v>Jakobsson</v>
      </c>
      <c r="E656" s="2" t="str">
        <f>IFERROR(__xludf.DUMMYFUNCTION("""COMPUTED_VALUE"""),"Project Assistant")</f>
        <v>Project Assistant</v>
      </c>
      <c r="F656" s="2" t="str">
        <f>IFERROR(__xludf.DUMMYFUNCTION("""COMPUTED_VALUE"""),"ofelia.karlsson@med.lu.se")</f>
        <v>ofelia.karlsson@med.lu.se</v>
      </c>
      <c r="G656" s="2" t="str">
        <f>IFERROR(__xludf.DUMMYFUNCTION("""COMPUTED_VALUE"""),"0000-0003-0679-8204")</f>
        <v>0000-0003-0679-8204</v>
      </c>
    </row>
    <row r="657">
      <c r="A657" s="2" t="str">
        <f>IFERROR(__xludf.DUMMYFUNCTION("""COMPUTED_VALUE"""),"Adami")</f>
        <v>Adami</v>
      </c>
      <c r="B657" s="2" t="str">
        <f>IFERROR(__xludf.DUMMYFUNCTION("""COMPUTED_VALUE"""),"Anita")</f>
        <v>Anita</v>
      </c>
      <c r="C657" s="2" t="str">
        <f>IFERROR(__xludf.DUMMYFUNCTION("""COMPUTED_VALUE"""),"Key Personnel")</f>
        <v>Key Personnel</v>
      </c>
      <c r="D657" s="2" t="str">
        <f>IFERROR(__xludf.DUMMYFUNCTION("""COMPUTED_VALUE"""),"Jakobsson")</f>
        <v>Jakobsson</v>
      </c>
      <c r="E657" s="2" t="str">
        <f>IFERROR(__xludf.DUMMYFUNCTION("""COMPUTED_VALUE"""),"PhD Student")</f>
        <v>PhD Student</v>
      </c>
      <c r="F657" s="2" t="str">
        <f>IFERROR(__xludf.DUMMYFUNCTION("""COMPUTED_VALUE"""),"anita.adami@med.lu.se")</f>
        <v>anita.adami@med.lu.se</v>
      </c>
      <c r="G657" s="2" t="str">
        <f>IFERROR(__xludf.DUMMYFUNCTION("""COMPUTED_VALUE"""),"0000-0002-9421-7942")</f>
        <v>0000-0002-9421-7942</v>
      </c>
    </row>
    <row r="658">
      <c r="A658" s="2" t="str">
        <f>IFERROR(__xludf.DUMMYFUNCTION("""COMPUTED_VALUE"""),"Salvador")</f>
        <v>Salvador</v>
      </c>
      <c r="B658" s="2" t="str">
        <f>IFERROR(__xludf.DUMMYFUNCTION("""COMPUTED_VALUE"""),"Alison")</f>
        <v>Alison</v>
      </c>
      <c r="C658" s="2" t="str">
        <f>IFERROR(__xludf.DUMMYFUNCTION("""COMPUTED_VALUE"""),"Key Personnel")</f>
        <v>Key Personnel</v>
      </c>
      <c r="D658" s="2" t="str">
        <f>IFERROR(__xludf.DUMMYFUNCTION("""COMPUTED_VALUE"""),"Kirkeby")</f>
        <v>Kirkeby</v>
      </c>
      <c r="E658" s="2" t="str">
        <f>IFERROR(__xludf.DUMMYFUNCTION("""COMPUTED_VALUE"""),"Research Assistant")</f>
        <v>Research Assistant</v>
      </c>
      <c r="F658" s="2" t="str">
        <f>IFERROR(__xludf.DUMMYFUNCTION("""COMPUTED_VALUE"""),"alison.salvador@med.lu.se")</f>
        <v>alison.salvador@med.lu.se</v>
      </c>
      <c r="G658" s="2" t="str">
        <f>IFERROR(__xludf.DUMMYFUNCTION("""COMPUTED_VALUE"""),"0000-0002-3260-1594")</f>
        <v>0000-0002-3260-1594</v>
      </c>
    </row>
    <row r="659">
      <c r="A659" s="2" t="str">
        <f>IFERROR(__xludf.DUMMYFUNCTION("""COMPUTED_VALUE"""),"Kajtez")</f>
        <v>Kajtez</v>
      </c>
      <c r="B659" s="2" t="str">
        <f>IFERROR(__xludf.DUMMYFUNCTION("""COMPUTED_VALUE"""),"Janko ")</f>
        <v>Janko </v>
      </c>
      <c r="C659" s="2" t="str">
        <f>IFERROR(__xludf.DUMMYFUNCTION("""COMPUTED_VALUE"""),"Key Personnel")</f>
        <v>Key Personnel</v>
      </c>
      <c r="D659" s="2" t="str">
        <f>IFERROR(__xludf.DUMMYFUNCTION("""COMPUTED_VALUE"""),"Kirkeby")</f>
        <v>Kirkeby</v>
      </c>
      <c r="E659" s="2" t="str">
        <f>IFERROR(__xludf.DUMMYFUNCTION("""COMPUTED_VALUE"""),"Post Doctoral Reseacher")</f>
        <v>Post Doctoral Reseacher</v>
      </c>
      <c r="F659" s="2" t="str">
        <f>IFERROR(__xludf.DUMMYFUNCTION("""COMPUTED_VALUE"""),"janko.kajtez@sund.ku.dk")</f>
        <v>janko.kajtez@sund.ku.dk</v>
      </c>
      <c r="G659" s="2" t="str">
        <f>IFERROR(__xludf.DUMMYFUNCTION("""COMPUTED_VALUE"""),"0000-0001-9997-2325")</f>
        <v>0000-0001-9997-2325</v>
      </c>
    </row>
    <row r="660">
      <c r="A660" s="2" t="str">
        <f>IFERROR(__xludf.DUMMYFUNCTION("""COMPUTED_VALUE"""),"Kazakou")</f>
        <v>Kazakou</v>
      </c>
      <c r="B660" s="2" t="str">
        <f>IFERROR(__xludf.DUMMYFUNCTION("""COMPUTED_VALUE"""),"Nina-Lydia")</f>
        <v>Nina-Lydia</v>
      </c>
      <c r="C660" s="2" t="str">
        <f>IFERROR(__xludf.DUMMYFUNCTION("""COMPUTED_VALUE"""),"Key Personnel")</f>
        <v>Key Personnel</v>
      </c>
      <c r="D660" s="2" t="str">
        <f>IFERROR(__xludf.DUMMYFUNCTION("""COMPUTED_VALUE"""),"Kirkeby")</f>
        <v>Kirkeby</v>
      </c>
      <c r="E660" s="2" t="str">
        <f>IFERROR(__xludf.DUMMYFUNCTION("""COMPUTED_VALUE"""),"Post Doctoral Researcher")</f>
        <v>Post Doctoral Researcher</v>
      </c>
      <c r="F660" s="2" t="str">
        <f>IFERROR(__xludf.DUMMYFUNCTION("""COMPUTED_VALUE"""),"nina.lydia.kazakou@sund.ku.dk")</f>
        <v>nina.lydia.kazakou@sund.ku.dk</v>
      </c>
      <c r="G660" s="2" t="str">
        <f>IFERROR(__xludf.DUMMYFUNCTION("""COMPUTED_VALUE"""),"0000-0003-3381-2390")</f>
        <v>0000-0003-3381-2390</v>
      </c>
    </row>
    <row r="661">
      <c r="A661" s="2" t="str">
        <f>IFERROR(__xludf.DUMMYFUNCTION("""COMPUTED_VALUE"""),"Castilla-Vallmanya")</f>
        <v>Castilla-Vallmanya</v>
      </c>
      <c r="B661" s="2" t="str">
        <f>IFERROR(__xludf.DUMMYFUNCTION("""COMPUTED_VALUE"""),"Laura")</f>
        <v>Laura</v>
      </c>
      <c r="C661" s="2" t="str">
        <f>IFERROR(__xludf.DUMMYFUNCTION("""COMPUTED_VALUE"""),"Key Personnel")</f>
        <v>Key Personnel</v>
      </c>
      <c r="D661" s="2" t="str">
        <f>IFERROR(__xludf.DUMMYFUNCTION("""COMPUTED_VALUE"""),"Jakobsson")</f>
        <v>Jakobsson</v>
      </c>
      <c r="E661" s="2" t="str">
        <f>IFERROR(__xludf.DUMMYFUNCTION("""COMPUTED_VALUE"""),"Project Manager/Post Doctoral Researcher")</f>
        <v>Project Manager/Post Doctoral Researcher</v>
      </c>
      <c r="F661" s="2" t="str">
        <f>IFERROR(__xludf.DUMMYFUNCTION("""COMPUTED_VALUE"""),"laura.castilla_vallmanya@med.lu.se")</f>
        <v>laura.castilla_vallmanya@med.lu.se</v>
      </c>
      <c r="G661" s="2" t="str">
        <f>IFERROR(__xludf.DUMMYFUNCTION("""COMPUTED_VALUE"""),"0000-0002-2260-9664")</f>
        <v>0000-0002-2260-9664</v>
      </c>
    </row>
    <row r="662">
      <c r="A662" s="2" t="str">
        <f>IFERROR(__xludf.DUMMYFUNCTION("""COMPUTED_VALUE"""),"Christiansen")</f>
        <v>Christiansen</v>
      </c>
      <c r="B662" s="2" t="str">
        <f>IFERROR(__xludf.DUMMYFUNCTION("""COMPUTED_VALUE"""),"Josefine")</f>
        <v>Josefine</v>
      </c>
      <c r="C662" s="2" t="str">
        <f>IFERROR(__xludf.DUMMYFUNCTION("""COMPUTED_VALUE"""),"Key Personnel")</f>
        <v>Key Personnel</v>
      </c>
      <c r="D662" s="2" t="str">
        <f>IFERROR(__xludf.DUMMYFUNCTION("""COMPUTED_VALUE"""),"Kirkeby")</f>
        <v>Kirkeby</v>
      </c>
      <c r="E662" s="2" t="str">
        <f>IFERROR(__xludf.DUMMYFUNCTION("""COMPUTED_VALUE"""),"PhD Student")</f>
        <v>PhD Student</v>
      </c>
      <c r="F662" s="2" t="str">
        <f>IFERROR(__xludf.DUMMYFUNCTION("""COMPUTED_VALUE"""),"josefine.christiansen@sund.ku.dk")</f>
        <v>josefine.christiansen@sund.ku.dk</v>
      </c>
      <c r="G662" s="2" t="str">
        <f>IFERROR(__xludf.DUMMYFUNCTION("""COMPUTED_VALUE"""),"0000-0001-9808-9290")</f>
        <v>0000-0001-9808-9290</v>
      </c>
    </row>
    <row r="663">
      <c r="A663" s="2" t="str">
        <f>IFERROR(__xludf.DUMMYFUNCTION("""COMPUTED_VALUE"""),"Bermudez")</f>
        <v>Bermudez</v>
      </c>
      <c r="B663" s="2" t="str">
        <f>IFERROR(__xludf.DUMMYFUNCTION("""COMPUTED_VALUE"""),"Sara")</f>
        <v>Sara</v>
      </c>
      <c r="C663" s="2" t="str">
        <f>IFERROR(__xludf.DUMMYFUNCTION("""COMPUTED_VALUE"""),"Key Personnel")</f>
        <v>Key Personnel</v>
      </c>
      <c r="D663" s="2" t="str">
        <f>IFERROR(__xludf.DUMMYFUNCTION("""COMPUTED_VALUE"""),"Jakobsson")</f>
        <v>Jakobsson</v>
      </c>
      <c r="E663" s="2" t="str">
        <f>IFERROR(__xludf.DUMMYFUNCTION("""COMPUTED_VALUE"""),"Post Doctoral Researcher")</f>
        <v>Post Doctoral Researcher</v>
      </c>
      <c r="F663" s="2" t="str">
        <f>IFERROR(__xludf.DUMMYFUNCTION("""COMPUTED_VALUE"""),"sara.bermudez@med.lu.se")</f>
        <v>sara.bermudez@med.lu.se</v>
      </c>
      <c r="G663" s="2" t="str">
        <f>IFERROR(__xludf.DUMMYFUNCTION("""COMPUTED_VALUE"""),"0009-0009-0335-4799")</f>
        <v>0009-0009-0335-4799</v>
      </c>
    </row>
    <row r="664">
      <c r="A664" s="2" t="str">
        <f>IFERROR(__xludf.DUMMYFUNCTION("""COMPUTED_VALUE"""),"Saviø Piilgaard")</f>
        <v>Saviø Piilgaard</v>
      </c>
      <c r="B664" s="2" t="str">
        <f>IFERROR(__xludf.DUMMYFUNCTION("""COMPUTED_VALUE"""),"Louise")</f>
        <v>Louise</v>
      </c>
      <c r="C664" s="2" t="str">
        <f>IFERROR(__xludf.DUMMYFUNCTION("""COMPUTED_VALUE"""),"Key Personnel")</f>
        <v>Key Personnel</v>
      </c>
      <c r="D664" s="2" t="str">
        <f>IFERROR(__xludf.DUMMYFUNCTION("""COMPUTED_VALUE"""),"Kirkeby")</f>
        <v>Kirkeby</v>
      </c>
      <c r="E664" s="2" t="str">
        <f>IFERROR(__xludf.DUMMYFUNCTION("""COMPUTED_VALUE"""),"Post Doctoral Researcher")</f>
        <v>Post Doctoral Researcher</v>
      </c>
      <c r="F664" s="2" t="str">
        <f>IFERROR(__xludf.DUMMYFUNCTION("""COMPUTED_VALUE"""),"louise.p.petersen@sund.ku.dk")</f>
        <v>louise.p.petersen@sund.ku.dk</v>
      </c>
      <c r="G664" s="2" t="str">
        <f>IFERROR(__xludf.DUMMYFUNCTION("""COMPUTED_VALUE"""),"0000-0003-4585-5996")</f>
        <v>0000-0003-4585-5996</v>
      </c>
    </row>
    <row r="665">
      <c r="A665" s="2" t="str">
        <f>IFERROR(__xludf.DUMMYFUNCTION("""COMPUTED_VALUE"""),"Rainbow")</f>
        <v>Rainbow</v>
      </c>
      <c r="B665" s="2" t="str">
        <f>IFERROR(__xludf.DUMMYFUNCTION("""COMPUTED_VALUE"""),"Daniel")</f>
        <v>Daniel</v>
      </c>
      <c r="C665" s="2" t="str">
        <f>IFERROR(__xludf.DUMMYFUNCTION("""COMPUTED_VALUE"""),"Key Personnel")</f>
        <v>Key Personnel</v>
      </c>
      <c r="D665" s="2" t="str">
        <f>IFERROR(__xludf.DUMMYFUNCTION("""COMPUTED_VALUE"""),"Barker")</f>
        <v>Barker</v>
      </c>
      <c r="E665" s="2" t="str">
        <f>IFERROR(__xludf.DUMMYFUNCTION("""COMPUTED_VALUE"""),"Post Doctoral Researcher")</f>
        <v>Post Doctoral Researcher</v>
      </c>
      <c r="F665" s="2" t="str">
        <f>IFERROR(__xludf.DUMMYFUNCTION("""COMPUTED_VALUE"""),"dbr22@cam.ac.uk")</f>
        <v>dbr22@cam.ac.uk</v>
      </c>
      <c r="G665" s="2" t="str">
        <f>IFERROR(__xludf.DUMMYFUNCTION("""COMPUTED_VALUE"""),"0000-0003-4931-3289")</f>
        <v>0000-0003-4931-3289</v>
      </c>
    </row>
    <row r="666">
      <c r="A666" s="2" t="str">
        <f>IFERROR(__xludf.DUMMYFUNCTION("""COMPUTED_VALUE"""),"Guiloff")</f>
        <v>Guiloff</v>
      </c>
      <c r="B666" s="2" t="str">
        <f>IFERROR(__xludf.DUMMYFUNCTION("""COMPUTED_VALUE"""),"Angelica ")</f>
        <v>Angelica </v>
      </c>
      <c r="C666" s="2" t="str">
        <f>IFERROR(__xludf.DUMMYFUNCTION("""COMPUTED_VALUE"""),"Key Personnel")</f>
        <v>Key Personnel</v>
      </c>
      <c r="D666" s="2" t="str">
        <f>IFERROR(__xludf.DUMMYFUNCTION("""COMPUTED_VALUE"""),"Barker")</f>
        <v>Barker</v>
      </c>
      <c r="E666" s="2" t="str">
        <f>IFERROR(__xludf.DUMMYFUNCTION("""COMPUTED_VALUE"""),"PhD Student")</f>
        <v>PhD Student</v>
      </c>
      <c r="F666" s="2" t="str">
        <f>IFERROR(__xludf.DUMMYFUNCTION("""COMPUTED_VALUE"""),"ag2423@cam.ac.uk")</f>
        <v>ag2423@cam.ac.uk</v>
      </c>
      <c r="G666" s="2" t="str">
        <f>IFERROR(__xludf.DUMMYFUNCTION("""COMPUTED_VALUE"""),"0000-0001-9680-174X")</f>
        <v>0000-0001-9680-174X</v>
      </c>
    </row>
    <row r="667">
      <c r="A667" s="2" t="str">
        <f>IFERROR(__xludf.DUMMYFUNCTION("""COMPUTED_VALUE"""),"Field")</f>
        <v>Field</v>
      </c>
      <c r="B667" s="2" t="str">
        <f>IFERROR(__xludf.DUMMYFUNCTION("""COMPUTED_VALUE"""),"Sophie ")</f>
        <v>Sophie </v>
      </c>
      <c r="C667" s="2" t="str">
        <f>IFERROR(__xludf.DUMMYFUNCTION("""COMPUTED_VALUE"""),"Key Personnel")</f>
        <v>Key Personnel</v>
      </c>
      <c r="D667" s="2" t="str">
        <f>IFERROR(__xludf.DUMMYFUNCTION("""COMPUTED_VALUE"""),"Barker")</f>
        <v>Barker</v>
      </c>
      <c r="E667" s="2" t="str">
        <f>IFERROR(__xludf.DUMMYFUNCTION("""COMPUTED_VALUE"""),"PhD Student")</f>
        <v>PhD Student</v>
      </c>
      <c r="F667" s="2" t="str">
        <f>IFERROR(__xludf.DUMMYFUNCTION("""COMPUTED_VALUE"""),"sef49@cam.ac.uk")</f>
        <v>sef49@cam.ac.uk</v>
      </c>
      <c r="G667" s="2" t="str">
        <f>IFERROR(__xludf.DUMMYFUNCTION("""COMPUTED_VALUE"""),"0000-0001-6279-6671")</f>
        <v>0000-0001-6279-6671</v>
      </c>
    </row>
    <row r="668">
      <c r="A668" s="2" t="str">
        <f>IFERROR(__xludf.DUMMYFUNCTION("""COMPUTED_VALUE"""),"Shonhard")</f>
        <v>Shonhard</v>
      </c>
      <c r="B668" s="2" t="str">
        <f>IFERROR(__xludf.DUMMYFUNCTION("""COMPUTED_VALUE"""),"James")</f>
        <v>James</v>
      </c>
      <c r="C668" s="2" t="str">
        <f>IFERROR(__xludf.DUMMYFUNCTION("""COMPUTED_VALUE"""),"Key Personnel")</f>
        <v>Key Personnel</v>
      </c>
      <c r="D668" s="2" t="str">
        <f>IFERROR(__xludf.DUMMYFUNCTION("""COMPUTED_VALUE"""),"Barker")</f>
        <v>Barker</v>
      </c>
      <c r="E668" s="2" t="str">
        <f>IFERROR(__xludf.DUMMYFUNCTION("""COMPUTED_VALUE"""),"PhD Student")</f>
        <v>PhD Student</v>
      </c>
      <c r="F668" s="2" t="str">
        <f>IFERROR(__xludf.DUMMYFUNCTION("""COMPUTED_VALUE"""),"js2777@cam.ac.uk")</f>
        <v>js2777@cam.ac.uk</v>
      </c>
      <c r="G668" s="2" t="str">
        <f>IFERROR(__xludf.DUMMYFUNCTION("""COMPUTED_VALUE"""),"0009-0009-3536-0106")</f>
        <v>0009-0009-3536-0106</v>
      </c>
    </row>
    <row r="669">
      <c r="A669" s="2" t="str">
        <f>IFERROR(__xludf.DUMMYFUNCTION("""COMPUTED_VALUE"""),"Wijesinghe")</f>
        <v>Wijesinghe</v>
      </c>
      <c r="B669" s="2" t="str">
        <f>IFERROR(__xludf.DUMMYFUNCTION("""COMPUTED_VALUE"""),"Sasvi ")</f>
        <v>Sasvi </v>
      </c>
      <c r="C669" s="2" t="str">
        <f>IFERROR(__xludf.DUMMYFUNCTION("""COMPUTED_VALUE"""),"Key Personnel")</f>
        <v>Key Personnel</v>
      </c>
      <c r="D669" s="2" t="str">
        <f>IFERROR(__xludf.DUMMYFUNCTION("""COMPUTED_VALUE"""),"Barker")</f>
        <v>Barker</v>
      </c>
      <c r="E669" s="2" t="str">
        <f>IFERROR(__xludf.DUMMYFUNCTION("""COMPUTED_VALUE"""),"Research Assistant")</f>
        <v>Research Assistant</v>
      </c>
      <c r="F669" s="2" t="str">
        <f>IFERROR(__xludf.DUMMYFUNCTION("""COMPUTED_VALUE"""),"ssw35@cam.ac.uk")</f>
        <v>ssw35@cam.ac.uk</v>
      </c>
      <c r="G669" s="2" t="str">
        <f>IFERROR(__xludf.DUMMYFUNCTION("""COMPUTED_VALUE"""),"0009-0004-6811-0043")</f>
        <v>0009-0004-6811-0043</v>
      </c>
    </row>
    <row r="670">
      <c r="A670" s="2" t="str">
        <f>IFERROR(__xludf.DUMMYFUNCTION("""COMPUTED_VALUE"""),"Mzezewa")</f>
        <v>Mzezewa</v>
      </c>
      <c r="B670" s="2" t="str">
        <f>IFERROR(__xludf.DUMMYFUNCTION("""COMPUTED_VALUE"""),"Ropafadzo")</f>
        <v>Ropafadzo</v>
      </c>
      <c r="C670" s="2" t="str">
        <f>IFERROR(__xludf.DUMMYFUNCTION("""COMPUTED_VALUE"""),"Key Personnel")</f>
        <v>Key Personnel</v>
      </c>
      <c r="D670" s="2" t="str">
        <f>IFERROR(__xludf.DUMMYFUNCTION("""COMPUTED_VALUE"""),"Kirkeby")</f>
        <v>Kirkeby</v>
      </c>
      <c r="E670" s="2" t="str">
        <f>IFERROR(__xludf.DUMMYFUNCTION("""COMPUTED_VALUE"""),"Post Doctoral Researcher")</f>
        <v>Post Doctoral Researcher</v>
      </c>
      <c r="F670" s="2" t="str">
        <f>IFERROR(__xludf.DUMMYFUNCTION("""COMPUTED_VALUE"""),"ropafadzo.mzezewa@sund.ku.dk")</f>
        <v>ropafadzo.mzezewa@sund.ku.dk</v>
      </c>
      <c r="G670" s="2" t="str">
        <f>IFERROR(__xludf.DUMMYFUNCTION("""COMPUTED_VALUE"""),"0000-0003-1765-5524")</f>
        <v>0000-0003-1765-5524</v>
      </c>
    </row>
    <row r="671">
      <c r="A671" s="2" t="str">
        <f>IFERROR(__xludf.DUMMYFUNCTION("""COMPUTED_VALUE"""),"Akkentli ")</f>
        <v>Akkentli </v>
      </c>
      <c r="B671" s="2" t="str">
        <f>IFERROR(__xludf.DUMMYFUNCTION("""COMPUTED_VALUE"""),"Fatih")</f>
        <v>Fatih</v>
      </c>
      <c r="C671" s="2" t="str">
        <f>IFERROR(__xludf.DUMMYFUNCTION("""COMPUTED_VALUE"""),"Key Personnel")</f>
        <v>Key Personnel</v>
      </c>
      <c r="D671" s="2" t="str">
        <f>IFERROR(__xludf.DUMMYFUNCTION("""COMPUTED_VALUE"""),"Dawson")</f>
        <v>Dawson</v>
      </c>
      <c r="E671" s="2" t="str">
        <f>IFERROR(__xludf.DUMMYFUNCTION("""COMPUTED_VALUE"""),"Research specialist")</f>
        <v>Research specialist</v>
      </c>
      <c r="F671" s="2" t="str">
        <f>IFERROR(__xludf.DUMMYFUNCTION("""COMPUTED_VALUE"""),"fakkent1@jhu.edu")</f>
        <v>fakkent1@jhu.edu</v>
      </c>
      <c r="G671" s="2" t="str">
        <f>IFERROR(__xludf.DUMMYFUNCTION("""COMPUTED_VALUE"""),"0009-0004-7813-193X")</f>
        <v>0009-0004-7813-193X</v>
      </c>
    </row>
    <row r="672">
      <c r="A672" s="2" t="str">
        <f>IFERROR(__xludf.DUMMYFUNCTION("""COMPUTED_VALUE"""),"Chen")</f>
        <v>Chen</v>
      </c>
      <c r="B672" s="2" t="str">
        <f>IFERROR(__xludf.DUMMYFUNCTION("""COMPUTED_VALUE"""),"Rong")</f>
        <v>Rong</v>
      </c>
      <c r="C672" s="2" t="str">
        <f>IFERROR(__xludf.DUMMYFUNCTION("""COMPUTED_VALUE"""),"Key Personnel")</f>
        <v>Key Personnel</v>
      </c>
      <c r="D672" s="2" t="str">
        <f>IFERROR(__xludf.DUMMYFUNCTION("""COMPUTED_VALUE"""),"Dawson")</f>
        <v>Dawson</v>
      </c>
      <c r="E672" s="2" t="str">
        <f>IFERROR(__xludf.DUMMYFUNCTION("""COMPUTED_VALUE"""),"Senior technician")</f>
        <v>Senior technician</v>
      </c>
      <c r="F672" s="2" t="str">
        <f>IFERROR(__xludf.DUMMYFUNCTION("""COMPUTED_VALUE"""),"rchen7@jhmi.edu")</f>
        <v>rchen7@jhmi.edu</v>
      </c>
      <c r="G672" s="2" t="str">
        <f>IFERROR(__xludf.DUMMYFUNCTION("""COMPUTED_VALUE"""),"0000-0001-9291-5539")</f>
        <v>0000-0001-9291-5539</v>
      </c>
    </row>
    <row r="673">
      <c r="A673" s="2" t="str">
        <f>IFERROR(__xludf.DUMMYFUNCTION("""COMPUTED_VALUE"""),"Dawson")</f>
        <v>Dawson</v>
      </c>
      <c r="B673" s="2" t="str">
        <f>IFERROR(__xludf.DUMMYFUNCTION("""COMPUTED_VALUE"""),"Ted")</f>
        <v>Ted</v>
      </c>
      <c r="C673" s="2" t="str">
        <f>IFERROR(__xludf.DUMMYFUNCTION("""COMPUTED_VALUE"""),"Co-PI")</f>
        <v>Co-PI</v>
      </c>
      <c r="D673" s="2" t="str">
        <f>IFERROR(__xludf.DUMMYFUNCTION("""COMPUTED_VALUE"""),"Dawson")</f>
        <v>Dawson</v>
      </c>
      <c r="E673" s="2"/>
      <c r="F673" s="2" t="str">
        <f>IFERROR(__xludf.DUMMYFUNCTION("""COMPUTED_VALUE"""),"tdawson@jhmi.edu")</f>
        <v>tdawson@jhmi.edu</v>
      </c>
      <c r="G673" s="2" t="str">
        <f>IFERROR(__xludf.DUMMYFUNCTION("""COMPUTED_VALUE"""),"0000-0002-6459-0893")</f>
        <v>0000-0002-6459-0893</v>
      </c>
    </row>
    <row r="674">
      <c r="A674" s="2" t="str">
        <f>IFERROR(__xludf.DUMMYFUNCTION("""COMPUTED_VALUE"""),"Dawson")</f>
        <v>Dawson</v>
      </c>
      <c r="B674" s="2" t="str">
        <f>IFERROR(__xludf.DUMMYFUNCTION("""COMPUTED_VALUE"""),"Valina")</f>
        <v>Valina</v>
      </c>
      <c r="C674" s="2" t="str">
        <f>IFERROR(__xludf.DUMMYFUNCTION("""COMPUTED_VALUE"""),"Collaborating PI")</f>
        <v>Collaborating PI</v>
      </c>
      <c r="D674" s="2" t="str">
        <f>IFERROR(__xludf.DUMMYFUNCTION("""COMPUTED_VALUE"""),"Dawson")</f>
        <v>Dawson</v>
      </c>
      <c r="E674" s="2" t="str">
        <f>IFERROR(__xludf.DUMMYFUNCTION("""COMPUTED_VALUE"""),"Professor")</f>
        <v>Professor</v>
      </c>
      <c r="F674" s="2" t="str">
        <f>IFERROR(__xludf.DUMMYFUNCTION("""COMPUTED_VALUE"""),"vdawson@jhmi.edu")</f>
        <v>vdawson@jhmi.edu</v>
      </c>
      <c r="G674" s="2" t="str">
        <f>IFERROR(__xludf.DUMMYFUNCTION("""COMPUTED_VALUE"""),"0000-0002-2915-3970")</f>
        <v>0000-0002-2915-3970</v>
      </c>
    </row>
    <row r="675">
      <c r="A675" s="2" t="str">
        <f>IFERROR(__xludf.DUMMYFUNCTION("""COMPUTED_VALUE"""),"Gadhave")</f>
        <v>Gadhave</v>
      </c>
      <c r="B675" s="2" t="str">
        <f>IFERROR(__xludf.DUMMYFUNCTION("""COMPUTED_VALUE"""),"Kundlik")</f>
        <v>Kundlik</v>
      </c>
      <c r="C675" s="2" t="str">
        <f>IFERROR(__xludf.DUMMYFUNCTION("""COMPUTED_VALUE"""),"Key Personnel")</f>
        <v>Key Personnel</v>
      </c>
      <c r="D675" s="2" t="str">
        <f>IFERROR(__xludf.DUMMYFUNCTION("""COMPUTED_VALUE"""),"Dawson")</f>
        <v>Dawson</v>
      </c>
      <c r="E675" s="2" t="str">
        <f>IFERROR(__xludf.DUMMYFUNCTION("""COMPUTED_VALUE"""),"Postdoc")</f>
        <v>Postdoc</v>
      </c>
      <c r="F675" s="2" t="str">
        <f>IFERROR(__xludf.DUMMYFUNCTION("""COMPUTED_VALUE"""),"kgadhav1@jhu.edu")</f>
        <v>kgadhav1@jhu.edu</v>
      </c>
      <c r="G675" s="2" t="str">
        <f>IFERROR(__xludf.DUMMYFUNCTION("""COMPUTED_VALUE"""),"0000-0003-4530-4772")</f>
        <v>0000-0003-4530-4772</v>
      </c>
    </row>
    <row r="676">
      <c r="A676" s="2" t="str">
        <f>IFERROR(__xludf.DUMMYFUNCTION("""COMPUTED_VALUE"""),"Jeong")</f>
        <v>Jeong</v>
      </c>
      <c r="B676" s="2" t="str">
        <f>IFERROR(__xludf.DUMMYFUNCTION("""COMPUTED_VALUE"""),"Deok")</f>
        <v>Deok</v>
      </c>
      <c r="C676" s="2" t="str">
        <f>IFERROR(__xludf.DUMMYFUNCTION("""COMPUTED_VALUE"""),"Key Personnel")</f>
        <v>Key Personnel</v>
      </c>
      <c r="D676" s="2" t="str">
        <f>IFERROR(__xludf.DUMMYFUNCTION("""COMPUTED_VALUE"""),"Dawson")</f>
        <v>Dawson</v>
      </c>
      <c r="E676" s="2" t="str">
        <f>IFERROR(__xludf.DUMMYFUNCTION("""COMPUTED_VALUE"""),"Postdoc")</f>
        <v>Postdoc</v>
      </c>
      <c r="F676" s="2" t="str">
        <f>IFERROR(__xludf.DUMMYFUNCTION("""COMPUTED_VALUE"""),"djeong7@jhu.edu")</f>
        <v>djeong7@jhu.edu</v>
      </c>
      <c r="G676" s="2" t="str">
        <f>IFERROR(__xludf.DUMMYFUNCTION("""COMPUTED_VALUE"""),"0000-0001-9029-9662")</f>
        <v>0000-0001-9029-9662</v>
      </c>
    </row>
    <row r="677">
      <c r="A677" s="2" t="str">
        <f>IFERROR(__xludf.DUMMYFUNCTION("""COMPUTED_VALUE"""),"Kam")</f>
        <v>Kam</v>
      </c>
      <c r="B677" s="2" t="str">
        <f>IFERROR(__xludf.DUMMYFUNCTION("""COMPUTED_VALUE"""),"Tae-In")</f>
        <v>Tae-In</v>
      </c>
      <c r="C677" s="2" t="str">
        <f>IFERROR(__xludf.DUMMYFUNCTION("""COMPUTED_VALUE"""),"Collaborating PI")</f>
        <v>Collaborating PI</v>
      </c>
      <c r="D677" s="2" t="str">
        <f>IFERROR(__xludf.DUMMYFUNCTION("""COMPUTED_VALUE"""),"Dawson")</f>
        <v>Dawson</v>
      </c>
      <c r="E677" s="2" t="str">
        <f>IFERROR(__xludf.DUMMYFUNCTION("""COMPUTED_VALUE"""),"Assistant Professor")</f>
        <v>Assistant Professor</v>
      </c>
      <c r="F677" s="2" t="str">
        <f>IFERROR(__xludf.DUMMYFUNCTION("""COMPUTED_VALUE"""),"tkam1@jhmi.edu")</f>
        <v>tkam1@jhmi.edu</v>
      </c>
      <c r="G677" s="2" t="str">
        <f>IFERROR(__xludf.DUMMYFUNCTION("""COMPUTED_VALUE"""),"0000-0002-7241-4902")</f>
        <v>0000-0002-7241-4902</v>
      </c>
    </row>
    <row r="678">
      <c r="A678" s="2" t="str">
        <f>IFERROR(__xludf.DUMMYFUNCTION("""COMPUTED_VALUE"""),"Ko")</f>
        <v>Ko</v>
      </c>
      <c r="B678" s="2" t="str">
        <f>IFERROR(__xludf.DUMMYFUNCTION("""COMPUTED_VALUE"""),"Hanseok")</f>
        <v>Hanseok</v>
      </c>
      <c r="C678" s="2" t="str">
        <f>IFERROR(__xludf.DUMMYFUNCTION("""COMPUTED_VALUE"""),"Collaborating PI")</f>
        <v>Collaborating PI</v>
      </c>
      <c r="D678" s="2" t="str">
        <f>IFERROR(__xludf.DUMMYFUNCTION("""COMPUTED_VALUE"""),"Dawson")</f>
        <v>Dawson</v>
      </c>
      <c r="E678" s="2" t="str">
        <f>IFERROR(__xludf.DUMMYFUNCTION("""COMPUTED_VALUE"""),"professor ")</f>
        <v>professor </v>
      </c>
      <c r="F678" s="2" t="str">
        <f>IFERROR(__xludf.DUMMYFUNCTION("""COMPUTED_VALUE"""),"hko3@jhmi.edu")</f>
        <v>hko3@jhmi.edu</v>
      </c>
      <c r="G678" s="2" t="str">
        <f>IFERROR(__xludf.DUMMYFUNCTION("""COMPUTED_VALUE"""),"0000-0002-0864-5239")</f>
        <v>0000-0002-0864-5239</v>
      </c>
    </row>
    <row r="679">
      <c r="A679" s="2" t="str">
        <f>IFERROR(__xludf.DUMMYFUNCTION("""COMPUTED_VALUE"""),"Kumar")</f>
        <v>Kumar</v>
      </c>
      <c r="B679" s="2" t="str">
        <f>IFERROR(__xludf.DUMMYFUNCTION("""COMPUTED_VALUE"""),"Manisha")</f>
        <v>Manisha</v>
      </c>
      <c r="C679" s="2" t="str">
        <f>IFERROR(__xludf.DUMMYFUNCTION("""COMPUTED_VALUE"""),"Key Personnel")</f>
        <v>Key Personnel</v>
      </c>
      <c r="D679" s="2" t="str">
        <f>IFERROR(__xludf.DUMMYFUNCTION("""COMPUTED_VALUE"""),"Dawson")</f>
        <v>Dawson</v>
      </c>
      <c r="E679" s="2" t="str">
        <f>IFERROR(__xludf.DUMMYFUNCTION("""COMPUTED_VALUE"""),"Postdoc ")</f>
        <v>Postdoc </v>
      </c>
      <c r="F679" s="2" t="str">
        <f>IFERROR(__xludf.DUMMYFUNCTION("""COMPUTED_VALUE"""),"mkumari2@jhmi.edu")</f>
        <v>mkumari2@jhmi.edu</v>
      </c>
      <c r="G679" s="2" t="str">
        <f>IFERROR(__xludf.DUMMYFUNCTION("""COMPUTED_VALUE"""),"0000-0002-6956-6032")</f>
        <v>0000-0002-6956-6032</v>
      </c>
    </row>
    <row r="680">
      <c r="A680" s="2" t="str">
        <f>IFERROR(__xludf.DUMMYFUNCTION("""COMPUTED_VALUE"""),"Kumbhar ")</f>
        <v>Kumbhar </v>
      </c>
      <c r="B680" s="2" t="str">
        <f>IFERROR(__xludf.DUMMYFUNCTION("""COMPUTED_VALUE"""),"Ramhari")</f>
        <v>Ramhari</v>
      </c>
      <c r="C680" s="2" t="str">
        <f>IFERROR(__xludf.DUMMYFUNCTION("""COMPUTED_VALUE"""),"Key Personnel")</f>
        <v>Key Personnel</v>
      </c>
      <c r="D680" s="2" t="str">
        <f>IFERROR(__xludf.DUMMYFUNCTION("""COMPUTED_VALUE"""),"Dawson")</f>
        <v>Dawson</v>
      </c>
      <c r="E680" s="2" t="str">
        <f>IFERROR(__xludf.DUMMYFUNCTION("""COMPUTED_VALUE"""),"Postdoc")</f>
        <v>Postdoc</v>
      </c>
      <c r="F680" s="2" t="str">
        <f>IFERROR(__xludf.DUMMYFUNCTION("""COMPUTED_VALUE"""),"rkumbha1@jhmi.edu")</f>
        <v>rkumbha1@jhmi.edu</v>
      </c>
      <c r="G680" s="2" t="str">
        <f>IFERROR(__xludf.DUMMYFUNCTION("""COMPUTED_VALUE"""),"0000-0002-8975-2502")</f>
        <v>0000-0002-8975-2502</v>
      </c>
    </row>
    <row r="681">
      <c r="A681" s="2" t="str">
        <f>IFERROR(__xludf.DUMMYFUNCTION("""COMPUTED_VALUE"""),"Mao")</f>
        <v>Mao</v>
      </c>
      <c r="B681" s="2" t="str">
        <f>IFERROR(__xludf.DUMMYFUNCTION("""COMPUTED_VALUE"""),"Xiaobo")</f>
        <v>Xiaobo</v>
      </c>
      <c r="C681" s="2" t="str">
        <f>IFERROR(__xludf.DUMMYFUNCTION("""COMPUTED_VALUE"""),"Collaborating PI")</f>
        <v>Collaborating PI</v>
      </c>
      <c r="D681" s="2" t="str">
        <f>IFERROR(__xludf.DUMMYFUNCTION("""COMPUTED_VALUE"""),"Dawson")</f>
        <v>Dawson</v>
      </c>
      <c r="E681" s="2" t="str">
        <f>IFERROR(__xludf.DUMMYFUNCTION("""COMPUTED_VALUE"""),"Assistant Professor")</f>
        <v>Assistant Professor</v>
      </c>
      <c r="F681" s="2" t="str">
        <f>IFERROR(__xludf.DUMMYFUNCTION("""COMPUTED_VALUE"""),"xmao4@jhmi.edu")</f>
        <v>xmao4@jhmi.edu</v>
      </c>
      <c r="G681" s="2" t="str">
        <f>IFERROR(__xludf.DUMMYFUNCTION("""COMPUTED_VALUE"""),"0000-0001-6587-556X")</f>
        <v>0000-0001-6587-556X</v>
      </c>
    </row>
    <row r="682">
      <c r="A682" s="2" t="str">
        <f>IFERROR(__xludf.DUMMYFUNCTION("""COMPUTED_VALUE"""),"Song")</f>
        <v>Song</v>
      </c>
      <c r="B682" s="2" t="str">
        <f>IFERROR(__xludf.DUMMYFUNCTION("""COMPUTED_VALUE"""),"Jae Jin")</f>
        <v>Jae Jin</v>
      </c>
      <c r="C682" s="2" t="str">
        <f>IFERROR(__xludf.DUMMYFUNCTION("""COMPUTED_VALUE"""),"Key Personnel")</f>
        <v>Key Personnel</v>
      </c>
      <c r="D682" s="2" t="str">
        <f>IFERROR(__xludf.DUMMYFUNCTION("""COMPUTED_VALUE"""),"Dawson")</f>
        <v>Dawson</v>
      </c>
      <c r="E682" s="2" t="str">
        <f>IFERROR(__xludf.DUMMYFUNCTION("""COMPUTED_VALUE"""),"Postdoc")</f>
        <v>Postdoc</v>
      </c>
      <c r="F682" s="2" t="str">
        <f>IFERROR(__xludf.DUMMYFUNCTION("""COMPUTED_VALUE"""),"jsong86@jhmi.edu")</f>
        <v>jsong86@jhmi.edu</v>
      </c>
      <c r="G682" s="2" t="str">
        <f>IFERROR(__xludf.DUMMYFUNCTION("""COMPUTED_VALUE"""),"0000-0002-2254-3845")</f>
        <v>0000-0002-2254-3845</v>
      </c>
    </row>
    <row r="683">
      <c r="A683" s="2" t="str">
        <f>IFERROR(__xludf.DUMMYFUNCTION("""COMPUTED_VALUE"""),"Wang")</f>
        <v>Wang</v>
      </c>
      <c r="B683" s="2" t="str">
        <f>IFERROR(__xludf.DUMMYFUNCTION("""COMPUTED_VALUE"""),"Ning")</f>
        <v>Ning</v>
      </c>
      <c r="C683" s="2" t="str">
        <f>IFERROR(__xludf.DUMMYFUNCTION("""COMPUTED_VALUE"""),"Key Personnel")</f>
        <v>Key Personnel</v>
      </c>
      <c r="D683" s="2" t="str">
        <f>IFERROR(__xludf.DUMMYFUNCTION("""COMPUTED_VALUE"""),"Dawson")</f>
        <v>Dawson</v>
      </c>
      <c r="E683" s="2" t="str">
        <f>IFERROR(__xludf.DUMMYFUNCTION("""COMPUTED_VALUE"""),"Postdoc")</f>
        <v>Postdoc</v>
      </c>
      <c r="F683" s="2" t="str">
        <f>IFERROR(__xludf.DUMMYFUNCTION("""COMPUTED_VALUE"""),"nwang32@jhu.edu")</f>
        <v>nwang32@jhu.edu</v>
      </c>
      <c r="G683" s="2" t="str">
        <f>IFERROR(__xludf.DUMMYFUNCTION("""COMPUTED_VALUE"""),"0000-0002-3410-8509")</f>
        <v>0000-0002-3410-8509</v>
      </c>
    </row>
    <row r="684">
      <c r="A684" s="2" t="str">
        <f>IFERROR(__xludf.DUMMYFUNCTION("""COMPUTED_VALUE"""),"Antoniazzi")</f>
        <v>Antoniazzi</v>
      </c>
      <c r="B684" s="2" t="str">
        <f>IFERROR(__xludf.DUMMYFUNCTION("""COMPUTED_VALUE"""),"Aldana")</f>
        <v>Aldana</v>
      </c>
      <c r="C684" s="2" t="str">
        <f>IFERROR(__xludf.DUMMYFUNCTION("""COMPUTED_VALUE"""),"Key Personnel")</f>
        <v>Key Personnel</v>
      </c>
      <c r="D684" s="2" t="str">
        <f>IFERROR(__xludf.DUMMYFUNCTION("""COMPUTED_VALUE"""),"Kaplitt")</f>
        <v>Kaplitt</v>
      </c>
      <c r="E684" s="2" t="str">
        <f>IFERROR(__xludf.DUMMYFUNCTION("""COMPUTED_VALUE"""),"Postdoc")</f>
        <v>Postdoc</v>
      </c>
      <c r="F684" s="2" t="str">
        <f>IFERROR(__xludf.DUMMYFUNCTION("""COMPUTED_VALUE"""),"ama4024@med.cornell.edu")</f>
        <v>ama4024@med.cornell.edu</v>
      </c>
      <c r="G684" s="2" t="str">
        <f>IFERROR(__xludf.DUMMYFUNCTION("""COMPUTED_VALUE"""),"0000-0002-0728-3352")</f>
        <v>0000-0002-0728-3352</v>
      </c>
    </row>
    <row r="685">
      <c r="A685" s="2" t="str">
        <f>IFERROR(__xludf.DUMMYFUNCTION("""COMPUTED_VALUE"""),"Haikal ")</f>
        <v>Haikal </v>
      </c>
      <c r="B685" s="2" t="str">
        <f>IFERROR(__xludf.DUMMYFUNCTION("""COMPUTED_VALUE"""),"Caroline")</f>
        <v>Caroline</v>
      </c>
      <c r="C685" s="2" t="str">
        <f>IFERROR(__xludf.DUMMYFUNCTION("""COMPUTED_VALUE"""),"Key Personnel")</f>
        <v>Key Personnel</v>
      </c>
      <c r="D685" s="2" t="str">
        <f>IFERROR(__xludf.DUMMYFUNCTION("""COMPUTED_VALUE"""),"Kaplitt")</f>
        <v>Kaplitt</v>
      </c>
      <c r="E685" s="2" t="str">
        <f>IFERROR(__xludf.DUMMYFUNCTION("""COMPUTED_VALUE"""),"Postdoc")</f>
        <v>Postdoc</v>
      </c>
      <c r="F685" s="2" t="str">
        <f>IFERROR(__xludf.DUMMYFUNCTION("""COMPUTED_VALUE"""),"cah4014@med.cornell.edu")</f>
        <v>cah4014@med.cornell.edu</v>
      </c>
      <c r="G685" s="2" t="str">
        <f>IFERROR(__xludf.DUMMYFUNCTION("""COMPUTED_VALUE"""),"0000-0002-9066-5940")</f>
        <v>0000-0002-9066-5940</v>
      </c>
    </row>
    <row r="686">
      <c r="A686" s="2" t="str">
        <f>IFERROR(__xludf.DUMMYFUNCTION("""COMPUTED_VALUE"""),"Kaplitt")</f>
        <v>Kaplitt</v>
      </c>
      <c r="B686" s="2" t="str">
        <f>IFERROR(__xludf.DUMMYFUNCTION("""COMPUTED_VALUE"""),"Michael")</f>
        <v>Michael</v>
      </c>
      <c r="C686" s="2" t="str">
        <f>IFERROR(__xludf.DUMMYFUNCTION("""COMPUTED_VALUE"""),"Lead-PI")</f>
        <v>Lead-PI</v>
      </c>
      <c r="D686" s="2" t="str">
        <f>IFERROR(__xludf.DUMMYFUNCTION("""COMPUTED_VALUE"""),"Kaplitt")</f>
        <v>Kaplitt</v>
      </c>
      <c r="E686" s="2"/>
      <c r="F686" s="2" t="str">
        <f>IFERROR(__xludf.DUMMYFUNCTION("""COMPUTED_VALUE"""),"mik2002@med.cornell.edu")</f>
        <v>mik2002@med.cornell.edu</v>
      </c>
      <c r="G686" s="2" t="str">
        <f>IFERROR(__xludf.DUMMYFUNCTION("""COMPUTED_VALUE"""),"0000-0002-8979-2459")</f>
        <v>0000-0002-8979-2459</v>
      </c>
    </row>
    <row r="687">
      <c r="A687" s="2" t="str">
        <f>IFERROR(__xludf.DUMMYFUNCTION("""COMPUTED_VALUE"""),"Lathrop")</f>
        <v>Lathrop</v>
      </c>
      <c r="B687" s="2" t="str">
        <f>IFERROR(__xludf.DUMMYFUNCTION("""COMPUTED_VALUE"""),"Cooper")</f>
        <v>Cooper</v>
      </c>
      <c r="C687" s="2" t="str">
        <f>IFERROR(__xludf.DUMMYFUNCTION("""COMPUTED_VALUE"""),"Key Personnel")</f>
        <v>Key Personnel</v>
      </c>
      <c r="D687" s="2" t="str">
        <f>IFERROR(__xludf.DUMMYFUNCTION("""COMPUTED_VALUE"""),"Kaplitt")</f>
        <v>Kaplitt</v>
      </c>
      <c r="E687" s="2" t="str">
        <f>IFERROR(__xludf.DUMMYFUNCTION("""COMPUTED_VALUE"""),"Medical Student")</f>
        <v>Medical Student</v>
      </c>
      <c r="F687" s="2" t="str">
        <f>IFERROR(__xludf.DUMMYFUNCTION("""COMPUTED_VALUE"""),"col4013@med.cornell.edu")</f>
        <v>col4013@med.cornell.edu</v>
      </c>
      <c r="G687" s="2" t="str">
        <f>IFERROR(__xludf.DUMMYFUNCTION("""COMPUTED_VALUE"""),"0009-0006-7070-3547")</f>
        <v>0009-0006-7070-3547</v>
      </c>
    </row>
    <row r="688">
      <c r="A688" s="2" t="str">
        <f>IFERROR(__xludf.DUMMYFUNCTION("""COMPUTED_VALUE"""),"Stavarache")</f>
        <v>Stavarache</v>
      </c>
      <c r="B688" s="2" t="str">
        <f>IFERROR(__xludf.DUMMYFUNCTION("""COMPUTED_VALUE"""),"Mihaela")</f>
        <v>Mihaela</v>
      </c>
      <c r="C688" s="2" t="str">
        <f>IFERROR(__xludf.DUMMYFUNCTION("""COMPUTED_VALUE"""),"Key Personnel")</f>
        <v>Key Personnel</v>
      </c>
      <c r="D688" s="2" t="str">
        <f>IFERROR(__xludf.DUMMYFUNCTION("""COMPUTED_VALUE"""),"Kaplitt")</f>
        <v>Kaplitt</v>
      </c>
      <c r="E688" s="2" t="str">
        <f>IFERROR(__xludf.DUMMYFUNCTION("""COMPUTED_VALUE"""),"Instructor")</f>
        <v>Instructor</v>
      </c>
      <c r="F688" s="2" t="str">
        <f>IFERROR(__xludf.DUMMYFUNCTION("""COMPUTED_VALUE"""),"mas2066@med.cornell.edu")</f>
        <v>mas2066@med.cornell.edu</v>
      </c>
      <c r="G688" s="2" t="str">
        <f>IFERROR(__xludf.DUMMYFUNCTION("""COMPUTED_VALUE"""),"0000-0002-8120-7470")</f>
        <v>0000-0002-8120-7470</v>
      </c>
    </row>
    <row r="689" ht="18.75" customHeight="1">
      <c r="A689" s="2" t="str">
        <f>IFERROR(__xludf.DUMMYFUNCTION("""COMPUTED_VALUE"""),"Torres")</f>
        <v>Torres</v>
      </c>
      <c r="B689" s="2" t="str">
        <f>IFERROR(__xludf.DUMMYFUNCTION("""COMPUTED_VALUE"""),"Eileen")</f>
        <v>Eileen</v>
      </c>
      <c r="C689" s="2" t="str">
        <f>IFERROR(__xludf.DUMMYFUNCTION("""COMPUTED_VALUE"""),"Project Manager")</f>
        <v>Project Manager</v>
      </c>
      <c r="D689" s="2" t="str">
        <f>IFERROR(__xludf.DUMMYFUNCTION("""COMPUTED_VALUE"""),"Kaplitt")</f>
        <v>Kaplitt</v>
      </c>
      <c r="E689" s="2" t="str">
        <f>IFERROR(__xludf.DUMMYFUNCTION("""COMPUTED_VALUE"""),"Project Manager")</f>
        <v>Project Manager</v>
      </c>
      <c r="F689" s="2" t="str">
        <f>IFERROR(__xludf.DUMMYFUNCTION("""COMPUTED_VALUE"""),"est4003@med.cornell.edu")</f>
        <v>est4003@med.cornell.edu</v>
      </c>
      <c r="G689" s="2" t="str">
        <f>IFERROR(__xludf.DUMMYFUNCTION("""COMPUTED_VALUE"""),"0000-0002-5340-8734")</f>
        <v>0000-0002-5340-8734</v>
      </c>
    </row>
    <row r="690">
      <c r="A690" s="2" t="str">
        <f>IFERROR(__xludf.DUMMYFUNCTION("""COMPUTED_VALUE"""),"Unda")</f>
        <v>Unda</v>
      </c>
      <c r="B690" s="2" t="str">
        <f>IFERROR(__xludf.DUMMYFUNCTION("""COMPUTED_VALUE"""),"Santiago")</f>
        <v>Santiago</v>
      </c>
      <c r="C690" s="2" t="str">
        <f>IFERROR(__xludf.DUMMYFUNCTION("""COMPUTED_VALUE"""),"Key Personnel")</f>
        <v>Key Personnel</v>
      </c>
      <c r="D690" s="2" t="str">
        <f>IFERROR(__xludf.DUMMYFUNCTION("""COMPUTED_VALUE"""),"Kaplitt")</f>
        <v>Kaplitt</v>
      </c>
      <c r="E690" s="2" t="str">
        <f>IFERROR(__xludf.DUMMYFUNCTION("""COMPUTED_VALUE"""),"Postdoc")</f>
        <v>Postdoc</v>
      </c>
      <c r="F690" s="2" t="str">
        <f>IFERROR(__xludf.DUMMYFUNCTION("""COMPUTED_VALUE"""),"sru4001@med.cornell.edu")</f>
        <v>sru4001@med.cornell.edu</v>
      </c>
      <c r="G690" s="2" t="str">
        <f>IFERROR(__xludf.DUMMYFUNCTION("""COMPUTED_VALUE"""),"0000-0001-7319-6794")</f>
        <v>0000-0001-7319-6794</v>
      </c>
    </row>
    <row r="691">
      <c r="A691" s="2" t="str">
        <f>IFERROR(__xludf.DUMMYFUNCTION("""COMPUTED_VALUE"""),"Winston")</f>
        <v>Winston</v>
      </c>
      <c r="B691" s="2" t="str">
        <f>IFERROR(__xludf.DUMMYFUNCTION("""COMPUTED_VALUE"""),"Graham")</f>
        <v>Graham</v>
      </c>
      <c r="C691" s="2" t="str">
        <f>IFERROR(__xludf.DUMMYFUNCTION("""COMPUTED_VALUE"""),"Key Personnel")</f>
        <v>Key Personnel</v>
      </c>
      <c r="D691" s="2" t="str">
        <f>IFERROR(__xludf.DUMMYFUNCTION("""COMPUTED_VALUE"""),"Kaplitt")</f>
        <v>Kaplitt</v>
      </c>
      <c r="E691" s="2" t="str">
        <f>IFERROR(__xludf.DUMMYFUNCTION("""COMPUTED_VALUE"""),"Neurosurgery Research Resident")</f>
        <v>Neurosurgery Research Resident</v>
      </c>
      <c r="F691" s="2" t="str">
        <f>IFERROR(__xludf.DUMMYFUNCTION("""COMPUTED_VALUE"""),"gmw2002@med.cornell.edu")</f>
        <v>gmw2002@med.cornell.edu</v>
      </c>
      <c r="G691" s="2" t="str">
        <f>IFERROR(__xludf.DUMMYFUNCTION("""COMPUTED_VALUE"""),"0000-0002-3878-992X")</f>
        <v>0000-0002-3878-992X</v>
      </c>
    </row>
    <row r="692">
      <c r="A692" s="2" t="str">
        <f>IFERROR(__xludf.DUMMYFUNCTION("""COMPUTED_VALUE"""),"Marciano")</f>
        <v>Marciano</v>
      </c>
      <c r="B692" s="2" t="str">
        <f>IFERROR(__xludf.DUMMYFUNCTION("""COMPUTED_VALUE"""),"Sabina")</f>
        <v>Sabina</v>
      </c>
      <c r="C692" s="2" t="str">
        <f>IFERROR(__xludf.DUMMYFUNCTION("""COMPUTED_VALUE"""),"Key Personnel")</f>
        <v>Key Personnel</v>
      </c>
      <c r="D692" s="2" t="str">
        <f>IFERROR(__xludf.DUMMYFUNCTION("""COMPUTED_VALUE"""),"Marongiu")</f>
        <v>Marongiu</v>
      </c>
      <c r="E692" s="2" t="str">
        <f>IFERROR(__xludf.DUMMYFUNCTION("""COMPUTED_VALUE"""),"Postdoc")</f>
        <v>Postdoc</v>
      </c>
      <c r="F692" s="2" t="str">
        <f>IFERROR(__xludf.DUMMYFUNCTION("""COMPUTED_VALUE"""),"sam4037@med.cornell.edu ")</f>
        <v>sam4037@med.cornell.edu </v>
      </c>
      <c r="G692" s="2" t="str">
        <f>IFERROR(__xludf.DUMMYFUNCTION("""COMPUTED_VALUE"""),"0000-0002-0899-0454")</f>
        <v>0000-0002-0899-0454</v>
      </c>
    </row>
    <row r="693">
      <c r="A693" s="2" t="str">
        <f>IFERROR(__xludf.DUMMYFUNCTION("""COMPUTED_VALUE"""),"Marongiu")</f>
        <v>Marongiu</v>
      </c>
      <c r="B693" s="2" t="str">
        <f>IFERROR(__xludf.DUMMYFUNCTION("""COMPUTED_VALUE"""),"Roberta")</f>
        <v>Roberta</v>
      </c>
      <c r="C693" s="2" t="str">
        <f>IFERROR(__xludf.DUMMYFUNCTION("""COMPUTED_VALUE"""),"Co-PI")</f>
        <v>Co-PI</v>
      </c>
      <c r="D693" s="2" t="str">
        <f>IFERROR(__xludf.DUMMYFUNCTION("""COMPUTED_VALUE"""),"Marongiu")</f>
        <v>Marongiu</v>
      </c>
      <c r="E693" s="2"/>
      <c r="F693" s="2" t="str">
        <f>IFERROR(__xludf.DUMMYFUNCTION("""COMPUTED_VALUE"""),"rom2043@med.cornell.edu")</f>
        <v>rom2043@med.cornell.edu</v>
      </c>
      <c r="G693" s="2" t="str">
        <f>IFERROR(__xludf.DUMMYFUNCTION("""COMPUTED_VALUE"""),"0000-0002-7609-7000")</f>
        <v>0000-0002-7609-7000</v>
      </c>
    </row>
    <row r="694">
      <c r="A694" s="2" t="str">
        <f>IFERROR(__xludf.DUMMYFUNCTION("""COMPUTED_VALUE"""),"Kolkman")</f>
        <v>Kolkman</v>
      </c>
      <c r="B694" s="2" t="str">
        <f>IFERROR(__xludf.DUMMYFUNCTION("""COMPUTED_VALUE"""),"Kristine")</f>
        <v>Kristine</v>
      </c>
      <c r="C694" s="2" t="str">
        <f>IFERROR(__xludf.DUMMYFUNCTION("""COMPUTED_VALUE"""),"Key Personnel")</f>
        <v>Key Personnel</v>
      </c>
      <c r="D694" s="2" t="str">
        <f>IFERROR(__xludf.DUMMYFUNCTION("""COMPUTED_VALUE"""),"Nishimura")</f>
        <v>Nishimura</v>
      </c>
      <c r="E694" s="2" t="str">
        <f>IFERROR(__xludf.DUMMYFUNCTION("""COMPUTED_VALUE"""),"Research Associate/Lab Manager")</f>
        <v>Research Associate/Lab Manager</v>
      </c>
      <c r="F694" s="2" t="str">
        <f>IFERROR(__xludf.DUMMYFUNCTION("""COMPUTED_VALUE"""),"kkolkman@cornell.edu")</f>
        <v>kkolkman@cornell.edu</v>
      </c>
      <c r="G694" s="2" t="str">
        <f>IFERROR(__xludf.DUMMYFUNCTION("""COMPUTED_VALUE"""),"0000-0001-8228-0672")</f>
        <v>0000-0001-8228-0672</v>
      </c>
    </row>
    <row r="695">
      <c r="A695" s="2" t="str">
        <f>IFERROR(__xludf.DUMMYFUNCTION("""COMPUTED_VALUE"""),"Nishimura")</f>
        <v>Nishimura</v>
      </c>
      <c r="B695" s="2" t="str">
        <f>IFERROR(__xludf.DUMMYFUNCTION("""COMPUTED_VALUE"""),"Nozomi")</f>
        <v>Nozomi</v>
      </c>
      <c r="C695" s="2" t="str">
        <f>IFERROR(__xludf.DUMMYFUNCTION("""COMPUTED_VALUE"""),"Collaborating PI")</f>
        <v>Collaborating PI</v>
      </c>
      <c r="D695" s="2" t="str">
        <f>IFERROR(__xludf.DUMMYFUNCTION("""COMPUTED_VALUE"""),"Nishimura")</f>
        <v>Nishimura</v>
      </c>
      <c r="E695" s="2" t="str">
        <f>IFERROR(__xludf.DUMMYFUNCTION("""COMPUTED_VALUE"""),"PI")</f>
        <v>PI</v>
      </c>
      <c r="F695" s="2" t="str">
        <f>IFERROR(__xludf.DUMMYFUNCTION("""COMPUTED_VALUE"""),"nn62@cornell.edu")</f>
        <v>nn62@cornell.edu</v>
      </c>
      <c r="G695" s="2" t="str">
        <f>IFERROR(__xludf.DUMMYFUNCTION("""COMPUTED_VALUE"""),"0000-0003-4342-9416")</f>
        <v>0000-0003-4342-9416</v>
      </c>
    </row>
    <row r="696">
      <c r="A696" s="2" t="str">
        <f>IFERROR(__xludf.DUMMYFUNCTION("""COMPUTED_VALUE"""),"Schaffer")</f>
        <v>Schaffer</v>
      </c>
      <c r="B696" s="2" t="str">
        <f>IFERROR(__xludf.DUMMYFUNCTION("""COMPUTED_VALUE"""),"Chris")</f>
        <v>Chris</v>
      </c>
      <c r="C696" s="2" t="str">
        <f>IFERROR(__xludf.DUMMYFUNCTION("""COMPUTED_VALUE"""),"Collaborating PI")</f>
        <v>Collaborating PI</v>
      </c>
      <c r="D696" s="2" t="str">
        <f>IFERROR(__xludf.DUMMYFUNCTION("""COMPUTED_VALUE"""),"Schaffer")</f>
        <v>Schaffer</v>
      </c>
      <c r="E696" s="2" t="str">
        <f>IFERROR(__xludf.DUMMYFUNCTION("""COMPUTED_VALUE"""),"PI")</f>
        <v>PI</v>
      </c>
      <c r="F696" s="2" t="str">
        <f>IFERROR(__xludf.DUMMYFUNCTION("""COMPUTED_VALUE"""),"cs385@cornell.edu")</f>
        <v>cs385@cornell.edu</v>
      </c>
      <c r="G696" s="2" t="str">
        <f>IFERROR(__xludf.DUMMYFUNCTION("""COMPUTED_VALUE"""),"0000-0002-7800-9596")</f>
        <v>0000-0002-7800-9596</v>
      </c>
    </row>
    <row r="697">
      <c r="A697" s="2" t="str">
        <f>IFERROR(__xludf.DUMMYFUNCTION("""COMPUTED_VALUE"""),"Bizimana")</f>
        <v>Bizimana</v>
      </c>
      <c r="B697" s="2" t="str">
        <f>IFERROR(__xludf.DUMMYFUNCTION("""COMPUTED_VALUE"""),"Laurie ")</f>
        <v>Laurie </v>
      </c>
      <c r="C697" s="2" t="str">
        <f>IFERROR(__xludf.DUMMYFUNCTION("""COMPUTED_VALUE"""),"Key Personnel")</f>
        <v>Key Personnel</v>
      </c>
      <c r="D697" s="2" t="str">
        <f>IFERROR(__xludf.DUMMYFUNCTION("""COMPUTED_VALUE"""),"Schaffer-Nishimura")</f>
        <v>Schaffer-Nishimura</v>
      </c>
      <c r="E697" s="2" t="str">
        <f>IFERROR(__xludf.DUMMYFUNCTION("""COMPUTED_VALUE"""),"Postdoc")</f>
        <v>Postdoc</v>
      </c>
      <c r="F697" s="2" t="str">
        <f>IFERROR(__xludf.DUMMYFUNCTION("""COMPUTED_VALUE"""),"lab373@cornell.edu ")</f>
        <v>lab373@cornell.edu </v>
      </c>
      <c r="G697" s="2" t="str">
        <f>IFERROR(__xludf.DUMMYFUNCTION("""COMPUTED_VALUE"""),"0000-0001-9024-4620")</f>
        <v>0000-0001-9024-4620</v>
      </c>
    </row>
    <row r="698">
      <c r="A698" s="2" t="str">
        <f>IFERROR(__xludf.DUMMYFUNCTION("""COMPUTED_VALUE"""),"Chiang")</f>
        <v>Chiang</v>
      </c>
      <c r="B698" s="2" t="str">
        <f>IFERROR(__xludf.DUMMYFUNCTION("""COMPUTED_VALUE"""),"Vivian")</f>
        <v>Vivian</v>
      </c>
      <c r="C698" s="2" t="str">
        <f>IFERROR(__xludf.DUMMYFUNCTION("""COMPUTED_VALUE"""),"Key Personnel")</f>
        <v>Key Personnel</v>
      </c>
      <c r="D698" s="2" t="str">
        <f>IFERROR(__xludf.DUMMYFUNCTION("""COMPUTED_VALUE"""),"Schaffer-Nishimura")</f>
        <v>Schaffer-Nishimura</v>
      </c>
      <c r="E698" s="2" t="str">
        <f>IFERROR(__xludf.DUMMYFUNCTION("""COMPUTED_VALUE"""),"Undergraduate Student")</f>
        <v>Undergraduate Student</v>
      </c>
      <c r="F698" s="2" t="str">
        <f>IFERROR(__xludf.DUMMYFUNCTION("""COMPUTED_VALUE"""),"vc342@cornell.edu")</f>
        <v>vc342@cornell.edu</v>
      </c>
      <c r="G698" s="2" t="str">
        <f>IFERROR(__xludf.DUMMYFUNCTION("""COMPUTED_VALUE"""),"0000-0001-5779-5906")</f>
        <v>0000-0001-5779-5906</v>
      </c>
    </row>
    <row r="699">
      <c r="A699" s="2" t="str">
        <f>IFERROR(__xludf.DUMMYFUNCTION("""COMPUTED_VALUE"""),"Eom")</f>
        <v>Eom</v>
      </c>
      <c r="B699" s="2" t="str">
        <f>IFERROR(__xludf.DUMMYFUNCTION("""COMPUTED_VALUE"""),"Chi-Yong")</f>
        <v>Chi-Yong</v>
      </c>
      <c r="C699" s="2" t="str">
        <f>IFERROR(__xludf.DUMMYFUNCTION("""COMPUTED_VALUE"""),"Key Personnel")</f>
        <v>Key Personnel</v>
      </c>
      <c r="D699" s="2" t="str">
        <f>IFERROR(__xludf.DUMMYFUNCTION("""COMPUTED_VALUE"""),"Schaffer-Nishimura")</f>
        <v>Schaffer-Nishimura</v>
      </c>
      <c r="E699" s="2" t="str">
        <f>IFERROR(__xludf.DUMMYFUNCTION("""COMPUTED_VALUE"""),"Research Associate")</f>
        <v>Research Associate</v>
      </c>
      <c r="F699" s="2" t="str">
        <f>IFERROR(__xludf.DUMMYFUNCTION("""COMPUTED_VALUE"""),"ce234@cornell.edu ")</f>
        <v>ce234@cornell.edu </v>
      </c>
      <c r="G699" s="2" t="str">
        <f>IFERROR(__xludf.DUMMYFUNCTION("""COMPUTED_VALUE"""),"0000-0003-4578-9298")</f>
        <v>0000-0003-4578-9298</v>
      </c>
    </row>
    <row r="700">
      <c r="A700" s="2" t="str">
        <f>IFERROR(__xludf.DUMMYFUNCTION("""COMPUTED_VALUE"""),"Dautan")</f>
        <v>Dautan</v>
      </c>
      <c r="B700" s="2" t="str">
        <f>IFERROR(__xludf.DUMMYFUNCTION("""COMPUTED_VALUE"""),"Daniel")</f>
        <v>Daniel</v>
      </c>
      <c r="C700" s="2" t="str">
        <f>IFERROR(__xludf.DUMMYFUNCTION("""COMPUTED_VALUE"""),"Key Personnel")</f>
        <v>Key Personnel</v>
      </c>
      <c r="D700" s="2" t="str">
        <f>IFERROR(__xludf.DUMMYFUNCTION("""COMPUTED_VALUE"""),"Svenningsson")</f>
        <v>Svenningsson</v>
      </c>
      <c r="E700" s="2" t="str">
        <f>IFERROR(__xludf.DUMMYFUNCTION("""COMPUTED_VALUE"""),"Postdoc")</f>
        <v>Postdoc</v>
      </c>
      <c r="F700" s="2" t="str">
        <f>IFERROR(__xludf.DUMMYFUNCTION("""COMPUTED_VALUE"""),"daniel.dautan@ki.se")</f>
        <v>daniel.dautan@ki.se</v>
      </c>
      <c r="G700" s="2" t="str">
        <f>IFERROR(__xludf.DUMMYFUNCTION("""COMPUTED_VALUE"""),"0000-0003-1001-5727")</f>
        <v>0000-0003-1001-5727</v>
      </c>
    </row>
    <row r="701">
      <c r="A701" s="2" t="str">
        <f>IFERROR(__xludf.DUMMYFUNCTION("""COMPUTED_VALUE"""),"Paslawski")</f>
        <v>Paslawski</v>
      </c>
      <c r="B701" s="2" t="str">
        <f>IFERROR(__xludf.DUMMYFUNCTION("""COMPUTED_VALUE"""),"Wojciech")</f>
        <v>Wojciech</v>
      </c>
      <c r="C701" s="2" t="str">
        <f>IFERROR(__xludf.DUMMYFUNCTION("""COMPUTED_VALUE"""),"Key Personnel")</f>
        <v>Key Personnel</v>
      </c>
      <c r="D701" s="2" t="str">
        <f>IFERROR(__xludf.DUMMYFUNCTION("""COMPUTED_VALUE"""),"Svenningsson")</f>
        <v>Svenningsson</v>
      </c>
      <c r="E701" s="2" t="str">
        <f>IFERROR(__xludf.DUMMYFUNCTION("""COMPUTED_VALUE"""),"Assistant Professor")</f>
        <v>Assistant Professor</v>
      </c>
      <c r="F701" s="2" t="str">
        <f>IFERROR(__xludf.DUMMYFUNCTION("""COMPUTED_VALUE"""),"wojciech.paslawski@ki.se")</f>
        <v>wojciech.paslawski@ki.se</v>
      </c>
      <c r="G701" s="2" t="str">
        <f>IFERROR(__xludf.DUMMYFUNCTION("""COMPUTED_VALUE"""),"0000-0003-2141-4547")</f>
        <v>0000-0003-2141-4547</v>
      </c>
    </row>
    <row r="702">
      <c r="A702" s="2" t="str">
        <f>IFERROR(__xludf.DUMMYFUNCTION("""COMPUTED_VALUE"""),"Svenningsson")</f>
        <v>Svenningsson</v>
      </c>
      <c r="B702" s="2" t="str">
        <f>IFERROR(__xludf.DUMMYFUNCTION("""COMPUTED_VALUE"""),"Per")</f>
        <v>Per</v>
      </c>
      <c r="C702" s="2" t="str">
        <f>IFERROR(__xludf.DUMMYFUNCTION("""COMPUTED_VALUE"""),"Co-PI")</f>
        <v>Co-PI</v>
      </c>
      <c r="D702" s="2" t="str">
        <f>IFERROR(__xludf.DUMMYFUNCTION("""COMPUTED_VALUE"""),"Svenningsson")</f>
        <v>Svenningsson</v>
      </c>
      <c r="E702" s="2"/>
      <c r="F702" s="2" t="str">
        <f>IFERROR(__xludf.DUMMYFUNCTION("""COMPUTED_VALUE"""),"per.svenningsson@ki.se")</f>
        <v>per.svenningsson@ki.se</v>
      </c>
      <c r="G702" s="2" t="str">
        <f>IFERROR(__xludf.DUMMYFUNCTION("""COMPUTED_VALUE"""),"0000-0001-6727-3802")</f>
        <v>0000-0001-6727-3802</v>
      </c>
    </row>
    <row r="703">
      <c r="A703" s="2" t="str">
        <f>IFERROR(__xludf.DUMMYFUNCTION("""COMPUTED_VALUE"""),"Lamont")</f>
        <v>Lamont</v>
      </c>
      <c r="B703" s="2" t="str">
        <f>IFERROR(__xludf.DUMMYFUNCTION("""COMPUTED_VALUE"""),"Michael")</f>
        <v>Michael</v>
      </c>
      <c r="C703" s="2" t="str">
        <f>IFERROR(__xludf.DUMMYFUNCTION("""COMPUTED_VALUE"""),"Key Personnel")</f>
        <v>Key Personnel</v>
      </c>
      <c r="D703" s="2" t="str">
        <f>IFERROR(__xludf.DUMMYFUNCTION("""COMPUTED_VALUE"""),"Nishimura")</f>
        <v>Nishimura</v>
      </c>
      <c r="E703" s="2" t="str">
        <f>IFERROR(__xludf.DUMMYFUNCTION("""COMPUTED_VALUE"""),"Research Associate")</f>
        <v>Research Associate</v>
      </c>
      <c r="F703" s="2" t="str">
        <f>IFERROR(__xludf.DUMMYFUNCTION("""COMPUTED_VALUE"""),"ml624@cornell.edu")</f>
        <v>ml624@cornell.edu</v>
      </c>
      <c r="G703" s="2" t="str">
        <f>IFERROR(__xludf.DUMMYFUNCTION("""COMPUTED_VALUE"""),"0000-0002-2933-0842")</f>
        <v>0000-0002-2933-0842</v>
      </c>
    </row>
    <row r="704">
      <c r="A704" s="2" t="str">
        <f>IFERROR(__xludf.DUMMYFUNCTION("""COMPUTED_VALUE"""),"Yancura")</f>
        <v>Yancura</v>
      </c>
      <c r="B704" s="2" t="str">
        <f>IFERROR(__xludf.DUMMYFUNCTION("""COMPUTED_VALUE"""),"Andrew")</f>
        <v>Andrew</v>
      </c>
      <c r="C704" s="2" t="str">
        <f>IFERROR(__xludf.DUMMYFUNCTION("""COMPUTED_VALUE"""),"Key Personnel")</f>
        <v>Key Personnel</v>
      </c>
      <c r="D704" s="2" t="str">
        <f>IFERROR(__xludf.DUMMYFUNCTION("""COMPUTED_VALUE"""),"Dawson")</f>
        <v>Dawson</v>
      </c>
      <c r="E704" s="2" t="str">
        <f>IFERROR(__xludf.DUMMYFUNCTION("""COMPUTED_VALUE"""),"Research Specialist II")</f>
        <v>Research Specialist II</v>
      </c>
      <c r="F704" s="2" t="str">
        <f>IFERROR(__xludf.DUMMYFUNCTION("""COMPUTED_VALUE"""),"ayancur1@jhmi.edu")</f>
        <v>ayancur1@jhmi.edu</v>
      </c>
      <c r="G704" s="2" t="str">
        <f>IFERROR(__xludf.DUMMYFUNCTION("""COMPUTED_VALUE"""),"0009-0002-6432-6002")</f>
        <v>0009-0002-6432-6002</v>
      </c>
    </row>
    <row r="705">
      <c r="A705" s="2" t="str">
        <f>IFERROR(__xludf.DUMMYFUNCTION("""COMPUTED_VALUE"""),"Haytayan")</f>
        <v>Haytayan</v>
      </c>
      <c r="B705" s="2" t="str">
        <f>IFERROR(__xludf.DUMMYFUNCTION("""COMPUTED_VALUE"""),"Jacquelyn")</f>
        <v>Jacquelyn</v>
      </c>
      <c r="C705" s="2" t="str">
        <f>IFERROR(__xludf.DUMMYFUNCTION("""COMPUTED_VALUE"""),"Key Personnel")</f>
        <v>Key Personnel</v>
      </c>
      <c r="D705" s="2" t="str">
        <f>IFERROR(__xludf.DUMMYFUNCTION("""COMPUTED_VALUE"""),"Kaplitt")</f>
        <v>Kaplitt</v>
      </c>
      <c r="E705" s="2" t="str">
        <f>IFERROR(__xludf.DUMMYFUNCTION("""COMPUTED_VALUE"""),"Research Technician I")</f>
        <v>Research Technician I</v>
      </c>
      <c r="F705" s="2" t="str">
        <f>IFERROR(__xludf.DUMMYFUNCTION("""COMPUTED_VALUE"""),"jah4016@med.cornell.edu")</f>
        <v>jah4016@med.cornell.edu</v>
      </c>
      <c r="G705" s="2" t="str">
        <f>IFERROR(__xludf.DUMMYFUNCTION("""COMPUTED_VALUE"""),"0009-0002-9123-2378")</f>
        <v>0009-0002-9123-2378</v>
      </c>
    </row>
    <row r="706">
      <c r="A706" s="2" t="str">
        <f>IFERROR(__xludf.DUMMYFUNCTION("""COMPUTED_VALUE"""),"Kirik")</f>
        <v>Kirik</v>
      </c>
      <c r="B706" s="2" t="str">
        <f>IFERROR(__xludf.DUMMYFUNCTION("""COMPUTED_VALUE"""),"Deniz")</f>
        <v>Deniz</v>
      </c>
      <c r="C706" s="2" t="str">
        <f>IFERROR(__xludf.DUMMYFUNCTION("""COMPUTED_VALUE"""),"Lead-PI")</f>
        <v>Lead-PI</v>
      </c>
      <c r="D706" s="2" t="str">
        <f>IFERROR(__xludf.DUMMYFUNCTION("""COMPUTED_VALUE"""),"Kirik")</f>
        <v>Kirik</v>
      </c>
      <c r="E706" s="2" t="str">
        <f>IFERROR(__xludf.DUMMYFUNCTION("""COMPUTED_VALUE"""),"Lead PI")</f>
        <v>Lead PI</v>
      </c>
      <c r="F706" s="2" t="str">
        <f>IFERROR(__xludf.DUMMYFUNCTION("""COMPUTED_VALUE"""),"deniz.kirik@sydney.edu.au")</f>
        <v>deniz.kirik@sydney.edu.au</v>
      </c>
      <c r="G706" s="2" t="str">
        <f>IFERROR(__xludf.DUMMYFUNCTION("""COMPUTED_VALUE"""),"0000-0002-1360-1265")</f>
        <v>0000-0002-1360-1265</v>
      </c>
    </row>
    <row r="707">
      <c r="A707" s="2" t="str">
        <f>IFERROR(__xludf.DUMMYFUNCTION("""COMPUTED_VALUE"""),"Johnston")</f>
        <v>Johnston</v>
      </c>
      <c r="B707" s="2" t="str">
        <f>IFERROR(__xludf.DUMMYFUNCTION("""COMPUTED_VALUE"""),"Jennifer")</f>
        <v>Jennifer</v>
      </c>
      <c r="C707" s="2" t="str">
        <f>IFERROR(__xludf.DUMMYFUNCTION("""COMPUTED_VALUE"""),"Co-PI")</f>
        <v>Co-PI</v>
      </c>
      <c r="D707" s="2" t="str">
        <f>IFERROR(__xludf.DUMMYFUNCTION("""COMPUTED_VALUE"""),"Johnston")</f>
        <v>Johnston</v>
      </c>
      <c r="E707" s="2" t="str">
        <f>IFERROR(__xludf.DUMMYFUNCTION("""COMPUTED_VALUE"""),"Co-PI")</f>
        <v>Co-PI</v>
      </c>
      <c r="F707" s="2" t="str">
        <f>IFERROR(__xludf.DUMMYFUNCTION("""COMPUTED_VALUE"""),"jj@nysnobio.com")</f>
        <v>jj@nysnobio.com</v>
      </c>
      <c r="G707" s="2" t="str">
        <f>IFERROR(__xludf.DUMMYFUNCTION("""COMPUTED_VALUE"""),"0000-0002-4867-9230")</f>
        <v>0000-0002-4867-9230</v>
      </c>
    </row>
    <row r="708">
      <c r="A708" s="2" t="str">
        <f>IFERROR(__xludf.DUMMYFUNCTION("""COMPUTED_VALUE"""),"Parish")</f>
        <v>Parish</v>
      </c>
      <c r="B708" s="2" t="str">
        <f>IFERROR(__xludf.DUMMYFUNCTION("""COMPUTED_VALUE"""),"Clare")</f>
        <v>Clare</v>
      </c>
      <c r="C708" s="2" t="str">
        <f>IFERROR(__xludf.DUMMYFUNCTION("""COMPUTED_VALUE"""),"Co-PI")</f>
        <v>Co-PI</v>
      </c>
      <c r="D708" s="2" t="str">
        <f>IFERROR(__xludf.DUMMYFUNCTION("""COMPUTED_VALUE"""),"Parish")</f>
        <v>Parish</v>
      </c>
      <c r="E708" s="2" t="str">
        <f>IFERROR(__xludf.DUMMYFUNCTION("""COMPUTED_VALUE"""),"Co-PI")</f>
        <v>Co-PI</v>
      </c>
      <c r="F708" s="2" t="str">
        <f>IFERROR(__xludf.DUMMYFUNCTION("""COMPUTED_VALUE"""),"clare.parish@florey.edu.au")</f>
        <v>clare.parish@florey.edu.au</v>
      </c>
      <c r="G708" s="2" t="str">
        <f>IFERROR(__xludf.DUMMYFUNCTION("""COMPUTED_VALUE"""),"0000-0001-8212-9884")</f>
        <v>0000-0001-8212-9884</v>
      </c>
    </row>
    <row r="709">
      <c r="A709" s="2" t="str">
        <f>IFERROR(__xludf.DUMMYFUNCTION("""COMPUTED_VALUE"""),"Thompson")</f>
        <v>Thompson</v>
      </c>
      <c r="B709" s="2" t="str">
        <f>IFERROR(__xludf.DUMMYFUNCTION("""COMPUTED_VALUE"""),"Lachlan")</f>
        <v>Lachlan</v>
      </c>
      <c r="C709" s="2" t="str">
        <f>IFERROR(__xludf.DUMMYFUNCTION("""COMPUTED_VALUE"""),"Co-PI")</f>
        <v>Co-PI</v>
      </c>
      <c r="D709" s="2" t="str">
        <f>IFERROR(__xludf.DUMMYFUNCTION("""COMPUTED_VALUE"""),"Thompson")</f>
        <v>Thompson</v>
      </c>
      <c r="E709" s="2" t="str">
        <f>IFERROR(__xludf.DUMMYFUNCTION("""COMPUTED_VALUE"""),"Co-PI")</f>
        <v>Co-PI</v>
      </c>
      <c r="F709" s="2" t="str">
        <f>IFERROR(__xludf.DUMMYFUNCTION("""COMPUTED_VALUE"""),"lachlant@unimelb.edu.au")</f>
        <v>lachlant@unimelb.edu.au</v>
      </c>
      <c r="G709" s="2" t="str">
        <f>IFERROR(__xludf.DUMMYFUNCTION("""COMPUTED_VALUE"""),"0000-0003-2632-0304")</f>
        <v>0000-0003-2632-0304</v>
      </c>
    </row>
    <row r="710">
      <c r="A710" s="2" t="str">
        <f>IFERROR(__xludf.DUMMYFUNCTION("""COMPUTED_VALUE"""),"Frausin")</f>
        <v>Frausin</v>
      </c>
      <c r="B710" s="2" t="str">
        <f>IFERROR(__xludf.DUMMYFUNCTION("""COMPUTED_VALUE"""),"Stefano")</f>
        <v>Stefano</v>
      </c>
      <c r="C710" s="2" t="str">
        <f>IFERROR(__xludf.DUMMYFUNCTION("""COMPUTED_VALUE"""),"Key Personnel")</f>
        <v>Key Personnel</v>
      </c>
      <c r="D710" s="2" t="str">
        <f>IFERROR(__xludf.DUMMYFUNCTION("""COMPUTED_VALUE"""),"Thompson")</f>
        <v>Thompson</v>
      </c>
      <c r="E710" s="2" t="str">
        <f>IFERROR(__xludf.DUMMYFUNCTION("""COMPUTED_VALUE"""),"Research Associate")</f>
        <v>Research Associate</v>
      </c>
      <c r="F710" s="2" t="str">
        <f>IFERROR(__xludf.DUMMYFUNCTION("""COMPUTED_VALUE"""),"stefano.frausin@florey.edu.au")</f>
        <v>stefano.frausin@florey.edu.au</v>
      </c>
      <c r="G710" s="2" t="str">
        <f>IFERROR(__xludf.DUMMYFUNCTION("""COMPUTED_VALUE"""),"0000-0001-8536-5241")</f>
        <v>0000-0001-8536-5241</v>
      </c>
    </row>
    <row r="711">
      <c r="A711" s="2" t="str">
        <f>IFERROR(__xludf.DUMMYFUNCTION("""COMPUTED_VALUE"""),"Hunt")</f>
        <v>Hunt</v>
      </c>
      <c r="B711" s="2" t="str">
        <f>IFERROR(__xludf.DUMMYFUNCTION("""COMPUTED_VALUE"""),"Cameron")</f>
        <v>Cameron</v>
      </c>
      <c r="C711" s="2" t="str">
        <f>IFERROR(__xludf.DUMMYFUNCTION("""COMPUTED_VALUE"""),"Key Personnel")</f>
        <v>Key Personnel</v>
      </c>
      <c r="D711" s="2" t="str">
        <f>IFERROR(__xludf.DUMMYFUNCTION("""COMPUTED_VALUE"""),"Parish")</f>
        <v>Parish</v>
      </c>
      <c r="E711" s="2" t="str">
        <f>IFERROR(__xludf.DUMMYFUNCTION("""COMPUTED_VALUE"""),"Research Associate")</f>
        <v>Research Associate</v>
      </c>
      <c r="F711" s="2" t="str">
        <f>IFERROR(__xludf.DUMMYFUNCTION("""COMPUTED_VALUE"""),"cameron.hunt@florey.edu.au")</f>
        <v>cameron.hunt@florey.edu.au</v>
      </c>
      <c r="G711" s="2" t="str">
        <f>IFERROR(__xludf.DUMMYFUNCTION("""COMPUTED_VALUE"""),"0000-0002-2295-5866")</f>
        <v>0000-0002-2295-5866</v>
      </c>
    </row>
    <row r="712">
      <c r="A712" s="2" t="str">
        <f>IFERROR(__xludf.DUMMYFUNCTION("""COMPUTED_VALUE"""),"Xuereb")</f>
        <v>Xuereb</v>
      </c>
      <c r="B712" s="2" t="str">
        <f>IFERROR(__xludf.DUMMYFUNCTION("""COMPUTED_VALUE"""),"Brianna")</f>
        <v>Brianna</v>
      </c>
      <c r="C712" s="2" t="str">
        <f>IFERROR(__xludf.DUMMYFUNCTION("""COMPUTED_VALUE"""),"Key Personnel")</f>
        <v>Key Personnel</v>
      </c>
      <c r="D712" s="2" t="str">
        <f>IFERROR(__xludf.DUMMYFUNCTION("""COMPUTED_VALUE"""),"Parish")</f>
        <v>Parish</v>
      </c>
      <c r="E712" s="2" t="str">
        <f>IFERROR(__xludf.DUMMYFUNCTION("""COMPUTED_VALUE"""),"Research Assistant")</f>
        <v>Research Assistant</v>
      </c>
      <c r="F712" s="2" t="str">
        <f>IFERROR(__xludf.DUMMYFUNCTION("""COMPUTED_VALUE"""),"brianna.xuereb@florey.edu.au")</f>
        <v>brianna.xuereb@florey.edu.au</v>
      </c>
      <c r="G712" s="2" t="str">
        <f>IFERROR(__xludf.DUMMYFUNCTION("""COMPUTED_VALUE"""),"0000-0003-0269-9073")</f>
        <v>0000-0003-0269-9073</v>
      </c>
    </row>
    <row r="713">
      <c r="A713" s="2" t="str">
        <f>IFERROR(__xludf.DUMMYFUNCTION("""COMPUTED_VALUE"""),"Halliday")</f>
        <v>Halliday</v>
      </c>
      <c r="B713" s="2" t="str">
        <f>IFERROR(__xludf.DUMMYFUNCTION("""COMPUTED_VALUE"""),"Glenda")</f>
        <v>Glenda</v>
      </c>
      <c r="C713" s="2" t="str">
        <f>IFERROR(__xludf.DUMMYFUNCTION("""COMPUTED_VALUE"""),"Co-PI")</f>
        <v>Co-PI</v>
      </c>
      <c r="D713" s="2" t="str">
        <f>IFERROR(__xludf.DUMMYFUNCTION("""COMPUTED_VALUE"""),"Halliday")</f>
        <v>Halliday</v>
      </c>
      <c r="E713" s="2" t="str">
        <f>IFERROR(__xludf.DUMMYFUNCTION("""COMPUTED_VALUE"""),"Co-PI")</f>
        <v>Co-PI</v>
      </c>
      <c r="F713" s="2" t="str">
        <f>IFERROR(__xludf.DUMMYFUNCTION("""COMPUTED_VALUE"""),"glenda.halliday@sydney.edu.au")</f>
        <v>glenda.halliday@sydney.edu.au</v>
      </c>
      <c r="G713" s="2" t="str">
        <f>IFERROR(__xludf.DUMMYFUNCTION("""COMPUTED_VALUE"""),"0000-0003-0422-8398")</f>
        <v>0000-0003-0422-8398</v>
      </c>
    </row>
    <row r="714">
      <c r="A714" s="2" t="str">
        <f>IFERROR(__xludf.DUMMYFUNCTION("""COMPUTED_VALUE"""),"Davis")</f>
        <v>Davis</v>
      </c>
      <c r="B714" s="2" t="str">
        <f>IFERROR(__xludf.DUMMYFUNCTION("""COMPUTED_VALUE"""),"Ryan")</f>
        <v>Ryan</v>
      </c>
      <c r="C714" s="2" t="str">
        <f>IFERROR(__xludf.DUMMYFUNCTION("""COMPUTED_VALUE"""),"Key Personnel")</f>
        <v>Key Personnel</v>
      </c>
      <c r="D714" s="2" t="str">
        <f>IFERROR(__xludf.DUMMYFUNCTION("""COMPUTED_VALUE"""),"Halliday")</f>
        <v>Halliday</v>
      </c>
      <c r="E714" s="2" t="str">
        <f>IFERROR(__xludf.DUMMYFUNCTION("""COMPUTED_VALUE"""),"Research Associate")</f>
        <v>Research Associate</v>
      </c>
      <c r="F714" s="2" t="str">
        <f>IFERROR(__xludf.DUMMYFUNCTION("""COMPUTED_VALUE"""),"ryan.davis@sydney.edu.au")</f>
        <v>ryan.davis@sydney.edu.au</v>
      </c>
      <c r="G714" s="2" t="str">
        <f>IFERROR(__xludf.DUMMYFUNCTION("""COMPUTED_VALUE"""),"0000-0003-0512-8989")</f>
        <v>0000-0003-0512-8989</v>
      </c>
    </row>
    <row r="715">
      <c r="A715" s="2" t="str">
        <f>IFERROR(__xludf.DUMMYFUNCTION("""COMPUTED_VALUE"""),"Dzamko")</f>
        <v>Dzamko</v>
      </c>
      <c r="B715" s="2" t="str">
        <f>IFERROR(__xludf.DUMMYFUNCTION("""COMPUTED_VALUE"""),"Nicolas")</f>
        <v>Nicolas</v>
      </c>
      <c r="C715" s="2" t="str">
        <f>IFERROR(__xludf.DUMMYFUNCTION("""COMPUTED_VALUE"""),"Key Personnel")</f>
        <v>Key Personnel</v>
      </c>
      <c r="D715" s="2" t="str">
        <f>IFERROR(__xludf.DUMMYFUNCTION("""COMPUTED_VALUE"""),"Halliday")</f>
        <v>Halliday</v>
      </c>
      <c r="E715" s="2" t="str">
        <f>IFERROR(__xludf.DUMMYFUNCTION("""COMPUTED_VALUE"""),"Senior Research Associate")</f>
        <v>Senior Research Associate</v>
      </c>
      <c r="F715" s="2" t="str">
        <f>IFERROR(__xludf.DUMMYFUNCTION("""COMPUTED_VALUE"""),"nicolas.dzamko@sydney.edu.au")</f>
        <v>nicolas.dzamko@sydney.edu.au</v>
      </c>
      <c r="G715" s="2" t="str">
        <f>IFERROR(__xludf.DUMMYFUNCTION("""COMPUTED_VALUE"""),"0000-0002-9121-0294")</f>
        <v>0000-0002-9121-0294</v>
      </c>
    </row>
    <row r="716">
      <c r="A716" s="2" t="str">
        <f>IFERROR(__xludf.DUMMYFUNCTION("""COMPUTED_VALUE"""),"Fu")</f>
        <v>Fu</v>
      </c>
      <c r="B716" s="2" t="str">
        <f>IFERROR(__xludf.DUMMYFUNCTION("""COMPUTED_VALUE"""),"Yuhong")</f>
        <v>Yuhong</v>
      </c>
      <c r="C716" s="2" t="str">
        <f>IFERROR(__xludf.DUMMYFUNCTION("""COMPUTED_VALUE"""),"Key Personnel")</f>
        <v>Key Personnel</v>
      </c>
      <c r="D716" s="2" t="str">
        <f>IFERROR(__xludf.DUMMYFUNCTION("""COMPUTED_VALUE"""),"Halliday")</f>
        <v>Halliday</v>
      </c>
      <c r="E716" s="2" t="str">
        <f>IFERROR(__xludf.DUMMYFUNCTION("""COMPUTED_VALUE"""),"Research Associate")</f>
        <v>Research Associate</v>
      </c>
      <c r="F716" s="2" t="str">
        <f>IFERROR(__xludf.DUMMYFUNCTION("""COMPUTED_VALUE"""),"yuhong.fu@sydney.edu.au")</f>
        <v>yuhong.fu@sydney.edu.au</v>
      </c>
      <c r="G716" s="2" t="str">
        <f>IFERROR(__xludf.DUMMYFUNCTION("""COMPUTED_VALUE"""),"0000-0003-4539-2039")</f>
        <v>0000-0003-4539-2039</v>
      </c>
    </row>
    <row r="717">
      <c r="A717" s="2" t="str">
        <f>IFERROR(__xludf.DUMMYFUNCTION("""COMPUTED_VALUE"""),"Cottle")</f>
        <v>Cottle</v>
      </c>
      <c r="B717" s="2" t="str">
        <f>IFERROR(__xludf.DUMMYFUNCTION("""COMPUTED_VALUE"""),"Louise")</f>
        <v>Louise</v>
      </c>
      <c r="C717" s="2" t="str">
        <f>IFERROR(__xludf.DUMMYFUNCTION("""COMPUTED_VALUE"""),"Key Personnel")</f>
        <v>Key Personnel</v>
      </c>
      <c r="D717" s="2" t="str">
        <f>IFERROR(__xludf.DUMMYFUNCTION("""COMPUTED_VALUE"""),"Thompson")</f>
        <v>Thompson</v>
      </c>
      <c r="E717" s="2" t="str">
        <f>IFERROR(__xludf.DUMMYFUNCTION("""COMPUTED_VALUE"""),"Postdoctoral Researcher")</f>
        <v>Postdoctoral Researcher</v>
      </c>
      <c r="F717" s="2" t="str">
        <f>IFERROR(__xludf.DUMMYFUNCTION("""COMPUTED_VALUE"""),"louise.cottle@sydney.edu.au")</f>
        <v>louise.cottle@sydney.edu.au</v>
      </c>
      <c r="G717" s="2" t="str">
        <f>IFERROR(__xludf.DUMMYFUNCTION("""COMPUTED_VALUE"""),"0000-0002-5278-0251")</f>
        <v>0000-0002-5278-0251</v>
      </c>
    </row>
    <row r="718">
      <c r="A718" s="2" t="str">
        <f>IFERROR(__xludf.DUMMYFUNCTION("""COMPUTED_VALUE"""),"Wright")</f>
        <v>Wright</v>
      </c>
      <c r="B718" s="2" t="str">
        <f>IFERROR(__xludf.DUMMYFUNCTION("""COMPUTED_VALUE"""),"Courtney")</f>
        <v>Courtney</v>
      </c>
      <c r="C718" s="2" t="str">
        <f>IFERROR(__xludf.DUMMYFUNCTION("""COMPUTED_VALUE"""),"Project Manager")</f>
        <v>Project Manager</v>
      </c>
      <c r="D718" s="2" t="str">
        <f>IFERROR(__xludf.DUMMYFUNCTION("""COMPUTED_VALUE"""),"Kirik")</f>
        <v>Kirik</v>
      </c>
      <c r="E718" s="2" t="str">
        <f>IFERROR(__xludf.DUMMYFUNCTION("""COMPUTED_VALUE"""),"Project Manager and Postdoctoral Researcher")</f>
        <v>Project Manager and Postdoctoral Researcher</v>
      </c>
      <c r="F718" s="2" t="str">
        <f>IFERROR(__xludf.DUMMYFUNCTION("""COMPUTED_VALUE"""),"courtney.wright@sydney.edu.au")</f>
        <v>courtney.wright@sydney.edu.au</v>
      </c>
      <c r="G718" s="2" t="str">
        <f>IFERROR(__xludf.DUMMYFUNCTION("""COMPUTED_VALUE"""),"0000-0002-4068-0288")</f>
        <v>0000-0002-4068-0288</v>
      </c>
    </row>
    <row r="719">
      <c r="A719" s="2" t="str">
        <f>IFERROR(__xludf.DUMMYFUNCTION("""COMPUTED_VALUE"""),"Fraser")</f>
        <v>Fraser</v>
      </c>
      <c r="B719" s="2" t="str">
        <f>IFERROR(__xludf.DUMMYFUNCTION("""COMPUTED_VALUE"""),"Tyra")</f>
        <v>Tyra</v>
      </c>
      <c r="C719" s="2" t="str">
        <f>IFERROR(__xludf.DUMMYFUNCTION("""COMPUTED_VALUE"""),"Key Personnel")</f>
        <v>Key Personnel</v>
      </c>
      <c r="D719" s="2" t="str">
        <f>IFERROR(__xludf.DUMMYFUNCTION("""COMPUTED_VALUE"""),"Thompson")</f>
        <v>Thompson</v>
      </c>
      <c r="E719" s="2" t="str">
        <f>IFERROR(__xludf.DUMMYFUNCTION("""COMPUTED_VALUE"""),"PhD Student")</f>
        <v>PhD Student</v>
      </c>
      <c r="F719" s="2" t="str">
        <f>IFERROR(__xludf.DUMMYFUNCTION("""COMPUTED_VALUE"""),"tyra.fraser@florey.edu.au")</f>
        <v>tyra.fraser@florey.edu.au</v>
      </c>
      <c r="G719" s="2" t="str">
        <f>IFERROR(__xludf.DUMMYFUNCTION("""COMPUTED_VALUE"""),"0000-0002-4395-5830")</f>
        <v>0000-0002-4395-5830</v>
      </c>
    </row>
    <row r="720">
      <c r="A720" s="2" t="str">
        <f>IFERROR(__xludf.DUMMYFUNCTION("""COMPUTED_VALUE"""),"Viventi")</f>
        <v>Viventi</v>
      </c>
      <c r="B720" s="2" t="str">
        <f>IFERROR(__xludf.DUMMYFUNCTION("""COMPUTED_VALUE"""),"Serena")</f>
        <v>Serena</v>
      </c>
      <c r="C720" s="2" t="str">
        <f>IFERROR(__xludf.DUMMYFUNCTION("""COMPUTED_VALUE"""),"Key Personnel")</f>
        <v>Key Personnel</v>
      </c>
      <c r="D720" s="2" t="str">
        <f>IFERROR(__xludf.DUMMYFUNCTION("""COMPUTED_VALUE"""),"Thompson")</f>
        <v>Thompson</v>
      </c>
      <c r="E720" s="2" t="str">
        <f>IFERROR(__xludf.DUMMYFUNCTION("""COMPUTED_VALUE"""),"Research Associate")</f>
        <v>Research Associate</v>
      </c>
      <c r="F720" s="2" t="str">
        <f>IFERROR(__xludf.DUMMYFUNCTION("""COMPUTED_VALUE"""),"serena.viventi@florey.edu.au")</f>
        <v>serena.viventi@florey.edu.au</v>
      </c>
      <c r="G720" s="2" t="str">
        <f>IFERROR(__xludf.DUMMYFUNCTION("""COMPUTED_VALUE"""),"0000-0002-6632-5911")</f>
        <v>0000-0002-6632-5911</v>
      </c>
    </row>
    <row r="721">
      <c r="A721" s="2" t="str">
        <f>IFERROR(__xludf.DUMMYFUNCTION("""COMPUTED_VALUE"""),"Ovchinnikov")</f>
        <v>Ovchinnikov</v>
      </c>
      <c r="B721" s="2" t="str">
        <f>IFERROR(__xludf.DUMMYFUNCTION("""COMPUTED_VALUE"""),"Dmitry")</f>
        <v>Dmitry</v>
      </c>
      <c r="C721" s="2" t="str">
        <f>IFERROR(__xludf.DUMMYFUNCTION("""COMPUTED_VALUE"""),"Key Personnel")</f>
        <v>Key Personnel</v>
      </c>
      <c r="D721" s="2" t="str">
        <f>IFERROR(__xludf.DUMMYFUNCTION("""COMPUTED_VALUE"""),"Thompson")</f>
        <v>Thompson</v>
      </c>
      <c r="E721" s="2" t="str">
        <f>IFERROR(__xludf.DUMMYFUNCTION("""COMPUTED_VALUE"""),"Research Associate")</f>
        <v>Research Associate</v>
      </c>
      <c r="F721" s="2" t="str">
        <f>IFERROR(__xludf.DUMMYFUNCTION("""COMPUTED_VALUE"""),"dmitry.ovchinnikov@florey.edu.au")</f>
        <v>dmitry.ovchinnikov@florey.edu.au</v>
      </c>
      <c r="G721" s="2" t="str">
        <f>IFERROR(__xludf.DUMMYFUNCTION("""COMPUTED_VALUE"""),"0000-0001-9603-8385")</f>
        <v>0000-0001-9603-8385</v>
      </c>
    </row>
    <row r="722">
      <c r="A722" s="2" t="str">
        <f>IFERROR(__xludf.DUMMYFUNCTION("""COMPUTED_VALUE"""),"Pavan")</f>
        <v>Pavan</v>
      </c>
      <c r="B722" s="2" t="str">
        <f>IFERROR(__xludf.DUMMYFUNCTION("""COMPUTED_VALUE"""),"Chiara")</f>
        <v>Chiara</v>
      </c>
      <c r="C722" s="2" t="str">
        <f>IFERROR(__xludf.DUMMYFUNCTION("""COMPUTED_VALUE"""),"Key Personnel")</f>
        <v>Key Personnel</v>
      </c>
      <c r="D722" s="2" t="str">
        <f>IFERROR(__xludf.DUMMYFUNCTION("""COMPUTED_VALUE"""),"Parish")</f>
        <v>Parish</v>
      </c>
      <c r="E722" s="2" t="str">
        <f>IFERROR(__xludf.DUMMYFUNCTION("""COMPUTED_VALUE"""),"PhD Student")</f>
        <v>PhD Student</v>
      </c>
      <c r="F722" s="2" t="str">
        <f>IFERROR(__xludf.DUMMYFUNCTION("""COMPUTED_VALUE"""),"chiara.pavan@florey.edu.au")</f>
        <v>chiara.pavan@florey.edu.au</v>
      </c>
      <c r="G722" s="2" t="str">
        <f>IFERROR(__xludf.DUMMYFUNCTION("""COMPUTED_VALUE"""),"0000-0002-2890-7021")</f>
        <v>0000-0002-2890-7021</v>
      </c>
    </row>
    <row r="723">
      <c r="A723" s="2" t="str">
        <f>IFERROR(__xludf.DUMMYFUNCTION("""COMPUTED_VALUE"""),"Prasad")</f>
        <v>Prasad</v>
      </c>
      <c r="B723" s="2" t="str">
        <f>IFERROR(__xludf.DUMMYFUNCTION("""COMPUTED_VALUE"""),"Asheeta")</f>
        <v>Asheeta</v>
      </c>
      <c r="C723" s="2" t="str">
        <f>IFERROR(__xludf.DUMMYFUNCTION("""COMPUTED_VALUE"""),"Key Personnel")</f>
        <v>Key Personnel</v>
      </c>
      <c r="D723" s="2" t="str">
        <f>IFERROR(__xludf.DUMMYFUNCTION("""COMPUTED_VALUE"""),"Kirik")</f>
        <v>Kirik</v>
      </c>
      <c r="E723" s="2" t="str">
        <f>IFERROR(__xludf.DUMMYFUNCTION("""COMPUTED_VALUE"""),"Senior Research Associate")</f>
        <v>Senior Research Associate</v>
      </c>
      <c r="F723" s="2" t="str">
        <f>IFERROR(__xludf.DUMMYFUNCTION("""COMPUTED_VALUE"""),"asheeta.prasad@sydney.edu.au")</f>
        <v>asheeta.prasad@sydney.edu.au</v>
      </c>
      <c r="G723" s="2" t="str">
        <f>IFERROR(__xludf.DUMMYFUNCTION("""COMPUTED_VALUE"""),"0000-0001-9752-8175")</f>
        <v>0000-0001-9752-8175</v>
      </c>
    </row>
    <row r="724">
      <c r="A724" s="2" t="str">
        <f>IFERROR(__xludf.DUMMYFUNCTION("""COMPUTED_VALUE"""),"Sagredo")</f>
        <v>Sagredo</v>
      </c>
      <c r="B724" s="2" t="str">
        <f>IFERROR(__xludf.DUMMYFUNCTION("""COMPUTED_VALUE"""),"Giselle")</f>
        <v>Giselle</v>
      </c>
      <c r="C724" s="2" t="str">
        <f>IFERROR(__xludf.DUMMYFUNCTION("""COMPUTED_VALUE"""),"Key Personnel")</f>
        <v>Key Personnel</v>
      </c>
      <c r="D724" s="2" t="str">
        <f>IFERROR(__xludf.DUMMYFUNCTION("""COMPUTED_VALUE"""),"Halliday")</f>
        <v>Halliday</v>
      </c>
      <c r="E724" s="2" t="str">
        <f>IFERROR(__xludf.DUMMYFUNCTION("""COMPUTED_VALUE"""),"PhD Student")</f>
        <v>PhD Student</v>
      </c>
      <c r="F724" s="2" t="str">
        <f>IFERROR(__xludf.DUMMYFUNCTION("""COMPUTED_VALUE"""),"gsag4751@uni.sydney.edu.au")</f>
        <v>gsag4751@uni.sydney.edu.au</v>
      </c>
      <c r="G724" s="2" t="str">
        <f>IFERROR(__xludf.DUMMYFUNCTION("""COMPUTED_VALUE"""),"0000-0003-4318-0331")</f>
        <v>0000-0003-4318-0331</v>
      </c>
    </row>
    <row r="725">
      <c r="A725" s="2" t="str">
        <f>IFERROR(__xludf.DUMMYFUNCTION("""COMPUTED_VALUE"""),"Jin")</f>
        <v>Jin</v>
      </c>
      <c r="B725" s="2" t="str">
        <f>IFERROR(__xludf.DUMMYFUNCTION("""COMPUTED_VALUE"""),"Jennifer")</f>
        <v>Jennifer</v>
      </c>
      <c r="C725" s="2" t="str">
        <f>IFERROR(__xludf.DUMMYFUNCTION("""COMPUTED_VALUE"""),"Key Personnel")</f>
        <v>Key Personnel</v>
      </c>
      <c r="D725" s="2" t="str">
        <f>IFERROR(__xludf.DUMMYFUNCTION("""COMPUTED_VALUE"""),"Thompson")</f>
        <v>Thompson</v>
      </c>
      <c r="E725" s="2" t="str">
        <f>IFERROR(__xludf.DUMMYFUNCTION("""COMPUTED_VALUE"""),"Postdoctoral Researcher")</f>
        <v>Postdoctoral Researcher</v>
      </c>
      <c r="F725" s="2" t="str">
        <f>IFERROR(__xludf.DUMMYFUNCTION("""COMPUTED_VALUE"""),"jennifer.jin@florey.edu.au")</f>
        <v>jennifer.jin@florey.edu.au</v>
      </c>
      <c r="G725" s="2" t="str">
        <f>IFERROR(__xludf.DUMMYFUNCTION("""COMPUTED_VALUE"""),"0000-0001-8287-4075")</f>
        <v>0000-0001-8287-4075</v>
      </c>
    </row>
    <row r="726">
      <c r="A726" s="2" t="str">
        <f>IFERROR(__xludf.DUMMYFUNCTION("""COMPUTED_VALUE"""),"Yu")</f>
        <v>Yu</v>
      </c>
      <c r="B726" s="2" t="str">
        <f>IFERROR(__xludf.DUMMYFUNCTION("""COMPUTED_VALUE"""),"Kwan")</f>
        <v>Kwan</v>
      </c>
      <c r="C726" s="2" t="str">
        <f>IFERROR(__xludf.DUMMYFUNCTION("""COMPUTED_VALUE"""),"Key Personnel")</f>
        <v>Key Personnel</v>
      </c>
      <c r="D726" s="2" t="str">
        <f>IFERROR(__xludf.DUMMYFUNCTION("""COMPUTED_VALUE"""),"Thompson")</f>
        <v>Thompson</v>
      </c>
      <c r="E726" s="2" t="str">
        <f>IFERROR(__xludf.DUMMYFUNCTION("""COMPUTED_VALUE"""),"Research officer")</f>
        <v>Research officer</v>
      </c>
      <c r="F726" s="2" t="str">
        <f>IFERROR(__xludf.DUMMYFUNCTION("""COMPUTED_VALUE"""),"rain.kwan@sydney.edu.au")</f>
        <v>rain.kwan@sydney.edu.au</v>
      </c>
      <c r="G726" s="2" t="str">
        <f>IFERROR(__xludf.DUMMYFUNCTION("""COMPUTED_VALUE"""),"0000-0002-1925-5316")</f>
        <v>0000-0002-1925-5316</v>
      </c>
    </row>
    <row r="727">
      <c r="A727" s="2" t="str">
        <f>IFERROR(__xludf.DUMMYFUNCTION("""COMPUTED_VALUE"""),"Cormac")</f>
        <v>Cormac</v>
      </c>
      <c r="B727" s="2" t="str">
        <f>IFERROR(__xludf.DUMMYFUNCTION("""COMPUTED_VALUE"""),"Peat")</f>
        <v>Peat</v>
      </c>
      <c r="C727" s="2" t="str">
        <f>IFERROR(__xludf.DUMMYFUNCTION("""COMPUTED_VALUE"""),"Key Personnel")</f>
        <v>Key Personnel</v>
      </c>
      <c r="D727" s="2" t="str">
        <f>IFERROR(__xludf.DUMMYFUNCTION("""COMPUTED_VALUE"""),"Kirik")</f>
        <v>Kirik</v>
      </c>
      <c r="E727" s="2" t="str">
        <f>IFERROR(__xludf.DUMMYFUNCTION("""COMPUTED_VALUE"""),"PhD student")</f>
        <v>PhD student</v>
      </c>
      <c r="F727" s="2" t="str">
        <f>IFERROR(__xludf.DUMMYFUNCTION("""COMPUTED_VALUE"""),"cpea4286@uni.sydney.edu.au")</f>
        <v>cpea4286@uni.sydney.edu.au</v>
      </c>
      <c r="G727" s="2" t="str">
        <f>IFERROR(__xludf.DUMMYFUNCTION("""COMPUTED_VALUE"""),"0000-0002-2474-1554")</f>
        <v>0000-0002-2474-1554</v>
      </c>
    </row>
    <row r="728">
      <c r="A728" s="2" t="str">
        <f>IFERROR(__xludf.DUMMYFUNCTION("""COMPUTED_VALUE"""),"Jessica")</f>
        <v>Jessica</v>
      </c>
      <c r="B728" s="2" t="str">
        <f>IFERROR(__xludf.DUMMYFUNCTION("""COMPUTED_VALUE"""),"Chedid")</f>
        <v>Chedid</v>
      </c>
      <c r="C728" s="2" t="str">
        <f>IFERROR(__xludf.DUMMYFUNCTION("""COMPUTED_VALUE"""),"Key Personnel")</f>
        <v>Key Personnel</v>
      </c>
      <c r="D728" s="2" t="str">
        <f>IFERROR(__xludf.DUMMYFUNCTION("""COMPUTED_VALUE"""),"Halliday")</f>
        <v>Halliday</v>
      </c>
      <c r="E728" s="2" t="str">
        <f>IFERROR(__xludf.DUMMYFUNCTION("""COMPUTED_VALUE"""),"Research Associate")</f>
        <v>Research Associate</v>
      </c>
      <c r="F728" s="2" t="str">
        <f>IFERROR(__xludf.DUMMYFUNCTION("""COMPUTED_VALUE"""),"jessica.chedid@sydney.edu.au")</f>
        <v>jessica.chedid@sydney.edu.au</v>
      </c>
      <c r="G728" s="2" t="str">
        <f>IFERROR(__xludf.DUMMYFUNCTION("""COMPUTED_VALUE"""),"0000-0001-7985-5148")</f>
        <v>0000-0001-7985-5148</v>
      </c>
    </row>
    <row r="729">
      <c r="A729" s="2" t="str">
        <f>IFERROR(__xludf.DUMMYFUNCTION("""COMPUTED_VALUE"""),"Andersson")</f>
        <v>Andersson</v>
      </c>
      <c r="B729" s="2" t="str">
        <f>IFERROR(__xludf.DUMMYFUNCTION("""COMPUTED_VALUE"""),"My")</f>
        <v>My</v>
      </c>
      <c r="C729" s="2" t="str">
        <f>IFERROR(__xludf.DUMMYFUNCTION("""COMPUTED_VALUE"""),"Key Personnel")</f>
        <v>Key Personnel</v>
      </c>
      <c r="D729" s="2" t="str">
        <f>IFERROR(__xludf.DUMMYFUNCTION("""COMPUTED_VALUE"""),"Kirik")</f>
        <v>Kirik</v>
      </c>
      <c r="E729" s="2" t="str">
        <f>IFERROR(__xludf.DUMMYFUNCTION("""COMPUTED_VALUE"""),"Research Associate")</f>
        <v>Research Associate</v>
      </c>
      <c r="F729" s="2" t="str">
        <f>IFERROR(__xludf.DUMMYFUNCTION("""COMPUTED_VALUE"""),"my.andersson@med.lu.se")</f>
        <v>my.andersson@med.lu.se</v>
      </c>
      <c r="G729" s="2" t="str">
        <f>IFERROR(__xludf.DUMMYFUNCTION("""COMPUTED_VALUE"""),"0000-0003-3699-138X")</f>
        <v>0000-0003-3699-138X</v>
      </c>
    </row>
    <row r="730">
      <c r="A730" s="2" t="str">
        <f>IFERROR(__xludf.DUMMYFUNCTION("""COMPUTED_VALUE"""),"Chatterton")</f>
        <v>Chatterton</v>
      </c>
      <c r="B730" s="2" t="str">
        <f>IFERROR(__xludf.DUMMYFUNCTION("""COMPUTED_VALUE"""),"Zac")</f>
        <v>Zac</v>
      </c>
      <c r="C730" s="2" t="str">
        <f>IFERROR(__xludf.DUMMYFUNCTION("""COMPUTED_VALUE"""),"Key Personnel")</f>
        <v>Key Personnel</v>
      </c>
      <c r="D730" s="2" t="str">
        <f>IFERROR(__xludf.DUMMYFUNCTION("""COMPUTED_VALUE"""),"Halliday")</f>
        <v>Halliday</v>
      </c>
      <c r="E730" s="2" t="str">
        <f>IFERROR(__xludf.DUMMYFUNCTION("""COMPUTED_VALUE"""),"Research Associate")</f>
        <v>Research Associate</v>
      </c>
      <c r="F730" s="2" t="str">
        <f>IFERROR(__xludf.DUMMYFUNCTION("""COMPUTED_VALUE"""),"zac.chatterton@sydney.edu.au")</f>
        <v>zac.chatterton@sydney.edu.au</v>
      </c>
      <c r="G730" s="2" t="str">
        <f>IFERROR(__xludf.DUMMYFUNCTION("""COMPUTED_VALUE"""),"0000-0002-6683-1400")</f>
        <v>0000-0002-6683-1400</v>
      </c>
    </row>
    <row r="731">
      <c r="A731" s="2" t="str">
        <f>IFERROR(__xludf.DUMMYFUNCTION("""COMPUTED_VALUE"""),"Andresen")</f>
        <v>Andresen</v>
      </c>
      <c r="B731" s="2" t="str">
        <f>IFERROR(__xludf.DUMMYFUNCTION("""COMPUTED_VALUE"""),"Sofie")</f>
        <v>Sofie</v>
      </c>
      <c r="C731" s="2" t="str">
        <f>IFERROR(__xludf.DUMMYFUNCTION("""COMPUTED_VALUE"""),"Key Personnel")</f>
        <v>Key Personnel</v>
      </c>
      <c r="D731" s="2" t="str">
        <f>IFERROR(__xludf.DUMMYFUNCTION("""COMPUTED_VALUE"""),"Thompson")</f>
        <v>Thompson</v>
      </c>
      <c r="E731" s="2" t="str">
        <f>IFERROR(__xludf.DUMMYFUNCTION("""COMPUTED_VALUE"""),"Research Associate")</f>
        <v>Research Associate</v>
      </c>
      <c r="F731" s="2" t="str">
        <f>IFERROR(__xludf.DUMMYFUNCTION("""COMPUTED_VALUE"""),"sofie.andresen@med.lu.se")</f>
        <v>sofie.andresen@med.lu.se</v>
      </c>
      <c r="G731" s="2"/>
    </row>
    <row r="732">
      <c r="A732" s="2" t="str">
        <f>IFERROR(__xludf.DUMMYFUNCTION("""COMPUTED_VALUE"""),"Suteja")</f>
        <v>Suteja</v>
      </c>
      <c r="B732" s="2" t="str">
        <f>IFERROR(__xludf.DUMMYFUNCTION("""COMPUTED_VALUE"""),"Felicia")</f>
        <v>Felicia</v>
      </c>
      <c r="C732" s="2" t="str">
        <f>IFERROR(__xludf.DUMMYFUNCTION("""COMPUTED_VALUE"""),"Key Personnel")</f>
        <v>Key Personnel</v>
      </c>
      <c r="D732" s="2" t="str">
        <f>IFERROR(__xludf.DUMMYFUNCTION("""COMPUTED_VALUE"""),"Halliday")</f>
        <v>Halliday</v>
      </c>
      <c r="E732" s="2" t="str">
        <f>IFERROR(__xludf.DUMMYFUNCTION("""COMPUTED_VALUE"""),"Research Associate")</f>
        <v>Research Associate</v>
      </c>
      <c r="F732" s="2" t="str">
        <f>IFERROR(__xludf.DUMMYFUNCTION("""COMPUTED_VALUE"""),"felicia.suteja@sydney.edu.au")</f>
        <v>felicia.suteja@sydney.edu.au</v>
      </c>
      <c r="G732" s="2" t="str">
        <f>IFERROR(__xludf.DUMMYFUNCTION("""COMPUTED_VALUE"""),"0009-0009-9217-9442")</f>
        <v>0009-0009-9217-9442</v>
      </c>
    </row>
    <row r="733">
      <c r="A733" s="2" t="str">
        <f>IFERROR(__xludf.DUMMYFUNCTION("""COMPUTED_VALUE"""),"Law")</f>
        <v>Law</v>
      </c>
      <c r="B733" s="2" t="str">
        <f>IFERROR(__xludf.DUMMYFUNCTION("""COMPUTED_VALUE"""),"Kevin")</f>
        <v>Kevin</v>
      </c>
      <c r="C733" s="2" t="str">
        <f>IFERROR(__xludf.DUMMYFUNCTION("""COMPUTED_VALUE"""),"Key Personnel")</f>
        <v>Key Personnel</v>
      </c>
      <c r="D733" s="2" t="str">
        <f>IFERROR(__xludf.DUMMYFUNCTION("""COMPUTED_VALUE"""),"Thompson")</f>
        <v>Thompson</v>
      </c>
      <c r="E733" s="2" t="str">
        <f>IFERROR(__xludf.DUMMYFUNCTION("""COMPUTED_VALUE"""),"Research Associate")</f>
        <v>Research Associate</v>
      </c>
      <c r="F733" s="2" t="str">
        <f>IFERROR(__xludf.DUMMYFUNCTION("""COMPUTED_VALUE"""),"kevin.law@sydney.edu.au")</f>
        <v>kevin.law@sydney.edu.au</v>
      </c>
      <c r="G733" s="2" t="str">
        <f>IFERROR(__xludf.DUMMYFUNCTION("""COMPUTED_VALUE"""),"0000-0001-6652-0445.")</f>
        <v>0000-0001-6652-0445.</v>
      </c>
    </row>
    <row r="734">
      <c r="A734" s="2" t="str">
        <f>IFERROR(__xludf.DUMMYFUNCTION("""COMPUTED_VALUE"""),"Bricker")</f>
        <v>Bricker</v>
      </c>
      <c r="B734" s="2" t="str">
        <f>IFERROR(__xludf.DUMMYFUNCTION("""COMPUTED_VALUE"""),"Rebecca")</f>
        <v>Rebecca</v>
      </c>
      <c r="C734" s="2" t="str">
        <f>IFERROR(__xludf.DUMMYFUNCTION("""COMPUTED_VALUE"""),"Key Personnel")</f>
        <v>Key Personnel</v>
      </c>
      <c r="D734" s="2" t="str">
        <f>IFERROR(__xludf.DUMMYFUNCTION("""COMPUTED_VALUE"""),"Thompson")</f>
        <v>Thompson</v>
      </c>
      <c r="E734" s="2" t="str">
        <f>IFERROR(__xludf.DUMMYFUNCTION("""COMPUTED_VALUE"""),"Research Associate")</f>
        <v>Research Associate</v>
      </c>
      <c r="F734" s="2" t="str">
        <f>IFERROR(__xludf.DUMMYFUNCTION("""COMPUTED_VALUE"""),"rebecca.bricker@sydney.edu.au")</f>
        <v>rebecca.bricker@sydney.edu.au</v>
      </c>
      <c r="G734" s="2" t="str">
        <f>IFERROR(__xludf.DUMMYFUNCTION("""COMPUTED_VALUE"""),"0000-0002-4757-4760")</f>
        <v>0000-0002-4757-4760</v>
      </c>
    </row>
    <row r="735">
      <c r="A735" s="2" t="str">
        <f>IFERROR(__xludf.DUMMYFUNCTION("""COMPUTED_VALUE"""),"Mahabadian")</f>
        <v>Mahabadian</v>
      </c>
      <c r="B735" s="2" t="str">
        <f>IFERROR(__xludf.DUMMYFUNCTION("""COMPUTED_VALUE"""),"Anahid")</f>
        <v>Anahid</v>
      </c>
      <c r="C735" s="2" t="str">
        <f>IFERROR(__xludf.DUMMYFUNCTION("""COMPUTED_VALUE"""),"Key Personnel")</f>
        <v>Key Personnel</v>
      </c>
      <c r="D735" s="2" t="str">
        <f>IFERROR(__xludf.DUMMYFUNCTION("""COMPUTED_VALUE"""),"Halliday")</f>
        <v>Halliday</v>
      </c>
      <c r="E735" s="2" t="str">
        <f>IFERROR(__xludf.DUMMYFUNCTION("""COMPUTED_VALUE"""),"Research Associate ")</f>
        <v>Research Associate </v>
      </c>
      <c r="F735" s="2" t="str">
        <f>IFERROR(__xludf.DUMMYFUNCTION("""COMPUTED_VALUE"""),"anahid.ansari@sydney.edu.au")</f>
        <v>anahid.ansari@sydney.edu.au</v>
      </c>
      <c r="G735" s="2" t="str">
        <f>IFERROR(__xludf.DUMMYFUNCTION("""COMPUTED_VALUE"""),"0009-0000-0088-0544")</f>
        <v>0009-0000-0088-0544</v>
      </c>
    </row>
    <row r="736">
      <c r="A736" s="2" t="str">
        <f>IFERROR(__xludf.DUMMYFUNCTION("""COMPUTED_VALUE"""),"Gordon")</f>
        <v>Gordon</v>
      </c>
      <c r="B736" s="2" t="str">
        <f>IFERROR(__xludf.DUMMYFUNCTION("""COMPUTED_VALUE"""),"Qian")</f>
        <v>Qian</v>
      </c>
      <c r="C736" s="2" t="str">
        <f>IFERROR(__xludf.DUMMYFUNCTION("""COMPUTED_VALUE"""),"Key Personnel")</f>
        <v>Key Personnel</v>
      </c>
      <c r="D736" s="2" t="str">
        <f>IFERROR(__xludf.DUMMYFUNCTION("""COMPUTED_VALUE"""),"Halliday")</f>
        <v>Halliday</v>
      </c>
      <c r="E736" s="2" t="str">
        <f>IFERROR(__xludf.DUMMYFUNCTION("""COMPUTED_VALUE"""),"Postdoctoral researcher")</f>
        <v>Postdoctoral researcher</v>
      </c>
      <c r="F736" s="2" t="str">
        <f>IFERROR(__xludf.DUMMYFUNCTION("""COMPUTED_VALUE"""),"gordon.qian@sydney.edu.au")</f>
        <v>gordon.qian@sydney.edu.au</v>
      </c>
      <c r="G736" s="2" t="str">
        <f>IFERROR(__xludf.DUMMYFUNCTION("""COMPUTED_VALUE"""),"0000-0001-9603-6275")</f>
        <v>0000-0001-9603-6275</v>
      </c>
    </row>
    <row r="737">
      <c r="A737" s="2" t="str">
        <f>IFERROR(__xludf.DUMMYFUNCTION("""COMPUTED_VALUE"""),"Liu")</f>
        <v>Liu</v>
      </c>
      <c r="B737" s="2" t="str">
        <f>IFERROR(__xludf.DUMMYFUNCTION("""COMPUTED_VALUE"""),"Yang")</f>
        <v>Yang</v>
      </c>
      <c r="C737" s="2" t="str">
        <f>IFERROR(__xludf.DUMMYFUNCTION("""COMPUTED_VALUE"""),"Key Personnel")</f>
        <v>Key Personnel</v>
      </c>
      <c r="D737" s="2" t="str">
        <f>IFERROR(__xludf.DUMMYFUNCTION("""COMPUTED_VALUE"""),"Halliday")</f>
        <v>Halliday</v>
      </c>
      <c r="E737" s="2" t="str">
        <f>IFERROR(__xludf.DUMMYFUNCTION("""COMPUTED_VALUE"""),"PhD student")</f>
        <v>PhD student</v>
      </c>
      <c r="F737" s="2" t="str">
        <f>IFERROR(__xludf.DUMMYFUNCTION("""COMPUTED_VALUE"""),"yliu0320@uni.sydney.edu.au")</f>
        <v>yliu0320@uni.sydney.edu.au</v>
      </c>
      <c r="G737" s="2" t="str">
        <f>IFERROR(__xludf.DUMMYFUNCTION("""COMPUTED_VALUE"""),"0000-0003-1037-4033")</f>
        <v>0000-0003-1037-4033</v>
      </c>
    </row>
    <row r="738">
      <c r="A738" s="2" t="str">
        <f>IFERROR(__xludf.DUMMYFUNCTION("""COMPUTED_VALUE"""),"Kordower")</f>
        <v>Kordower</v>
      </c>
      <c r="B738" s="2" t="str">
        <f>IFERROR(__xludf.DUMMYFUNCTION("""COMPUTED_VALUE"""),"Jeffrey")</f>
        <v>Jeffrey</v>
      </c>
      <c r="C738" s="2" t="str">
        <f>IFERROR(__xludf.DUMMYFUNCTION("""COMPUTED_VALUE"""),"Lead-PI")</f>
        <v>Lead-PI</v>
      </c>
      <c r="D738" s="2" t="str">
        <f>IFERROR(__xludf.DUMMYFUNCTION("""COMPUTED_VALUE"""),"Kordower")</f>
        <v>Kordower</v>
      </c>
      <c r="E738" s="2" t="str">
        <f>IFERROR(__xludf.DUMMYFUNCTION("""COMPUTED_VALUE"""),"Lead PI")</f>
        <v>Lead PI</v>
      </c>
      <c r="F738" s="2" t="str">
        <f>IFERROR(__xludf.DUMMYFUNCTION("""COMPUTED_VALUE"""),"Jeffrey Kordower &lt;Jeffrey.Kordower@asu.edu&gt;
")</f>
        <v>Jeffrey Kordower &lt;Jeffrey.Kordower@asu.edu&gt;
</v>
      </c>
      <c r="G738" s="2" t="str">
        <f>IFERROR(__xludf.DUMMYFUNCTION("""COMPUTED_VALUE"""),"0000-0001-8629-3294")</f>
        <v>0000-0001-8629-3294</v>
      </c>
    </row>
    <row r="739">
      <c r="A739" s="2" t="str">
        <f>IFERROR(__xludf.DUMMYFUNCTION("""COMPUTED_VALUE"""),"Harms")</f>
        <v>Harms</v>
      </c>
      <c r="B739" s="2" t="str">
        <f>IFERROR(__xludf.DUMMYFUNCTION("""COMPUTED_VALUE"""),"Ashley")</f>
        <v>Ashley</v>
      </c>
      <c r="C739" s="2" t="str">
        <f>IFERROR(__xludf.DUMMYFUNCTION("""COMPUTED_VALUE"""),"Co-PI")</f>
        <v>Co-PI</v>
      </c>
      <c r="D739" s="2" t="str">
        <f>IFERROR(__xludf.DUMMYFUNCTION("""COMPUTED_VALUE"""),"Harms")</f>
        <v>Harms</v>
      </c>
      <c r="E739" s="2" t="str">
        <f>IFERROR(__xludf.DUMMYFUNCTION("""COMPUTED_VALUE"""),"Co Lead PI")</f>
        <v>Co Lead PI</v>
      </c>
      <c r="F739" s="2" t="str">
        <f>IFERROR(__xludf.DUMMYFUNCTION("""COMPUTED_VALUE"""),"anharms@uab.edu")</f>
        <v>anharms@uab.edu</v>
      </c>
      <c r="G739" s="2" t="str">
        <f>IFERROR(__xludf.DUMMYFUNCTION("""COMPUTED_VALUE"""),"0000-0002-7054-2812")</f>
        <v>0000-0002-7054-2812</v>
      </c>
    </row>
    <row r="740">
      <c r="A740" s="2" t="str">
        <f>IFERROR(__xludf.DUMMYFUNCTION("""COMPUTED_VALUE"""),"Hirst")</f>
        <v>Hirst</v>
      </c>
      <c r="B740" s="2" t="str">
        <f>IFERROR(__xludf.DUMMYFUNCTION("""COMPUTED_VALUE"""),"Warren")</f>
        <v>Warren</v>
      </c>
      <c r="C740" s="2" t="str">
        <f>IFERROR(__xludf.DUMMYFUNCTION("""COMPUTED_VALUE"""),"Co-PI")</f>
        <v>Co-PI</v>
      </c>
      <c r="D740" s="2" t="str">
        <f>IFERROR(__xludf.DUMMYFUNCTION("""COMPUTED_VALUE"""),"Hirst ")</f>
        <v>Hirst </v>
      </c>
      <c r="E740" s="2" t="str">
        <f>IFERROR(__xludf.DUMMYFUNCTION("""COMPUTED_VALUE"""),"Co Lead PI")</f>
        <v>Co Lead PI</v>
      </c>
      <c r="F740" s="2" t="str">
        <f>IFERROR(__xludf.DUMMYFUNCTION("""COMPUTED_VALUE"""),"hirstwarren5@gmail.com")</f>
        <v>hirstwarren5@gmail.com</v>
      </c>
      <c r="G740" s="2" t="str">
        <f>IFERROR(__xludf.DUMMYFUNCTION("""COMPUTED_VALUE"""),"0000-0003-0389-8891")</f>
        <v>0000-0003-0389-8891</v>
      </c>
    </row>
    <row r="741">
      <c r="A741" s="2" t="str">
        <f>IFERROR(__xludf.DUMMYFUNCTION("""COMPUTED_VALUE"""),"Manfredsson")</f>
        <v>Manfredsson</v>
      </c>
      <c r="B741" s="2" t="str">
        <f>IFERROR(__xludf.DUMMYFUNCTION("""COMPUTED_VALUE"""),"Frederic")</f>
        <v>Frederic</v>
      </c>
      <c r="C741" s="2" t="str">
        <f>IFERROR(__xludf.DUMMYFUNCTION("""COMPUTED_VALUE"""),"Collaborating PI")</f>
        <v>Collaborating PI</v>
      </c>
      <c r="D741" s="2" t="str">
        <f>IFERROR(__xludf.DUMMYFUNCTION("""COMPUTED_VALUE"""),"Manfredsson")</f>
        <v>Manfredsson</v>
      </c>
      <c r="E741" s="2" t="str">
        <f>IFERROR(__xludf.DUMMYFUNCTION("""COMPUTED_VALUE"""),"Associate Professor")</f>
        <v>Associate Professor</v>
      </c>
      <c r="F741" s="2" t="str">
        <f>IFERROR(__xludf.DUMMYFUNCTION("""COMPUTED_VALUE"""),"Fredric.manfredsson@Barrowneuro.org")</f>
        <v>Fredric.manfredsson@Barrowneuro.org</v>
      </c>
      <c r="G741" s="2" t="str">
        <f>IFERROR(__xludf.DUMMYFUNCTION("""COMPUTED_VALUE"""),"0000-0001-5802-5487")</f>
        <v>0000-0001-5802-5487</v>
      </c>
    </row>
    <row r="742">
      <c r="A742" s="2" t="str">
        <f>IFERROR(__xludf.DUMMYFUNCTION("""COMPUTED_VALUE"""),"Landay")</f>
        <v>Landay</v>
      </c>
      <c r="B742" s="2" t="str">
        <f>IFERROR(__xludf.DUMMYFUNCTION("""COMPUTED_VALUE"""),"Alan")</f>
        <v>Alan</v>
      </c>
      <c r="C742" s="2" t="str">
        <f>IFERROR(__xludf.DUMMYFUNCTION("""COMPUTED_VALUE"""),"Key Personnel")</f>
        <v>Key Personnel</v>
      </c>
      <c r="D742" s="2" t="str">
        <f>IFERROR(__xludf.DUMMYFUNCTION("""COMPUTED_VALUE"""),"Kordower")</f>
        <v>Kordower</v>
      </c>
      <c r="E742" s="2" t="str">
        <f>IFERROR(__xludf.DUMMYFUNCTION("""COMPUTED_VALUE"""),"Professor")</f>
        <v>Professor</v>
      </c>
      <c r="F742" s="2" t="str">
        <f>IFERROR(__xludf.DUMMYFUNCTION("""COMPUTED_VALUE"""),"allanday@UTMB.EDU")</f>
        <v>allanday@UTMB.EDU</v>
      </c>
      <c r="G742" s="2" t="str">
        <f>IFERROR(__xludf.DUMMYFUNCTION("""COMPUTED_VALUE"""),"0000-0001-9645-1356")</f>
        <v>0000-0001-9645-1356</v>
      </c>
    </row>
    <row r="743">
      <c r="A743" s="2" t="str">
        <f>IFERROR(__xludf.DUMMYFUNCTION("""COMPUTED_VALUE"""),"Chu")</f>
        <v>Chu</v>
      </c>
      <c r="B743" s="2" t="str">
        <f>IFERROR(__xludf.DUMMYFUNCTION("""COMPUTED_VALUE"""),"Yaping")</f>
        <v>Yaping</v>
      </c>
      <c r="C743" s="2" t="str">
        <f>IFERROR(__xludf.DUMMYFUNCTION("""COMPUTED_VALUE"""),"Key Personnel")</f>
        <v>Key Personnel</v>
      </c>
      <c r="D743" s="2" t="str">
        <f>IFERROR(__xludf.DUMMYFUNCTION("""COMPUTED_VALUE"""),"Kordower")</f>
        <v>Kordower</v>
      </c>
      <c r="E743" s="2" t="str">
        <f>IFERROR(__xludf.DUMMYFUNCTION("""COMPUTED_VALUE"""),"Assistant Professor")</f>
        <v>Assistant Professor</v>
      </c>
      <c r="F743" s="2" t="str">
        <f>IFERROR(__xludf.DUMMYFUNCTION("""COMPUTED_VALUE"""),"yaping_chu@rush.edu")</f>
        <v>yaping_chu@rush.edu</v>
      </c>
      <c r="G743" s="2" t="str">
        <f>IFERROR(__xludf.DUMMYFUNCTION("""COMPUTED_VALUE"""),"0000-0002-9112-6295")</f>
        <v>0000-0002-9112-6295</v>
      </c>
    </row>
    <row r="744">
      <c r="A744" s="2" t="str">
        <f>IFERROR(__xludf.DUMMYFUNCTION("""COMPUTED_VALUE"""),"Muller")</f>
        <v>Muller</v>
      </c>
      <c r="B744" s="2" t="str">
        <f>IFERROR(__xludf.DUMMYFUNCTION("""COMPUTED_VALUE"""),"Scott")</f>
        <v>Scott</v>
      </c>
      <c r="C744" s="2" t="str">
        <f>IFERROR(__xludf.DUMMYFUNCTION("""COMPUTED_VALUE"""),"Key Personnel")</f>
        <v>Key Personnel</v>
      </c>
      <c r="D744" s="2" t="str">
        <f>IFERROR(__xludf.DUMMYFUNCTION("""COMPUTED_VALUE"""),"Kordower")</f>
        <v>Kordower</v>
      </c>
      <c r="E744" s="2" t="str">
        <f>IFERROR(__xludf.DUMMYFUNCTION("""COMPUTED_VALUE"""),"Primate Manager")</f>
        <v>Primate Manager</v>
      </c>
      <c r="F744" s="2" t="str">
        <f>IFERROR(__xludf.DUMMYFUNCTION("""COMPUTED_VALUE"""),"scott_muller@rush.edu")</f>
        <v>scott_muller@rush.edu</v>
      </c>
      <c r="G744" s="2" t="str">
        <f>IFERROR(__xludf.DUMMYFUNCTION("""COMPUTED_VALUE"""),"0000-0002-5379-1331")</f>
        <v>0000-0002-5379-1331</v>
      </c>
    </row>
    <row r="745">
      <c r="A745" s="2" t="str">
        <f>IFERROR(__xludf.DUMMYFUNCTION("""COMPUTED_VALUE"""),"Molina")</f>
        <v>Molina</v>
      </c>
      <c r="B745" s="2" t="str">
        <f>IFERROR(__xludf.DUMMYFUNCTION("""COMPUTED_VALUE"""),"Jeremy")</f>
        <v>Jeremy</v>
      </c>
      <c r="C745" s="2" t="str">
        <f>IFERROR(__xludf.DUMMYFUNCTION("""COMPUTED_VALUE"""),"Key Personnel")</f>
        <v>Key Personnel</v>
      </c>
      <c r="D745" s="2" t="str">
        <f>IFERROR(__xludf.DUMMYFUNCTION("""COMPUTED_VALUE"""),"Kordower")</f>
        <v>Kordower</v>
      </c>
      <c r="E745" s="2" t="str">
        <f>IFERROR(__xludf.DUMMYFUNCTION("""COMPUTED_VALUE"""),"Research Tech")</f>
        <v>Research Tech</v>
      </c>
      <c r="F745" s="2" t="str">
        <f>IFERROR(__xludf.DUMMYFUNCTION("""COMPUTED_VALUE"""),"jeremy_molina@rush.edu")</f>
        <v>jeremy_molina@rush.edu</v>
      </c>
      <c r="G745" s="2" t="str">
        <f>IFERROR(__xludf.DUMMYFUNCTION("""COMPUTED_VALUE"""),"0000-0002-6119-1125")</f>
        <v>0000-0002-6119-1125</v>
      </c>
    </row>
    <row r="746">
      <c r="A746" s="2" t="str">
        <f>IFERROR(__xludf.DUMMYFUNCTION("""COMPUTED_VALUE"""),"Hauser")</f>
        <v>Hauser</v>
      </c>
      <c r="B746" s="2" t="str">
        <f>IFERROR(__xludf.DUMMYFUNCTION("""COMPUTED_VALUE"""),"Kyle")</f>
        <v>Kyle</v>
      </c>
      <c r="C746" s="2" t="str">
        <f>IFERROR(__xludf.DUMMYFUNCTION("""COMPUTED_VALUE"""),"Key Personnel")</f>
        <v>Key Personnel</v>
      </c>
      <c r="D746" s="2" t="str">
        <f>IFERROR(__xludf.DUMMYFUNCTION("""COMPUTED_VALUE"""),"Kordower")</f>
        <v>Kordower</v>
      </c>
      <c r="E746" s="2" t="str">
        <f>IFERROR(__xludf.DUMMYFUNCTION("""COMPUTED_VALUE"""),"Research Tech")</f>
        <v>Research Tech</v>
      </c>
      <c r="F746" s="2" t="str">
        <f>IFERROR(__xludf.DUMMYFUNCTION("""COMPUTED_VALUE"""),"kyle_c_hauser@rush.edu")</f>
        <v>kyle_c_hauser@rush.edu</v>
      </c>
      <c r="G746" s="2" t="str">
        <f>IFERROR(__xludf.DUMMYFUNCTION("""COMPUTED_VALUE"""),"0000-0002-2351-3728")</f>
        <v>0000-0002-2351-3728</v>
      </c>
    </row>
    <row r="747">
      <c r="A747" s="2" t="str">
        <f>IFERROR(__xludf.DUMMYFUNCTION("""COMPUTED_VALUE"""),"Gupta")</f>
        <v>Gupta</v>
      </c>
      <c r="B747" s="2" t="str">
        <f>IFERROR(__xludf.DUMMYFUNCTION("""COMPUTED_VALUE"""),"Vineet")</f>
        <v>Vineet</v>
      </c>
      <c r="C747" s="2" t="str">
        <f>IFERROR(__xludf.DUMMYFUNCTION("""COMPUTED_VALUE"""),"Key Personnel")</f>
        <v>Key Personnel</v>
      </c>
      <c r="D747" s="2" t="str">
        <f>IFERROR(__xludf.DUMMYFUNCTION("""COMPUTED_VALUE"""),"Kordower")</f>
        <v>Kordower</v>
      </c>
      <c r="E747" s="2" t="str">
        <f>IFERROR(__xludf.DUMMYFUNCTION("""COMPUTED_VALUE"""),"Collaborator ")</f>
        <v>Collaborator </v>
      </c>
      <c r="F747" s="2" t="str">
        <f>IFERROR(__xludf.DUMMYFUNCTION("""COMPUTED_VALUE"""),"vigupta@utmb.edu")</f>
        <v>vigupta@utmb.edu</v>
      </c>
      <c r="G747" s="2" t="str">
        <f>IFERROR(__xludf.DUMMYFUNCTION("""COMPUTED_VALUE"""),"0000-0001-6987-2550")</f>
        <v>0000-0001-6987-2550</v>
      </c>
    </row>
    <row r="748">
      <c r="A748" s="2" t="str">
        <f>IFERROR(__xludf.DUMMYFUNCTION("""COMPUTED_VALUE"""),"Volpicelli-Daley")</f>
        <v>Volpicelli-Daley</v>
      </c>
      <c r="B748" s="2" t="str">
        <f>IFERROR(__xludf.DUMMYFUNCTION("""COMPUTED_VALUE"""),"Laura")</f>
        <v>Laura</v>
      </c>
      <c r="C748" s="2" t="str">
        <f>IFERROR(__xludf.DUMMYFUNCTION("""COMPUTED_VALUE"""),"Key Personnel")</f>
        <v>Key Personnel</v>
      </c>
      <c r="D748" s="2" t="str">
        <f>IFERROR(__xludf.DUMMYFUNCTION("""COMPUTED_VALUE"""),"Harms")</f>
        <v>Harms</v>
      </c>
      <c r="E748" s="2" t="str">
        <f>IFERROR(__xludf.DUMMYFUNCTION("""COMPUTED_VALUE"""),"Collaborator ")</f>
        <v>Collaborator </v>
      </c>
      <c r="F748" s="2" t="str">
        <f>IFERROR(__xludf.DUMMYFUNCTION("""COMPUTED_VALUE"""),"lvolpicellidaley@uabmc.edu")</f>
        <v>lvolpicellidaley@uabmc.edu</v>
      </c>
      <c r="G748" s="2" t="str">
        <f>IFERROR(__xludf.DUMMYFUNCTION("""COMPUTED_VALUE"""),"0000-0001-8934-4018")</f>
        <v>0000-0001-8934-4018</v>
      </c>
    </row>
    <row r="749">
      <c r="A749" s="2" t="str">
        <f>IFERROR(__xludf.DUMMYFUNCTION("""COMPUTED_VALUE"""),"Herskowitz")</f>
        <v>Herskowitz</v>
      </c>
      <c r="B749" s="2" t="str">
        <f>IFERROR(__xludf.DUMMYFUNCTION("""COMPUTED_VALUE"""),"Jeremy ")</f>
        <v>Jeremy </v>
      </c>
      <c r="C749" s="2" t="str">
        <f>IFERROR(__xludf.DUMMYFUNCTION("""COMPUTED_VALUE"""),"Key Personnel")</f>
        <v>Key Personnel</v>
      </c>
      <c r="D749" s="2" t="str">
        <f>IFERROR(__xludf.DUMMYFUNCTION("""COMPUTED_VALUE"""),"Harms")</f>
        <v>Harms</v>
      </c>
      <c r="E749" s="2" t="str">
        <f>IFERROR(__xludf.DUMMYFUNCTION("""COMPUTED_VALUE"""),"Collaborator")</f>
        <v>Collaborator</v>
      </c>
      <c r="F749" s="2" t="str">
        <f>IFERROR(__xludf.DUMMYFUNCTION("""COMPUTED_VALUE"""),"jeremyherskowitz@uabmc.edu")</f>
        <v>jeremyherskowitz@uabmc.edu</v>
      </c>
      <c r="G749" s="2"/>
    </row>
    <row r="750">
      <c r="A750" s="2" t="str">
        <f>IFERROR(__xludf.DUMMYFUNCTION("""COMPUTED_VALUE"""),"Jurkuvenaite")</f>
        <v>Jurkuvenaite</v>
      </c>
      <c r="B750" s="2" t="str">
        <f>IFERROR(__xludf.DUMMYFUNCTION("""COMPUTED_VALUE"""),"Asta")</f>
        <v>Asta</v>
      </c>
      <c r="C750" s="2" t="str">
        <f>IFERROR(__xludf.DUMMYFUNCTION("""COMPUTED_VALUE"""),"Key Personnel")</f>
        <v>Key Personnel</v>
      </c>
      <c r="D750" s="2" t="str">
        <f>IFERROR(__xludf.DUMMYFUNCTION("""COMPUTED_VALUE"""),"Harms")</f>
        <v>Harms</v>
      </c>
      <c r="E750" s="2" t="str">
        <f>IFERROR(__xludf.DUMMYFUNCTION("""COMPUTED_VALUE"""),"Research Scientist")</f>
        <v>Research Scientist</v>
      </c>
      <c r="F750" s="2" t="str">
        <f>IFERROR(__xludf.DUMMYFUNCTION("""COMPUTED_VALUE"""),"asta@uab.edu")</f>
        <v>asta@uab.edu</v>
      </c>
      <c r="G750" s="2" t="str">
        <f>IFERROR(__xludf.DUMMYFUNCTION("""COMPUTED_VALUE"""),"0000-0002-9193-5797")</f>
        <v>0000-0002-9193-5797</v>
      </c>
    </row>
    <row r="751">
      <c r="A751" s="2" t="str">
        <f>IFERROR(__xludf.DUMMYFUNCTION("""COMPUTED_VALUE"""),"Zhang")</f>
        <v>Zhang</v>
      </c>
      <c r="B751" s="2" t="str">
        <f>IFERROR(__xludf.DUMMYFUNCTION("""COMPUTED_VALUE"""),"Yue")</f>
        <v>Yue</v>
      </c>
      <c r="C751" s="2" t="str">
        <f>IFERROR(__xludf.DUMMYFUNCTION("""COMPUTED_VALUE"""),"Key Personnel")</f>
        <v>Key Personnel</v>
      </c>
      <c r="D751" s="2" t="str">
        <f>IFERROR(__xludf.DUMMYFUNCTION("""COMPUTED_VALUE"""),"Harms")</f>
        <v>Harms</v>
      </c>
      <c r="E751" s="2" t="str">
        <f>IFERROR(__xludf.DUMMYFUNCTION("""COMPUTED_VALUE"""),"Biostatitician")</f>
        <v>Biostatitician</v>
      </c>
      <c r="F751" s="2" t="str">
        <f>IFERROR(__xludf.DUMMYFUNCTION("""COMPUTED_VALUE"""),"yuezhang@uabmc.edu")</f>
        <v>yuezhang@uabmc.edu</v>
      </c>
      <c r="G751" s="2" t="str">
        <f>IFERROR(__xludf.DUMMYFUNCTION("""COMPUTED_VALUE"""),"0000-0003-3734-4598")</f>
        <v>0000-0003-3734-4598</v>
      </c>
    </row>
    <row r="752">
      <c r="A752" s="2" t="str">
        <f>IFERROR(__xludf.DUMMYFUNCTION("""COMPUTED_VALUE"""),"Webster")</f>
        <v>Webster</v>
      </c>
      <c r="B752" s="2" t="str">
        <f>IFERROR(__xludf.DUMMYFUNCTION("""COMPUTED_VALUE"""),"Jhodi")</f>
        <v>Jhodi</v>
      </c>
      <c r="C752" s="2" t="str">
        <f>IFERROR(__xludf.DUMMYFUNCTION("""COMPUTED_VALUE"""),"Key Personnel")</f>
        <v>Key Personnel</v>
      </c>
      <c r="D752" s="2" t="str">
        <f>IFERROR(__xludf.DUMMYFUNCTION("""COMPUTED_VALUE"""),"Harms")</f>
        <v>Harms</v>
      </c>
      <c r="E752" s="2" t="str">
        <f>IFERROR(__xludf.DUMMYFUNCTION("""COMPUTED_VALUE"""),"PhD Student")</f>
        <v>PhD Student</v>
      </c>
      <c r="F752" s="2" t="str">
        <f>IFERROR(__xludf.DUMMYFUNCTION("""COMPUTED_VALUE"""),"jweb@uab.edu")</f>
        <v>jweb@uab.edu</v>
      </c>
      <c r="G752" s="2" t="str">
        <f>IFERROR(__xludf.DUMMYFUNCTION("""COMPUTED_VALUE"""),"0000-0001-8230-6174")</f>
        <v>0000-0001-8230-6174</v>
      </c>
    </row>
    <row r="753">
      <c r="A753" s="2" t="str">
        <f>IFERROR(__xludf.DUMMYFUNCTION("""COMPUTED_VALUE"""),"Hampton")</f>
        <v>Hampton</v>
      </c>
      <c r="B753" s="2" t="str">
        <f>IFERROR(__xludf.DUMMYFUNCTION("""COMPUTED_VALUE"""),"Lucas")</f>
        <v>Lucas</v>
      </c>
      <c r="C753" s="2" t="str">
        <f>IFERROR(__xludf.DUMMYFUNCTION("""COMPUTED_VALUE"""),"Key Personnel")</f>
        <v>Key Personnel</v>
      </c>
      <c r="D753" s="2" t="str">
        <f>IFERROR(__xludf.DUMMYFUNCTION("""COMPUTED_VALUE"""),"Hirst")</f>
        <v>Hirst</v>
      </c>
      <c r="E753" s="2" t="str">
        <f>IFERROR(__xludf.DUMMYFUNCTION("""COMPUTED_VALUE"""),"Research Scientist")</f>
        <v>Research Scientist</v>
      </c>
      <c r="F753" s="2" t="str">
        <f>IFERROR(__xludf.DUMMYFUNCTION("""COMPUTED_VALUE"""),"lucas.hampton@biogen.com")</f>
        <v>lucas.hampton@biogen.com</v>
      </c>
      <c r="G753" s="2" t="str">
        <f>IFERROR(__xludf.DUMMYFUNCTION("""COMPUTED_VALUE"""),"0000-0002-7590-9580")</f>
        <v>0000-0002-7590-9580</v>
      </c>
    </row>
    <row r="754">
      <c r="A754" s="2" t="str">
        <f>IFERROR(__xludf.DUMMYFUNCTION("""COMPUTED_VALUE"""),"Spiegelman")</f>
        <v>Spiegelman</v>
      </c>
      <c r="B754" s="2" t="str">
        <f>IFERROR(__xludf.DUMMYFUNCTION("""COMPUTED_VALUE"""),"Bruce")</f>
        <v>Bruce</v>
      </c>
      <c r="C754" s="2" t="str">
        <f>IFERROR(__xludf.DUMMYFUNCTION("""COMPUTED_VALUE"""),"Key Personnel")</f>
        <v>Key Personnel</v>
      </c>
      <c r="D754" s="2" t="str">
        <f>IFERROR(__xludf.DUMMYFUNCTION("""COMPUTED_VALUE"""),"Kordower")</f>
        <v>Kordower</v>
      </c>
      <c r="E754" s="2" t="str">
        <f>IFERROR(__xludf.DUMMYFUNCTION("""COMPUTED_VALUE"""),"Professor")</f>
        <v>Professor</v>
      </c>
      <c r="F754" s="2" t="str">
        <f>IFERROR(__xludf.DUMMYFUNCTION("""COMPUTED_VALUE"""),"Bruce_Spiegelman@dfci.harvard.edu")</f>
        <v>Bruce_Spiegelman@dfci.harvard.edu</v>
      </c>
      <c r="G754" s="2" t="str">
        <f>IFERROR(__xludf.DUMMYFUNCTION("""COMPUTED_VALUE"""),"0000-0002-7658-4802")</f>
        <v>0000-0002-7658-4802</v>
      </c>
    </row>
    <row r="755">
      <c r="A755" s="2" t="str">
        <f>IFERROR(__xludf.DUMMYFUNCTION("""COMPUTED_VALUE"""),"Shaw")</f>
        <v>Shaw</v>
      </c>
      <c r="B755" s="2" t="str">
        <f>IFERROR(__xludf.DUMMYFUNCTION("""COMPUTED_VALUE"""),"Ameera")</f>
        <v>Ameera</v>
      </c>
      <c r="C755" s="2" t="str">
        <f>IFERROR(__xludf.DUMMYFUNCTION("""COMPUTED_VALUE"""),"Key Personnel")</f>
        <v>Key Personnel</v>
      </c>
      <c r="D755" s="2" t="str">
        <f>IFERROR(__xludf.DUMMYFUNCTION("""COMPUTED_VALUE"""),"Gupta")</f>
        <v>Gupta</v>
      </c>
      <c r="E755" s="2" t="str">
        <f>IFERROR(__xludf.DUMMYFUNCTION("""COMPUTED_VALUE"""),"PhD Student")</f>
        <v>PhD Student</v>
      </c>
      <c r="F755" s="2" t="str">
        <f>IFERROR(__xludf.DUMMYFUNCTION("""COMPUTED_VALUE"""),"Ameera_M_Shaw@rush.edu")</f>
        <v>Ameera_M_Shaw@rush.edu</v>
      </c>
      <c r="G755" s="2" t="str">
        <f>IFERROR(__xludf.DUMMYFUNCTION("""COMPUTED_VALUE"""),"0000-0001-9865-9492")</f>
        <v>0000-0001-9865-9492</v>
      </c>
    </row>
    <row r="756">
      <c r="A756" s="2" t="str">
        <f>IFERROR(__xludf.DUMMYFUNCTION("""COMPUTED_VALUE"""),"Kamraj")</f>
        <v>Kamraj</v>
      </c>
      <c r="B756" s="2" t="str">
        <f>IFERROR(__xludf.DUMMYFUNCTION("""COMPUTED_VALUE"""),"Sowmya")</f>
        <v>Sowmya</v>
      </c>
      <c r="C756" s="2" t="str">
        <f>IFERROR(__xludf.DUMMYFUNCTION("""COMPUTED_VALUE"""),"Key Personnel")</f>
        <v>Key Personnel</v>
      </c>
      <c r="D756" s="2" t="str">
        <f>IFERROR(__xludf.DUMMYFUNCTION("""COMPUTED_VALUE"""),"Gupta")</f>
        <v>Gupta</v>
      </c>
      <c r="E756" s="2" t="str">
        <f>IFERROR(__xludf.DUMMYFUNCTION("""COMPUTED_VALUE"""),"Research Tech")</f>
        <v>Research Tech</v>
      </c>
      <c r="F756" s="2" t="str">
        <f>IFERROR(__xludf.DUMMYFUNCTION("""COMPUTED_VALUE"""),"sogurusa@utmb.edu")</f>
        <v>sogurusa@utmb.edu</v>
      </c>
      <c r="G756" s="2" t="str">
        <f>IFERROR(__xludf.DUMMYFUNCTION("""COMPUTED_VALUE"""),"0009-0005-8892-9053")</f>
        <v>0009-0005-8892-9053</v>
      </c>
    </row>
    <row r="757">
      <c r="A757" s="2" t="str">
        <f>IFERROR(__xludf.DUMMYFUNCTION("""COMPUTED_VALUE"""),"Youssef")</f>
        <v>Youssef</v>
      </c>
      <c r="B757" s="2" t="str">
        <f>IFERROR(__xludf.DUMMYFUNCTION("""COMPUTED_VALUE"""),"Mohamed ")</f>
        <v>Mohamed </v>
      </c>
      <c r="C757" s="2" t="str">
        <f>IFERROR(__xludf.DUMMYFUNCTION("""COMPUTED_VALUE"""),"Key Personnel")</f>
        <v>Key Personnel</v>
      </c>
      <c r="D757" s="2" t="str">
        <f>IFERROR(__xludf.DUMMYFUNCTION("""COMPUTED_VALUE"""),"Gupta")</f>
        <v>Gupta</v>
      </c>
      <c r="E757" s="2" t="str">
        <f>IFERROR(__xludf.DUMMYFUNCTION("""COMPUTED_VALUE"""),"Postdoctoral Fellow")</f>
        <v>Postdoctoral Fellow</v>
      </c>
      <c r="F757" s="2" t="str">
        <f>IFERROR(__xludf.DUMMYFUNCTION("""COMPUTED_VALUE"""),"mohamedyou22@gmail.com")</f>
        <v>mohamedyou22@gmail.com</v>
      </c>
      <c r="G757" s="2"/>
    </row>
    <row r="758">
      <c r="A758" s="2" t="str">
        <f>IFERROR(__xludf.DUMMYFUNCTION("""COMPUTED_VALUE"""),"Vattikota")</f>
        <v>Vattikota</v>
      </c>
      <c r="B758" s="2" t="str">
        <f>IFERROR(__xludf.DUMMYFUNCTION("""COMPUTED_VALUE"""),"Anirudh ")</f>
        <v>Anirudh </v>
      </c>
      <c r="C758" s="2" t="str">
        <f>IFERROR(__xludf.DUMMYFUNCTION("""COMPUTED_VALUE"""),"Key Personnel")</f>
        <v>Key Personnel</v>
      </c>
      <c r="D758" s="2" t="str">
        <f>IFERROR(__xludf.DUMMYFUNCTION("""COMPUTED_VALUE"""),"Gupta")</f>
        <v>Gupta</v>
      </c>
      <c r="E758" s="2" t="str">
        <f>IFERROR(__xludf.DUMMYFUNCTION("""COMPUTED_VALUE"""),"Research Tech")</f>
        <v>Research Tech</v>
      </c>
      <c r="F758" s="2" t="str">
        <f>IFERROR(__xludf.DUMMYFUNCTION("""COMPUTED_VALUE"""),"anvattik@utmb.edu")</f>
        <v>anvattik@utmb.edu</v>
      </c>
      <c r="G758" s="2"/>
    </row>
    <row r="759">
      <c r="A759" s="2" t="str">
        <f>IFERROR(__xludf.DUMMYFUNCTION("""COMPUTED_VALUE"""),"Glajch ")</f>
        <v>Glajch </v>
      </c>
      <c r="B759" s="2" t="str">
        <f>IFERROR(__xludf.DUMMYFUNCTION("""COMPUTED_VALUE"""),"Kelly")</f>
        <v>Kelly</v>
      </c>
      <c r="C759" s="2" t="str">
        <f>IFERROR(__xludf.DUMMYFUNCTION("""COMPUTED_VALUE"""),"Key Personnel")</f>
        <v>Key Personnel</v>
      </c>
      <c r="D759" s="2" t="str">
        <f>IFERROR(__xludf.DUMMYFUNCTION("""COMPUTED_VALUE"""),"Hirst")</f>
        <v>Hirst</v>
      </c>
      <c r="E759" s="2" t="str">
        <f>IFERROR(__xludf.DUMMYFUNCTION("""COMPUTED_VALUE"""),"Associate Scientific Director")</f>
        <v>Associate Scientific Director</v>
      </c>
      <c r="F759" s="2" t="str">
        <f>IFERROR(__xludf.DUMMYFUNCTION("""COMPUTED_VALUE"""),"kelly.glajch@biogen.com ")</f>
        <v>kelly.glajch@biogen.com </v>
      </c>
      <c r="G759" s="2" t="str">
        <f>IFERROR(__xludf.DUMMYFUNCTION("""COMPUTED_VALUE"""),"0000-0003-4727-8547")</f>
        <v>0000-0003-4727-8547</v>
      </c>
    </row>
    <row r="760">
      <c r="A760" s="2" t="str">
        <f>IFERROR(__xludf.DUMMYFUNCTION("""COMPUTED_VALUE"""),"Randolph")</f>
        <v>Randolph</v>
      </c>
      <c r="B760" s="2" t="str">
        <f>IFERROR(__xludf.DUMMYFUNCTION("""COMPUTED_VALUE"""),"Josh")</f>
        <v>Josh</v>
      </c>
      <c r="C760" s="2" t="str">
        <f>IFERROR(__xludf.DUMMYFUNCTION("""COMPUTED_VALUE"""),"Key Personnel")</f>
        <v>Key Personnel</v>
      </c>
      <c r="D760" s="2" t="str">
        <f>IFERROR(__xludf.DUMMYFUNCTION("""COMPUTED_VALUE"""),"Harms")</f>
        <v>Harms</v>
      </c>
      <c r="E760" s="2" t="str">
        <f>IFERROR(__xludf.DUMMYFUNCTION("""COMPUTED_VALUE"""),"Research Tech")</f>
        <v>Research Tech</v>
      </c>
      <c r="F760" s="2" t="str">
        <f>IFERROR(__xludf.DUMMYFUNCTION("""COMPUTED_VALUE"""),"joshrandolph@uabmc.edu")</f>
        <v>joshrandolph@uabmc.edu</v>
      </c>
      <c r="G760" s="2"/>
    </row>
    <row r="761">
      <c r="A761" s="2" t="str">
        <f>IFERROR(__xludf.DUMMYFUNCTION("""COMPUTED_VALUE"""),"Li")</f>
        <v>Li</v>
      </c>
      <c r="B761" s="2" t="str">
        <f>IFERROR(__xludf.DUMMYFUNCTION("""COMPUTED_VALUE"""),"Xiaobo ")</f>
        <v>Xiaobo </v>
      </c>
      <c r="C761" s="2" t="str">
        <f>IFERROR(__xludf.DUMMYFUNCTION("""COMPUTED_VALUE"""),"Key Personnel")</f>
        <v>Key Personnel</v>
      </c>
      <c r="D761" s="2" t="str">
        <f>IFERROR(__xludf.DUMMYFUNCTION("""COMPUTED_VALUE"""),"Kordower/Gupta")</f>
        <v>Kordower/Gupta</v>
      </c>
      <c r="E761" s="2" t="str">
        <f>IFERROR(__xludf.DUMMYFUNCTION("""COMPUTED_VALUE"""),"Post Doc ")</f>
        <v>Post Doc </v>
      </c>
      <c r="F761" s="2" t="str">
        <f>IFERROR(__xludf.DUMMYFUNCTION("""COMPUTED_VALUE"""),"Xiaobo_Li@rush.edu")</f>
        <v>Xiaobo_Li@rush.edu</v>
      </c>
      <c r="G761" s="2"/>
    </row>
    <row r="762">
      <c r="A762" s="2" t="str">
        <f>IFERROR(__xludf.DUMMYFUNCTION("""COMPUTED_VALUE"""),"Ledesma")</f>
        <v>Ledesma</v>
      </c>
      <c r="B762" s="2" t="str">
        <f>IFERROR(__xludf.DUMMYFUNCTION("""COMPUTED_VALUE"""),"Alonso ")</f>
        <v>Alonso </v>
      </c>
      <c r="C762" s="2" t="str">
        <f>IFERROR(__xludf.DUMMYFUNCTION("""COMPUTED_VALUE"""),"Key Personnel")</f>
        <v>Key Personnel</v>
      </c>
      <c r="D762" s="2" t="str">
        <f>IFERROR(__xludf.DUMMYFUNCTION("""COMPUTED_VALUE"""),"Kordower")</f>
        <v>Kordower</v>
      </c>
      <c r="E762" s="2" t="str">
        <f>IFERROR(__xludf.DUMMYFUNCTION("""COMPUTED_VALUE"""),"Research Tech")</f>
        <v>Research Tech</v>
      </c>
      <c r="F762" s="2" t="str">
        <f>IFERROR(__xludf.DUMMYFUNCTION("""COMPUTED_VALUE"""),"Alonso_Ledesma@rush.edu")</f>
        <v>Alonso_Ledesma@rush.edu</v>
      </c>
      <c r="G762" s="2"/>
    </row>
    <row r="763">
      <c r="A763" s="2" t="str">
        <f>IFERROR(__xludf.DUMMYFUNCTION("""COMPUTED_VALUE"""),"He")</f>
        <v>He</v>
      </c>
      <c r="B763" s="2" t="str">
        <f>IFERROR(__xludf.DUMMYFUNCTION("""COMPUTED_VALUE"""),"Yinzhen ")</f>
        <v>Yinzhen </v>
      </c>
      <c r="C763" s="2" t="str">
        <f>IFERROR(__xludf.DUMMYFUNCTION("""COMPUTED_VALUE"""),"Key Personnel")</f>
        <v>Key Personnel</v>
      </c>
      <c r="D763" s="2" t="str">
        <f>IFERROR(__xludf.DUMMYFUNCTION("""COMPUTED_VALUE"""),"Kordower")</f>
        <v>Kordower</v>
      </c>
      <c r="E763" s="2" t="str">
        <f>IFERROR(__xludf.DUMMYFUNCTION("""COMPUTED_VALUE"""),"Research Tech")</f>
        <v>Research Tech</v>
      </c>
      <c r="F763" s="2" t="str">
        <f>IFERROR(__xludf.DUMMYFUNCTION("""COMPUTED_VALUE"""),"Yinzhen_He@rush.edu")</f>
        <v>Yinzhen_He@rush.edu</v>
      </c>
      <c r="G763" s="2"/>
    </row>
    <row r="764">
      <c r="A764" s="2" t="str">
        <f>IFERROR(__xludf.DUMMYFUNCTION("""COMPUTED_VALUE"""),"Ollison")</f>
        <v>Ollison</v>
      </c>
      <c r="B764" s="2" t="str">
        <f>IFERROR(__xludf.DUMMYFUNCTION("""COMPUTED_VALUE"""),"Hayla")</f>
        <v>Hayla</v>
      </c>
      <c r="C764" s="2" t="str">
        <f>IFERROR(__xludf.DUMMYFUNCTION("""COMPUTED_VALUE"""),"Project Manager")</f>
        <v>Project Manager</v>
      </c>
      <c r="D764" s="2" t="str">
        <f>IFERROR(__xludf.DUMMYFUNCTION("""COMPUTED_VALUE"""),"Kordower")</f>
        <v>Kordower</v>
      </c>
      <c r="E764" s="2" t="str">
        <f>IFERROR(__xludf.DUMMYFUNCTION("""COMPUTED_VALUE"""),"Research Specialist")</f>
        <v>Research Specialist</v>
      </c>
      <c r="F764" s="2" t="str">
        <f>IFERROR(__xludf.DUMMYFUNCTION("""COMPUTED_VALUE"""),"hollison@asu.edu")</f>
        <v>hollison@asu.edu</v>
      </c>
      <c r="G764" s="2" t="str">
        <f>IFERROR(__xludf.DUMMYFUNCTION("""COMPUTED_VALUE"""),"0009-0009-4597-8217")</f>
        <v>0009-0009-4597-8217</v>
      </c>
    </row>
    <row r="765">
      <c r="A765" s="2" t="str">
        <f>IFERROR(__xludf.DUMMYFUNCTION("""COMPUTED_VALUE"""),"Stoll")</f>
        <v>Stoll</v>
      </c>
      <c r="B765" s="2" t="str">
        <f>IFERROR(__xludf.DUMMYFUNCTION("""COMPUTED_VALUE"""),"Anna")</f>
        <v>Anna</v>
      </c>
      <c r="C765" s="2" t="str">
        <f>IFERROR(__xludf.DUMMYFUNCTION("""COMPUTED_VALUE"""),"Key Personnel")</f>
        <v>Key Personnel</v>
      </c>
      <c r="D765" s="2" t="str">
        <f>IFERROR(__xludf.DUMMYFUNCTION("""COMPUTED_VALUE"""),"Harms")</f>
        <v>Harms</v>
      </c>
      <c r="E765" s="2" t="str">
        <f>IFERROR(__xludf.DUMMYFUNCTION("""COMPUTED_VALUE"""),"Post Doc")</f>
        <v>Post Doc</v>
      </c>
      <c r="F765" s="2" t="str">
        <f>IFERROR(__xludf.DUMMYFUNCTION("""COMPUTED_VALUE"""),"astoll@uab.edu")</f>
        <v>astoll@uab.edu</v>
      </c>
      <c r="G765" s="2" t="str">
        <f>IFERROR(__xludf.DUMMYFUNCTION("""COMPUTED_VALUE"""),"0000-0001-7135-121X")</f>
        <v>0000-0001-7135-121X</v>
      </c>
    </row>
    <row r="766">
      <c r="A766" s="2" t="str">
        <f>IFERROR(__xludf.DUMMYFUNCTION("""COMPUTED_VALUE"""),"Lee")</f>
        <v>Lee</v>
      </c>
      <c r="B766" s="2" t="str">
        <f>IFERROR(__xludf.DUMMYFUNCTION("""COMPUTED_VALUE"""),"Michael ")</f>
        <v>Michael </v>
      </c>
      <c r="C766" s="2" t="str">
        <f>IFERROR(__xludf.DUMMYFUNCTION("""COMPUTED_VALUE"""),"Lead-PI")</f>
        <v>Lead-PI</v>
      </c>
      <c r="D766" s="2" t="str">
        <f>IFERROR(__xludf.DUMMYFUNCTION("""COMPUTED_VALUE"""),"Lee")</f>
        <v>Lee</v>
      </c>
      <c r="E766" s="2" t="str">
        <f>IFERROR(__xludf.DUMMYFUNCTION("""COMPUTED_VALUE"""),"PI")</f>
        <v>PI</v>
      </c>
      <c r="F766" s="2" t="str">
        <f>IFERROR(__xludf.DUMMYFUNCTION("""COMPUTED_VALUE"""),"mklee@umn.edu")</f>
        <v>mklee@umn.edu</v>
      </c>
      <c r="G766" s="2" t="str">
        <f>IFERROR(__xludf.DUMMYFUNCTION("""COMPUTED_VALUE"""),"0000-0003-2691-4532")</f>
        <v>0000-0003-2691-4532</v>
      </c>
    </row>
    <row r="767">
      <c r="A767" s="2" t="str">
        <f>IFERROR(__xludf.DUMMYFUNCTION("""COMPUTED_VALUE"""),"Moore")</f>
        <v>Moore</v>
      </c>
      <c r="B767" s="2" t="str">
        <f>IFERROR(__xludf.DUMMYFUNCTION("""COMPUTED_VALUE"""),"Darren")</f>
        <v>Darren</v>
      </c>
      <c r="C767" s="2" t="str">
        <f>IFERROR(__xludf.DUMMYFUNCTION("""COMPUTED_VALUE"""),"Co-PI")</f>
        <v>Co-PI</v>
      </c>
      <c r="D767" s="2" t="str">
        <f>IFERROR(__xludf.DUMMYFUNCTION("""COMPUTED_VALUE"""),"Moore")</f>
        <v>Moore</v>
      </c>
      <c r="E767" s="2" t="str">
        <f>IFERROR(__xludf.DUMMYFUNCTION("""COMPUTED_VALUE"""),"PI")</f>
        <v>PI</v>
      </c>
      <c r="F767" s="2" t="str">
        <f>IFERROR(__xludf.DUMMYFUNCTION("""COMPUTED_VALUE"""),"Darren.Moore@vai.org")</f>
        <v>Darren.Moore@vai.org</v>
      </c>
      <c r="G767" s="2" t="str">
        <f>IFERROR(__xludf.DUMMYFUNCTION("""COMPUTED_VALUE"""),"0000-0003-2359-5679")</f>
        <v>0000-0003-2359-5679</v>
      </c>
    </row>
    <row r="768">
      <c r="A768" s="2" t="str">
        <f>IFERROR(__xludf.DUMMYFUNCTION("""COMPUTED_VALUE"""),"Niedernhofer")</f>
        <v>Niedernhofer</v>
      </c>
      <c r="B768" s="2" t="str">
        <f>IFERROR(__xludf.DUMMYFUNCTION("""COMPUTED_VALUE"""),"Laura")</f>
        <v>Laura</v>
      </c>
      <c r="C768" s="2" t="str">
        <f>IFERROR(__xludf.DUMMYFUNCTION("""COMPUTED_VALUE"""),"Co-PI")</f>
        <v>Co-PI</v>
      </c>
      <c r="D768" s="2" t="str">
        <f>IFERROR(__xludf.DUMMYFUNCTION("""COMPUTED_VALUE"""),"Niedernhofer")</f>
        <v>Niedernhofer</v>
      </c>
      <c r="E768" s="2" t="str">
        <f>IFERROR(__xludf.DUMMYFUNCTION("""COMPUTED_VALUE"""),"PI")</f>
        <v>PI</v>
      </c>
      <c r="F768" s="2" t="str">
        <f>IFERROR(__xludf.DUMMYFUNCTION("""COMPUTED_VALUE"""),"lniedern@umn.edu")</f>
        <v>lniedern@umn.edu</v>
      </c>
      <c r="G768" s="2" t="str">
        <f>IFERROR(__xludf.DUMMYFUNCTION("""COMPUTED_VALUE"""),"0000-0002-1074-1385")</f>
        <v>0000-0002-1074-1385</v>
      </c>
    </row>
    <row r="769">
      <c r="A769" s="2" t="str">
        <f>IFERROR(__xludf.DUMMYFUNCTION("""COMPUTED_VALUE"""),"Robbins")</f>
        <v>Robbins</v>
      </c>
      <c r="B769" s="2" t="str">
        <f>IFERROR(__xludf.DUMMYFUNCTION("""COMPUTED_VALUE"""),"Paul")</f>
        <v>Paul</v>
      </c>
      <c r="C769" s="2" t="str">
        <f>IFERROR(__xludf.DUMMYFUNCTION("""COMPUTED_VALUE"""),"Key Personnel")</f>
        <v>Key Personnel</v>
      </c>
      <c r="D769" s="2" t="str">
        <f>IFERROR(__xludf.DUMMYFUNCTION("""COMPUTED_VALUE"""),"Niedernhofer")</f>
        <v>Niedernhofer</v>
      </c>
      <c r="E769" s="2" t="str">
        <f>IFERROR(__xludf.DUMMYFUNCTION("""COMPUTED_VALUE"""),"research assoc")</f>
        <v>research assoc</v>
      </c>
      <c r="F769" s="2" t="str">
        <f>IFERROR(__xludf.DUMMYFUNCTION("""COMPUTED_VALUE"""),"probbins@umn.edu")</f>
        <v>probbins@umn.edu</v>
      </c>
      <c r="G769" s="2" t="str">
        <f>IFERROR(__xludf.DUMMYFUNCTION("""COMPUTED_VALUE"""),"0000-0003-1068-7099")</f>
        <v>0000-0003-1068-7099</v>
      </c>
    </row>
    <row r="770">
      <c r="A770" s="2" t="str">
        <f>IFERROR(__xludf.DUMMYFUNCTION("""COMPUTED_VALUE"""),"Balster")</f>
        <v>Balster</v>
      </c>
      <c r="B770" s="2" t="str">
        <f>IFERROR(__xludf.DUMMYFUNCTION("""COMPUTED_VALUE"""),"Jane")</f>
        <v>Jane</v>
      </c>
      <c r="C770" s="2" t="str">
        <f>IFERROR(__xludf.DUMMYFUNCTION("""COMPUTED_VALUE"""),"Project Manager")</f>
        <v>Project Manager</v>
      </c>
      <c r="D770" s="2" t="str">
        <f>IFERROR(__xludf.DUMMYFUNCTION("""COMPUTED_VALUE"""),"Lee")</f>
        <v>Lee</v>
      </c>
      <c r="E770" s="2" t="str">
        <f>IFERROR(__xludf.DUMMYFUNCTION("""COMPUTED_VALUE"""),"PM")</f>
        <v>PM</v>
      </c>
      <c r="F770" s="2" t="str">
        <f>IFERROR(__xludf.DUMMYFUNCTION("""COMPUTED_VALUE"""),"JBalster@umn.edu")</f>
        <v>JBalster@umn.edu</v>
      </c>
      <c r="G770" s="2" t="str">
        <f>IFERROR(__xludf.DUMMYFUNCTION("""COMPUTED_VALUE"""),"0000-0002-1901-4037")</f>
        <v>0000-0002-1901-4037</v>
      </c>
    </row>
    <row r="771">
      <c r="A771" s="2" t="str">
        <f>IFERROR(__xludf.DUMMYFUNCTION("""COMPUTED_VALUE"""),"Meints")</f>
        <v>Meints</v>
      </c>
      <c r="B771" s="2" t="str">
        <f>IFERROR(__xludf.DUMMYFUNCTION("""COMPUTED_VALUE"""),"Joyce")</f>
        <v>Joyce</v>
      </c>
      <c r="C771" s="2" t="str">
        <f>IFERROR(__xludf.DUMMYFUNCTION("""COMPUTED_VALUE"""),"Key Personnel")</f>
        <v>Key Personnel</v>
      </c>
      <c r="D771" s="2" t="str">
        <f>IFERROR(__xludf.DUMMYFUNCTION("""COMPUTED_VALUE"""),"Lee")</f>
        <v>Lee</v>
      </c>
      <c r="E771" s="2" t="str">
        <f>IFERROR(__xludf.DUMMYFUNCTION("""COMPUTED_VALUE"""),"Resercher 3")</f>
        <v>Resercher 3</v>
      </c>
      <c r="F771" s="2" t="str">
        <f>IFERROR(__xludf.DUMMYFUNCTION("""COMPUTED_VALUE"""),"meint002@umn.edu")</f>
        <v>meint002@umn.edu</v>
      </c>
      <c r="G771" s="2" t="str">
        <f>IFERROR(__xludf.DUMMYFUNCTION("""COMPUTED_VALUE"""),"0000-0002-9394-9631")</f>
        <v>0000-0002-9394-9631</v>
      </c>
    </row>
    <row r="772">
      <c r="A772" s="2" t="str">
        <f>IFERROR(__xludf.DUMMYFUNCTION("""COMPUTED_VALUE"""),"Ma")</f>
        <v>Ma</v>
      </c>
      <c r="B772" s="2" t="str">
        <f>IFERROR(__xludf.DUMMYFUNCTION("""COMPUTED_VALUE"""),"Yue")</f>
        <v>Yue</v>
      </c>
      <c r="C772" s="2" t="str">
        <f>IFERROR(__xludf.DUMMYFUNCTION("""COMPUTED_VALUE"""),"Key Personnel")</f>
        <v>Key Personnel</v>
      </c>
      <c r="D772" s="2" t="str">
        <f>IFERROR(__xludf.DUMMYFUNCTION("""COMPUTED_VALUE"""),"Moore")</f>
        <v>Moore</v>
      </c>
      <c r="E772" s="2" t="str">
        <f>IFERROR(__xludf.DUMMYFUNCTION("""COMPUTED_VALUE"""),"Post Doc")</f>
        <v>Post Doc</v>
      </c>
      <c r="F772" s="2" t="str">
        <f>IFERROR(__xludf.DUMMYFUNCTION("""COMPUTED_VALUE"""),"yue.ma@vai.org")</f>
        <v>yue.ma@vai.org</v>
      </c>
      <c r="G772" s="2" t="str">
        <f>IFERROR(__xludf.DUMMYFUNCTION("""COMPUTED_VALUE"""),"0000-0002-1031-5175")</f>
        <v>0000-0002-1031-5175</v>
      </c>
    </row>
    <row r="773">
      <c r="A773" s="2" t="str">
        <f>IFERROR(__xludf.DUMMYFUNCTION("""COMPUTED_VALUE"""),"Erb")</f>
        <v>Erb</v>
      </c>
      <c r="B773" s="2" t="str">
        <f>IFERROR(__xludf.DUMMYFUNCTION("""COMPUTED_VALUE"""),"Madalynn ")</f>
        <v>Madalynn </v>
      </c>
      <c r="C773" s="2" t="str">
        <f>IFERROR(__xludf.DUMMYFUNCTION("""COMPUTED_VALUE"""),"Key Personnel")</f>
        <v>Key Personnel</v>
      </c>
      <c r="D773" s="2" t="str">
        <f>IFERROR(__xludf.DUMMYFUNCTION("""COMPUTED_VALUE"""),"Moore")</f>
        <v>Moore</v>
      </c>
      <c r="E773" s="2" t="str">
        <f>IFERROR(__xludf.DUMMYFUNCTION("""COMPUTED_VALUE"""),"Post doc")</f>
        <v>Post doc</v>
      </c>
      <c r="F773" s="2" t="str">
        <f>IFERROR(__xludf.DUMMYFUNCTION("""COMPUTED_VALUE"""),"madalynn.erb@vai.org")</f>
        <v>madalynn.erb@vai.org</v>
      </c>
      <c r="G773" s="2" t="str">
        <f>IFERROR(__xludf.DUMMYFUNCTION("""COMPUTED_VALUE"""),"0000-0002-7651-6826")</f>
        <v>0000-0002-7651-6826</v>
      </c>
    </row>
    <row r="774">
      <c r="A774" s="2" t="str">
        <f>IFERROR(__xludf.DUMMYFUNCTION("""COMPUTED_VALUE"""),"Wong")</f>
        <v>Wong</v>
      </c>
      <c r="B774" s="2" t="str">
        <f>IFERROR(__xludf.DUMMYFUNCTION("""COMPUTED_VALUE"""),"Alec")</f>
        <v>Alec</v>
      </c>
      <c r="C774" s="2" t="str">
        <f>IFERROR(__xludf.DUMMYFUNCTION("""COMPUTED_VALUE"""),"Key Personnel")</f>
        <v>Key Personnel</v>
      </c>
      <c r="D774" s="2" t="str">
        <f>IFERROR(__xludf.DUMMYFUNCTION("""COMPUTED_VALUE"""),"Niedernhofer")</f>
        <v>Niedernhofer</v>
      </c>
      <c r="E774" s="2" t="str">
        <f>IFERROR(__xludf.DUMMYFUNCTION("""COMPUTED_VALUE"""),"Researcher 1")</f>
        <v>Researcher 1</v>
      </c>
      <c r="F774" s="2" t="str">
        <f>IFERROR(__xludf.DUMMYFUNCTION("""COMPUTED_VALUE"""),"wongx658@umn.edu")</f>
        <v>wongx658@umn.edu</v>
      </c>
      <c r="G774" s="2" t="str">
        <f>IFERROR(__xludf.DUMMYFUNCTION("""COMPUTED_VALUE"""),"0000-0002-1445-0235")</f>
        <v>0000-0002-1445-0235</v>
      </c>
    </row>
    <row r="775">
      <c r="A775" s="2" t="str">
        <f>IFERROR(__xludf.DUMMYFUNCTION("""COMPUTED_VALUE"""),"Poddar")</f>
        <v>Poddar</v>
      </c>
      <c r="B775" s="2" t="str">
        <f>IFERROR(__xludf.DUMMYFUNCTION("""COMPUTED_VALUE"""),"Indrani")</f>
        <v>Indrani</v>
      </c>
      <c r="C775" s="2" t="str">
        <f>IFERROR(__xludf.DUMMYFUNCTION("""COMPUTED_VALUE"""),"Key Personnel")</f>
        <v>Key Personnel</v>
      </c>
      <c r="D775" s="2" t="str">
        <f>IFERROR(__xludf.DUMMYFUNCTION("""COMPUTED_VALUE"""),"Lee")</f>
        <v>Lee</v>
      </c>
      <c r="E775" s="2" t="str">
        <f>IFERROR(__xludf.DUMMYFUNCTION("""COMPUTED_VALUE"""),"Post doc")</f>
        <v>Post doc</v>
      </c>
      <c r="F775" s="2" t="str">
        <f>IFERROR(__xludf.DUMMYFUNCTION("""COMPUTED_VALUE"""),"podda020@umn.edu")</f>
        <v>podda020@umn.edu</v>
      </c>
      <c r="G775" s="2" t="str">
        <f>IFERROR(__xludf.DUMMYFUNCTION("""COMPUTED_VALUE"""),"0000-0003-1485-9441")</f>
        <v>0000-0003-1485-9441</v>
      </c>
    </row>
    <row r="776">
      <c r="A776" s="2" t="str">
        <f>IFERROR(__xludf.DUMMYFUNCTION("""COMPUTED_VALUE"""),"Vermilyea
")</f>
        <v>Vermilyea
</v>
      </c>
      <c r="B776" s="2" t="str">
        <f>IFERROR(__xludf.DUMMYFUNCTION("""COMPUTED_VALUE"""),"Scott")</f>
        <v>Scott</v>
      </c>
      <c r="C776" s="2" t="str">
        <f>IFERROR(__xludf.DUMMYFUNCTION("""COMPUTED_VALUE"""),"Key Personnel")</f>
        <v>Key Personnel</v>
      </c>
      <c r="D776" s="2" t="str">
        <f>IFERROR(__xludf.DUMMYFUNCTION("""COMPUTED_VALUE"""),"Lee")</f>
        <v>Lee</v>
      </c>
      <c r="E776" s="2" t="str">
        <f>IFERROR(__xludf.DUMMYFUNCTION("""COMPUTED_VALUE"""),"Post doc")</f>
        <v>Post doc</v>
      </c>
      <c r="F776" s="2" t="str">
        <f>IFERROR(__xludf.DUMMYFUNCTION("""COMPUTED_VALUE"""),"svermily@umn.edu")</f>
        <v>svermily@umn.edu</v>
      </c>
      <c r="G776" s="2" t="str">
        <f>IFERROR(__xludf.DUMMYFUNCTION("""COMPUTED_VALUE"""),"0000-0001-7827-8166")</f>
        <v>0000-0001-7827-8166</v>
      </c>
    </row>
    <row r="777">
      <c r="A777" s="2" t="str">
        <f>IFERROR(__xludf.DUMMYFUNCTION("""COMPUTED_VALUE"""),"Martinez")</f>
        <v>Martinez</v>
      </c>
      <c r="B777" s="2" t="str">
        <f>IFERROR(__xludf.DUMMYFUNCTION("""COMPUTED_VALUE"""),"Hector")</f>
        <v>Hector</v>
      </c>
      <c r="C777" s="2" t="str">
        <f>IFERROR(__xludf.DUMMYFUNCTION("""COMPUTED_VALUE"""),"Key Personnel")</f>
        <v>Key Personnel</v>
      </c>
      <c r="D777" s="2" t="str">
        <f>IFERROR(__xludf.DUMMYFUNCTION("""COMPUTED_VALUE"""),"Niedernhofer")</f>
        <v>Niedernhofer</v>
      </c>
      <c r="E777" s="2" t="str">
        <f>IFERROR(__xludf.DUMMYFUNCTION("""COMPUTED_VALUE"""),"Researcher 3")</f>
        <v>Researcher 3</v>
      </c>
      <c r="F777" s="2" t="str">
        <f>IFERROR(__xludf.DUMMYFUNCTION("""COMPUTED_VALUE"""),"martineh@umn.edu")</f>
        <v>martineh@umn.edu</v>
      </c>
      <c r="G777" s="2" t="str">
        <f>IFERROR(__xludf.DUMMYFUNCTION("""COMPUTED_VALUE"""),"0000-0002-8949-6158")</f>
        <v>0000-0002-8949-6158</v>
      </c>
    </row>
    <row r="778">
      <c r="A778" s="2" t="str">
        <f>IFERROR(__xludf.DUMMYFUNCTION("""COMPUTED_VALUE"""),"Jahan")</f>
        <v>Jahan</v>
      </c>
      <c r="B778" s="2" t="str">
        <f>IFERROR(__xludf.DUMMYFUNCTION("""COMPUTED_VALUE"""),"Mehek")</f>
        <v>Mehek</v>
      </c>
      <c r="C778" s="2" t="str">
        <f>IFERROR(__xludf.DUMMYFUNCTION("""COMPUTED_VALUE"""),"Key Personnel")</f>
        <v>Key Personnel</v>
      </c>
      <c r="D778" s="2" t="str">
        <f>IFERROR(__xludf.DUMMYFUNCTION("""COMPUTED_VALUE"""),"Niedernhofer")</f>
        <v>Niedernhofer</v>
      </c>
      <c r="E778" s="2" t="str">
        <f>IFERROR(__xludf.DUMMYFUNCTION("""COMPUTED_VALUE"""),"Researcher 1")</f>
        <v>Researcher 1</v>
      </c>
      <c r="F778" s="2" t="str">
        <f>IFERROR(__xludf.DUMMYFUNCTION("""COMPUTED_VALUE"""),"jahan030@umn.edu")</f>
        <v>jahan030@umn.edu</v>
      </c>
      <c r="G778" s="2"/>
    </row>
    <row r="779">
      <c r="A779" s="2" t="str">
        <f>IFERROR(__xludf.DUMMYFUNCTION("""COMPUTED_VALUE"""),"Tappe")</f>
        <v>Tappe</v>
      </c>
      <c r="B779" s="2" t="str">
        <f>IFERROR(__xludf.DUMMYFUNCTION("""COMPUTED_VALUE"""),"Rachel")</f>
        <v>Rachel</v>
      </c>
      <c r="C779" s="2" t="str">
        <f>IFERROR(__xludf.DUMMYFUNCTION("""COMPUTED_VALUE"""),"Key Personnel")</f>
        <v>Key Personnel</v>
      </c>
      <c r="D779" s="2" t="str">
        <f>IFERROR(__xludf.DUMMYFUNCTION("""COMPUTED_VALUE"""),"Lee ")</f>
        <v>Lee </v>
      </c>
      <c r="E779" s="2" t="str">
        <f>IFERROR(__xludf.DUMMYFUNCTION("""COMPUTED_VALUE"""),"Researcher 1")</f>
        <v>Researcher 1</v>
      </c>
      <c r="F779" s="2" t="str">
        <f>IFERROR(__xludf.DUMMYFUNCTION("""COMPUTED_VALUE"""),"tappe108@umn.edu")</f>
        <v>tappe108@umn.edu</v>
      </c>
      <c r="G779" s="2"/>
    </row>
    <row r="780">
      <c r="A780" s="2" t="str">
        <f>IFERROR(__xludf.DUMMYFUNCTION("""COMPUTED_VALUE"""),"Schlichte")</f>
        <v>Schlichte</v>
      </c>
      <c r="B780" s="2" t="str">
        <f>IFERROR(__xludf.DUMMYFUNCTION("""COMPUTED_VALUE"""),"Riley")</f>
        <v>Riley</v>
      </c>
      <c r="C780" s="2" t="str">
        <f>IFERROR(__xludf.DUMMYFUNCTION("""COMPUTED_VALUE"""),"Key Personnel")</f>
        <v>Key Personnel</v>
      </c>
      <c r="D780" s="2" t="str">
        <f>IFERROR(__xludf.DUMMYFUNCTION("""COMPUTED_VALUE"""),"Lee ")</f>
        <v>Lee </v>
      </c>
      <c r="E780" s="2" t="str">
        <f>IFERROR(__xludf.DUMMYFUNCTION("""COMPUTED_VALUE"""),"Researcher 1")</f>
        <v>Researcher 1</v>
      </c>
      <c r="F780" s="2" t="str">
        <f>IFERROR(__xludf.DUMMYFUNCTION("""COMPUTED_VALUE"""),"rschlich@umn.edu")</f>
        <v>rschlich@umn.edu</v>
      </c>
      <c r="G780" s="2"/>
    </row>
    <row r="781">
      <c r="A781" s="2" t="str">
        <f>IFERROR(__xludf.DUMMYFUNCTION("""COMPUTED_VALUE"""),"Robin")</f>
        <v>Robin</v>
      </c>
      <c r="B781" s="2" t="str">
        <f>IFERROR(__xludf.DUMMYFUNCTION("""COMPUTED_VALUE"""),"Joe")</f>
        <v>Joe</v>
      </c>
      <c r="C781" s="2" t="str">
        <f>IFERROR(__xludf.DUMMYFUNCTION("""COMPUTED_VALUE"""),"Key Personnel")</f>
        <v>Key Personnel</v>
      </c>
      <c r="D781" s="2" t="str">
        <f>IFERROR(__xludf.DUMMYFUNCTION("""COMPUTED_VALUE"""),"Niedernhofer")</f>
        <v>Niedernhofer</v>
      </c>
      <c r="E781" s="2" t="str">
        <f>IFERROR(__xludf.DUMMYFUNCTION("""COMPUTED_VALUE"""),"Researcher 1")</f>
        <v>Researcher 1</v>
      </c>
      <c r="F781" s="2" t="str">
        <f>IFERROR(__xludf.DUMMYFUNCTION("""COMPUTED_VALUE"""),"robi1174@umn.edu")</f>
        <v>robi1174@umn.edu</v>
      </c>
      <c r="G781" s="2"/>
    </row>
    <row r="782">
      <c r="A782" s="2" t="str">
        <f>IFERROR(__xludf.DUMMYFUNCTION("""COMPUTED_VALUE"""),"Courtmanche")</f>
        <v>Courtmanche</v>
      </c>
      <c r="B782" s="2" t="str">
        <f>IFERROR(__xludf.DUMMYFUNCTION("""COMPUTED_VALUE"""),"Nicole")</f>
        <v>Nicole</v>
      </c>
      <c r="C782" s="2" t="str">
        <f>IFERROR(__xludf.DUMMYFUNCTION("""COMPUTED_VALUE"""),"Key Personnel")</f>
        <v>Key Personnel</v>
      </c>
      <c r="D782" s="2" t="str">
        <f>IFERROR(__xludf.DUMMYFUNCTION("""COMPUTED_VALUE"""),"Lee ")</f>
        <v>Lee </v>
      </c>
      <c r="E782" s="2" t="str">
        <f>IFERROR(__xludf.DUMMYFUNCTION("""COMPUTED_VALUE"""),"Researcher 1")</f>
        <v>Researcher 1</v>
      </c>
      <c r="F782" s="2" t="str">
        <f>IFERROR(__xludf.DUMMYFUNCTION("""COMPUTED_VALUE"""),"Court178@umn.edu")</f>
        <v>Court178@umn.edu</v>
      </c>
      <c r="G782" s="2"/>
    </row>
    <row r="783">
      <c r="A783" s="2" t="str">
        <f>IFERROR(__xludf.DUMMYFUNCTION("""COMPUTED_VALUE"""),"Jahan")</f>
        <v>Jahan</v>
      </c>
      <c r="B783" s="2" t="str">
        <f>IFERROR(__xludf.DUMMYFUNCTION("""COMPUTED_VALUE"""),"Mehek")</f>
        <v>Mehek</v>
      </c>
      <c r="C783" s="2" t="str">
        <f>IFERROR(__xludf.DUMMYFUNCTION("""COMPUTED_VALUE"""),"Key Personnel")</f>
        <v>Key Personnel</v>
      </c>
      <c r="D783" s="2" t="str">
        <f>IFERROR(__xludf.DUMMYFUNCTION("""COMPUTED_VALUE"""),"Niedernhofer")</f>
        <v>Niedernhofer</v>
      </c>
      <c r="E783" s="2" t="str">
        <f>IFERROR(__xludf.DUMMYFUNCTION("""COMPUTED_VALUE"""),"Researcher 1")</f>
        <v>Researcher 1</v>
      </c>
      <c r="F783" s="2" t="str">
        <f>IFERROR(__xludf.DUMMYFUNCTION("""COMPUTED_VALUE"""),"jahan030@umn.edu")</f>
        <v>jahan030@umn.edu</v>
      </c>
      <c r="G783" s="2"/>
    </row>
    <row r="784">
      <c r="A784" s="2" t="str">
        <f>IFERROR(__xludf.DUMMYFUNCTION("""COMPUTED_VALUE"""),"Tiegs")</f>
        <v>Tiegs</v>
      </c>
      <c r="B784" s="2" t="str">
        <f>IFERROR(__xludf.DUMMYFUNCTION("""COMPUTED_VALUE"""),"Elizabeth ")</f>
        <v>Elizabeth </v>
      </c>
      <c r="C784" s="2" t="str">
        <f>IFERROR(__xludf.DUMMYFUNCTION("""COMPUTED_VALUE"""),"Key Personnel")</f>
        <v>Key Personnel</v>
      </c>
      <c r="D784" s="2" t="str">
        <f>IFERROR(__xludf.DUMMYFUNCTION("""COMPUTED_VALUE"""),"Lee ")</f>
        <v>Lee </v>
      </c>
      <c r="E784" s="2" t="str">
        <f>IFERROR(__xludf.DUMMYFUNCTION("""COMPUTED_VALUE"""),"Researcher 1")</f>
        <v>Researcher 1</v>
      </c>
      <c r="F784" s="2" t="str">
        <f>IFERROR(__xludf.DUMMYFUNCTION("""COMPUTED_VALUE"""),"tiegs028@umn.edu")</f>
        <v>tiegs028@umn.edu</v>
      </c>
      <c r="G784" s="2"/>
    </row>
    <row r="785">
      <c r="A785" s="2" t="str">
        <f>IFERROR(__xludf.DUMMYFUNCTION("""COMPUTED_VALUE"""),"Rowlands")</f>
        <v>Rowlands</v>
      </c>
      <c r="B785" s="2" t="str">
        <f>IFERROR(__xludf.DUMMYFUNCTION("""COMPUTED_VALUE"""),"Jordan")</f>
        <v>Jordan</v>
      </c>
      <c r="C785" s="2" t="str">
        <f>IFERROR(__xludf.DUMMYFUNCTION("""COMPUTED_VALUE"""),"Key Personnel")</f>
        <v>Key Personnel</v>
      </c>
      <c r="D785" s="2" t="str">
        <f>IFERROR(__xludf.DUMMYFUNCTION("""COMPUTED_VALUE"""),"Moore")</f>
        <v>Moore</v>
      </c>
      <c r="E785" s="2" t="str">
        <f>IFERROR(__xludf.DUMMYFUNCTION("""COMPUTED_VALUE"""),"Researcher 1")</f>
        <v>Researcher 1</v>
      </c>
      <c r="F785" s="2" t="str">
        <f>IFERROR(__xludf.DUMMYFUNCTION("""COMPUTED_VALUE"""),"Jordan.Rowlands@vai.org")</f>
        <v>Jordan.Rowlands@vai.org</v>
      </c>
      <c r="G785" s="2"/>
    </row>
    <row r="786">
      <c r="A786" s="2" t="str">
        <f>IFERROR(__xludf.DUMMYFUNCTION("""COMPUTED_VALUE""")," Perez de Nanclares Fernandez")</f>
        <v> Perez de Nanclares Fernandez</v>
      </c>
      <c r="B786" s="2" t="str">
        <f>IFERROR(__xludf.DUMMYFUNCTION("""COMPUTED_VALUE"""),"Carmen")</f>
        <v>Carmen</v>
      </c>
      <c r="C786" s="2" t="str">
        <f>IFERROR(__xludf.DUMMYFUNCTION("""COMPUTED_VALUE"""),"Key Personnel")</f>
        <v>Key Personnel</v>
      </c>
      <c r="D786" s="2" t="str">
        <f>IFERROR(__xludf.DUMMYFUNCTION("""COMPUTED_VALUE"""),"Lee ")</f>
        <v>Lee </v>
      </c>
      <c r="E786" s="2" t="str">
        <f>IFERROR(__xludf.DUMMYFUNCTION("""COMPUTED_VALUE"""),"Research Associate")</f>
        <v>Research Associate</v>
      </c>
      <c r="F786" s="2" t="str">
        <f>IFERROR(__xludf.DUMMYFUNCTION("""COMPUTED_VALUE"""),"cperezde@umn.edu")</f>
        <v>cperezde@umn.edu</v>
      </c>
      <c r="G786" s="2"/>
    </row>
    <row r="787">
      <c r="A787" s="2" t="str">
        <f>IFERROR(__xludf.DUMMYFUNCTION("""COMPUTED_VALUE"""),"Henderson")</f>
        <v>Henderson</v>
      </c>
      <c r="B787" s="2" t="str">
        <f>IFERROR(__xludf.DUMMYFUNCTION("""COMPUTED_VALUE"""),"Mike")</f>
        <v>Mike</v>
      </c>
      <c r="C787" s="2" t="str">
        <f>IFERROR(__xludf.DUMMYFUNCTION("""COMPUTED_VALUE"""),"Co-PI")</f>
        <v>Co-PI</v>
      </c>
      <c r="D787" s="2" t="str">
        <f>IFERROR(__xludf.DUMMYFUNCTION("""COMPUTED_VALUE"""),"Henderson")</f>
        <v>Henderson</v>
      </c>
      <c r="E787" s="2" t="str">
        <f>IFERROR(__xludf.DUMMYFUNCTION("""COMPUTED_VALUE"""),"PI")</f>
        <v>PI</v>
      </c>
      <c r="F787" s="2" t="str">
        <f>IFERROR(__xludf.DUMMYFUNCTION("""COMPUTED_VALUE"""),"Michael.Henderson@vai.org")</f>
        <v>Michael.Henderson@vai.org</v>
      </c>
      <c r="G787" s="2" t="str">
        <f>IFERROR(__xludf.DUMMYFUNCTION("""COMPUTED_VALUE"""),"0000-0001-9710-0726")</f>
        <v>0000-0001-9710-0726</v>
      </c>
    </row>
    <row r="788">
      <c r="A788" s="2" t="str">
        <f>IFERROR(__xludf.DUMMYFUNCTION("""COMPUTED_VALUE"""),"Hassan")</f>
        <v>Hassan</v>
      </c>
      <c r="B788" s="2" t="str">
        <f>IFERROR(__xludf.DUMMYFUNCTION("""COMPUTED_VALUE"""),"Aminat")</f>
        <v>Aminat</v>
      </c>
      <c r="C788" s="2" t="str">
        <f>IFERROR(__xludf.DUMMYFUNCTION("""COMPUTED_VALUE"""),"Key Personnel")</f>
        <v>Key Personnel</v>
      </c>
      <c r="D788" s="2" t="str">
        <f>IFERROR(__xludf.DUMMYFUNCTION("""COMPUTED_VALUE"""),"Lee ")</f>
        <v>Lee </v>
      </c>
      <c r="E788" s="2" t="str">
        <f>IFERROR(__xludf.DUMMYFUNCTION("""COMPUTED_VALUE"""),"Post Doc")</f>
        <v>Post Doc</v>
      </c>
      <c r="F788" s="2" t="str">
        <f>IFERROR(__xludf.DUMMYFUNCTION("""COMPUTED_VALUE"""),"imamf001@umn.edu")</f>
        <v>imamf001@umn.edu</v>
      </c>
      <c r="G788" s="2" t="str">
        <f>IFERROR(__xludf.DUMMYFUNCTION("""COMPUTED_VALUE"""),"0000-0003-1359-7945")</f>
        <v>0000-0003-1359-7945</v>
      </c>
    </row>
    <row r="789">
      <c r="A789" s="2" t="str">
        <f>IFERROR(__xludf.DUMMYFUNCTION("""COMPUTED_VALUE"""),"Zhang")</f>
        <v>Zhang</v>
      </c>
      <c r="B789" s="2" t="str">
        <f>IFERROR(__xludf.DUMMYFUNCTION("""COMPUTED_VALUE"""),"Ying")</f>
        <v>Ying</v>
      </c>
      <c r="C789" s="2" t="str">
        <f>IFERROR(__xludf.DUMMYFUNCTION("""COMPUTED_VALUE"""),"Key Personnel")</f>
        <v>Key Personnel</v>
      </c>
      <c r="D789" s="2" t="str">
        <f>IFERROR(__xludf.DUMMYFUNCTION("""COMPUTED_VALUE"""),"Lee ")</f>
        <v>Lee </v>
      </c>
      <c r="E789" s="2" t="str">
        <f>IFERROR(__xludf.DUMMYFUNCTION("""COMPUTED_VALUE"""),"Post Doc")</f>
        <v>Post Doc</v>
      </c>
      <c r="F789" s="2" t="str">
        <f>IFERROR(__xludf.DUMMYFUNCTION("""COMPUTED_VALUE"""),"zhan2142@umn.edu")</f>
        <v>zhan2142@umn.edu</v>
      </c>
      <c r="G789" s="2" t="str">
        <f>IFERROR(__xludf.DUMMYFUNCTION("""COMPUTED_VALUE"""),"0000-0003-3764-7329")</f>
        <v>0000-0003-3764-7329</v>
      </c>
    </row>
    <row r="790">
      <c r="A790" s="2" t="str">
        <f>IFERROR(__xludf.DUMMYFUNCTION("""COMPUTED_VALUE"""),"Carey")</f>
        <v>Carey</v>
      </c>
      <c r="B790" s="2" t="str">
        <f>IFERROR(__xludf.DUMMYFUNCTION("""COMPUTED_VALUE"""),"Joshua")</f>
        <v>Joshua</v>
      </c>
      <c r="C790" s="2" t="str">
        <f>IFERROR(__xludf.DUMMYFUNCTION("""COMPUTED_VALUE"""),"Key Personnel")</f>
        <v>Key Personnel</v>
      </c>
      <c r="D790" s="2" t="str">
        <f>IFERROR(__xludf.DUMMYFUNCTION("""COMPUTED_VALUE"""),"Niedernhofer")</f>
        <v>Niedernhofer</v>
      </c>
      <c r="E790" s="2" t="str">
        <f>IFERROR(__xludf.DUMMYFUNCTION("""COMPUTED_VALUE"""),"Researcher 1")</f>
        <v>Researcher 1</v>
      </c>
      <c r="F790" s="2" t="str">
        <f>IFERROR(__xludf.DUMMYFUNCTION("""COMPUTED_VALUE"""),"carey356@umn.edu")</f>
        <v>carey356@umn.edu</v>
      </c>
      <c r="G790" s="2" t="str">
        <f>IFERROR(__xludf.DUMMYFUNCTION("""COMPUTED_VALUE"""),"0009-0007-3408-4993")</f>
        <v>0009-0007-3408-4993</v>
      </c>
    </row>
    <row r="791">
      <c r="A791" s="2" t="str">
        <f>IFERROR(__xludf.DUMMYFUNCTION("""COMPUTED_VALUE"""),"Soto-Avellaneda")</f>
        <v>Soto-Avellaneda</v>
      </c>
      <c r="B791" s="2" t="str">
        <f>IFERROR(__xludf.DUMMYFUNCTION("""COMPUTED_VALUE"""),"Alex")</f>
        <v>Alex</v>
      </c>
      <c r="C791" s="2" t="str">
        <f>IFERROR(__xludf.DUMMYFUNCTION("""COMPUTED_VALUE"""),"Key Personnel")</f>
        <v>Key Personnel</v>
      </c>
      <c r="D791" s="2" t="str">
        <f>IFERROR(__xludf.DUMMYFUNCTION("""COMPUTED_VALUE"""),"Henderson")</f>
        <v>Henderson</v>
      </c>
      <c r="E791" s="2" t="str">
        <f>IFERROR(__xludf.DUMMYFUNCTION("""COMPUTED_VALUE"""),"Post Doc")</f>
        <v>Post Doc</v>
      </c>
      <c r="F791" s="2" t="str">
        <f>IFERROR(__xludf.DUMMYFUNCTION("""COMPUTED_VALUE"""),"Alex.Soto@vai.org")</f>
        <v>Alex.Soto@vai.org</v>
      </c>
      <c r="G791" s="2" t="str">
        <f>IFERROR(__xludf.DUMMYFUNCTION("""COMPUTED_VALUE"""),"0000-0003-2600-9639.")</f>
        <v>0000-0003-2600-9639.</v>
      </c>
    </row>
    <row r="792">
      <c r="A792" s="2" t="str">
        <f>IFERROR(__xludf.DUMMYFUNCTION("""COMPUTED_VALUE"""),"Peters")</f>
        <v>Peters</v>
      </c>
      <c r="B792" s="2" t="str">
        <f>IFERROR(__xludf.DUMMYFUNCTION("""COMPUTED_VALUE"""),"Sam")</f>
        <v>Sam</v>
      </c>
      <c r="C792" s="2" t="str">
        <f>IFERROR(__xludf.DUMMYFUNCTION("""COMPUTED_VALUE"""),"Key Personnel")</f>
        <v>Key Personnel</v>
      </c>
      <c r="D792" s="2" t="str">
        <f>IFERROR(__xludf.DUMMYFUNCTION("""COMPUTED_VALUE"""),"Niedernhofer")</f>
        <v>Niedernhofer</v>
      </c>
      <c r="E792" s="2"/>
      <c r="F792" s="2" t="str">
        <f>IFERROR(__xludf.DUMMYFUNCTION("""COMPUTED_VALUE"""),"stpeters@umn.edu")</f>
        <v>stpeters@umn.edu</v>
      </c>
      <c r="G792" s="2" t="str">
        <f>IFERROR(__xludf.DUMMYFUNCTION("""COMPUTED_VALUE"""),"0000-0003-1479-8087")</f>
        <v>0000-0003-1479-8087</v>
      </c>
    </row>
    <row r="793">
      <c r="A793" s="2" t="str">
        <f>IFERROR(__xludf.DUMMYFUNCTION("""COMPUTED_VALUE"""),"Karim")</f>
        <v>Karim</v>
      </c>
      <c r="B793" s="2" t="str">
        <f>IFERROR(__xludf.DUMMYFUNCTION("""COMPUTED_VALUE"""),"Razaul")</f>
        <v>Razaul</v>
      </c>
      <c r="C793" s="2" t="str">
        <f>IFERROR(__xludf.DUMMYFUNCTION("""COMPUTED_VALUE"""),"Key Personnel")</f>
        <v>Key Personnel</v>
      </c>
      <c r="D793" s="2" t="str">
        <f>IFERROR(__xludf.DUMMYFUNCTION("""COMPUTED_VALUE"""),"Lee")</f>
        <v>Lee</v>
      </c>
      <c r="E793" s="2" t="str">
        <f>IFERROR(__xludf.DUMMYFUNCTION("""COMPUTED_VALUE"""),"Researcher 6")</f>
        <v>Researcher 6</v>
      </c>
      <c r="F793" s="2" t="str">
        <f>IFERROR(__xludf.DUMMYFUNCTION("""COMPUTED_VALUE"""),"karimr@umn.edu")</f>
        <v>karimr@umn.edu</v>
      </c>
      <c r="G793" s="2" t="str">
        <f>IFERROR(__xludf.DUMMYFUNCTION("""COMPUTED_VALUE"""),"0000-0002-0058-1429")</f>
        <v>0000-0002-0058-1429</v>
      </c>
    </row>
    <row r="794">
      <c r="A794" s="2" t="str">
        <f>IFERROR(__xludf.DUMMYFUNCTION("""COMPUTED_VALUE"""),"Phillip")</f>
        <v>Phillip</v>
      </c>
      <c r="B794" s="2" t="str">
        <f>IFERROR(__xludf.DUMMYFUNCTION("""COMPUTED_VALUE"""),"Sam")</f>
        <v>Sam</v>
      </c>
      <c r="C794" s="2" t="str">
        <f>IFERROR(__xludf.DUMMYFUNCTION("""COMPUTED_VALUE"""),"Key Personnel")</f>
        <v>Key Personnel</v>
      </c>
      <c r="D794" s="2" t="str">
        <f>IFERROR(__xludf.DUMMYFUNCTION("""COMPUTED_VALUE"""),"Lee")</f>
        <v>Lee</v>
      </c>
      <c r="E794" s="2" t="str">
        <f>IFERROR(__xludf.DUMMYFUNCTION("""COMPUTED_VALUE"""),"Post Doc")</f>
        <v>Post Doc</v>
      </c>
      <c r="F794" s="2" t="str">
        <f>IFERROR(__xludf.DUMMYFUNCTION("""COMPUTED_VALUE"""),"phill529@umn.edu")</f>
        <v>phill529@umn.edu</v>
      </c>
      <c r="G794" s="2" t="str">
        <f>IFERROR(__xludf.DUMMYFUNCTION("""COMPUTED_VALUE"""),"0009-0004-1298-979x")</f>
        <v>0009-0004-1298-979x</v>
      </c>
    </row>
    <row r="795">
      <c r="A795" s="2" t="str">
        <f>IFERROR(__xludf.DUMMYFUNCTION("""COMPUTED_VALUE"""),"Van Setters")</f>
        <v>Van Setters</v>
      </c>
      <c r="B795" s="2" t="str">
        <f>IFERROR(__xludf.DUMMYFUNCTION("""COMPUTED_VALUE"""),"Ben")</f>
        <v>Ben</v>
      </c>
      <c r="C795" s="2" t="str">
        <f>IFERROR(__xludf.DUMMYFUNCTION("""COMPUTED_VALUE"""),"Key Personnel")</f>
        <v>Key Personnel</v>
      </c>
      <c r="D795" s="2" t="str">
        <f>IFERROR(__xludf.DUMMYFUNCTION("""COMPUTED_VALUE"""),"Niedernhofer")</f>
        <v>Niedernhofer</v>
      </c>
      <c r="E795" s="2" t="str">
        <f>IFERROR(__xludf.DUMMYFUNCTION("""COMPUTED_VALUE"""),"Researcher 1")</f>
        <v>Researcher 1</v>
      </c>
      <c r="F795" s="2" t="str">
        <f>IFERROR(__xludf.DUMMYFUNCTION("""COMPUTED_VALUE"""),"vanse032@umn.edu")</f>
        <v>vanse032@umn.edu</v>
      </c>
      <c r="G795" s="2" t="str">
        <f>IFERROR(__xludf.DUMMYFUNCTION("""COMPUTED_VALUE"""),"0009-0001-3419-3969")</f>
        <v>0009-0001-3419-3969</v>
      </c>
    </row>
    <row r="796">
      <c r="A796" s="2" t="str">
        <f>IFERROR(__xludf.DUMMYFUNCTION("""COMPUTED_VALUE"""),"Olaseinde")</f>
        <v>Olaseinde</v>
      </c>
      <c r="B796" s="2" t="str">
        <f>IFERROR(__xludf.DUMMYFUNCTION("""COMPUTED_VALUE"""),"Olutayo")</f>
        <v>Olutayo</v>
      </c>
      <c r="C796" s="2" t="str">
        <f>IFERROR(__xludf.DUMMYFUNCTION("""COMPUTED_VALUE"""),"Key Personnel")</f>
        <v>Key Personnel</v>
      </c>
      <c r="D796" s="2" t="str">
        <f>IFERROR(__xludf.DUMMYFUNCTION("""COMPUTED_VALUE"""),"Lee")</f>
        <v>Lee</v>
      </c>
      <c r="E796" s="2" t="str">
        <f>IFERROR(__xludf.DUMMYFUNCTION("""COMPUTED_VALUE"""),"researcher 1")</f>
        <v>researcher 1</v>
      </c>
      <c r="F796" s="2" t="str">
        <f>IFERROR(__xludf.DUMMYFUNCTION("""COMPUTED_VALUE"""),"oolasein@umn.edu")</f>
        <v>oolasein@umn.edu</v>
      </c>
      <c r="G796" s="2" t="str">
        <f>IFERROR(__xludf.DUMMYFUNCTION("""COMPUTED_VALUE"""),"0000-0001-6415-5288")</f>
        <v>0000-0001-6415-5288</v>
      </c>
    </row>
    <row r="797">
      <c r="A797" s="2" t="str">
        <f>IFERROR(__xludf.DUMMYFUNCTION("""COMPUTED_VALUE"""),"Lubben")</f>
        <v>Lubben</v>
      </c>
      <c r="B797" s="2" t="str">
        <f>IFERROR(__xludf.DUMMYFUNCTION("""COMPUTED_VALUE"""),"Noah")</f>
        <v>Noah</v>
      </c>
      <c r="C797" s="2" t="str">
        <f>IFERROR(__xludf.DUMMYFUNCTION("""COMPUTED_VALUE"""),"Key Personnel")</f>
        <v>Key Personnel</v>
      </c>
      <c r="D797" s="2" t="str">
        <f>IFERROR(__xludf.DUMMYFUNCTION("""COMPUTED_VALUE"""),"Henderson")</f>
        <v>Henderson</v>
      </c>
      <c r="E797" s="2" t="str">
        <f>IFERROR(__xludf.DUMMYFUNCTION("""COMPUTED_VALUE"""),"Researcher ")</f>
        <v>Researcher </v>
      </c>
      <c r="F797" s="2" t="str">
        <f>IFERROR(__xludf.DUMMYFUNCTION("""COMPUTED_VALUE"""),"Noah.Lubben@vai.org")</f>
        <v>Noah.Lubben@vai.org</v>
      </c>
      <c r="G797" s="2"/>
    </row>
    <row r="798">
      <c r="A798" s="2" t="str">
        <f>IFERROR(__xludf.DUMMYFUNCTION("""COMPUTED_VALUE"""),"Chennavajula")</f>
        <v>Chennavajula</v>
      </c>
      <c r="B798" s="2" t="str">
        <f>IFERROR(__xludf.DUMMYFUNCTION("""COMPUTED_VALUE"""),"Krishna")</f>
        <v>Krishna</v>
      </c>
      <c r="C798" s="2" t="str">
        <f>IFERROR(__xludf.DUMMYFUNCTION("""COMPUTED_VALUE"""),"Key Personnel")</f>
        <v>Key Personnel</v>
      </c>
      <c r="D798" s="2" t="str">
        <f>IFERROR(__xludf.DUMMYFUNCTION("""COMPUTED_VALUE"""),"Lee")</f>
        <v>Lee</v>
      </c>
      <c r="E798" s="2" t="str">
        <f>IFERROR(__xludf.DUMMYFUNCTION("""COMPUTED_VALUE"""),"Researcher")</f>
        <v>Researcher</v>
      </c>
      <c r="F798" s="2" t="str">
        <f>IFERROR(__xludf.DUMMYFUNCTION("""COMPUTED_VALUE"""),"chenn017@umn.edu")</f>
        <v>chenn017@umn.edu</v>
      </c>
      <c r="G798" s="2" t="str">
        <f>IFERROR(__xludf.DUMMYFUNCTION("""COMPUTED_VALUE"""),"0009-0001-3140-9744")</f>
        <v>0009-0001-3140-9744</v>
      </c>
    </row>
    <row r="799">
      <c r="A799" s="2" t="str">
        <f>IFERROR(__xludf.DUMMYFUNCTION("""COMPUTED_VALUE"""),"Van Setters")</f>
        <v>Van Setters</v>
      </c>
      <c r="B799" s="2" t="str">
        <f>IFERROR(__xludf.DUMMYFUNCTION("""COMPUTED_VALUE"""),"Benjamin")</f>
        <v>Benjamin</v>
      </c>
      <c r="C799" s="2" t="str">
        <f>IFERROR(__xludf.DUMMYFUNCTION("""COMPUTED_VALUE"""),"Key Personnel")</f>
        <v>Key Personnel</v>
      </c>
      <c r="D799" s="2" t="str">
        <f>IFERROR(__xludf.DUMMYFUNCTION("""COMPUTED_VALUE"""),"Niedernhofer")</f>
        <v>Niedernhofer</v>
      </c>
      <c r="E799" s="2" t="str">
        <f>IFERROR(__xludf.DUMMYFUNCTION("""COMPUTED_VALUE"""),"Researcher 1")</f>
        <v>Researcher 1</v>
      </c>
      <c r="F799" s="2" t="str">
        <f>IFERROR(__xludf.DUMMYFUNCTION("""COMPUTED_VALUE"""),"vanse032@umn.edu")</f>
        <v>vanse032@umn.edu</v>
      </c>
      <c r="G799" s="2" t="str">
        <f>IFERROR(__xludf.DUMMYFUNCTION("""COMPUTED_VALUE"""),"0009-0001-3419-3969")</f>
        <v>0009-0001-3419-3969</v>
      </c>
    </row>
    <row r="800">
      <c r="A800" s="2" t="str">
        <f>IFERROR(__xludf.DUMMYFUNCTION("""COMPUTED_VALUE"""),"Liddle")</f>
        <v>Liddle</v>
      </c>
      <c r="B800" s="2" t="str">
        <f>IFERROR(__xludf.DUMMYFUNCTION("""COMPUTED_VALUE"""),"Rodger")</f>
        <v>Rodger</v>
      </c>
      <c r="C800" s="2" t="str">
        <f>IFERROR(__xludf.DUMMYFUNCTION("""COMPUTED_VALUE"""),"Lead-PI")</f>
        <v>Lead-PI</v>
      </c>
      <c r="D800" s="2" t="str">
        <f>IFERROR(__xludf.DUMMYFUNCTION("""COMPUTED_VALUE"""),"Liddle")</f>
        <v>Liddle</v>
      </c>
      <c r="E800" s="2" t="str">
        <f>IFERROR(__xludf.DUMMYFUNCTION("""COMPUTED_VALUE"""),"PI")</f>
        <v>PI</v>
      </c>
      <c r="F800" s="2" t="str">
        <f>IFERROR(__xludf.DUMMYFUNCTION("""COMPUTED_VALUE"""),"rodger.liddle@duke.edu")</f>
        <v>rodger.liddle@duke.edu</v>
      </c>
      <c r="G800" s="2" t="str">
        <f>IFERROR(__xludf.DUMMYFUNCTION("""COMPUTED_VALUE"""),"0000-0002-5498-4151")</f>
        <v>0000-0002-5498-4151</v>
      </c>
    </row>
    <row r="801">
      <c r="A801" s="2" t="str">
        <f>IFERROR(__xludf.DUMMYFUNCTION("""COMPUTED_VALUE"""),"Payami")</f>
        <v>Payami</v>
      </c>
      <c r="B801" s="2" t="str">
        <f>IFERROR(__xludf.DUMMYFUNCTION("""COMPUTED_VALUE"""),"Haydeh")</f>
        <v>Haydeh</v>
      </c>
      <c r="C801" s="2" t="str">
        <f>IFERROR(__xludf.DUMMYFUNCTION("""COMPUTED_VALUE"""),"Co-PI")</f>
        <v>Co-PI</v>
      </c>
      <c r="D801" s="2" t="str">
        <f>IFERROR(__xludf.DUMMYFUNCTION("""COMPUTED_VALUE"""),"Payami")</f>
        <v>Payami</v>
      </c>
      <c r="E801" s="2" t="str">
        <f>IFERROR(__xludf.DUMMYFUNCTION("""COMPUTED_VALUE"""),"PI")</f>
        <v>PI</v>
      </c>
      <c r="F801" s="2" t="str">
        <f>IFERROR(__xludf.DUMMYFUNCTION("""COMPUTED_VALUE"""),"haydehpayami@uabmc.edu")</f>
        <v>haydehpayami@uabmc.edu</v>
      </c>
      <c r="G801" s="2" t="str">
        <f>IFERROR(__xludf.DUMMYFUNCTION("""COMPUTED_VALUE"""),"0000-0001-9084-5338")</f>
        <v>0000-0001-9084-5338</v>
      </c>
    </row>
    <row r="802">
      <c r="A802" s="2" t="str">
        <f>IFERROR(__xludf.DUMMYFUNCTION("""COMPUTED_VALUE"""),"Sampson")</f>
        <v>Sampson</v>
      </c>
      <c r="B802" s="2" t="str">
        <f>IFERROR(__xludf.DUMMYFUNCTION("""COMPUTED_VALUE"""),"Timothy")</f>
        <v>Timothy</v>
      </c>
      <c r="C802" s="2" t="str">
        <f>IFERROR(__xludf.DUMMYFUNCTION("""COMPUTED_VALUE"""),"Co-PI")</f>
        <v>Co-PI</v>
      </c>
      <c r="D802" s="2" t="str">
        <f>IFERROR(__xludf.DUMMYFUNCTION("""COMPUTED_VALUE"""),"Sampson")</f>
        <v>Sampson</v>
      </c>
      <c r="E802" s="2" t="str">
        <f>IFERROR(__xludf.DUMMYFUNCTION("""COMPUTED_VALUE"""),"PI")</f>
        <v>PI</v>
      </c>
      <c r="F802" s="2" t="str">
        <f>IFERROR(__xludf.DUMMYFUNCTION("""COMPUTED_VALUE"""),"timothy.robert.sampson@emory.edu")</f>
        <v>timothy.robert.sampson@emory.edu</v>
      </c>
      <c r="G802" s="2" t="str">
        <f>IFERROR(__xludf.DUMMYFUNCTION("""COMPUTED_VALUE"""),"0000-0002-2486-8766")</f>
        <v>0000-0002-2486-8766</v>
      </c>
    </row>
    <row r="803">
      <c r="A803" s="2" t="str">
        <f>IFERROR(__xludf.DUMMYFUNCTION("""COMPUTED_VALUE"""),"Tansey")</f>
        <v>Tansey</v>
      </c>
      <c r="B803" s="2" t="str">
        <f>IFERROR(__xludf.DUMMYFUNCTION("""COMPUTED_VALUE"""),"Malu")</f>
        <v>Malu</v>
      </c>
      <c r="C803" s="2" t="str">
        <f>IFERROR(__xludf.DUMMYFUNCTION("""COMPUTED_VALUE"""),"Co-PI")</f>
        <v>Co-PI</v>
      </c>
      <c r="D803" s="2" t="str">
        <f>IFERROR(__xludf.DUMMYFUNCTION("""COMPUTED_VALUE"""),"Tansey")</f>
        <v>Tansey</v>
      </c>
      <c r="E803" s="2" t="str">
        <f>IFERROR(__xludf.DUMMYFUNCTION("""COMPUTED_VALUE"""),"PI")</f>
        <v>PI</v>
      </c>
      <c r="F803" s="2" t="str">
        <f>IFERROR(__xludf.DUMMYFUNCTION("""COMPUTED_VALUE"""),"mgtansey@ufl.edu")</f>
        <v>mgtansey@ufl.edu</v>
      </c>
      <c r="G803" s="2" t="str">
        <f>IFERROR(__xludf.DUMMYFUNCTION("""COMPUTED_VALUE"""),"0000-0002-1719-4708")</f>
        <v>0000-0002-1719-4708</v>
      </c>
    </row>
    <row r="804">
      <c r="A804" s="2" t="str">
        <f>IFERROR(__xludf.DUMMYFUNCTION("""COMPUTED_VALUE"""),"West")</f>
        <v>West</v>
      </c>
      <c r="B804" s="2" t="str">
        <f>IFERROR(__xludf.DUMMYFUNCTION("""COMPUTED_VALUE"""),"Andrew")</f>
        <v>Andrew</v>
      </c>
      <c r="C804" s="2" t="str">
        <f>IFERROR(__xludf.DUMMYFUNCTION("""COMPUTED_VALUE"""),"Co-PI")</f>
        <v>Co-PI</v>
      </c>
      <c r="D804" s="2" t="str">
        <f>IFERROR(__xludf.DUMMYFUNCTION("""COMPUTED_VALUE"""),"West")</f>
        <v>West</v>
      </c>
      <c r="E804" s="2" t="str">
        <f>IFERROR(__xludf.DUMMYFUNCTION("""COMPUTED_VALUE"""),"PI")</f>
        <v>PI</v>
      </c>
      <c r="F804" s="2" t="str">
        <f>IFERROR(__xludf.DUMMYFUNCTION("""COMPUTED_VALUE"""),"andrew.west@duke.edu")</f>
        <v>andrew.west@duke.edu</v>
      </c>
      <c r="G804" s="2" t="str">
        <f>IFERROR(__xludf.DUMMYFUNCTION("""COMPUTED_VALUE"""),"0000-0002-3034-4061")</f>
        <v>0000-0002-3034-4061</v>
      </c>
    </row>
    <row r="805">
      <c r="A805" s="2" t="str">
        <f>IFERROR(__xludf.DUMMYFUNCTION("""COMPUTED_VALUE"""),"Boddu")</f>
        <v>Boddu</v>
      </c>
      <c r="B805" s="2" t="str">
        <f>IFERROR(__xludf.DUMMYFUNCTION("""COMPUTED_VALUE"""),"Ravindra")</f>
        <v>Ravindra</v>
      </c>
      <c r="C805" s="2" t="str">
        <f>IFERROR(__xludf.DUMMYFUNCTION("""COMPUTED_VALUE"""),"Key Personnel")</f>
        <v>Key Personnel</v>
      </c>
      <c r="D805" s="2" t="str">
        <f>IFERROR(__xludf.DUMMYFUNCTION("""COMPUTED_VALUE"""),"West")</f>
        <v>West</v>
      </c>
      <c r="E805" s="2" t="str">
        <f>IFERROR(__xludf.DUMMYFUNCTION("""COMPUTED_VALUE"""),"Research Scientist &amp; Lab Manager")</f>
        <v>Research Scientist &amp; Lab Manager</v>
      </c>
      <c r="F805" s="2" t="str">
        <f>IFERROR(__xludf.DUMMYFUNCTION("""COMPUTED_VALUE"""),"ravindra.boddu@duke.edu")</f>
        <v>ravindra.boddu@duke.edu</v>
      </c>
      <c r="G805" s="2" t="str">
        <f>IFERROR(__xludf.DUMMYFUNCTION("""COMPUTED_VALUE"""),"0000-0002-4723-9209")</f>
        <v>0000-0002-4723-9209</v>
      </c>
    </row>
    <row r="806">
      <c r="A806" s="2" t="str">
        <f>IFERROR(__xludf.DUMMYFUNCTION("""COMPUTED_VALUE"""),"White")</f>
        <v>White</v>
      </c>
      <c r="B806" s="2" t="str">
        <f>IFERROR(__xludf.DUMMYFUNCTION("""COMPUTED_VALUE"""),"Alexandria")</f>
        <v>Alexandria</v>
      </c>
      <c r="C806" s="2" t="str">
        <f>IFERROR(__xludf.DUMMYFUNCTION("""COMPUTED_VALUE"""),"Key Personnel")</f>
        <v>Key Personnel</v>
      </c>
      <c r="D806" s="2" t="str">
        <f>IFERROR(__xludf.DUMMYFUNCTION("""COMPUTED_VALUE"""),"Sampson")</f>
        <v>Sampson</v>
      </c>
      <c r="E806" s="2" t="str">
        <f>IFERROR(__xludf.DUMMYFUNCTION("""COMPUTED_VALUE"""),"Graduate Student")</f>
        <v>Graduate Student</v>
      </c>
      <c r="F806" s="2" t="str">
        <f>IFERROR(__xludf.DUMMYFUNCTION("""COMPUTED_VALUE"""),"alexandria.white@emory.edu")</f>
        <v>alexandria.white@emory.edu</v>
      </c>
      <c r="G806" s="2" t="str">
        <f>IFERROR(__xludf.DUMMYFUNCTION("""COMPUTED_VALUE"""),"0000-0002-9261-9868")</f>
        <v>0000-0002-9261-9868</v>
      </c>
    </row>
    <row r="807">
      <c r="A807" s="2" t="str">
        <f>IFERROR(__xludf.DUMMYFUNCTION("""COMPUTED_VALUE"""),"Blackmer-Raynolds")</f>
        <v>Blackmer-Raynolds</v>
      </c>
      <c r="B807" s="2" t="str">
        <f>IFERROR(__xludf.DUMMYFUNCTION("""COMPUTED_VALUE"""),"Lisa")</f>
        <v>Lisa</v>
      </c>
      <c r="C807" s="2" t="str">
        <f>IFERROR(__xludf.DUMMYFUNCTION("""COMPUTED_VALUE"""),"Key Personnel")</f>
        <v>Key Personnel</v>
      </c>
      <c r="D807" s="2" t="str">
        <f>IFERROR(__xludf.DUMMYFUNCTION("""COMPUTED_VALUE"""),"Sampson")</f>
        <v>Sampson</v>
      </c>
      <c r="E807" s="2" t="str">
        <f>IFERROR(__xludf.DUMMYFUNCTION("""COMPUTED_VALUE"""),"Graduate Student")</f>
        <v>Graduate Student</v>
      </c>
      <c r="F807" s="2" t="str">
        <f>IFERROR(__xludf.DUMMYFUNCTION("""COMPUTED_VALUE"""),"lisa.blackmer-raynolds@emory.edu")</f>
        <v>lisa.blackmer-raynolds@emory.edu</v>
      </c>
      <c r="G807" s="2" t="str">
        <f>IFERROR(__xludf.DUMMYFUNCTION("""COMPUTED_VALUE"""),"0000-0001-5436-174X")</f>
        <v>0000-0001-5436-174X</v>
      </c>
    </row>
    <row r="808">
      <c r="A808" s="2" t="str">
        <f>IFERROR(__xludf.DUMMYFUNCTION("""COMPUTED_VALUE"""),"Twa")</f>
        <v>Twa</v>
      </c>
      <c r="B808" s="2" t="str">
        <f>IFERROR(__xludf.DUMMYFUNCTION("""COMPUTED_VALUE"""),"Guy")</f>
        <v>Guy</v>
      </c>
      <c r="C808" s="2" t="str">
        <f>IFERROR(__xludf.DUMMYFUNCTION("""COMPUTED_VALUE"""),"Key Personnel")</f>
        <v>Key Personnel</v>
      </c>
      <c r="D808" s="2" t="str">
        <f>IFERROR(__xludf.DUMMYFUNCTION("""COMPUTED_VALUE"""),"Payami")</f>
        <v>Payami</v>
      </c>
      <c r="E808" s="2" t="str">
        <f>IFERROR(__xludf.DUMMYFUNCTION("""COMPUTED_VALUE"""),"Graduate Student")</f>
        <v>Graduate Student</v>
      </c>
      <c r="F808" s="2" t="str">
        <f>IFERROR(__xludf.DUMMYFUNCTION("""COMPUTED_VALUE"""),"gtwa@uab.edu")</f>
        <v>gtwa@uab.edu</v>
      </c>
      <c r="G808" s="2" t="str">
        <f>IFERROR(__xludf.DUMMYFUNCTION("""COMPUTED_VALUE"""),"0000-0002-8409-7844")</f>
        <v>0000-0002-8409-7844</v>
      </c>
    </row>
    <row r="809">
      <c r="A809" s="2" t="str">
        <f>IFERROR(__xludf.DUMMYFUNCTION("""COMPUTED_VALUE"""),"Demirkan")</f>
        <v>Demirkan</v>
      </c>
      <c r="B809" s="2" t="str">
        <f>IFERROR(__xludf.DUMMYFUNCTION("""COMPUTED_VALUE"""),"Ayse")</f>
        <v>Ayse</v>
      </c>
      <c r="C809" s="2" t="str">
        <f>IFERROR(__xludf.DUMMYFUNCTION("""COMPUTED_VALUE"""),"Key Personnel")</f>
        <v>Key Personnel</v>
      </c>
      <c r="D809" s="2" t="str">
        <f>IFERROR(__xludf.DUMMYFUNCTION("""COMPUTED_VALUE"""),"Payami")</f>
        <v>Payami</v>
      </c>
      <c r="E809" s="2" t="str">
        <f>IFERROR(__xludf.DUMMYFUNCTION("""COMPUTED_VALUE"""),"Scientist")</f>
        <v>Scientist</v>
      </c>
      <c r="F809" s="2" t="str">
        <f>IFERROR(__xludf.DUMMYFUNCTION("""COMPUTED_VALUE"""),"a.demirkan@surrey.ac.uk")</f>
        <v>a.demirkan@surrey.ac.uk</v>
      </c>
      <c r="G809" s="2" t="str">
        <f>IFERROR(__xludf.DUMMYFUNCTION("""COMPUTED_VALUE"""),"0000-0002-7546-0867")</f>
        <v>0000-0002-7546-0867</v>
      </c>
    </row>
    <row r="810">
      <c r="A810" s="2" t="str">
        <f>IFERROR(__xludf.DUMMYFUNCTION("""COMPUTED_VALUE"""),"Otero")</f>
        <v>Otero</v>
      </c>
      <c r="B810" s="2" t="str">
        <f>IFERROR(__xludf.DUMMYFUNCTION("""COMPUTED_VALUE"""),"Brittney")</f>
        <v>Brittney</v>
      </c>
      <c r="C810" s="2" t="str">
        <f>IFERROR(__xludf.DUMMYFUNCTION("""COMPUTED_VALUE"""),"Key Personnel")</f>
        <v>Key Personnel</v>
      </c>
      <c r="D810" s="2" t="str">
        <f>IFERROR(__xludf.DUMMYFUNCTION("""COMPUTED_VALUE"""),"Tansey")</f>
        <v>Tansey</v>
      </c>
      <c r="E810" s="2" t="str">
        <f>IFERROR(__xludf.DUMMYFUNCTION("""COMPUTED_VALUE"""),"Post-Doc")</f>
        <v>Post-Doc</v>
      </c>
      <c r="F810" s="2" t="str">
        <f>IFERROR(__xludf.DUMMYFUNCTION("""COMPUTED_VALUE"""),"brittotero@ufl.edu")</f>
        <v>brittotero@ufl.edu</v>
      </c>
      <c r="G810" s="2" t="str">
        <f>IFERROR(__xludf.DUMMYFUNCTION("""COMPUTED_VALUE"""),"0000-0003-2179-0112")</f>
        <v>0000-0003-2179-0112</v>
      </c>
    </row>
    <row r="811">
      <c r="A811" s="2" t="str">
        <f>IFERROR(__xludf.DUMMYFUNCTION("""COMPUTED_VALUE"""),"Martin Pena")</f>
        <v>Martin Pena</v>
      </c>
      <c r="B811" s="2" t="str">
        <f>IFERROR(__xludf.DUMMYFUNCTION("""COMPUTED_VALUE"""),"Alfonso")</f>
        <v>Alfonso</v>
      </c>
      <c r="C811" s="2" t="str">
        <f>IFERROR(__xludf.DUMMYFUNCTION("""COMPUTED_VALUE"""),"Key Personnel")</f>
        <v>Key Personnel</v>
      </c>
      <c r="D811" s="2" t="str">
        <f>IFERROR(__xludf.DUMMYFUNCTION("""COMPUTED_VALUE"""),"Tansey")</f>
        <v>Tansey</v>
      </c>
      <c r="E811" s="2" t="str">
        <f>IFERROR(__xludf.DUMMYFUNCTION("""COMPUTED_VALUE"""),"Res. Asst. Professor")</f>
        <v>Res. Asst. Professor</v>
      </c>
      <c r="F811" s="2" t="str">
        <f>IFERROR(__xludf.DUMMYFUNCTION("""COMPUTED_VALUE"""),"alfonso.m.pena@ufl.edu")</f>
        <v>alfonso.m.pena@ufl.edu</v>
      </c>
      <c r="G811" s="2" t="str">
        <f>IFERROR(__xludf.DUMMYFUNCTION("""COMPUTED_VALUE"""),"0000-0001-7598-0777")</f>
        <v>0000-0001-7598-0777</v>
      </c>
    </row>
    <row r="812">
      <c r="A812" s="2" t="str">
        <f>IFERROR(__xludf.DUMMYFUNCTION("""COMPUTED_VALUE"""),"Caira")</f>
        <v>Caira</v>
      </c>
      <c r="B812" s="2" t="str">
        <f>IFERROR(__xludf.DUMMYFUNCTION("""COMPUTED_VALUE"""),"Christina")</f>
        <v>Christina</v>
      </c>
      <c r="C812" s="2" t="str">
        <f>IFERROR(__xludf.DUMMYFUNCTION("""COMPUTED_VALUE"""),"Key Personnel")</f>
        <v>Key Personnel</v>
      </c>
      <c r="D812" s="2" t="str">
        <f>IFERROR(__xludf.DUMMYFUNCTION("""COMPUTED_VALUE"""),"West")</f>
        <v>West</v>
      </c>
      <c r="E812" s="2" t="str">
        <f>IFERROR(__xludf.DUMMYFUNCTION("""COMPUTED_VALUE"""),"Graduate Student")</f>
        <v>Graduate Student</v>
      </c>
      <c r="F812" s="2" t="str">
        <f>IFERROR(__xludf.DUMMYFUNCTION("""COMPUTED_VALUE"""),"Christina.Stanhope@duke.edu")</f>
        <v>Christina.Stanhope@duke.edu</v>
      </c>
      <c r="G812" s="2" t="str">
        <f>IFERROR(__xludf.DUMMYFUNCTION("""COMPUTED_VALUE"""),"0000-0003-2542-5462")</f>
        <v>0000-0003-2542-5462</v>
      </c>
    </row>
    <row r="813">
      <c r="A813" s="2" t="str">
        <f>IFERROR(__xludf.DUMMYFUNCTION("""COMPUTED_VALUE"""),"Chavez Velasquez")</f>
        <v>Chavez Velasquez</v>
      </c>
      <c r="B813" s="2" t="str">
        <f>IFERROR(__xludf.DUMMYFUNCTION("""COMPUTED_VALUE"""),"Katherine ")</f>
        <v>Katherine </v>
      </c>
      <c r="C813" s="2" t="str">
        <f>IFERROR(__xludf.DUMMYFUNCTION("""COMPUTED_VALUE"""),"Key Personnel")</f>
        <v>Key Personnel</v>
      </c>
      <c r="D813" s="2" t="str">
        <f>IFERROR(__xludf.DUMMYFUNCTION("""COMPUTED_VALUE"""),"Liddle")</f>
        <v>Liddle</v>
      </c>
      <c r="E813" s="2" t="str">
        <f>IFERROR(__xludf.DUMMYFUNCTION("""COMPUTED_VALUE"""),"Project Manager")</f>
        <v>Project Manager</v>
      </c>
      <c r="F813" s="2" t="str">
        <f>IFERROR(__xludf.DUMMYFUNCTION("""COMPUTED_VALUE"""),"knc28@duke.edu")</f>
        <v>knc28@duke.edu</v>
      </c>
      <c r="G813" s="2" t="str">
        <f>IFERROR(__xludf.DUMMYFUNCTION("""COMPUTED_VALUE"""),"0000-0001-8952-385X")</f>
        <v>0000-0001-8952-385X</v>
      </c>
    </row>
    <row r="814">
      <c r="A814" s="2" t="str">
        <f>IFERROR(__xludf.DUMMYFUNCTION("""COMPUTED_VALUE"""),"Jernigan")</f>
        <v>Jernigan</v>
      </c>
      <c r="B814" s="2" t="str">
        <f>IFERROR(__xludf.DUMMYFUNCTION("""COMPUTED_VALUE"""),"Janna")</f>
        <v>Janna</v>
      </c>
      <c r="C814" s="2" t="str">
        <f>IFERROR(__xludf.DUMMYFUNCTION("""COMPUTED_VALUE"""),"Key Personnel")</f>
        <v>Key Personnel</v>
      </c>
      <c r="D814" s="2" t="str">
        <f>IFERROR(__xludf.DUMMYFUNCTION("""COMPUTED_VALUE"""),"Tansey")</f>
        <v>Tansey</v>
      </c>
      <c r="E814" s="2" t="str">
        <f>IFERROR(__xludf.DUMMYFUNCTION("""COMPUTED_VALUE"""),"Graduate Student")</f>
        <v>Graduate Student</v>
      </c>
      <c r="F814" s="2" t="str">
        <f>IFERROR(__xludf.DUMMYFUNCTION("""COMPUTED_VALUE"""),"jannajernigan@ufl.edu")</f>
        <v>jannajernigan@ufl.edu</v>
      </c>
      <c r="G814" s="2" t="str">
        <f>IFERROR(__xludf.DUMMYFUNCTION("""COMPUTED_VALUE"""),"0000-0003-0771-384X")</f>
        <v>0000-0003-0771-384X</v>
      </c>
    </row>
    <row r="815">
      <c r="A815" s="2" t="str">
        <f>IFERROR(__xludf.DUMMYFUNCTION("""COMPUTED_VALUE"""),"Williamson")</f>
        <v>Williamson</v>
      </c>
      <c r="B815" s="2" t="str">
        <f>IFERROR(__xludf.DUMMYFUNCTION("""COMPUTED_VALUE"""),"Ian")</f>
        <v>Ian</v>
      </c>
      <c r="C815" s="2" t="str">
        <f>IFERROR(__xludf.DUMMYFUNCTION("""COMPUTED_VALUE"""),"Key Personnel")</f>
        <v>Key Personnel</v>
      </c>
      <c r="D815" s="2" t="str">
        <f>IFERROR(__xludf.DUMMYFUNCTION("""COMPUTED_VALUE"""),"Liddle")</f>
        <v>Liddle</v>
      </c>
      <c r="E815" s="2" t="str">
        <f>IFERROR(__xludf.DUMMYFUNCTION("""COMPUTED_VALUE"""),"Post-Doc")</f>
        <v>Post-Doc</v>
      </c>
      <c r="F815" s="2" t="str">
        <f>IFERROR(__xludf.DUMMYFUNCTION("""COMPUTED_VALUE"""),"ian.williamson@duke.edu")</f>
        <v>ian.williamson@duke.edu</v>
      </c>
      <c r="G815" s="2" t="str">
        <f>IFERROR(__xludf.DUMMYFUNCTION("""COMPUTED_VALUE"""),"0000-0003-2795-6099")</f>
        <v>0000-0003-2795-6099</v>
      </c>
    </row>
    <row r="816">
      <c r="A816" s="2" t="str">
        <f>IFERROR(__xludf.DUMMYFUNCTION("""COMPUTED_VALUE"""),"Menees")</f>
        <v>Menees</v>
      </c>
      <c r="B816" s="2" t="str">
        <f>IFERROR(__xludf.DUMMYFUNCTION("""COMPUTED_VALUE"""),"Kelly")</f>
        <v>Kelly</v>
      </c>
      <c r="C816" s="2" t="str">
        <f>IFERROR(__xludf.DUMMYFUNCTION("""COMPUTED_VALUE"""),"Key Personnel")</f>
        <v>Key Personnel</v>
      </c>
      <c r="D816" s="2" t="str">
        <f>IFERROR(__xludf.DUMMYFUNCTION("""COMPUTED_VALUE"""),"Tansey")</f>
        <v>Tansey</v>
      </c>
      <c r="E816" s="2" t="str">
        <f>IFERROR(__xludf.DUMMYFUNCTION("""COMPUTED_VALUE"""),"Post-Doc")</f>
        <v>Post-Doc</v>
      </c>
      <c r="F816" s="2" t="str">
        <f>IFERROR(__xludf.DUMMYFUNCTION("""COMPUTED_VALUE"""),"kellymenees@ufl.edu")</f>
        <v>kellymenees@ufl.edu</v>
      </c>
      <c r="G816" s="2" t="str">
        <f>IFERROR(__xludf.DUMMYFUNCTION("""COMPUTED_VALUE"""),"0000-0003-4282-8546")</f>
        <v>0000-0003-4282-8546</v>
      </c>
    </row>
    <row r="817">
      <c r="A817" s="2" t="str">
        <f>IFERROR(__xludf.DUMMYFUNCTION("""COMPUTED_VALUE"""),"Sokratian")</f>
        <v>Sokratian</v>
      </c>
      <c r="B817" s="2" t="str">
        <f>IFERROR(__xludf.DUMMYFUNCTION("""COMPUTED_VALUE"""),"Arpine")</f>
        <v>Arpine</v>
      </c>
      <c r="C817" s="2" t="str">
        <f>IFERROR(__xludf.DUMMYFUNCTION("""COMPUTED_VALUE"""),"Key Personnel")</f>
        <v>Key Personnel</v>
      </c>
      <c r="D817" s="2" t="str">
        <f>IFERROR(__xludf.DUMMYFUNCTION("""COMPUTED_VALUE"""),"West")</f>
        <v>West</v>
      </c>
      <c r="E817" s="2" t="str">
        <f>IFERROR(__xludf.DUMMYFUNCTION("""COMPUTED_VALUE"""),"Graduate Student")</f>
        <v>Graduate Student</v>
      </c>
      <c r="F817" s="2" t="str">
        <f>IFERROR(__xludf.DUMMYFUNCTION("""COMPUTED_VALUE"""),"arpine.sokratian@duke.edu")</f>
        <v>arpine.sokratian@duke.edu</v>
      </c>
      <c r="G817" s="2" t="str">
        <f>IFERROR(__xludf.DUMMYFUNCTION("""COMPUTED_VALUE"""),"0000-0001-6654-5773")</f>
        <v>0000-0001-6654-5773</v>
      </c>
    </row>
    <row r="818">
      <c r="A818" s="2" t="str">
        <f>IFERROR(__xludf.DUMMYFUNCTION("""COMPUTED_VALUE"""),"Gounder")</f>
        <v>Gounder</v>
      </c>
      <c r="B818" s="2" t="str">
        <f>IFERROR(__xludf.DUMMYFUNCTION("""COMPUTED_VALUE"""),"Senthil")</f>
        <v>Senthil</v>
      </c>
      <c r="C818" s="2" t="str">
        <f>IFERROR(__xludf.DUMMYFUNCTION("""COMPUTED_VALUE"""),"Project Manager")</f>
        <v>Project Manager</v>
      </c>
      <c r="D818" s="2" t="str">
        <f>IFERROR(__xludf.DUMMYFUNCTION("""COMPUTED_VALUE"""),"Liddle")</f>
        <v>Liddle</v>
      </c>
      <c r="E818" s="2" t="str">
        <f>IFERROR(__xludf.DUMMYFUNCTION("""COMPUTED_VALUE"""),"Project Manager")</f>
        <v>Project Manager</v>
      </c>
      <c r="F818" s="2" t="str">
        <f>IFERROR(__xludf.DUMMYFUNCTION("""COMPUTED_VALUE"""),"senthil.gounder@duke.edu")</f>
        <v>senthil.gounder@duke.edu</v>
      </c>
      <c r="G818" s="2" t="str">
        <f>IFERROR(__xludf.DUMMYFUNCTION("""COMPUTED_VALUE"""),"0000-0002-3281-9913")</f>
        <v>0000-0002-3281-9913</v>
      </c>
    </row>
    <row r="819">
      <c r="A819" s="2" t="str">
        <f>IFERROR(__xludf.DUMMYFUNCTION("""COMPUTED_VALUE"""),"Bolen")</f>
        <v>Bolen</v>
      </c>
      <c r="B819" s="2" t="str">
        <f>IFERROR(__xludf.DUMMYFUNCTION("""COMPUTED_VALUE"""),"Mackenzie")</f>
        <v>Mackenzie</v>
      </c>
      <c r="C819" s="2" t="str">
        <f>IFERROR(__xludf.DUMMYFUNCTION("""COMPUTED_VALUE"""),"Key Personnel")</f>
        <v>Key Personnel</v>
      </c>
      <c r="D819" s="2" t="str">
        <f>IFERROR(__xludf.DUMMYFUNCTION("""COMPUTED_VALUE"""),"Tansey")</f>
        <v>Tansey</v>
      </c>
      <c r="E819" s="2" t="str">
        <f>IFERROR(__xludf.DUMMYFUNCTION("""COMPUTED_VALUE"""),"Graduate Student")</f>
        <v>Graduate Student</v>
      </c>
      <c r="F819" s="2" t="str">
        <f>IFERROR(__xludf.DUMMYFUNCTION("""COMPUTED_VALUE"""),"m.bolen@ufl.edu")</f>
        <v>m.bolen@ufl.edu</v>
      </c>
      <c r="G819" s="2"/>
    </row>
    <row r="820">
      <c r="A820" s="2" t="str">
        <f>IFERROR(__xludf.DUMMYFUNCTION("""COMPUTED_VALUE"""),"Krout")</f>
        <v>Krout</v>
      </c>
      <c r="B820" s="2" t="str">
        <f>IFERROR(__xludf.DUMMYFUNCTION("""COMPUTED_VALUE"""),"Ian")</f>
        <v>Ian</v>
      </c>
      <c r="C820" s="2" t="str">
        <f>IFERROR(__xludf.DUMMYFUNCTION("""COMPUTED_VALUE"""),"Key Personnel")</f>
        <v>Key Personnel</v>
      </c>
      <c r="D820" s="2" t="str">
        <f>IFERROR(__xludf.DUMMYFUNCTION("""COMPUTED_VALUE"""),"Sampson")</f>
        <v>Sampson</v>
      </c>
      <c r="E820" s="2" t="str">
        <f>IFERROR(__xludf.DUMMYFUNCTION("""COMPUTED_VALUE"""),"Post-Doc")</f>
        <v>Post-Doc</v>
      </c>
      <c r="F820" s="2" t="str">
        <f>IFERROR(__xludf.DUMMYFUNCTION("""COMPUTED_VALUE"""),"ian.nicholas.krout@emory.edu")</f>
        <v>ian.nicholas.krout@emory.edu</v>
      </c>
      <c r="G820" s="2" t="str">
        <f>IFERROR(__xludf.DUMMYFUNCTION("""COMPUTED_VALUE"""),"0000-0002-4711-8757")</f>
        <v>0000-0002-4711-8757</v>
      </c>
    </row>
    <row r="821">
      <c r="A821" s="2" t="str">
        <f>IFERROR(__xludf.DUMMYFUNCTION("""COMPUTED_VALUE"""),"Lei")</f>
        <v>Lei</v>
      </c>
      <c r="B821" s="2" t="str">
        <f>IFERROR(__xludf.DUMMYFUNCTION("""COMPUTED_VALUE"""),"Beilei")</f>
        <v>Beilei</v>
      </c>
      <c r="C821" s="2" t="str">
        <f>IFERROR(__xludf.DUMMYFUNCTION("""COMPUTED_VALUE"""),"Key Personnel")</f>
        <v>Key Personnel</v>
      </c>
      <c r="D821" s="2" t="str">
        <f>IFERROR(__xludf.DUMMYFUNCTION("""COMPUTED_VALUE"""),"Liddle")</f>
        <v>Liddle</v>
      </c>
      <c r="E821" s="2" t="str">
        <f>IFERROR(__xludf.DUMMYFUNCTION("""COMPUTED_VALUE"""),"Research analyst")</f>
        <v>Research analyst</v>
      </c>
      <c r="F821" s="2" t="str">
        <f>IFERROR(__xludf.DUMMYFUNCTION("""COMPUTED_VALUE"""),"beilei.lei@duke.edu")</f>
        <v>beilei.lei@duke.edu</v>
      </c>
      <c r="G821" s="2"/>
    </row>
    <row r="822">
      <c r="A822" s="2" t="str">
        <f>IFERROR(__xludf.DUMMYFUNCTION("""COMPUTED_VALUE"""),"Fraccaroli")</f>
        <v>Fraccaroli</v>
      </c>
      <c r="B822" s="2" t="str">
        <f>IFERROR(__xludf.DUMMYFUNCTION("""COMPUTED_VALUE"""),"Isabel")</f>
        <v>Isabel</v>
      </c>
      <c r="C822" s="2" t="str">
        <f>IFERROR(__xludf.DUMMYFUNCTION("""COMPUTED_VALUE"""),"Key Personnel")</f>
        <v>Key Personnel</v>
      </c>
      <c r="D822" s="2" t="str">
        <f>IFERROR(__xludf.DUMMYFUNCTION("""COMPUTED_VALUE"""),"Sampson")</f>
        <v>Sampson</v>
      </c>
      <c r="E822" s="2" t="str">
        <f>IFERROR(__xludf.DUMMYFUNCTION("""COMPUTED_VALUE"""),"Lead Research Specialist")</f>
        <v>Lead Research Specialist</v>
      </c>
      <c r="F822" s="2" t="str">
        <f>IFERROR(__xludf.DUMMYFUNCTION("""COMPUTED_VALUE"""),"ifracca@emory.edu")</f>
        <v>ifracca@emory.edu</v>
      </c>
      <c r="G822" s="2" t="str">
        <f>IFERROR(__xludf.DUMMYFUNCTION("""COMPUTED_VALUE"""),"0000-0002-2069-9790")</f>
        <v>0000-0002-2069-9790</v>
      </c>
    </row>
    <row r="823">
      <c r="A823" s="2" t="str">
        <f>IFERROR(__xludf.DUMMYFUNCTION("""COMPUTED_VALUE"""),"Murchison")</f>
        <v>Murchison</v>
      </c>
      <c r="B823" s="2" t="str">
        <f>IFERROR(__xludf.DUMMYFUNCTION("""COMPUTED_VALUE"""),"Charles (Chad)")</f>
        <v>Charles (Chad)</v>
      </c>
      <c r="C823" s="2" t="str">
        <f>IFERROR(__xludf.DUMMYFUNCTION("""COMPUTED_VALUE"""),"Key Personnel")</f>
        <v>Key Personnel</v>
      </c>
      <c r="D823" s="2" t="str">
        <f>IFERROR(__xludf.DUMMYFUNCTION("""COMPUTED_VALUE"""),"Payami")</f>
        <v>Payami</v>
      </c>
      <c r="E823" s="2" t="str">
        <f>IFERROR(__xludf.DUMMYFUNCTION("""COMPUTED_VALUE"""),"Faculty collaborator")</f>
        <v>Faculty collaborator</v>
      </c>
      <c r="F823" s="2" t="str">
        <f>IFERROR(__xludf.DUMMYFUNCTION("""COMPUTED_VALUE"""),"cmurchison@uabmc.edu")</f>
        <v>cmurchison@uabmc.edu</v>
      </c>
      <c r="G823" s="2" t="str">
        <f>IFERROR(__xludf.DUMMYFUNCTION("""COMPUTED_VALUE"""),"0009-0007-5589-8144")</f>
        <v>0009-0007-5589-8144</v>
      </c>
    </row>
    <row r="824">
      <c r="A824" s="2" t="str">
        <f>IFERROR(__xludf.DUMMYFUNCTION("""COMPUTED_VALUE"""),"Verster")</f>
        <v>Verster</v>
      </c>
      <c r="B824" s="2" t="str">
        <f>IFERROR(__xludf.DUMMYFUNCTION("""COMPUTED_VALUE"""),"Adrian")</f>
        <v>Adrian</v>
      </c>
      <c r="C824" s="2" t="str">
        <f>IFERROR(__xludf.DUMMYFUNCTION("""COMPUTED_VALUE"""),"Key Personnel")</f>
        <v>Key Personnel</v>
      </c>
      <c r="D824" s="2" t="str">
        <f>IFERROR(__xludf.DUMMYFUNCTION("""COMPUTED_VALUE"""),"Payami")</f>
        <v>Payami</v>
      </c>
      <c r="E824" s="2" t="str">
        <f>IFERROR(__xludf.DUMMYFUNCTION("""COMPUTED_VALUE"""),"Freelance Bioinformatician")</f>
        <v>Freelance Bioinformatician</v>
      </c>
      <c r="F824" s="2" t="str">
        <f>IFERROR(__xludf.DUMMYFUNCTION("""COMPUTED_VALUE"""),"ajverster@pythiainformatics.com")</f>
        <v>ajverster@pythiainformatics.com</v>
      </c>
      <c r="G824" s="2" t="str">
        <f>IFERROR(__xludf.DUMMYFUNCTION("""COMPUTED_VALUE"""),"0009-0003-5039-0780")</f>
        <v>0009-0003-5039-0780</v>
      </c>
    </row>
    <row r="825">
      <c r="A825" s="2" t="str">
        <f>IFERROR(__xludf.DUMMYFUNCTION("""COMPUTED_VALUE"""),"Wallen")</f>
        <v>Wallen</v>
      </c>
      <c r="B825" s="2" t="str">
        <f>IFERROR(__xludf.DUMMYFUNCTION("""COMPUTED_VALUE"""),"Zachary")</f>
        <v>Zachary</v>
      </c>
      <c r="C825" s="2" t="str">
        <f>IFERROR(__xludf.DUMMYFUNCTION("""COMPUTED_VALUE"""),"Key Personnel")</f>
        <v>Key Personnel</v>
      </c>
      <c r="D825" s="2" t="str">
        <f>IFERROR(__xludf.DUMMYFUNCTION("""COMPUTED_VALUE"""),"Payami")</f>
        <v>Payami</v>
      </c>
      <c r="E825" s="2" t="str">
        <f>IFERROR(__xludf.DUMMYFUNCTION("""COMPUTED_VALUE"""),"Consultant")</f>
        <v>Consultant</v>
      </c>
      <c r="F825" s="2" t="str">
        <f>IFERROR(__xludf.DUMMYFUNCTION("""COMPUTED_VALUE"""),"zdw1229@gmail.com")</f>
        <v>zdw1229@gmail.com</v>
      </c>
      <c r="G825" s="2" t="str">
        <f>IFERROR(__xludf.DUMMYFUNCTION("""COMPUTED_VALUE"""),"0000-0002-2278-7348")</f>
        <v>0000-0002-2278-7348</v>
      </c>
    </row>
    <row r="826">
      <c r="A826" s="2" t="str">
        <f>IFERROR(__xludf.DUMMYFUNCTION("""COMPUTED_VALUE"""),"Merchak")</f>
        <v>Merchak</v>
      </c>
      <c r="B826" s="2" t="str">
        <f>IFERROR(__xludf.DUMMYFUNCTION("""COMPUTED_VALUE"""),"Andrea")</f>
        <v>Andrea</v>
      </c>
      <c r="C826" s="2" t="str">
        <f>IFERROR(__xludf.DUMMYFUNCTION("""COMPUTED_VALUE"""),"Key Personnel")</f>
        <v>Key Personnel</v>
      </c>
      <c r="D826" s="2" t="str">
        <f>IFERROR(__xludf.DUMMYFUNCTION("""COMPUTED_VALUE"""),"Tansey")</f>
        <v>Tansey</v>
      </c>
      <c r="E826" s="2" t="str">
        <f>IFERROR(__xludf.DUMMYFUNCTION("""COMPUTED_VALUE"""),"Post-Doc")</f>
        <v>Post-Doc</v>
      </c>
      <c r="F826" s="2" t="str">
        <f>IFERROR(__xludf.DUMMYFUNCTION("""COMPUTED_VALUE"""),"amerchak@ufl.edu ")</f>
        <v>amerchak@ufl.edu </v>
      </c>
      <c r="G826" s="2" t="str">
        <f>IFERROR(__xludf.DUMMYFUNCTION("""COMPUTED_VALUE"""),"0000-0002-0180-6044")</f>
        <v>0000-0002-0180-6044</v>
      </c>
    </row>
    <row r="827">
      <c r="A827" s="2" t="str">
        <f>IFERROR(__xludf.DUMMYFUNCTION("""COMPUTED_VALUE"""),"Bolen")</f>
        <v>Bolen</v>
      </c>
      <c r="B827" s="2" t="str">
        <f>IFERROR(__xludf.DUMMYFUNCTION("""COMPUTED_VALUE"""),"Mackenzie")</f>
        <v>Mackenzie</v>
      </c>
      <c r="C827" s="2" t="str">
        <f>IFERROR(__xludf.DUMMYFUNCTION("""COMPUTED_VALUE"""),"Key Personnel")</f>
        <v>Key Personnel</v>
      </c>
      <c r="D827" s="2" t="str">
        <f>IFERROR(__xludf.DUMMYFUNCTION("""COMPUTED_VALUE"""),"Tansey")</f>
        <v>Tansey</v>
      </c>
      <c r="E827" s="2" t="str">
        <f>IFERROR(__xludf.DUMMYFUNCTION("""COMPUTED_VALUE"""),"Graduate Student")</f>
        <v>Graduate Student</v>
      </c>
      <c r="F827" s="2" t="str">
        <f>IFERROR(__xludf.DUMMYFUNCTION("""COMPUTED_VALUE"""),"m.bolen@ufl.edu ")</f>
        <v>m.bolen@ufl.edu </v>
      </c>
      <c r="G827" s="2" t="str">
        <f>IFERROR(__xludf.DUMMYFUNCTION("""COMPUTED_VALUE"""),"0000-0003-1973-3784 ")</f>
        <v>0000-0003-1973-3784 </v>
      </c>
    </row>
    <row r="828">
      <c r="A828" s="2" t="str">
        <f>IFERROR(__xludf.DUMMYFUNCTION("""COMPUTED_VALUE"""),"Patel")</f>
        <v>Patel</v>
      </c>
      <c r="B828" s="2" t="str">
        <f>IFERROR(__xludf.DUMMYFUNCTION("""COMPUTED_VALUE"""),"Vanita")</f>
        <v>Vanita</v>
      </c>
      <c r="C828" s="2" t="str">
        <f>IFERROR(__xludf.DUMMYFUNCTION("""COMPUTED_VALUE"""),"Key Personnel")</f>
        <v>Key Personnel</v>
      </c>
      <c r="D828" s="2" t="str">
        <f>IFERROR(__xludf.DUMMYFUNCTION("""COMPUTED_VALUE"""),"Liddle")</f>
        <v>Liddle</v>
      </c>
      <c r="E828" s="2" t="str">
        <f>IFERROR(__xludf.DUMMYFUNCTION("""COMPUTED_VALUE"""),"research technician")</f>
        <v>research technician</v>
      </c>
      <c r="F828" s="2" t="str">
        <f>IFERROR(__xludf.DUMMYFUNCTION("""COMPUTED_VALUE"""),"vanita.patel@duke.edu")</f>
        <v>vanita.patel@duke.edu</v>
      </c>
      <c r="G828" s="2" t="str">
        <f>IFERROR(__xludf.DUMMYFUNCTION("""COMPUTED_VALUE"""),"0009-0004-1910-1773")</f>
        <v>0009-0004-1910-1773</v>
      </c>
    </row>
    <row r="829">
      <c r="A829" s="2" t="str">
        <f>IFERROR(__xludf.DUMMYFUNCTION("""COMPUTED_VALUE"""),"Wallings")</f>
        <v>Wallings</v>
      </c>
      <c r="B829" s="2" t="str">
        <f>IFERROR(__xludf.DUMMYFUNCTION("""COMPUTED_VALUE"""),"Rebecca")</f>
        <v>Rebecca</v>
      </c>
      <c r="C829" s="2" t="str">
        <f>IFERROR(__xludf.DUMMYFUNCTION("""COMPUTED_VALUE"""),"Key Personnel")</f>
        <v>Key Personnel</v>
      </c>
      <c r="D829" s="2" t="str">
        <f>IFERROR(__xludf.DUMMYFUNCTION("""COMPUTED_VALUE"""),"Tansey")</f>
        <v>Tansey</v>
      </c>
      <c r="E829" s="2" t="str">
        <f>IFERROR(__xludf.DUMMYFUNCTION("""COMPUTED_VALUE"""),"Post doctoral Fellow")</f>
        <v>Post doctoral Fellow</v>
      </c>
      <c r="F829" s="2" t="str">
        <f>IFERROR(__xludf.DUMMYFUNCTION("""COMPUTED_VALUE"""),"rebeccawallings@ufl.edu")</f>
        <v>rebeccawallings@ufl.edu</v>
      </c>
      <c r="G829" s="2" t="str">
        <f>IFERROR(__xludf.DUMMYFUNCTION("""COMPUTED_VALUE"""),"0000-0003-3878-291X")</f>
        <v>0000-0003-3878-291X</v>
      </c>
    </row>
    <row r="830">
      <c r="A830" s="2" t="str">
        <f>IFERROR(__xludf.DUMMYFUNCTION("""COMPUTED_VALUE"""),"Naqvi")</f>
        <v>Naqvi</v>
      </c>
      <c r="B830" s="2" t="str">
        <f>IFERROR(__xludf.DUMMYFUNCTION("""COMPUTED_VALUE"""),"Ibtehaj")</f>
        <v>Ibtehaj</v>
      </c>
      <c r="C830" s="2" t="str">
        <f>IFERROR(__xludf.DUMMYFUNCTION("""COMPUTED_VALUE"""),"Key Personnel")</f>
        <v>Key Personnel</v>
      </c>
      <c r="D830" s="2" t="str">
        <f>IFERROR(__xludf.DUMMYFUNCTION("""COMPUTED_VALUE"""),"Liddle")</f>
        <v>Liddle</v>
      </c>
      <c r="E830" s="2" t="str">
        <f>IFERROR(__xludf.DUMMYFUNCTION("""COMPUTED_VALUE"""),"Post doctoral Fellow")</f>
        <v>Post doctoral Fellow</v>
      </c>
      <c r="F830" s="2" t="str">
        <f>IFERROR(__xludf.DUMMYFUNCTION("""COMPUTED_VALUE"""),"Ibtehaj.naqvi@duke.edu")</f>
        <v>Ibtehaj.naqvi@duke.edu</v>
      </c>
      <c r="G830" s="2" t="str">
        <f>IFERROR(__xludf.DUMMYFUNCTION("""COMPUTED_VALUE"""),"0000-0002-0188-5942")</f>
        <v>0000-0002-0188-5942</v>
      </c>
    </row>
    <row r="831">
      <c r="A831" s="2" t="str">
        <f>IFERROR(__xludf.DUMMYFUNCTION("""COMPUTED_VALUE"""),"Viverette")</f>
        <v>Viverette</v>
      </c>
      <c r="B831" s="2" t="str">
        <f>IFERROR(__xludf.DUMMYFUNCTION("""COMPUTED_VALUE"""),"Elizabeth")</f>
        <v>Elizabeth</v>
      </c>
      <c r="C831" s="2" t="str">
        <f>IFERROR(__xludf.DUMMYFUNCTION("""COMPUTED_VALUE"""),"Key Personnel")</f>
        <v>Key Personnel</v>
      </c>
      <c r="D831" s="2" t="str">
        <f>IFERROR(__xludf.DUMMYFUNCTION("""COMPUTED_VALUE"""),"West")</f>
        <v>West</v>
      </c>
      <c r="E831" s="2" t="str">
        <f>IFERROR(__xludf.DUMMYFUNCTION("""COMPUTED_VALUE"""),"PhD Student")</f>
        <v>PhD Student</v>
      </c>
      <c r="F831" s="2" t="str">
        <f>IFERROR(__xludf.DUMMYFUNCTION("""COMPUTED_VALUE"""),"Egv7@duke.edu")</f>
        <v>Egv7@duke.edu</v>
      </c>
      <c r="G831" s="2" t="str">
        <f>IFERROR(__xludf.DUMMYFUNCTION("""COMPUTED_VALUE"""),"0000-0002-5173-5838")</f>
        <v>0000-0002-5173-5838</v>
      </c>
    </row>
    <row r="832">
      <c r="A832" s="2" t="str">
        <f>IFERROR(__xludf.DUMMYFUNCTION("""COMPUTED_VALUE"""),"Lipson")</f>
        <v>Lipson</v>
      </c>
      <c r="B832" s="2" t="str">
        <f>IFERROR(__xludf.DUMMYFUNCTION("""COMPUTED_VALUE"""),"Lyndsey")</f>
        <v>Lyndsey</v>
      </c>
      <c r="C832" s="2" t="str">
        <f>IFERROR(__xludf.DUMMYFUNCTION("""COMPUTED_VALUE"""),"Key Personnel ")</f>
        <v>Key Personnel </v>
      </c>
      <c r="D832" s="2" t="str">
        <f>IFERROR(__xludf.DUMMYFUNCTION("""COMPUTED_VALUE"""),"Sampson")</f>
        <v>Sampson</v>
      </c>
      <c r="E832" s="2" t="str">
        <f>IFERROR(__xludf.DUMMYFUNCTION("""COMPUTED_VALUE"""),"Research Specialist")</f>
        <v>Research Specialist</v>
      </c>
      <c r="F832" s="2" t="str">
        <f>IFERROR(__xludf.DUMMYFUNCTION("""COMPUTED_VALUE"""),"lyndsey.danielle.lipson@emory.edu")</f>
        <v>lyndsey.danielle.lipson@emory.edu</v>
      </c>
      <c r="G832" s="2" t="str">
        <f>IFERROR(__xludf.DUMMYFUNCTION("""COMPUTED_VALUE"""),"0009-0008-8628-9752")</f>
        <v>0009-0008-8628-9752</v>
      </c>
    </row>
    <row r="833">
      <c r="A833" s="2" t="str">
        <f>IFERROR(__xludf.DUMMYFUNCTION("""COMPUTED_VALUE"""),"Stagaman")</f>
        <v>Stagaman</v>
      </c>
      <c r="B833" s="2" t="str">
        <f>IFERROR(__xludf.DUMMYFUNCTION("""COMPUTED_VALUE"""),"Keaton")</f>
        <v>Keaton</v>
      </c>
      <c r="C833" s="2" t="str">
        <f>IFERROR(__xludf.DUMMYFUNCTION("""COMPUTED_VALUE"""),"Key Personnel")</f>
        <v>Key Personnel</v>
      </c>
      <c r="D833" s="2" t="str">
        <f>IFERROR(__xludf.DUMMYFUNCTION("""COMPUTED_VALUE"""),"Payami")</f>
        <v>Payami</v>
      </c>
      <c r="E833" s="2" t="str">
        <f>IFERROR(__xludf.DUMMYFUNCTION("""COMPUTED_VALUE"""),"Post doctoral Fellow")</f>
        <v>Post doctoral Fellow</v>
      </c>
      <c r="F833" s="2" t="str">
        <f>IFERROR(__xludf.DUMMYFUNCTION("""COMPUTED_VALUE"""),"kstagaman@gmail.com")</f>
        <v>kstagaman@gmail.com</v>
      </c>
      <c r="G833" s="2" t="str">
        <f>IFERROR(__xludf.DUMMYFUNCTION("""COMPUTED_VALUE"""),"0000-0003-2815-4530")</f>
        <v>0000-0003-2815-4530</v>
      </c>
    </row>
    <row r="834">
      <c r="A834" s="2" t="str">
        <f>IFERROR(__xludf.DUMMYFUNCTION("""COMPUTED_VALUE"""),"Jernigan")</f>
        <v>Jernigan</v>
      </c>
      <c r="B834" s="2" t="str">
        <f>IFERROR(__xludf.DUMMYFUNCTION("""COMPUTED_VALUE"""),"Janna")</f>
        <v>Janna</v>
      </c>
      <c r="C834" s="2" t="str">
        <f>IFERROR(__xludf.DUMMYFUNCTION("""COMPUTED_VALUE"""),"Key Personnel")</f>
        <v>Key Personnel</v>
      </c>
      <c r="D834" s="2" t="str">
        <f>IFERROR(__xludf.DUMMYFUNCTION("""COMPUTED_VALUE"""),"Tansey")</f>
        <v>Tansey</v>
      </c>
      <c r="E834" s="2" t="str">
        <f>IFERROR(__xludf.DUMMYFUNCTION("""COMPUTED_VALUE"""),"PhD Student")</f>
        <v>PhD Student</v>
      </c>
      <c r="F834" s="2" t="str">
        <f>IFERROR(__xludf.DUMMYFUNCTION("""COMPUTED_VALUE"""),"jannajernigan@ufl.edu")</f>
        <v>jannajernigan@ufl.edu</v>
      </c>
      <c r="G834" s="2" t="str">
        <f>IFERROR(__xludf.DUMMYFUNCTION("""COMPUTED_VALUE"""),"0000-0003-0771-384X")</f>
        <v>0000-0003-0771-384X</v>
      </c>
    </row>
    <row r="835">
      <c r="A835" s="2" t="str">
        <f>IFERROR(__xludf.DUMMYFUNCTION("""COMPUTED_VALUE"""),"Reck-Peterson")</f>
        <v>Reck-Peterson</v>
      </c>
      <c r="B835" s="2" t="str">
        <f>IFERROR(__xludf.DUMMYFUNCTION("""COMPUTED_VALUE"""),"Samara")</f>
        <v>Samara</v>
      </c>
      <c r="C835" s="2" t="str">
        <f>IFERROR(__xludf.DUMMYFUNCTION("""COMPUTED_VALUE"""),"Lead-PI")</f>
        <v>Lead-PI</v>
      </c>
      <c r="D835" s="2"/>
      <c r="E835" s="2"/>
      <c r="F835" s="2" t="str">
        <f>IFERROR(__xludf.DUMMYFUNCTION("""COMPUTED_VALUE"""),"sreckpeterson@ucsd.edu")</f>
        <v>sreckpeterson@ucsd.edu</v>
      </c>
      <c r="G835" s="2" t="str">
        <f>IFERROR(__xludf.DUMMYFUNCTION("""COMPUTED_VALUE"""),"0000-0002-1553-465X")</f>
        <v>0000-0002-1553-465X</v>
      </c>
    </row>
    <row r="836">
      <c r="A836" s="2" t="str">
        <f>IFERROR(__xludf.DUMMYFUNCTION("""COMPUTED_VALUE"""),"Knapp")</f>
        <v>Knapp</v>
      </c>
      <c r="B836" s="2" t="str">
        <f>IFERROR(__xludf.DUMMYFUNCTION("""COMPUTED_VALUE"""),"Stefan")</f>
        <v>Stefan</v>
      </c>
      <c r="C836" s="2" t="str">
        <f>IFERROR(__xludf.DUMMYFUNCTION("""COMPUTED_VALUE"""),"Co-PI")</f>
        <v>Co-PI</v>
      </c>
      <c r="D836" s="2"/>
      <c r="E836" s="2"/>
      <c r="F836" s="2" t="str">
        <f>IFERROR(__xludf.DUMMYFUNCTION("""COMPUTED_VALUE"""),"knapp@pharmchem.uni-frankfurt.de")</f>
        <v>knapp@pharmchem.uni-frankfurt.de</v>
      </c>
      <c r="G836" s="2" t="str">
        <f>IFERROR(__xludf.DUMMYFUNCTION("""COMPUTED_VALUE"""),"0000-0001-5995-6494")</f>
        <v>0000-0001-5995-6494</v>
      </c>
    </row>
    <row r="837">
      <c r="A837" s="2" t="str">
        <f>IFERROR(__xludf.DUMMYFUNCTION("""COMPUTED_VALUE"""),"Leschziner")</f>
        <v>Leschziner</v>
      </c>
      <c r="B837" s="2" t="str">
        <f>IFERROR(__xludf.DUMMYFUNCTION("""COMPUTED_VALUE"""),"Andres ")</f>
        <v>Andres </v>
      </c>
      <c r="C837" s="2" t="str">
        <f>IFERROR(__xludf.DUMMYFUNCTION("""COMPUTED_VALUE"""),"Co-PI")</f>
        <v>Co-PI</v>
      </c>
      <c r="D837" s="2"/>
      <c r="E837" s="2"/>
      <c r="F837" s="2" t="str">
        <f>IFERROR(__xludf.DUMMYFUNCTION("""COMPUTED_VALUE"""),"aleschziner@ucsd.edu")</f>
        <v>aleschziner@ucsd.edu</v>
      </c>
      <c r="G837" s="2" t="str">
        <f>IFERROR(__xludf.DUMMYFUNCTION("""COMPUTED_VALUE"""),"0000-0002-7732-7023")</f>
        <v>0000-0002-7732-7023</v>
      </c>
    </row>
    <row r="838">
      <c r="A838" s="2" t="str">
        <f>IFERROR(__xludf.DUMMYFUNCTION("""COMPUTED_VALUE"""),"Stengel")</f>
        <v>Stengel</v>
      </c>
      <c r="B838" s="2" t="str">
        <f>IFERROR(__xludf.DUMMYFUNCTION("""COMPUTED_VALUE"""),"Florian ")</f>
        <v>Florian </v>
      </c>
      <c r="C838" s="2" t="str">
        <f>IFERROR(__xludf.DUMMYFUNCTION("""COMPUTED_VALUE"""),"Collaborating PI")</f>
        <v>Collaborating PI</v>
      </c>
      <c r="D838" s="2"/>
      <c r="E838" s="2"/>
      <c r="F838" s="2" t="str">
        <f>IFERROR(__xludf.DUMMYFUNCTION("""COMPUTED_VALUE"""),"florian.stengel@uni-konstanz.de")</f>
        <v>florian.stengel@uni-konstanz.de</v>
      </c>
      <c r="G838" s="2" t="str">
        <f>IFERROR(__xludf.DUMMYFUNCTION("""COMPUTED_VALUE"""),"0000-0003-1447-4509")</f>
        <v>0000-0003-1447-4509</v>
      </c>
    </row>
    <row r="839">
      <c r="A839" s="2" t="str">
        <f>IFERROR(__xludf.DUMMYFUNCTION("""COMPUTED_VALUE"""),"Villa")</f>
        <v>Villa</v>
      </c>
      <c r="B839" s="2" t="str">
        <f>IFERROR(__xludf.DUMMYFUNCTION("""COMPUTED_VALUE"""),"Elizabeth ")</f>
        <v>Elizabeth </v>
      </c>
      <c r="C839" s="2" t="str">
        <f>IFERROR(__xludf.DUMMYFUNCTION("""COMPUTED_VALUE"""),"Co-PI")</f>
        <v>Co-PI</v>
      </c>
      <c r="D839" s="2"/>
      <c r="E839" s="2"/>
      <c r="F839" s="2" t="str">
        <f>IFERROR(__xludf.DUMMYFUNCTION("""COMPUTED_VALUE"""),"evilla@ucsd.edu")</f>
        <v>evilla@ucsd.edu</v>
      </c>
      <c r="G839" s="2" t="str">
        <f>IFERROR(__xludf.DUMMYFUNCTION("""COMPUTED_VALUE"""),"0000-0003-4677-9809")</f>
        <v>0000-0003-4677-9809</v>
      </c>
    </row>
    <row r="840">
      <c r="A840" s="2" t="str">
        <f>IFERROR(__xludf.DUMMYFUNCTION("""COMPUTED_VALUE"""),"Mathea")</f>
        <v>Mathea</v>
      </c>
      <c r="B840" s="2" t="str">
        <f>IFERROR(__xludf.DUMMYFUNCTION("""COMPUTED_VALUE"""),"Sebastian ")</f>
        <v>Sebastian </v>
      </c>
      <c r="C840" s="2" t="str">
        <f>IFERROR(__xludf.DUMMYFUNCTION("""COMPUTED_VALUE"""),"Key Personnel")</f>
        <v>Key Personnel</v>
      </c>
      <c r="D840" s="2" t="str">
        <f>IFERROR(__xludf.DUMMYFUNCTION("""COMPUTED_VALUE"""),"Knapp")</f>
        <v>Knapp</v>
      </c>
      <c r="E840" s="2" t="str">
        <f>IFERROR(__xludf.DUMMYFUNCTION("""COMPUTED_VALUE"""),"Postdoc")</f>
        <v>Postdoc</v>
      </c>
      <c r="F840" s="2" t="str">
        <f>IFERROR(__xludf.DUMMYFUNCTION("""COMPUTED_VALUE"""),"mathea@pharmchem.uni-frankfurt.de")</f>
        <v>mathea@pharmchem.uni-frankfurt.de</v>
      </c>
      <c r="G840" s="2" t="str">
        <f>IFERROR(__xludf.DUMMYFUNCTION("""COMPUTED_VALUE"""),"0000-0001-8500-4569")</f>
        <v>0000-0001-8500-4569</v>
      </c>
    </row>
    <row r="841">
      <c r="A841" s="2" t="str">
        <f>IFERROR(__xludf.DUMMYFUNCTION("""COMPUTED_VALUE"""),"Hutchings")</f>
        <v>Hutchings</v>
      </c>
      <c r="B841" s="2" t="str">
        <f>IFERROR(__xludf.DUMMYFUNCTION("""COMPUTED_VALUE"""),"Josh ")</f>
        <v>Josh </v>
      </c>
      <c r="C841" s="2" t="str">
        <f>IFERROR(__xludf.DUMMYFUNCTION("""COMPUTED_VALUE"""),"Key Personnel")</f>
        <v>Key Personnel</v>
      </c>
      <c r="D841" s="2" t="str">
        <f>IFERROR(__xludf.DUMMYFUNCTION("""COMPUTED_VALUE"""),"Villa")</f>
        <v>Villa</v>
      </c>
      <c r="E841" s="2" t="str">
        <f>IFERROR(__xludf.DUMMYFUNCTION("""COMPUTED_VALUE"""),"Postdoc")</f>
        <v>Postdoc</v>
      </c>
      <c r="F841" s="2" t="str">
        <f>IFERROR(__xludf.DUMMYFUNCTION("""COMPUTED_VALUE"""),"johutchings@ucsd.edu")</f>
        <v>johutchings@ucsd.edu</v>
      </c>
      <c r="G841" s="2" t="str">
        <f>IFERROR(__xludf.DUMMYFUNCTION("""COMPUTED_VALUE"""),"0000-0001-6841-8583")</f>
        <v>0000-0001-6841-8583</v>
      </c>
    </row>
    <row r="842">
      <c r="A842" s="2" t="str">
        <f>IFERROR(__xludf.DUMMYFUNCTION("""COMPUTED_VALUE"""),"Heid")</f>
        <v>Heid</v>
      </c>
      <c r="B842" s="2" t="str">
        <f>IFERROR(__xludf.DUMMYFUNCTION("""COMPUTED_VALUE"""),"Peter")</f>
        <v>Peter</v>
      </c>
      <c r="C842" s="2" t="str">
        <f>IFERROR(__xludf.DUMMYFUNCTION("""COMPUTED_VALUE"""),"Collaborating PI")</f>
        <v>Collaborating PI</v>
      </c>
      <c r="D842" s="2" t="str">
        <f>IFERROR(__xludf.DUMMYFUNCTION("""COMPUTED_VALUE"""),"Stengel")</f>
        <v>Stengel</v>
      </c>
      <c r="E842" s="2" t="str">
        <f>IFERROR(__xludf.DUMMYFUNCTION("""COMPUTED_VALUE"""),"Grad student")</f>
        <v>Grad student</v>
      </c>
      <c r="F842" s="2" t="str">
        <f>IFERROR(__xludf.DUMMYFUNCTION("""COMPUTED_VALUE"""),"peter.heid@uni-konstanz.de")</f>
        <v>peter.heid@uni-konstanz.de</v>
      </c>
      <c r="G842" s="2" t="str">
        <f>IFERROR(__xludf.DUMMYFUNCTION("""COMPUTED_VALUE"""),"0000-0002-2388-1379")</f>
        <v>0000-0002-2388-1379</v>
      </c>
    </row>
    <row r="843">
      <c r="A843" s="2" t="str">
        <f>IFERROR(__xludf.DUMMYFUNCTION("""COMPUTED_VALUE"""),"Jansen")</f>
        <v>Jansen</v>
      </c>
      <c r="B843" s="2" t="str">
        <f>IFERROR(__xludf.DUMMYFUNCTION("""COMPUTED_VALUE"""),"Jasmin")</f>
        <v>Jasmin</v>
      </c>
      <c r="C843" s="2" t="str">
        <f>IFERROR(__xludf.DUMMYFUNCTION("""COMPUTED_VALUE"""),"Collaborating PI")</f>
        <v>Collaborating PI</v>
      </c>
      <c r="D843" s="2" t="str">
        <f>IFERROR(__xludf.DUMMYFUNCTION("""COMPUTED_VALUE"""),"Stengel")</f>
        <v>Stengel</v>
      </c>
      <c r="E843" s="2" t="str">
        <f>IFERROR(__xludf.DUMMYFUNCTION("""COMPUTED_VALUE"""),"Grad student")</f>
        <v>Grad student</v>
      </c>
      <c r="F843" s="2" t="str">
        <f>IFERROR(__xludf.DUMMYFUNCTION("""COMPUTED_VALUE"""),"jasmin.jansen@uni-konstanz.de")</f>
        <v>jasmin.jansen@uni-konstanz.de</v>
      </c>
      <c r="G843" s="2" t="str">
        <f>IFERROR(__xludf.DUMMYFUNCTION("""COMPUTED_VALUE"""),"0000-0003-3545-7134")</f>
        <v>0000-0003-3545-7134</v>
      </c>
    </row>
    <row r="844">
      <c r="A844" s="2" t="str">
        <f>IFERROR(__xludf.DUMMYFUNCTION("""COMPUTED_VALUE"""),"Chatterjee")</f>
        <v>Chatterjee</v>
      </c>
      <c r="B844" s="2" t="str">
        <f>IFERROR(__xludf.DUMMYFUNCTION("""COMPUTED_VALUE"""),"Deep ")</f>
        <v>Deep </v>
      </c>
      <c r="C844" s="2" t="str">
        <f>IFERROR(__xludf.DUMMYFUNCTION("""COMPUTED_VALUE"""),"Key Personnel")</f>
        <v>Key Personnel</v>
      </c>
      <c r="D844" s="2" t="str">
        <f>IFERROR(__xludf.DUMMYFUNCTION("""COMPUTED_VALUE"""),"Knapp")</f>
        <v>Knapp</v>
      </c>
      <c r="E844" s="2" t="str">
        <f>IFERROR(__xludf.DUMMYFUNCTION("""COMPUTED_VALUE"""),"Postdoc")</f>
        <v>Postdoc</v>
      </c>
      <c r="F844" s="2" t="str">
        <f>IFERROR(__xludf.DUMMYFUNCTION("""COMPUTED_VALUE"""),"chatterjee@nmr.uni-frankfurt.de")</f>
        <v>chatterjee@nmr.uni-frankfurt.de</v>
      </c>
      <c r="G844" s="2" t="str">
        <f>IFERROR(__xludf.DUMMYFUNCTION("""COMPUTED_VALUE"""),"0000-0001-8190-9213")</f>
        <v>0000-0001-8190-9213</v>
      </c>
    </row>
    <row r="845">
      <c r="A845" s="2" t="str">
        <f>IFERROR(__xludf.DUMMYFUNCTION("""COMPUTED_VALUE"""),"Sanz-Murillo")</f>
        <v>Sanz-Murillo</v>
      </c>
      <c r="B845" s="2" t="str">
        <f>IFERROR(__xludf.DUMMYFUNCTION("""COMPUTED_VALUE"""),"Marta")</f>
        <v>Marta</v>
      </c>
      <c r="C845" s="2" t="str">
        <f>IFERROR(__xludf.DUMMYFUNCTION("""COMPUTED_VALUE"""),"Key Personnel")</f>
        <v>Key Personnel</v>
      </c>
      <c r="D845" s="2" t="str">
        <f>IFERROR(__xludf.DUMMYFUNCTION("""COMPUTED_VALUE"""),"Leschziner")</f>
        <v>Leschziner</v>
      </c>
      <c r="E845" s="2" t="str">
        <f>IFERROR(__xludf.DUMMYFUNCTION("""COMPUTED_VALUE"""),"Postdoc")</f>
        <v>Postdoc</v>
      </c>
      <c r="F845" s="2" t="str">
        <f>IFERROR(__xludf.DUMMYFUNCTION("""COMPUTED_VALUE"""),"msanzmurillo@health.ucsd.edu")</f>
        <v>msanzmurillo@health.ucsd.edu</v>
      </c>
      <c r="G845" s="2" t="str">
        <f>IFERROR(__xludf.DUMMYFUNCTION("""COMPUTED_VALUE"""),"0000-0002-6175-9315")</f>
        <v>0000-0002-6175-9315</v>
      </c>
    </row>
    <row r="846">
      <c r="A846" s="2" t="str">
        <f>IFERROR(__xludf.DUMMYFUNCTION("""COMPUTED_VALUE"""),"Louro")</f>
        <v>Louro</v>
      </c>
      <c r="B846" s="2" t="str">
        <f>IFERROR(__xludf.DUMMYFUNCTION("""COMPUTED_VALUE"""),"Jaime Alegrio")</f>
        <v>Jaime Alegrio</v>
      </c>
      <c r="C846" s="2" t="str">
        <f>IFERROR(__xludf.DUMMYFUNCTION("""COMPUTED_VALUE"""),"Key Personnel")</f>
        <v>Key Personnel</v>
      </c>
      <c r="D846" s="2" t="str">
        <f>IFERROR(__xludf.DUMMYFUNCTION("""COMPUTED_VALUE"""),"Leschziner")</f>
        <v>Leschziner</v>
      </c>
      <c r="E846" s="2" t="str">
        <f>IFERROR(__xludf.DUMMYFUNCTION("""COMPUTED_VALUE"""),"Postdoc")</f>
        <v>Postdoc</v>
      </c>
      <c r="F846" s="2" t="str">
        <f>IFERROR(__xludf.DUMMYFUNCTION("""COMPUTED_VALUE"""),"jalegriolouro@health.ucsd.edu")</f>
        <v>jalegriolouro@health.ucsd.edu</v>
      </c>
      <c r="G846" s="2" t="str">
        <f>IFERROR(__xludf.DUMMYFUNCTION("""COMPUTED_VALUE"""),"0000-0002-2800-923X")</f>
        <v>0000-0002-2800-923X</v>
      </c>
    </row>
    <row r="847">
      <c r="A847" s="2" t="str">
        <f>IFERROR(__xludf.DUMMYFUNCTION("""COMPUTED_VALUE"""),"Young")</f>
        <v>Young</v>
      </c>
      <c r="B847" s="2" t="str">
        <f>IFERROR(__xludf.DUMMYFUNCTION("""COMPUTED_VALUE"""),"Lindsey")</f>
        <v>Lindsey</v>
      </c>
      <c r="C847" s="2" t="str">
        <f>IFERROR(__xludf.DUMMYFUNCTION("""COMPUTED_VALUE"""),"Key Personnel")</f>
        <v>Key Personnel</v>
      </c>
      <c r="D847" s="2" t="str">
        <f>IFERROR(__xludf.DUMMYFUNCTION("""COMPUTED_VALUE"""),"Villa")</f>
        <v>Villa</v>
      </c>
      <c r="E847" s="2" t="str">
        <f>IFERROR(__xludf.DUMMYFUNCTION("""COMPUTED_VALUE"""),"Postdoc")</f>
        <v>Postdoc</v>
      </c>
      <c r="F847" s="2" t="str">
        <f>IFERROR(__xludf.DUMMYFUNCTION("""COMPUTED_VALUE"""),"lyoung@ucsd.edu")</f>
        <v>lyoung@ucsd.edu</v>
      </c>
      <c r="G847" s="2" t="str">
        <f>IFERROR(__xludf.DUMMYFUNCTION("""COMPUTED_VALUE"""),"0000-0003-3494-8302")</f>
        <v>0000-0003-3494-8302</v>
      </c>
    </row>
    <row r="848">
      <c r="A848" s="2" t="str">
        <f>IFERROR(__xludf.DUMMYFUNCTION("""COMPUTED_VALUE"""),"Mahesula")</f>
        <v>Mahesula</v>
      </c>
      <c r="B848" s="2" t="str">
        <f>IFERROR(__xludf.DUMMYFUNCTION("""COMPUTED_VALUE"""),"Swetha")</f>
        <v>Swetha</v>
      </c>
      <c r="C848" s="2" t="str">
        <f>IFERROR(__xludf.DUMMYFUNCTION("""COMPUTED_VALUE"""),"Key Personnel")</f>
        <v>Key Personnel</v>
      </c>
      <c r="D848" s="2" t="str">
        <f>IFERROR(__xludf.DUMMYFUNCTION("""COMPUTED_VALUE"""),"Reck-Peterson")</f>
        <v>Reck-Peterson</v>
      </c>
      <c r="E848" s="2" t="str">
        <f>IFERROR(__xludf.DUMMYFUNCTION("""COMPUTED_VALUE"""),"Staff Scientist")</f>
        <v>Staff Scientist</v>
      </c>
      <c r="F848" s="2" t="str">
        <f>IFERROR(__xludf.DUMMYFUNCTION("""COMPUTED_VALUE"""),"smahesula@health.ucsd.edu")</f>
        <v>smahesula@health.ucsd.edu</v>
      </c>
      <c r="G848" s="2" t="str">
        <f>IFERROR(__xludf.DUMMYFUNCTION("""COMPUTED_VALUE"""),"0000-0002-1569-6587")</f>
        <v>0000-0002-1569-6587</v>
      </c>
    </row>
    <row r="849">
      <c r="A849" s="2" t="str">
        <f>IFERROR(__xludf.DUMMYFUNCTION("""COMPUTED_VALUE"""),"Kraus")</f>
        <v>Kraus</v>
      </c>
      <c r="B849" s="2" t="str">
        <f>IFERROR(__xludf.DUMMYFUNCTION("""COMPUTED_VALUE"""),"Tom")</f>
        <v>Tom</v>
      </c>
      <c r="C849" s="2" t="str">
        <f>IFERROR(__xludf.DUMMYFUNCTION("""COMPUTED_VALUE"""),"Collaborating PI")</f>
        <v>Collaborating PI</v>
      </c>
      <c r="D849" s="2" t="str">
        <f>IFERROR(__xludf.DUMMYFUNCTION("""COMPUTED_VALUE"""),"Stengel")</f>
        <v>Stengel</v>
      </c>
      <c r="E849" s="2" t="str">
        <f>IFERROR(__xludf.DUMMYFUNCTION("""COMPUTED_VALUE"""),"Grad student")</f>
        <v>Grad student</v>
      </c>
      <c r="F849" s="2" t="str">
        <f>IFERROR(__xludf.DUMMYFUNCTION("""COMPUTED_VALUE"""),"tom.kraus@uni-konstanz.de")</f>
        <v>tom.kraus@uni-konstanz.de</v>
      </c>
      <c r="G849" s="2" t="str">
        <f>IFERROR(__xludf.DUMMYFUNCTION("""COMPUTED_VALUE"""),"0000-0002-2059-813X")</f>
        <v>0000-0002-2059-813X</v>
      </c>
    </row>
    <row r="850">
      <c r="A850" s="2" t="str">
        <f>IFERROR(__xludf.DUMMYFUNCTION("""COMPUTED_VALUE"""),"Röhm")</f>
        <v>Röhm</v>
      </c>
      <c r="B850" s="2" t="str">
        <f>IFERROR(__xludf.DUMMYFUNCTION("""COMPUTED_VALUE"""),"Sandra")</f>
        <v>Sandra</v>
      </c>
      <c r="C850" s="2" t="str">
        <f>IFERROR(__xludf.DUMMYFUNCTION("""COMPUTED_VALUE"""),"Key Personnel")</f>
        <v>Key Personnel</v>
      </c>
      <c r="D850" s="2" t="str">
        <f>IFERROR(__xludf.DUMMYFUNCTION("""COMPUTED_VALUE"""),"Knapp")</f>
        <v>Knapp</v>
      </c>
      <c r="E850" s="2" t="str">
        <f>IFERROR(__xludf.DUMMYFUNCTION("""COMPUTED_VALUE"""),"Postdoc")</f>
        <v>Postdoc</v>
      </c>
      <c r="F850" s="2" t="str">
        <f>IFERROR(__xludf.DUMMYFUNCTION("""COMPUTED_VALUE"""),"roehm@pharmchem.uni-frankfurt.de")</f>
        <v>roehm@pharmchem.uni-frankfurt.de</v>
      </c>
      <c r="G850" s="2" t="str">
        <f>IFERROR(__xludf.DUMMYFUNCTION("""COMPUTED_VALUE"""),"0000-0003-3999-712X")</f>
        <v>0000-0003-3999-712X</v>
      </c>
    </row>
    <row r="851">
      <c r="A851" s="2" t="str">
        <f>IFERROR(__xludf.DUMMYFUNCTION("""COMPUTED_VALUE"""),"Raig")</f>
        <v>Raig</v>
      </c>
      <c r="B851" s="2" t="str">
        <f>IFERROR(__xludf.DUMMYFUNCTION("""COMPUTED_VALUE"""),"Nicolai")</f>
        <v>Nicolai</v>
      </c>
      <c r="C851" s="2" t="str">
        <f>IFERROR(__xludf.DUMMYFUNCTION("""COMPUTED_VALUE"""),"Key Personnel")</f>
        <v>Key Personnel</v>
      </c>
      <c r="D851" s="2" t="str">
        <f>IFERROR(__xludf.DUMMYFUNCTION("""COMPUTED_VALUE"""),"Knapp")</f>
        <v>Knapp</v>
      </c>
      <c r="E851" s="2" t="str">
        <f>IFERROR(__xludf.DUMMYFUNCTION("""COMPUTED_VALUE"""),"Grad student")</f>
        <v>Grad student</v>
      </c>
      <c r="F851" s="2" t="str">
        <f>IFERROR(__xludf.DUMMYFUNCTION("""COMPUTED_VALUE"""),"raig@pharmchem.uni-frankfurt.de")</f>
        <v>raig@pharmchem.uni-frankfurt.de</v>
      </c>
      <c r="G851" s="2" t="str">
        <f>IFERROR(__xludf.DUMMYFUNCTION("""COMPUTED_VALUE"""),"0000-0002-2075-7938")</f>
        <v>0000-0002-2075-7938</v>
      </c>
    </row>
    <row r="852">
      <c r="A852" s="2" t="str">
        <f>IFERROR(__xludf.DUMMYFUNCTION("""COMPUTED_VALUE"""),"Abrisch")</f>
        <v>Abrisch</v>
      </c>
      <c r="B852" s="2" t="str">
        <f>IFERROR(__xludf.DUMMYFUNCTION("""COMPUTED_VALUE"""),"Robert")</f>
        <v>Robert</v>
      </c>
      <c r="C852" s="2" t="str">
        <f>IFERROR(__xludf.DUMMYFUNCTION("""COMPUTED_VALUE"""),"Key Personnel")</f>
        <v>Key Personnel</v>
      </c>
      <c r="D852" s="2" t="str">
        <f>IFERROR(__xludf.DUMMYFUNCTION("""COMPUTED_VALUE"""),"Reck-Peterson")</f>
        <v>Reck-Peterson</v>
      </c>
      <c r="E852" s="2" t="str">
        <f>IFERROR(__xludf.DUMMYFUNCTION("""COMPUTED_VALUE"""),"Postdoc")</f>
        <v>Postdoc</v>
      </c>
      <c r="F852" s="2" t="str">
        <f>IFERROR(__xludf.DUMMYFUNCTION("""COMPUTED_VALUE"""),"rabrisch@health.UCSD.edu")</f>
        <v>rabrisch@health.UCSD.edu</v>
      </c>
      <c r="G852" s="2" t="str">
        <f>IFERROR(__xludf.DUMMYFUNCTION("""COMPUTED_VALUE"""),"0000-0002-4231-9971")</f>
        <v>0000-0002-4231-9971</v>
      </c>
    </row>
    <row r="853">
      <c r="A853" s="2" t="str">
        <f>IFERROR(__xludf.DUMMYFUNCTION("""COMPUTED_VALUE"""),"Basiashvili")</f>
        <v>Basiashvili</v>
      </c>
      <c r="B853" s="2" t="str">
        <f>IFERROR(__xludf.DUMMYFUNCTION("""COMPUTED_VALUE"""),"Tamar")</f>
        <v>Tamar</v>
      </c>
      <c r="C853" s="2" t="str">
        <f>IFERROR(__xludf.DUMMYFUNCTION("""COMPUTED_VALUE"""),"Key Personnel")</f>
        <v>Key Personnel</v>
      </c>
      <c r="D853" s="2" t="str">
        <f>IFERROR(__xludf.DUMMYFUNCTION("""COMPUTED_VALUE"""),"Villa")</f>
        <v>Villa</v>
      </c>
      <c r="E853" s="2" t="str">
        <f>IFERROR(__xludf.DUMMYFUNCTION("""COMPUTED_VALUE"""),"Grad student")</f>
        <v>Grad student</v>
      </c>
      <c r="F853" s="2" t="str">
        <f>IFERROR(__xludf.DUMMYFUNCTION("""COMPUTED_VALUE"""),"tbasiashvili@ucsd.edu")</f>
        <v>tbasiashvili@ucsd.edu</v>
      </c>
      <c r="G853" s="2" t="str">
        <f>IFERROR(__xludf.DUMMYFUNCTION("""COMPUTED_VALUE"""),"0000-0003-0394-3832")</f>
        <v>0000-0003-0394-3832</v>
      </c>
    </row>
    <row r="854">
      <c r="A854" s="2" t="str">
        <f>IFERROR(__xludf.DUMMYFUNCTION("""COMPUTED_VALUE"""),"Chen")</f>
        <v>Chen</v>
      </c>
      <c r="B854" s="2" t="str">
        <f>IFERROR(__xludf.DUMMYFUNCTION("""COMPUTED_VALUE"""),"Siyu")</f>
        <v>Siyu</v>
      </c>
      <c r="C854" s="2" t="str">
        <f>IFERROR(__xludf.DUMMYFUNCTION("""COMPUTED_VALUE"""),"Key Personnel")</f>
        <v>Key Personnel</v>
      </c>
      <c r="D854" s="2" t="str">
        <f>IFERROR(__xludf.DUMMYFUNCTION("""COMPUTED_VALUE"""),"Villa")</f>
        <v>Villa</v>
      </c>
      <c r="E854" s="2" t="str">
        <f>IFERROR(__xludf.DUMMYFUNCTION("""COMPUTED_VALUE"""),"Postdoc")</f>
        <v>Postdoc</v>
      </c>
      <c r="F854" s="2" t="str">
        <f>IFERROR(__xludf.DUMMYFUNCTION("""COMPUTED_VALUE"""),"sic027@ucsd.edu")</f>
        <v>sic027@ucsd.edu</v>
      </c>
      <c r="G854" s="2" t="str">
        <f>IFERROR(__xludf.DUMMYFUNCTION("""COMPUTED_VALUE"""),"0000-0003-4565-4772")</f>
        <v>0000-0003-4565-4772</v>
      </c>
    </row>
    <row r="855">
      <c r="A855" s="2" t="str">
        <f>IFERROR(__xludf.DUMMYFUNCTION("""COMPUTED_VALUE"""),"Villagran-Suarez")</f>
        <v>Villagran-Suarez</v>
      </c>
      <c r="B855" s="2" t="str">
        <f>IFERROR(__xludf.DUMMYFUNCTION("""COMPUTED_VALUE"""),"Amalia")</f>
        <v>Amalia</v>
      </c>
      <c r="C855" s="2" t="str">
        <f>IFERROR(__xludf.DUMMYFUNCTION("""COMPUTED_VALUE"""),"Key Personnel")</f>
        <v>Key Personnel</v>
      </c>
      <c r="D855" s="2" t="str">
        <f>IFERROR(__xludf.DUMMYFUNCTION("""COMPUTED_VALUE"""),"Leschziner")</f>
        <v>Leschziner</v>
      </c>
      <c r="E855" s="2" t="str">
        <f>IFERROR(__xludf.DUMMYFUNCTION("""COMPUTED_VALUE"""),"Grad student")</f>
        <v>Grad student</v>
      </c>
      <c r="F855" s="2" t="str">
        <f>IFERROR(__xludf.DUMMYFUNCTION("""COMPUTED_VALUE"""),"acvillag@ucsd.edu")</f>
        <v>acvillag@ucsd.edu</v>
      </c>
      <c r="G855" s="2" t="str">
        <f>IFERROR(__xludf.DUMMYFUNCTION("""COMPUTED_VALUE"""),"0000-0003-3400-2330")</f>
        <v>0000-0003-3400-2330</v>
      </c>
    </row>
    <row r="856">
      <c r="A856" s="2" t="str">
        <f>IFERROR(__xludf.DUMMYFUNCTION("""COMPUTED_VALUE"""),"Fagiewicz")</f>
        <v>Fagiewicz</v>
      </c>
      <c r="B856" s="2" t="str">
        <f>IFERROR(__xludf.DUMMYFUNCTION("""COMPUTED_VALUE"""),"Robert")</f>
        <v>Robert</v>
      </c>
      <c r="C856" s="2" t="str">
        <f>IFERROR(__xludf.DUMMYFUNCTION("""COMPUTED_VALUE"""),"Project Manager")</f>
        <v>Project Manager</v>
      </c>
      <c r="D856" s="2" t="str">
        <f>IFERROR(__xludf.DUMMYFUNCTION("""COMPUTED_VALUE"""),"Leschziner")</f>
        <v>Leschziner</v>
      </c>
      <c r="E856" s="2" t="str">
        <f>IFERROR(__xludf.DUMMYFUNCTION("""COMPUTED_VALUE"""),"Postdoc")</f>
        <v>Postdoc</v>
      </c>
      <c r="F856" s="2" t="str">
        <f>IFERROR(__xludf.DUMMYFUNCTION("""COMPUTED_VALUE"""),"rfagiewicz@health.ucsd.edu")</f>
        <v>rfagiewicz@health.ucsd.edu</v>
      </c>
      <c r="G856" s="2" t="str">
        <f>IFERROR(__xludf.DUMMYFUNCTION("""COMPUTED_VALUE"""),"0000-0002-7113-4941")</f>
        <v>0000-0002-7113-4941</v>
      </c>
    </row>
    <row r="857">
      <c r="A857" s="2" t="str">
        <f>IFERROR(__xludf.DUMMYFUNCTION("""COMPUTED_VALUE"""),"Wendel")</f>
        <v>Wendel</v>
      </c>
      <c r="B857" s="2" t="str">
        <f>IFERROR(__xludf.DUMMYFUNCTION("""COMPUTED_VALUE"""),"Marcel ")</f>
        <v>Marcel </v>
      </c>
      <c r="C857" s="2" t="str">
        <f>IFERROR(__xludf.DUMMYFUNCTION("""COMPUTED_VALUE"""),"Collaborating PI")</f>
        <v>Collaborating PI</v>
      </c>
      <c r="D857" s="2" t="str">
        <f>IFERROR(__xludf.DUMMYFUNCTION("""COMPUTED_VALUE"""),"Stengel")</f>
        <v>Stengel</v>
      </c>
      <c r="E857" s="2"/>
      <c r="F857" s="2" t="str">
        <f>IFERROR(__xludf.DUMMYFUNCTION("""COMPUTED_VALUE"""),"marcel.wendel@uni-konstanz.de")</f>
        <v>marcel.wendel@uni-konstanz.de</v>
      </c>
      <c r="G857" s="2"/>
    </row>
    <row r="858">
      <c r="A858" s="2" t="str">
        <f>IFERROR(__xludf.DUMMYFUNCTION("""COMPUTED_VALUE"""),"Surridge")</f>
        <v>Surridge</v>
      </c>
      <c r="B858" s="2" t="str">
        <f>IFERROR(__xludf.DUMMYFUNCTION("""COMPUTED_VALUE"""),"Katy")</f>
        <v>Katy</v>
      </c>
      <c r="C858" s="2" t="str">
        <f>IFERROR(__xludf.DUMMYFUNCTION("""COMPUTED_VALUE"""),"Key Personnel")</f>
        <v>Key Personnel</v>
      </c>
      <c r="D858" s="2" t="str">
        <f>IFERROR(__xludf.DUMMYFUNCTION("""COMPUTED_VALUE"""),"Reck-Peterson")</f>
        <v>Reck-Peterson</v>
      </c>
      <c r="E858" s="2" t="str">
        <f>IFERROR(__xludf.DUMMYFUNCTION("""COMPUTED_VALUE"""),"Postdoc")</f>
        <v>Postdoc</v>
      </c>
      <c r="F858" s="2" t="str">
        <f>IFERROR(__xludf.DUMMYFUNCTION("""COMPUTED_VALUE"""),"ksurridge@health.ucsd.edu")</f>
        <v>ksurridge@health.ucsd.edu</v>
      </c>
      <c r="G858" s="2" t="str">
        <f>IFERROR(__xludf.DUMMYFUNCTION("""COMPUTED_VALUE"""),"0000-0003-0048-5784")</f>
        <v>0000-0003-0048-5784</v>
      </c>
    </row>
    <row r="859">
      <c r="A859" s="2" t="str">
        <f>IFERROR(__xludf.DUMMYFUNCTION("""COMPUTED_VALUE"""),"Nguyen")</f>
        <v>Nguyen</v>
      </c>
      <c r="B859" s="2" t="str">
        <f>IFERROR(__xludf.DUMMYFUNCTION("""COMPUTED_VALUE"""),"Landon")</f>
        <v>Landon</v>
      </c>
      <c r="C859" s="2" t="str">
        <f>IFERROR(__xludf.DUMMYFUNCTION("""COMPUTED_VALUE"""),"Key Personnel")</f>
        <v>Key Personnel</v>
      </c>
      <c r="D859" s="2" t="str">
        <f>IFERROR(__xludf.DUMMYFUNCTION("""COMPUTED_VALUE"""),"Reck-Peterson")</f>
        <v>Reck-Peterson</v>
      </c>
      <c r="E859" s="2" t="str">
        <f>IFERROR(__xludf.DUMMYFUNCTION("""COMPUTED_VALUE"""),"Research associate")</f>
        <v>Research associate</v>
      </c>
      <c r="F859" s="2" t="str">
        <f>IFERROR(__xludf.DUMMYFUNCTION("""COMPUTED_VALUE"""),"lvn007@health.ucsd.edu")</f>
        <v>lvn007@health.ucsd.edu</v>
      </c>
      <c r="G859" s="2" t="str">
        <f>IFERROR(__xludf.DUMMYFUNCTION("""COMPUTED_VALUE"""),"0000-0001-7482-4668")</f>
        <v>0000-0001-7482-4668</v>
      </c>
    </row>
    <row r="860">
      <c r="A860" s="2" t="str">
        <f>IFERROR(__xludf.DUMMYFUNCTION("""COMPUTED_VALUE"""),"Karasmanis")</f>
        <v>Karasmanis</v>
      </c>
      <c r="B860" s="2" t="str">
        <f>IFERROR(__xludf.DUMMYFUNCTION("""COMPUTED_VALUE"""),"Eva")</f>
        <v>Eva</v>
      </c>
      <c r="C860" s="2" t="str">
        <f>IFERROR(__xludf.DUMMYFUNCTION("""COMPUTED_VALUE"""),"Key Personnel")</f>
        <v>Key Personnel</v>
      </c>
      <c r="D860" s="2" t="str">
        <f>IFERROR(__xludf.DUMMYFUNCTION("""COMPUTED_VALUE"""),"Reck-Peterson")</f>
        <v>Reck-Peterson</v>
      </c>
      <c r="E860" s="2" t="str">
        <f>IFERROR(__xludf.DUMMYFUNCTION("""COMPUTED_VALUE"""),"Postdoc")</f>
        <v>Postdoc</v>
      </c>
      <c r="F860" s="2" t="str">
        <f>IFERROR(__xludf.DUMMYFUNCTION("""COMPUTED_VALUE"""),"ekarasmanis@health.ucsd.edu")</f>
        <v>ekarasmanis@health.ucsd.edu</v>
      </c>
      <c r="G860" s="2" t="str">
        <f>IFERROR(__xludf.DUMMYFUNCTION("""COMPUTED_VALUE"""),"0000-0002-0139-0210")</f>
        <v>0000-0002-0139-0210</v>
      </c>
    </row>
    <row r="861">
      <c r="A861" s="2" t="str">
        <f>IFERROR(__xludf.DUMMYFUNCTION("""COMPUTED_VALUE"""),"Xiong")</f>
        <v>Xiong</v>
      </c>
      <c r="B861" s="2" t="str">
        <f>IFERROR(__xludf.DUMMYFUNCTION("""COMPUTED_VALUE"""),"Erica")</f>
        <v>Erica</v>
      </c>
      <c r="C861" s="2" t="str">
        <f>IFERROR(__xludf.DUMMYFUNCTION("""COMPUTED_VALUE"""),"Key Personnel")</f>
        <v>Key Personnel</v>
      </c>
      <c r="D861" s="2" t="str">
        <f>IFERROR(__xludf.DUMMYFUNCTION("""COMPUTED_VALUE"""),"Leschziner")</f>
        <v>Leschziner</v>
      </c>
      <c r="E861" s="2" t="str">
        <f>IFERROR(__xludf.DUMMYFUNCTION("""COMPUTED_VALUE"""),"Technician")</f>
        <v>Technician</v>
      </c>
      <c r="F861" s="2" t="str">
        <f>IFERROR(__xludf.DUMMYFUNCTION("""COMPUTED_VALUE"""),"esxiong@health.ucsd.edu")</f>
        <v>esxiong@health.ucsd.edu</v>
      </c>
      <c r="G861" s="2" t="str">
        <f>IFERROR(__xludf.DUMMYFUNCTION("""COMPUTED_VALUE"""),"0009-0000-8023-5720")</f>
        <v>0009-0000-8023-5720</v>
      </c>
    </row>
    <row r="862">
      <c r="A862" s="2" t="str">
        <f>IFERROR(__xludf.DUMMYFUNCTION("""COMPUTED_VALUE"""),"Hatch")</f>
        <v>Hatch</v>
      </c>
      <c r="B862" s="2" t="str">
        <f>IFERROR(__xludf.DUMMYFUNCTION("""COMPUTED_VALUE"""),"Katie")</f>
        <v>Katie</v>
      </c>
      <c r="C862" s="2" t="str">
        <f>IFERROR(__xludf.DUMMYFUNCTION("""COMPUTED_VALUE"""),"Key Personnel")</f>
        <v>Key Personnel</v>
      </c>
      <c r="D862" s="2" t="str">
        <f>IFERROR(__xludf.DUMMYFUNCTION("""COMPUTED_VALUE"""),"Reck-Peterson")</f>
        <v>Reck-Peterson</v>
      </c>
      <c r="E862" s="2" t="str">
        <f>IFERROR(__xludf.DUMMYFUNCTION("""COMPUTED_VALUE"""),"Grad student")</f>
        <v>Grad student</v>
      </c>
      <c r="F862" s="2" t="str">
        <f>IFERROR(__xludf.DUMMYFUNCTION("""COMPUTED_VALUE"""),"khatch@ucsd.edu")</f>
        <v>khatch@ucsd.edu</v>
      </c>
      <c r="G862" s="2" t="str">
        <f>IFERROR(__xludf.DUMMYFUNCTION("""COMPUTED_VALUE"""),"0000-0002-8629-0939")</f>
        <v>0000-0002-8629-0939</v>
      </c>
    </row>
    <row r="863">
      <c r="A863" s="2" t="str">
        <f>IFERROR(__xludf.DUMMYFUNCTION("""COMPUTED_VALUE"""),"Pagani")</f>
        <v>Pagani</v>
      </c>
      <c r="B863" s="2" t="str">
        <f>IFERROR(__xludf.DUMMYFUNCTION("""COMPUTED_VALUE"""),"Niels")</f>
        <v>Niels</v>
      </c>
      <c r="C863" s="2" t="str">
        <f>IFERROR(__xludf.DUMMYFUNCTION("""COMPUTED_VALUE"""),"Key Personnel")</f>
        <v>Key Personnel</v>
      </c>
      <c r="D863" s="2" t="str">
        <f>IFERROR(__xludf.DUMMYFUNCTION("""COMPUTED_VALUE"""),"Leschziner")</f>
        <v>Leschziner</v>
      </c>
      <c r="E863" s="2" t="str">
        <f>IFERROR(__xludf.DUMMYFUNCTION("""COMPUTED_VALUE"""),"Intern")</f>
        <v>Intern</v>
      </c>
      <c r="F863" s="2" t="str">
        <f>IFERROR(__xludf.DUMMYFUNCTION("""COMPUTED_VALUE"""),"npagani@health.ucsd.edu")</f>
        <v>npagani@health.ucsd.edu</v>
      </c>
      <c r="G863" s="2" t="str">
        <f>IFERROR(__xludf.DUMMYFUNCTION("""COMPUTED_VALUE"""),"0009-0009-8124-5942")</f>
        <v>0009-0009-8124-5942</v>
      </c>
    </row>
    <row r="864">
      <c r="A864" s="2" t="str">
        <f>IFERROR(__xludf.DUMMYFUNCTION("""COMPUTED_VALUE"""),"Dederer")</f>
        <v>Dederer</v>
      </c>
      <c r="B864" s="2" t="str">
        <f>IFERROR(__xludf.DUMMYFUNCTION("""COMPUTED_VALUE"""),"Verena")</f>
        <v>Verena</v>
      </c>
      <c r="C864" s="2" t="str">
        <f>IFERROR(__xludf.DUMMYFUNCTION("""COMPUTED_VALUE"""),"Key Personnel")</f>
        <v>Key Personnel</v>
      </c>
      <c r="D864" s="2" t="str">
        <f>IFERROR(__xludf.DUMMYFUNCTION("""COMPUTED_VALUE"""),"Knapp")</f>
        <v>Knapp</v>
      </c>
      <c r="E864" s="2"/>
      <c r="F864" s="2" t="str">
        <f>IFERROR(__xludf.DUMMYFUNCTION("""COMPUTED_VALUE"""),"dederer@pharmchem.uni-frankfurt.de")</f>
        <v>dederer@pharmchem.uni-frankfurt.de</v>
      </c>
      <c r="G864" s="2" t="str">
        <f>IFERROR(__xludf.DUMMYFUNCTION("""COMPUTED_VALUE"""),"0009-0006-7557-5388")</f>
        <v>0009-0006-7557-5388</v>
      </c>
    </row>
    <row r="865">
      <c r="A865" s="2" t="str">
        <f>IFERROR(__xludf.DUMMYFUNCTION("""COMPUTED_VALUE"""),"Shaikh")</f>
        <v>Shaikh</v>
      </c>
      <c r="B865" s="2" t="str">
        <f>IFERROR(__xludf.DUMMYFUNCTION("""COMPUTED_VALUE"""),"Farhaz")</f>
        <v>Farhaz</v>
      </c>
      <c r="C865" s="2" t="str">
        <f>IFERROR(__xludf.DUMMYFUNCTION("""COMPUTED_VALUE"""),"Key Personnel")</f>
        <v>Key Personnel</v>
      </c>
      <c r="D865" s="2" t="str">
        <f>IFERROR(__xludf.DUMMYFUNCTION("""COMPUTED_VALUE"""),"Villa")</f>
        <v>Villa</v>
      </c>
      <c r="E865" s="2" t="str">
        <f>IFERROR(__xludf.DUMMYFUNCTION("""COMPUTED_VALUE"""),"Research associate")</f>
        <v>Research associate</v>
      </c>
      <c r="F865" s="2" t="str">
        <f>IFERROR(__xludf.DUMMYFUNCTION("""COMPUTED_VALUE"""),"fjshaikh@ucsd.edu")</f>
        <v>fjshaikh@ucsd.edu</v>
      </c>
      <c r="G865" s="2" t="str">
        <f>IFERROR(__xludf.DUMMYFUNCTION("""COMPUTED_VALUE"""),"0009-0002-0452-5675")</f>
        <v>0009-0002-0452-5675</v>
      </c>
    </row>
    <row r="866">
      <c r="A866" s="2" t="str">
        <f>IFERROR(__xludf.DUMMYFUNCTION("""COMPUTED_VALUE"""),"Bodrug")</f>
        <v>Bodrug</v>
      </c>
      <c r="B866" s="2" t="str">
        <f>IFERROR(__xludf.DUMMYFUNCTION("""COMPUTED_VALUE"""),"Tanya")</f>
        <v>Tanya</v>
      </c>
      <c r="C866" s="2" t="str">
        <f>IFERROR(__xludf.DUMMYFUNCTION("""COMPUTED_VALUE"""),"Key Personnel")</f>
        <v>Key Personnel</v>
      </c>
      <c r="D866" s="2" t="str">
        <f>IFERROR(__xludf.DUMMYFUNCTION("""COMPUTED_VALUE"""),"Leschziner")</f>
        <v>Leschziner</v>
      </c>
      <c r="E866" s="2" t="str">
        <f>IFERROR(__xludf.DUMMYFUNCTION("""COMPUTED_VALUE"""),"Postdoc")</f>
        <v>Postdoc</v>
      </c>
      <c r="F866" s="2" t="str">
        <f>IFERROR(__xludf.DUMMYFUNCTION("""COMPUTED_VALUE"""),"tbodrug@health.ucsd.edu")</f>
        <v>tbodrug@health.ucsd.edu</v>
      </c>
      <c r="G866" s="2" t="str">
        <f>IFERROR(__xludf.DUMMYFUNCTION("""COMPUTED_VALUE"""),"0000-0001-9017-962X")</f>
        <v>0000-0001-9017-962X</v>
      </c>
    </row>
    <row r="867">
      <c r="A867" s="2" t="str">
        <f>IFERROR(__xludf.DUMMYFUNCTION("""COMPUTED_VALUE"""),"Flaherty")</f>
        <v>Flaherty</v>
      </c>
      <c r="B867" s="2" t="str">
        <f>IFERROR(__xludf.DUMMYFUNCTION("""COMPUTED_VALUE"""),"Alex")</f>
        <v>Alex</v>
      </c>
      <c r="C867" s="2" t="str">
        <f>IFERROR(__xludf.DUMMYFUNCTION("""COMPUTED_VALUE"""),"Key Personnel")</f>
        <v>Key Personnel</v>
      </c>
      <c r="D867" s="2" t="str">
        <f>IFERROR(__xludf.DUMMYFUNCTION("""COMPUTED_VALUE"""),"Villa")</f>
        <v>Villa</v>
      </c>
      <c r="E867" s="2" t="str">
        <f>IFERROR(__xludf.DUMMYFUNCTION("""COMPUTED_VALUE"""),"Undergrad student")</f>
        <v>Undergrad student</v>
      </c>
      <c r="F867" s="2" t="str">
        <f>IFERROR(__xludf.DUMMYFUNCTION("""COMPUTED_VALUE"""),"wflahert@ucsd.edu")</f>
        <v>wflahert@ucsd.edu</v>
      </c>
      <c r="G867" s="2" t="str">
        <f>IFERROR(__xludf.DUMMYFUNCTION("""COMPUTED_VALUE"""),"0009-0001-2779-2082")</f>
        <v>0009-0001-2779-2082</v>
      </c>
    </row>
    <row r="868">
      <c r="A868" s="2" t="str">
        <f>IFERROR(__xludf.DUMMYFUNCTION("""COMPUTED_VALUE"""),"Lattal")</f>
        <v>Lattal</v>
      </c>
      <c r="B868" s="2" t="str">
        <f>IFERROR(__xludf.DUMMYFUNCTION("""COMPUTED_VALUE"""),"Nick")</f>
        <v>Nick</v>
      </c>
      <c r="C868" s="2" t="str">
        <f>IFERROR(__xludf.DUMMYFUNCTION("""COMPUTED_VALUE"""),"Key Personnel")</f>
        <v>Key Personnel</v>
      </c>
      <c r="D868" s="2" t="str">
        <f>IFERROR(__xludf.DUMMYFUNCTION("""COMPUTED_VALUE"""),"Reck-Peterson")</f>
        <v>Reck-Peterson</v>
      </c>
      <c r="E868" s="2"/>
      <c r="F868" s="2" t="str">
        <f>IFERROR(__xludf.DUMMYFUNCTION("""COMPUTED_VALUE"""),"nlattal@ucsd.edu ")</f>
        <v>nlattal@ucsd.edu </v>
      </c>
      <c r="G868" s="2" t="str">
        <f>IFERROR(__xludf.DUMMYFUNCTION("""COMPUTED_VALUE"""),"0009-0002-3038-7659")</f>
        <v>0009-0002-3038-7659</v>
      </c>
    </row>
    <row r="869">
      <c r="A869" s="2" t="str">
        <f>IFERROR(__xludf.DUMMYFUNCTION("""COMPUTED_VALUE"""),"Rio")</f>
        <v>Rio</v>
      </c>
      <c r="B869" s="2" t="str">
        <f>IFERROR(__xludf.DUMMYFUNCTION("""COMPUTED_VALUE"""),"Donald")</f>
        <v>Donald</v>
      </c>
      <c r="C869" s="2" t="str">
        <f>IFERROR(__xludf.DUMMYFUNCTION("""COMPUTED_VALUE"""),"Lead-PI")</f>
        <v>Lead-PI</v>
      </c>
      <c r="D869" s="2"/>
      <c r="E869" s="2"/>
      <c r="F869" s="2" t="str">
        <f>IFERROR(__xludf.DUMMYFUNCTION("""COMPUTED_VALUE"""),"Don_rio@berkeley.edu")</f>
        <v>Don_rio@berkeley.edu</v>
      </c>
      <c r="G869" s="2"/>
    </row>
    <row r="870">
      <c r="A870" s="2" t="str">
        <f>IFERROR(__xludf.DUMMYFUNCTION("""COMPUTED_VALUE"""),"Bateup")</f>
        <v>Bateup</v>
      </c>
      <c r="B870" s="2" t="str">
        <f>IFERROR(__xludf.DUMMYFUNCTION("""COMPUTED_VALUE"""),"Helen")</f>
        <v>Helen</v>
      </c>
      <c r="C870" s="2" t="str">
        <f>IFERROR(__xludf.DUMMYFUNCTION("""COMPUTED_VALUE"""),"Co-PI")</f>
        <v>Co-PI</v>
      </c>
      <c r="D870" s="2"/>
      <c r="E870" s="2"/>
      <c r="F870" s="2" t="str">
        <f>IFERROR(__xludf.DUMMYFUNCTION("""COMPUTED_VALUE"""),"bateup@berkeley.edu")</f>
        <v>bateup@berkeley.edu</v>
      </c>
      <c r="G870" s="2"/>
    </row>
    <row r="871">
      <c r="A871" s="2" t="str">
        <f>IFERROR(__xludf.DUMMYFUNCTION("""COMPUTED_VALUE"""),"Hockemeyer")</f>
        <v>Hockemeyer</v>
      </c>
      <c r="B871" s="2" t="str">
        <f>IFERROR(__xludf.DUMMYFUNCTION("""COMPUTED_VALUE"""),"Dirk")</f>
        <v>Dirk</v>
      </c>
      <c r="C871" s="2" t="str">
        <f>IFERROR(__xludf.DUMMYFUNCTION("""COMPUTED_VALUE"""),"Co-PI")</f>
        <v>Co-PI</v>
      </c>
      <c r="D871" s="2"/>
      <c r="E871" s="2"/>
      <c r="F871" s="2" t="str">
        <f>IFERROR(__xludf.DUMMYFUNCTION("""COMPUTED_VALUE"""),"hockemeyer@berkeley.edu")</f>
        <v>hockemeyer@berkeley.edu</v>
      </c>
      <c r="G871" s="2"/>
    </row>
    <row r="872">
      <c r="A872" s="2" t="str">
        <f>IFERROR(__xludf.DUMMYFUNCTION("""COMPUTED_VALUE"""),"Soldner")</f>
        <v>Soldner</v>
      </c>
      <c r="B872" s="2" t="str">
        <f>IFERROR(__xludf.DUMMYFUNCTION("""COMPUTED_VALUE"""),"Frank")</f>
        <v>Frank</v>
      </c>
      <c r="C872" s="2" t="str">
        <f>IFERROR(__xludf.DUMMYFUNCTION("""COMPUTED_VALUE"""),"Co-PI")</f>
        <v>Co-PI</v>
      </c>
      <c r="D872" s="2"/>
      <c r="E872" s="2"/>
      <c r="F872" s="2" t="str">
        <f>IFERROR(__xludf.DUMMYFUNCTION("""COMPUTED_VALUE"""),"fsoldner@gmail.com")</f>
        <v>fsoldner@gmail.com</v>
      </c>
      <c r="G872" s="2"/>
    </row>
    <row r="873">
      <c r="A873" s="2" t="str">
        <f>IFERROR(__xludf.DUMMYFUNCTION("""COMPUTED_VALUE"""),"Lee")</f>
        <v>Lee</v>
      </c>
      <c r="B873" s="2" t="str">
        <f>IFERROR(__xludf.DUMMYFUNCTION("""COMPUTED_VALUE"""),"Yeon")</f>
        <v>Yeon</v>
      </c>
      <c r="C873" s="2" t="str">
        <f>IFERROR(__xludf.DUMMYFUNCTION("""COMPUTED_VALUE"""),"Key Personnel")</f>
        <v>Key Personnel</v>
      </c>
      <c r="D873" s="2" t="str">
        <f>IFERROR(__xludf.DUMMYFUNCTION("""COMPUTED_VALUE"""),"Rio")</f>
        <v>Rio</v>
      </c>
      <c r="E873" s="2" t="str">
        <f>IFERROR(__xludf.DUMMYFUNCTION("""COMPUTED_VALUE"""),"Asst Project Scientist")</f>
        <v>Asst Project Scientist</v>
      </c>
      <c r="F873" s="2" t="str">
        <f>IFERROR(__xludf.DUMMYFUNCTION("""COMPUTED_VALUE"""),"yeonlee@berkeley.edu")</f>
        <v>yeonlee@berkeley.edu</v>
      </c>
      <c r="G873" s="2"/>
    </row>
    <row r="874">
      <c r="A874" s="2" t="str">
        <f>IFERROR(__xludf.DUMMYFUNCTION("""COMPUTED_VALUE"""),"Snyder")</f>
        <v>Snyder</v>
      </c>
      <c r="B874" s="2" t="str">
        <f>IFERROR(__xludf.DUMMYFUNCTION("""COMPUTED_VALUE"""),"Devin")</f>
        <v>Devin</v>
      </c>
      <c r="C874" s="2" t="str">
        <f>IFERROR(__xludf.DUMMYFUNCTION("""COMPUTED_VALUE"""),"Project Manager")</f>
        <v>Project Manager</v>
      </c>
      <c r="D874" s="2" t="str">
        <f>IFERROR(__xludf.DUMMYFUNCTION("""COMPUTED_VALUE"""),"Rio")</f>
        <v>Rio</v>
      </c>
      <c r="E874" s="2"/>
      <c r="F874" s="2" t="str">
        <f>IFERROR(__xludf.DUMMYFUNCTION("""COMPUTED_VALUE"""),"devin.snyder@berkeley.edu")</f>
        <v>devin.snyder@berkeley.edu</v>
      </c>
      <c r="G874" s="2"/>
    </row>
    <row r="875">
      <c r="A875" s="2" t="str">
        <f>IFERROR(__xludf.DUMMYFUNCTION("""COMPUTED_VALUE"""),"Li")</f>
        <v>Li</v>
      </c>
      <c r="B875" s="2" t="str">
        <f>IFERROR(__xludf.DUMMYFUNCTION("""COMPUTED_VALUE"""),"Hanqin")</f>
        <v>Hanqin</v>
      </c>
      <c r="C875" s="2" t="str">
        <f>IFERROR(__xludf.DUMMYFUNCTION("""COMPUTED_VALUE"""),"Key Personnel")</f>
        <v>Key Personnel</v>
      </c>
      <c r="D875" s="2" t="str">
        <f>IFERROR(__xludf.DUMMYFUNCTION("""COMPUTED_VALUE"""),"Hockemeyer")</f>
        <v>Hockemeyer</v>
      </c>
      <c r="E875" s="2" t="str">
        <f>IFERROR(__xludf.DUMMYFUNCTION("""COMPUTED_VALUE"""),"Postdoc")</f>
        <v>Postdoc</v>
      </c>
      <c r="F875" s="2" t="str">
        <f>IFERROR(__xludf.DUMMYFUNCTION("""COMPUTED_VALUE"""),"hanqinli@berkeley.edu")</f>
        <v>hanqinli@berkeley.edu</v>
      </c>
      <c r="G875" s="2"/>
    </row>
    <row r="876">
      <c r="A876" s="2" t="str">
        <f>IFERROR(__xludf.DUMMYFUNCTION("""COMPUTED_VALUE"""),"Dunnack")</f>
        <v>Dunnack</v>
      </c>
      <c r="B876" s="2" t="str">
        <f>IFERROR(__xludf.DUMMYFUNCTION("""COMPUTED_VALUE"""),"Jesse")</f>
        <v>Jesse</v>
      </c>
      <c r="C876" s="2" t="str">
        <f>IFERROR(__xludf.DUMMYFUNCTION("""COMPUTED_VALUE"""),"Key Personnel")</f>
        <v>Key Personnel</v>
      </c>
      <c r="D876" s="2" t="str">
        <f>IFERROR(__xludf.DUMMYFUNCTION("""COMPUTED_VALUE"""),"Hockemeyer/Bateup")</f>
        <v>Hockemeyer/Bateup</v>
      </c>
      <c r="E876" s="2" t="str">
        <f>IFERROR(__xludf.DUMMYFUNCTION("""COMPUTED_VALUE"""),"Grad Student")</f>
        <v>Grad Student</v>
      </c>
      <c r="F876" s="2" t="str">
        <f>IFERROR(__xludf.DUMMYFUNCTION("""COMPUTED_VALUE"""),"jessedunnack@berkeley.edu")</f>
        <v>jessedunnack@berkeley.edu</v>
      </c>
      <c r="G876" s="2"/>
    </row>
    <row r="877">
      <c r="A877" s="2" t="str">
        <f>IFERROR(__xludf.DUMMYFUNCTION("""COMPUTED_VALUE"""),"Poser")</f>
        <v>Poser</v>
      </c>
      <c r="B877" s="2" t="str">
        <f>IFERROR(__xludf.DUMMYFUNCTION("""COMPUTED_VALUE"""),"Steven")</f>
        <v>Steven</v>
      </c>
      <c r="C877" s="2" t="str">
        <f>IFERROR(__xludf.DUMMYFUNCTION("""COMPUTED_VALUE"""),"Key Personnel")</f>
        <v>Key Personnel</v>
      </c>
      <c r="D877" s="2" t="str">
        <f>IFERROR(__xludf.DUMMYFUNCTION("""COMPUTED_VALUE"""),"Soldner")</f>
        <v>Soldner</v>
      </c>
      <c r="E877" s="2" t="str">
        <f>IFERROR(__xludf.DUMMYFUNCTION("""COMPUTED_VALUE"""),"Lab Manager")</f>
        <v>Lab Manager</v>
      </c>
      <c r="F877" s="2" t="str">
        <f>IFERROR(__xludf.DUMMYFUNCTION("""COMPUTED_VALUE"""),"steven.poser@einsteinmed.org")</f>
        <v>steven.poser@einsteinmed.org</v>
      </c>
      <c r="G877" s="2"/>
    </row>
    <row r="878">
      <c r="A878" s="2" t="str">
        <f>IFERROR(__xludf.DUMMYFUNCTION("""COMPUTED_VALUE"""),"Busquets Figueras")</f>
        <v>Busquets Figueras</v>
      </c>
      <c r="B878" s="2" t="str">
        <f>IFERROR(__xludf.DUMMYFUNCTION("""COMPUTED_VALUE"""),"Oriol")</f>
        <v>Oriol</v>
      </c>
      <c r="C878" s="2" t="str">
        <f>IFERROR(__xludf.DUMMYFUNCTION("""COMPUTED_VALUE"""),"Key Personnel")</f>
        <v>Key Personnel</v>
      </c>
      <c r="D878" s="2" t="str">
        <f>IFERROR(__xludf.DUMMYFUNCTION("""COMPUTED_VALUE"""),"Soldner")</f>
        <v>Soldner</v>
      </c>
      <c r="E878" s="2" t="str">
        <f>IFERROR(__xludf.DUMMYFUNCTION("""COMPUTED_VALUE"""),"Postdoc")</f>
        <v>Postdoc</v>
      </c>
      <c r="F878" s="2" t="str">
        <f>IFERROR(__xludf.DUMMYFUNCTION("""COMPUTED_VALUE"""),"oriol.busquetsfigueras@einsteinmed.org")</f>
        <v>oriol.busquetsfigueras@einsteinmed.org</v>
      </c>
      <c r="G878" s="2"/>
    </row>
    <row r="879">
      <c r="A879" s="2" t="str">
        <f>IFERROR(__xludf.DUMMYFUNCTION("""COMPUTED_VALUE"""),"Lo Bu")</f>
        <v>Lo Bu</v>
      </c>
      <c r="B879" s="2" t="str">
        <f>IFERROR(__xludf.DUMMYFUNCTION("""COMPUTED_VALUE"""),"Riana")</f>
        <v>Riana</v>
      </c>
      <c r="C879" s="2" t="str">
        <f>IFERROR(__xludf.DUMMYFUNCTION("""COMPUTED_VALUE"""),"Key Personnel")</f>
        <v>Key Personnel</v>
      </c>
      <c r="D879" s="2" t="str">
        <f>IFERROR(__xludf.DUMMYFUNCTION("""COMPUTED_VALUE"""),"Soldner")</f>
        <v>Soldner</v>
      </c>
      <c r="E879" s="2" t="str">
        <f>IFERROR(__xludf.DUMMYFUNCTION("""COMPUTED_VALUE"""),"Grad Student")</f>
        <v>Grad Student</v>
      </c>
      <c r="F879" s="2" t="str">
        <f>IFERROR(__xludf.DUMMYFUNCTION("""COMPUTED_VALUE"""),"riana.lobu@einsteinmed.org")</f>
        <v>riana.lobu@einsteinmed.org</v>
      </c>
      <c r="G879" s="2"/>
    </row>
    <row r="880">
      <c r="A880" s="2" t="str">
        <f>IFERROR(__xludf.DUMMYFUNCTION("""COMPUTED_VALUE"""),"Syed")</f>
        <v>Syed</v>
      </c>
      <c r="B880" s="2" t="str">
        <f>IFERROR(__xludf.DUMMYFUNCTION("""COMPUTED_VALUE"""),"Khaja")</f>
        <v>Khaja</v>
      </c>
      <c r="C880" s="2" t="str">
        <f>IFERROR(__xludf.DUMMYFUNCTION("""COMPUTED_VALUE"""),"Key Personnel")</f>
        <v>Key Personnel</v>
      </c>
      <c r="D880" s="2" t="str">
        <f>IFERROR(__xludf.DUMMYFUNCTION("""COMPUTED_VALUE"""),"Hockemeyer/Bateup")</f>
        <v>Hockemeyer/Bateup</v>
      </c>
      <c r="E880" s="2" t="str">
        <f>IFERROR(__xludf.DUMMYFUNCTION("""COMPUTED_VALUE"""),"Postdoc")</f>
        <v>Postdoc</v>
      </c>
      <c r="F880" s="2" t="str">
        <f>IFERROR(__xludf.DUMMYFUNCTION("""COMPUTED_VALUE"""),"khajams@berkeley.edu")</f>
        <v>khajams@berkeley.edu</v>
      </c>
      <c r="G880" s="2"/>
    </row>
    <row r="881">
      <c r="A881" s="2" t="str">
        <f>IFERROR(__xludf.DUMMYFUNCTION("""COMPUTED_VALUE"""),"Sahagun")</f>
        <v>Sahagun</v>
      </c>
      <c r="B881" s="2" t="str">
        <f>IFERROR(__xludf.DUMMYFUNCTION("""COMPUTED_VALUE"""),"Atehsa")</f>
        <v>Atehsa</v>
      </c>
      <c r="C881" s="2" t="str">
        <f>IFERROR(__xludf.DUMMYFUNCTION("""COMPUTED_VALUE"""),"Key Personnel")</f>
        <v>Key Personnel</v>
      </c>
      <c r="D881" s="2" t="str">
        <f>IFERROR(__xludf.DUMMYFUNCTION("""COMPUTED_VALUE"""),"Bateup")</f>
        <v>Bateup</v>
      </c>
      <c r="E881" s="2" t="str">
        <f>IFERROR(__xludf.DUMMYFUNCTION("""COMPUTED_VALUE"""),"Grad Student")</f>
        <v>Grad Student</v>
      </c>
      <c r="F881" s="2" t="str">
        <f>IFERROR(__xludf.DUMMYFUNCTION("""COMPUTED_VALUE"""),"atehsa.sahagun@berkeley.edu")</f>
        <v>atehsa.sahagun@berkeley.edu</v>
      </c>
      <c r="G881" s="2"/>
    </row>
    <row r="882">
      <c r="A882" s="2" t="str">
        <f>IFERROR(__xludf.DUMMYFUNCTION("""COMPUTED_VALUE"""),"Diaz")</f>
        <v>Diaz</v>
      </c>
      <c r="B882" s="2" t="str">
        <f>IFERROR(__xludf.DUMMYFUNCTION("""COMPUTED_VALUE"""),"Jessica")</f>
        <v>Jessica</v>
      </c>
      <c r="C882" s="2" t="str">
        <f>IFERROR(__xludf.DUMMYFUNCTION("""COMPUTED_VALUE"""),"Key Personnel")</f>
        <v>Key Personnel</v>
      </c>
      <c r="D882" s="2" t="str">
        <f>IFERROR(__xludf.DUMMYFUNCTION("""COMPUTED_VALUE"""),"Soldner")</f>
        <v>Soldner</v>
      </c>
      <c r="E882" s="2" t="str">
        <f>IFERROR(__xludf.DUMMYFUNCTION("""COMPUTED_VALUE"""),"PREP Student")</f>
        <v>PREP Student</v>
      </c>
      <c r="F882" s="2" t="str">
        <f>IFERROR(__xludf.DUMMYFUNCTION("""COMPUTED_VALUE"""),"jessica.diaz@einsteinmed.edu")</f>
        <v>jessica.diaz@einsteinmed.edu</v>
      </c>
      <c r="G882" s="2"/>
    </row>
    <row r="883">
      <c r="A883" s="2" t="str">
        <f>IFERROR(__xludf.DUMMYFUNCTION("""COMPUTED_VALUE"""),"Booth")</f>
        <v>Booth</v>
      </c>
      <c r="B883" s="2" t="str">
        <f>IFERROR(__xludf.DUMMYFUNCTION("""COMPUTED_VALUE"""),"Ezgi")</f>
        <v>Ezgi</v>
      </c>
      <c r="C883" s="2" t="str">
        <f>IFERROR(__xludf.DUMMYFUNCTION("""COMPUTED_VALUE"""),"Project Manager")</f>
        <v>Project Manager</v>
      </c>
      <c r="D883" s="2" t="str">
        <f>IFERROR(__xludf.DUMMYFUNCTION("""COMPUTED_VALUE"""),"Rio")</f>
        <v>Rio</v>
      </c>
      <c r="E883" s="2"/>
      <c r="F883" s="2" t="str">
        <f>IFERROR(__xludf.DUMMYFUNCTION("""COMPUTED_VALUE"""),"ezgi.booth@berkeley.edu")</f>
        <v>ezgi.booth@berkeley.edu</v>
      </c>
      <c r="G883" s="2"/>
    </row>
    <row r="884">
      <c r="A884" s="2" t="str">
        <f>IFERROR(__xludf.DUMMYFUNCTION("""COMPUTED_VALUE"""),"Gonzalez-Calatayud")</f>
        <v>Gonzalez-Calatayud</v>
      </c>
      <c r="B884" s="2" t="str">
        <f>IFERROR(__xludf.DUMMYFUNCTION("""COMPUTED_VALUE"""),"Maria")</f>
        <v>Maria</v>
      </c>
      <c r="C884" s="2" t="str">
        <f>IFERROR(__xludf.DUMMYFUNCTION("""COMPUTED_VALUE"""),"Key Personnel")</f>
        <v>Key Personnel</v>
      </c>
      <c r="D884" s="2" t="str">
        <f>IFERROR(__xludf.DUMMYFUNCTION("""COMPUTED_VALUE"""),"Soldner")</f>
        <v>Soldner</v>
      </c>
      <c r="E884" s="2" t="str">
        <f>IFERROR(__xludf.DUMMYFUNCTION("""COMPUTED_VALUE"""),"Research assistant")</f>
        <v>Research assistant</v>
      </c>
      <c r="F884" s="2" t="str">
        <f>IFERROR(__xludf.DUMMYFUNCTION("""COMPUTED_VALUE"""),"maria.gutierrezgonzalezcalatayud@einsteinmed.edu")</f>
        <v>maria.gutierrezgonzalezcalatayud@einsteinmed.edu</v>
      </c>
      <c r="G884" s="2"/>
    </row>
    <row r="885">
      <c r="A885" s="2" t="str">
        <f>IFERROR(__xludf.DUMMYFUNCTION("""COMPUTED_VALUE"""),"Preetham ")</f>
        <v>Preetham </v>
      </c>
      <c r="B885" s="2" t="str">
        <f>IFERROR(__xludf.DUMMYFUNCTION("""COMPUTED_VALUE"""),"Atul")</f>
        <v>Atul</v>
      </c>
      <c r="C885" s="2" t="str">
        <f>IFERROR(__xludf.DUMMYFUNCTION("""COMPUTED_VALUE"""),"Key Personnel")</f>
        <v>Key Personnel</v>
      </c>
      <c r="D885" s="2" t="str">
        <f>IFERROR(__xludf.DUMMYFUNCTION("""COMPUTED_VALUE"""),"Hockemeyer")</f>
        <v>Hockemeyer</v>
      </c>
      <c r="E885" s="2" t="str">
        <f>IFERROR(__xludf.DUMMYFUNCTION("""COMPUTED_VALUE"""),"Research associate")</f>
        <v>Research associate</v>
      </c>
      <c r="F885" s="2" t="str">
        <f>IFERROR(__xludf.DUMMYFUNCTION("""COMPUTED_VALUE"""),"atulpreetham@berkeley.edu")</f>
        <v>atulpreetham@berkeley.edu</v>
      </c>
      <c r="G885" s="2"/>
    </row>
    <row r="886">
      <c r="A886" s="2" t="str">
        <f>IFERROR(__xludf.DUMMYFUNCTION("""COMPUTED_VALUE"""),"Haerle")</f>
        <v>Haerle</v>
      </c>
      <c r="B886" s="2" t="str">
        <f>IFERROR(__xludf.DUMMYFUNCTION("""COMPUTED_VALUE"""),"Maja")</f>
        <v>Maja</v>
      </c>
      <c r="C886" s="2" t="str">
        <f>IFERROR(__xludf.DUMMYFUNCTION("""COMPUTED_VALUE"""),"Key Personnel")</f>
        <v>Key Personnel</v>
      </c>
      <c r="D886" s="2" t="str">
        <f>IFERROR(__xludf.DUMMYFUNCTION("""COMPUTED_VALUE"""),"Soldner")</f>
        <v>Soldner</v>
      </c>
      <c r="E886" s="2" t="str">
        <f>IFERROR(__xludf.DUMMYFUNCTION("""COMPUTED_VALUE"""),"Grad Student")</f>
        <v>Grad Student</v>
      </c>
      <c r="F886" s="2" t="str">
        <f>IFERROR(__xludf.DUMMYFUNCTION("""COMPUTED_VALUE"""),"maja.haerle@einsteinmed.edu")</f>
        <v>maja.haerle@einsteinmed.edu</v>
      </c>
      <c r="G886" s="2"/>
    </row>
    <row r="887">
      <c r="A887" s="2" t="str">
        <f>IFERROR(__xludf.DUMMYFUNCTION("""COMPUTED_VALUE"""),"Huang ")</f>
        <v>Huang </v>
      </c>
      <c r="B887" s="2" t="str">
        <f>IFERROR(__xludf.DUMMYFUNCTION("""COMPUTED_VALUE"""),"Cheng-Yen (Nick)")</f>
        <v>Cheng-Yen (Nick)</v>
      </c>
      <c r="C887" s="2" t="str">
        <f>IFERROR(__xludf.DUMMYFUNCTION("""COMPUTED_VALUE"""),"Key Personnel")</f>
        <v>Key Personnel</v>
      </c>
      <c r="D887" s="2" t="str">
        <f>IFERROR(__xludf.DUMMYFUNCTION("""COMPUTED_VALUE"""),"Soldner")</f>
        <v>Soldner</v>
      </c>
      <c r="E887" s="2" t="str">
        <f>IFERROR(__xludf.DUMMYFUNCTION("""COMPUTED_VALUE"""),"Rotation student")</f>
        <v>Rotation student</v>
      </c>
      <c r="F887" s="2" t="str">
        <f>IFERROR(__xludf.DUMMYFUNCTION("""COMPUTED_VALUE"""),"chengyen.huang@einsteinmed.edu")</f>
        <v>chengyen.huang@einsteinmed.edu</v>
      </c>
      <c r="G887" s="2"/>
    </row>
    <row r="888">
      <c r="A888" s="2" t="str">
        <f>IFERROR(__xludf.DUMMYFUNCTION("""COMPUTED_VALUE"""),"Simon")</f>
        <v>Simon</v>
      </c>
      <c r="B888" s="2" t="str">
        <f>IFERROR(__xludf.DUMMYFUNCTION("""COMPUTED_VALUE"""),"Vivien")</f>
        <v>Vivien</v>
      </c>
      <c r="C888" s="2" t="str">
        <f>IFERROR(__xludf.DUMMYFUNCTION("""COMPUTED_VALUE"""),"Key Personnel")</f>
        <v>Key Personnel</v>
      </c>
      <c r="D888" s="2" t="str">
        <f>IFERROR(__xludf.DUMMYFUNCTION("""COMPUTED_VALUE"""),"Hockemeyer")</f>
        <v>Hockemeyer</v>
      </c>
      <c r="E888" s="2" t="str">
        <f>IFERROR(__xludf.DUMMYFUNCTION("""COMPUTED_VALUE"""),"Intern")</f>
        <v>Intern</v>
      </c>
      <c r="F888" s="2" t="str">
        <f>IFERROR(__xludf.DUMMYFUNCTION("""COMPUTED_VALUE"""),"vivien.simon@uni-bielefeld.de")</f>
        <v>vivien.simon@uni-bielefeld.de</v>
      </c>
      <c r="G888" s="2"/>
    </row>
    <row r="889">
      <c r="A889" s="2" t="str">
        <f>IFERROR(__xludf.DUMMYFUNCTION("""COMPUTED_VALUE"""),"Gao")</f>
        <v>Gao</v>
      </c>
      <c r="B889" s="2" t="str">
        <f>IFERROR(__xludf.DUMMYFUNCTION("""COMPUTED_VALUE"""),"Jianpu")</f>
        <v>Jianpu</v>
      </c>
      <c r="C889" s="2" t="str">
        <f>IFERROR(__xludf.DUMMYFUNCTION("""COMPUTED_VALUE"""),"Key Personnel")</f>
        <v>Key Personnel</v>
      </c>
      <c r="D889" s="2" t="str">
        <f>IFERROR(__xludf.DUMMYFUNCTION("""COMPUTED_VALUE"""),"Hockemeyer")</f>
        <v>Hockemeyer</v>
      </c>
      <c r="E889" s="2" t="str">
        <f>IFERROR(__xludf.DUMMYFUNCTION("""COMPUTED_VALUE"""),"Undergrad researcher")</f>
        <v>Undergrad researcher</v>
      </c>
      <c r="F889" s="2" t="str">
        <f>IFERROR(__xludf.DUMMYFUNCTION("""COMPUTED_VALUE"""),"jianpugao@berkeley.edu")</f>
        <v>jianpugao@berkeley.edu</v>
      </c>
      <c r="G889" s="2"/>
    </row>
    <row r="890">
      <c r="A890" s="2" t="str">
        <f>IFERROR(__xludf.DUMMYFUNCTION("""COMPUTED_VALUE"""),"Altmaier ")</f>
        <v>Altmaier </v>
      </c>
      <c r="B890" s="2" t="str">
        <f>IFERROR(__xludf.DUMMYFUNCTION("""COMPUTED_VALUE"""),"Saskia")</f>
        <v>Saskia</v>
      </c>
      <c r="C890" s="2" t="str">
        <f>IFERROR(__xludf.DUMMYFUNCTION("""COMPUTED_VALUE"""),"Key Personnel")</f>
        <v>Key Personnel</v>
      </c>
      <c r="D890" s="2" t="str">
        <f>IFERROR(__xludf.DUMMYFUNCTION("""COMPUTED_VALUE"""),"Bateup")</f>
        <v>Bateup</v>
      </c>
      <c r="E890" s="2" t="str">
        <f>IFERROR(__xludf.DUMMYFUNCTION("""COMPUTED_VALUE"""),"Intern")</f>
        <v>Intern</v>
      </c>
      <c r="F890" s="2" t="str">
        <f>IFERROR(__xludf.DUMMYFUNCTION("""COMPUTED_VALUE"""),"altmaier@berkeley.edu")</f>
        <v>altmaier@berkeley.edu</v>
      </c>
      <c r="G890" s="2"/>
    </row>
    <row r="891">
      <c r="A891" s="2" t="str">
        <f>IFERROR(__xludf.DUMMYFUNCTION("""COMPUTED_VALUE"""),"Paatz")</f>
        <v>Paatz</v>
      </c>
      <c r="B891" s="2" t="str">
        <f>IFERROR(__xludf.DUMMYFUNCTION("""COMPUTED_VALUE"""),"Sarah")</f>
        <v>Sarah</v>
      </c>
      <c r="C891" s="2" t="str">
        <f>IFERROR(__xludf.DUMMYFUNCTION("""COMPUTED_VALUE"""),"Key Personnel")</f>
        <v>Key Personnel</v>
      </c>
      <c r="D891" s="2" t="str">
        <f>IFERROR(__xludf.DUMMYFUNCTION("""COMPUTED_VALUE"""),"Hockemeyer")</f>
        <v>Hockemeyer</v>
      </c>
      <c r="E891" s="2" t="str">
        <f>IFERROR(__xludf.DUMMYFUNCTION("""COMPUTED_VALUE"""),"Intern")</f>
        <v>Intern</v>
      </c>
      <c r="F891" s="2" t="str">
        <f>IFERROR(__xludf.DUMMYFUNCTION("""COMPUTED_VALUE"""),"spaatz@berkeley.edu")</f>
        <v>spaatz@berkeley.edu</v>
      </c>
      <c r="G891" s="2"/>
    </row>
    <row r="892">
      <c r="A892" s="2" t="str">
        <f>IFERROR(__xludf.DUMMYFUNCTION("""COMPUTED_VALUE"""),"Schapira")</f>
        <v>Schapira</v>
      </c>
      <c r="B892" s="2" t="str">
        <f>IFERROR(__xludf.DUMMYFUNCTION("""COMPUTED_VALUE"""),"Anthony")</f>
        <v>Anthony</v>
      </c>
      <c r="C892" s="2" t="str">
        <f>IFERROR(__xludf.DUMMYFUNCTION("""COMPUTED_VALUE"""),"Lead-PI")</f>
        <v>Lead-PI</v>
      </c>
      <c r="D892" s="2" t="str">
        <f>IFERROR(__xludf.DUMMYFUNCTION("""COMPUTED_VALUE"""),"Schapira")</f>
        <v>Schapira</v>
      </c>
      <c r="E892" s="2" t="str">
        <f>IFERROR(__xludf.DUMMYFUNCTION("""COMPUTED_VALUE"""),"NA")</f>
        <v>NA</v>
      </c>
      <c r="F892" s="2" t="str">
        <f>IFERROR(__xludf.DUMMYFUNCTION("""COMPUTED_VALUE"""),"a.schapira@ucl.ac.uk")</f>
        <v>a.schapira@ucl.ac.uk</v>
      </c>
      <c r="G892" s="2" t="str">
        <f>IFERROR(__xludf.DUMMYFUNCTION("""COMPUTED_VALUE"""),"0000-0002-3018-3966")</f>
        <v>0000-0002-3018-3966</v>
      </c>
    </row>
    <row r="893">
      <c r="A893" s="2" t="str">
        <f>IFERROR(__xludf.DUMMYFUNCTION("""COMPUTED_VALUE"""),"Blandini")</f>
        <v>Blandini</v>
      </c>
      <c r="B893" s="2" t="str">
        <f>IFERROR(__xludf.DUMMYFUNCTION("""COMPUTED_VALUE"""),"Fabio")</f>
        <v>Fabio</v>
      </c>
      <c r="C893" s="2" t="str">
        <f>IFERROR(__xludf.DUMMYFUNCTION("""COMPUTED_VALUE"""),"Co-PI")</f>
        <v>Co-PI</v>
      </c>
      <c r="D893" s="2" t="str">
        <f>IFERROR(__xludf.DUMMYFUNCTION("""COMPUTED_VALUE"""),"Blandini")</f>
        <v>Blandini</v>
      </c>
      <c r="E893" s="2" t="str">
        <f>IFERROR(__xludf.DUMMYFUNCTION("""COMPUTED_VALUE"""),"NA")</f>
        <v>NA</v>
      </c>
      <c r="F893" s="2" t="str">
        <f>IFERROR(__xludf.DUMMYFUNCTION("""COMPUTED_VALUE"""),"fabio.blandini@policlinico.mi.it")</f>
        <v>fabio.blandini@policlinico.mi.it</v>
      </c>
      <c r="G893" s="2" t="str">
        <f>IFERROR(__xludf.DUMMYFUNCTION("""COMPUTED_VALUE"""),"0000-0002-0178-1289")</f>
        <v>0000-0002-0178-1289</v>
      </c>
    </row>
    <row r="894">
      <c r="A894" s="2" t="str">
        <f>IFERROR(__xludf.DUMMYFUNCTION("""COMPUTED_VALUE"""),"Deleidi")</f>
        <v>Deleidi</v>
      </c>
      <c r="B894" s="2" t="str">
        <f>IFERROR(__xludf.DUMMYFUNCTION("""COMPUTED_VALUE"""),"Michela")</f>
        <v>Michela</v>
      </c>
      <c r="C894" s="2" t="str">
        <f>IFERROR(__xludf.DUMMYFUNCTION("""COMPUTED_VALUE"""),"Co-PI")</f>
        <v>Co-PI</v>
      </c>
      <c r="D894" s="2" t="str">
        <f>IFERROR(__xludf.DUMMYFUNCTION("""COMPUTED_VALUE"""),"Deleidi")</f>
        <v>Deleidi</v>
      </c>
      <c r="E894" s="2" t="str">
        <f>IFERROR(__xludf.DUMMYFUNCTION("""COMPUTED_VALUE"""),"NA")</f>
        <v>NA</v>
      </c>
      <c r="F894" s="2" t="str">
        <f>IFERROR(__xludf.DUMMYFUNCTION("""COMPUTED_VALUE"""),"michela.deleidi@institutimagine.org")</f>
        <v>michela.deleidi@institutimagine.org</v>
      </c>
      <c r="G894" s="2" t="str">
        <f>IFERROR(__xludf.DUMMYFUNCTION("""COMPUTED_VALUE"""),"0000-0003-0357-0124")</f>
        <v>0000-0003-0357-0124</v>
      </c>
    </row>
    <row r="895">
      <c r="A895" s="2" t="str">
        <f>IFERROR(__xludf.DUMMYFUNCTION("""COMPUTED_VALUE"""),"Di Monte")</f>
        <v>Di Monte</v>
      </c>
      <c r="B895" s="2" t="str">
        <f>IFERROR(__xludf.DUMMYFUNCTION("""COMPUTED_VALUE"""),"Donato")</f>
        <v>Donato</v>
      </c>
      <c r="C895" s="2" t="str">
        <f>IFERROR(__xludf.DUMMYFUNCTION("""COMPUTED_VALUE"""),"Co-PI")</f>
        <v>Co-PI</v>
      </c>
      <c r="D895" s="2" t="str">
        <f>IFERROR(__xludf.DUMMYFUNCTION("""COMPUTED_VALUE"""),"Di Monte")</f>
        <v>Di Monte</v>
      </c>
      <c r="E895" s="2" t="str">
        <f>IFERROR(__xludf.DUMMYFUNCTION("""COMPUTED_VALUE"""),"NA")</f>
        <v>NA</v>
      </c>
      <c r="F895" s="2" t="str">
        <f>IFERROR(__xludf.DUMMYFUNCTION("""COMPUTED_VALUE"""),"donato.dimonte@dzne.de")</f>
        <v>donato.dimonte@dzne.de</v>
      </c>
      <c r="G895" s="2" t="str">
        <f>IFERROR(__xludf.DUMMYFUNCTION("""COMPUTED_VALUE"""),"0000-0002-8296-836X")</f>
        <v>0000-0002-8296-836X</v>
      </c>
    </row>
    <row r="896">
      <c r="A896" s="2" t="str">
        <f>IFERROR(__xludf.DUMMYFUNCTION("""COMPUTED_VALUE"""),"Almeida")</f>
        <v>Almeida</v>
      </c>
      <c r="B896" s="2" t="str">
        <f>IFERROR(__xludf.DUMMYFUNCTION("""COMPUTED_VALUE"""),"Mathieu")</f>
        <v>Mathieu</v>
      </c>
      <c r="C896" s="2" t="str">
        <f>IFERROR(__xludf.DUMMYFUNCTION("""COMPUTED_VALUE"""),"Co-PI")</f>
        <v>Co-PI</v>
      </c>
      <c r="D896" s="2" t="str">
        <f>IFERROR(__xludf.DUMMYFUNCTION("""COMPUTED_VALUE"""),"Almeida")</f>
        <v>Almeida</v>
      </c>
      <c r="E896" s="2" t="str">
        <f>IFERROR(__xludf.DUMMYFUNCTION("""COMPUTED_VALUE"""),"Research associate")</f>
        <v>Research associate</v>
      </c>
      <c r="F896" s="2" t="str">
        <f>IFERROR(__xludf.DUMMYFUNCTION("""COMPUTED_VALUE"""),"Mathieu.Almeida@inrae.fr")</f>
        <v>Mathieu.Almeida@inrae.fr</v>
      </c>
      <c r="G896" s="2" t="str">
        <f>IFERROR(__xludf.DUMMYFUNCTION("""COMPUTED_VALUE"""),"0000-0003-4971-0049")</f>
        <v>0000-0003-4971-0049</v>
      </c>
    </row>
    <row r="897">
      <c r="A897" s="2" t="str">
        <f>IFERROR(__xludf.DUMMYFUNCTION("""COMPUTED_VALUE"""),"Ehrlich")</f>
        <v>Ehrlich</v>
      </c>
      <c r="B897" s="2" t="str">
        <f>IFERROR(__xludf.DUMMYFUNCTION("""COMPUTED_VALUE"""),"Stanislav ")</f>
        <v>Stanislav </v>
      </c>
      <c r="C897" s="2" t="str">
        <f>IFERROR(__xludf.DUMMYFUNCTION("""COMPUTED_VALUE"""),"Collaborating PI")</f>
        <v>Collaborating PI</v>
      </c>
      <c r="D897" s="2" t="str">
        <f>IFERROR(__xludf.DUMMYFUNCTION("""COMPUTED_VALUE"""),"Schapira")</f>
        <v>Schapira</v>
      </c>
      <c r="E897" s="2" t="str">
        <f>IFERROR(__xludf.DUMMYFUNCTION("""COMPUTED_VALUE"""),"NA")</f>
        <v>NA</v>
      </c>
      <c r="F897" s="2" t="str">
        <f>IFERROR(__xludf.DUMMYFUNCTION("""COMPUTED_VALUE""")," s.ehrlich@ucl.ac.uk")</f>
        <v> s.ehrlich@ucl.ac.uk</v>
      </c>
      <c r="G897" s="2" t="str">
        <f>IFERROR(__xludf.DUMMYFUNCTION("""COMPUTED_VALUE"""),"0000-0002-7563-4046")</f>
        <v>0000-0002-7563-4046</v>
      </c>
    </row>
    <row r="898">
      <c r="A898" s="2" t="str">
        <f>IFERROR(__xludf.DUMMYFUNCTION("""COMPUTED_VALUE"""),"Blottiere ")</f>
        <v>Blottiere </v>
      </c>
      <c r="B898" s="2" t="str">
        <f>IFERROR(__xludf.DUMMYFUNCTION("""COMPUTED_VALUE"""),"Hervé")</f>
        <v>Hervé</v>
      </c>
      <c r="C898" s="2" t="str">
        <f>IFERROR(__xludf.DUMMYFUNCTION("""COMPUTED_VALUE"""),"Collaborating PI")</f>
        <v>Collaborating PI</v>
      </c>
      <c r="D898" s="2" t="str">
        <f>IFERROR(__xludf.DUMMYFUNCTION("""COMPUTED_VALUE"""),"Blottiere")</f>
        <v>Blottiere</v>
      </c>
      <c r="E898" s="2" t="str">
        <f>IFERROR(__xludf.DUMMYFUNCTION("""COMPUTED_VALUE"""),"NA")</f>
        <v>NA</v>
      </c>
      <c r="F898" s="2" t="str">
        <f>IFERROR(__xludf.DUMMYFUNCTION("""COMPUTED_VALUE"""),"herve.blottiere@inrae.fr")</f>
        <v>herve.blottiere@inrae.fr</v>
      </c>
      <c r="G898" s="2" t="str">
        <f>IFERROR(__xludf.DUMMYFUNCTION("""COMPUTED_VALUE"""),"0000-0002-8390-0607")</f>
        <v>0000-0002-8390-0607</v>
      </c>
    </row>
    <row r="899">
      <c r="A899" s="2" t="str">
        <f>IFERROR(__xludf.DUMMYFUNCTION("""COMPUTED_VALUE"""),"Macnaughtan ")</f>
        <v>Macnaughtan </v>
      </c>
      <c r="B899" s="2" t="str">
        <f>IFERROR(__xludf.DUMMYFUNCTION("""COMPUTED_VALUE"""),"Jane")</f>
        <v>Jane</v>
      </c>
      <c r="C899" s="2" t="str">
        <f>IFERROR(__xludf.DUMMYFUNCTION("""COMPUTED_VALUE"""),"Collaborating PI")</f>
        <v>Collaborating PI</v>
      </c>
      <c r="D899" s="2" t="str">
        <f>IFERROR(__xludf.DUMMYFUNCTION("""COMPUTED_VALUE"""),"Schapira")</f>
        <v>Schapira</v>
      </c>
      <c r="E899" s="2" t="str">
        <f>IFERROR(__xludf.DUMMYFUNCTION("""COMPUTED_VALUE"""),"NA")</f>
        <v>NA</v>
      </c>
      <c r="F899" s="2" t="str">
        <f>IFERROR(__xludf.DUMMYFUNCTION("""COMPUTED_VALUE"""),"j.macnaughtan@ucl.ac.uk")</f>
        <v>j.macnaughtan@ucl.ac.uk</v>
      </c>
      <c r="G899" s="2" t="str">
        <f>IFERROR(__xludf.DUMMYFUNCTION("""COMPUTED_VALUE"""),"0000-0003-1211-9298")</f>
        <v>0000-0003-1211-9298</v>
      </c>
    </row>
    <row r="900">
      <c r="A900" s="2" t="str">
        <f>IFERROR(__xludf.DUMMYFUNCTION("""COMPUTED_VALUE"""),"Pons")</f>
        <v>Pons</v>
      </c>
      <c r="B900" s="2" t="str">
        <f>IFERROR(__xludf.DUMMYFUNCTION("""COMPUTED_VALUE"""),"Nicolas")</f>
        <v>Nicolas</v>
      </c>
      <c r="C900" s="2" t="str">
        <f>IFERROR(__xludf.DUMMYFUNCTION("""COMPUTED_VALUE"""),"Key Personnel")</f>
        <v>Key Personnel</v>
      </c>
      <c r="D900" s="2" t="str">
        <f>IFERROR(__xludf.DUMMYFUNCTION("""COMPUTED_VALUE"""),"Almeida")</f>
        <v>Almeida</v>
      </c>
      <c r="E900" s="2" t="str">
        <f>IFERROR(__xludf.DUMMYFUNCTION("""COMPUTED_VALUE"""),"Research engineer, Operational manager")</f>
        <v>Research engineer, Operational manager</v>
      </c>
      <c r="F900" s="2" t="str">
        <f>IFERROR(__xludf.DUMMYFUNCTION("""COMPUTED_VALUE"""),"nicolas.pons@inrae.fr")</f>
        <v>nicolas.pons@inrae.fr</v>
      </c>
      <c r="G900" s="2" t="str">
        <f>IFERROR(__xludf.DUMMYFUNCTION("""COMPUTED_VALUE"""),"0000-0003-1926-8077")</f>
        <v>0000-0003-1926-8077</v>
      </c>
    </row>
    <row r="901">
      <c r="A901" s="2" t="str">
        <f>IFERROR(__xludf.DUMMYFUNCTION("""COMPUTED_VALUE"""),"Galleron")</f>
        <v>Galleron</v>
      </c>
      <c r="B901" s="2" t="str">
        <f>IFERROR(__xludf.DUMMYFUNCTION("""COMPUTED_VALUE"""),"Nathalie")</f>
        <v>Nathalie</v>
      </c>
      <c r="C901" s="2" t="str">
        <f>IFERROR(__xludf.DUMMYFUNCTION("""COMPUTED_VALUE"""),"Key Personnel")</f>
        <v>Key Personnel</v>
      </c>
      <c r="D901" s="2" t="str">
        <f>IFERROR(__xludf.DUMMYFUNCTION("""COMPUTED_VALUE"""),"Almeida")</f>
        <v>Almeida</v>
      </c>
      <c r="E901" s="2" t="str">
        <f>IFERROR(__xludf.DUMMYFUNCTION("""COMPUTED_VALUE"""),"Operational manager")</f>
        <v>Operational manager</v>
      </c>
      <c r="F901" s="2" t="str">
        <f>IFERROR(__xludf.DUMMYFUNCTION("""COMPUTED_VALUE"""),"nathalie.galleron@inrae.fr")</f>
        <v>nathalie.galleron@inrae.fr</v>
      </c>
      <c r="G901" s="2" t="str">
        <f>IFERROR(__xludf.DUMMYFUNCTION("""COMPUTED_VALUE"""),"0000-0001-8460-6445")</f>
        <v>0000-0001-8460-6445</v>
      </c>
    </row>
    <row r="902">
      <c r="A902" s="2" t="str">
        <f>IFERROR(__xludf.DUMMYFUNCTION("""COMPUTED_VALUE"""),"Morabito")</f>
        <v>Morabito</v>
      </c>
      <c r="B902" s="2" t="str">
        <f>IFERROR(__xludf.DUMMYFUNCTION("""COMPUTED_VALUE"""),"Christian")</f>
        <v>Christian</v>
      </c>
      <c r="C902" s="2" t="str">
        <f>IFERROR(__xludf.DUMMYFUNCTION("""COMPUTED_VALUE"""),"Key Personnel")</f>
        <v>Key Personnel</v>
      </c>
      <c r="D902" s="2" t="str">
        <f>IFERROR(__xludf.DUMMYFUNCTION("""COMPUTED_VALUE"""),"Almeida")</f>
        <v>Almeida</v>
      </c>
      <c r="E902" s="2" t="str">
        <f>IFERROR(__xludf.DUMMYFUNCTION("""COMPUTED_VALUE"""),"Research associate, Operational manager")</f>
        <v>Research associate, Operational manager</v>
      </c>
      <c r="F902" s="2" t="str">
        <f>IFERROR(__xludf.DUMMYFUNCTION("""COMPUTED_VALUE"""),"Christian.Morabito@inrae.fr")</f>
        <v>Christian.Morabito@inrae.fr</v>
      </c>
      <c r="G902" s="2" t="str">
        <f>IFERROR(__xludf.DUMMYFUNCTION("""COMPUTED_VALUE"""),"0000-0002-3193-7299")</f>
        <v>0000-0002-3193-7299</v>
      </c>
    </row>
    <row r="903">
      <c r="A903" s="2" t="str">
        <f>IFERROR(__xludf.DUMMYFUNCTION("""COMPUTED_VALUE"""),"Ulusoy")</f>
        <v>Ulusoy</v>
      </c>
      <c r="B903" s="2" t="str">
        <f>IFERROR(__xludf.DUMMYFUNCTION("""COMPUTED_VALUE"""),"Ayse ")</f>
        <v>Ayse </v>
      </c>
      <c r="C903" s="2" t="str">
        <f>IFERROR(__xludf.DUMMYFUNCTION("""COMPUTED_VALUE"""),"Key Personnel")</f>
        <v>Key Personnel</v>
      </c>
      <c r="D903" s="2" t="str">
        <f>IFERROR(__xludf.DUMMYFUNCTION("""COMPUTED_VALUE"""),"Di Monte")</f>
        <v>Di Monte</v>
      </c>
      <c r="E903" s="2" t="str">
        <f>IFERROR(__xludf.DUMMYFUNCTION("""COMPUTED_VALUE"""),"Staff Scientist")</f>
        <v>Staff Scientist</v>
      </c>
      <c r="F903" s="2" t="str">
        <f>IFERROR(__xludf.DUMMYFUNCTION("""COMPUTED_VALUE"""),"ayse.ulusoy@dzne.de")</f>
        <v>ayse.ulusoy@dzne.de</v>
      </c>
      <c r="G903" s="2" t="str">
        <f>IFERROR(__xludf.DUMMYFUNCTION("""COMPUTED_VALUE"""),"0000-0003-2840-3429")</f>
        <v>0000-0003-2840-3429</v>
      </c>
    </row>
    <row r="904">
      <c r="A904" s="2" t="str">
        <f>IFERROR(__xludf.DUMMYFUNCTION("""COMPUTED_VALUE"""),"O'Sullivan")</f>
        <v>O'Sullivan</v>
      </c>
      <c r="B904" s="2" t="str">
        <f>IFERROR(__xludf.DUMMYFUNCTION("""COMPUTED_VALUE"""),"Sinead")</f>
        <v>Sinead</v>
      </c>
      <c r="C904" s="2" t="str">
        <f>IFERROR(__xludf.DUMMYFUNCTION("""COMPUTED_VALUE"""),"Key Personnel")</f>
        <v>Key Personnel</v>
      </c>
      <c r="D904" s="2" t="str">
        <f>IFERROR(__xludf.DUMMYFUNCTION("""COMPUTED_VALUE"""),"Di Monte")</f>
        <v>Di Monte</v>
      </c>
      <c r="E904" s="2" t="str">
        <f>IFERROR(__xludf.DUMMYFUNCTION("""COMPUTED_VALUE"""),"Postdoc")</f>
        <v>Postdoc</v>
      </c>
      <c r="F904" s="2" t="str">
        <f>IFERROR(__xludf.DUMMYFUNCTION("""COMPUTED_VALUE"""),"sinead.osullivan@dzne.de")</f>
        <v>sinead.osullivan@dzne.de</v>
      </c>
      <c r="G904" s="2" t="str">
        <f>IFERROR(__xludf.DUMMYFUNCTION("""COMPUTED_VALUE"""),"0000-0003-1909-0803")</f>
        <v>0000-0003-1909-0803</v>
      </c>
    </row>
    <row r="905">
      <c r="A905" s="2" t="str">
        <f>IFERROR(__xludf.DUMMYFUNCTION("""COMPUTED_VALUE"""),"Koletsi")</f>
        <v>Koletsi</v>
      </c>
      <c r="B905" s="2" t="str">
        <f>IFERROR(__xludf.DUMMYFUNCTION("""COMPUTED_VALUE"""),"Sofia")</f>
        <v>Sofia</v>
      </c>
      <c r="C905" s="2" t="str">
        <f>IFERROR(__xludf.DUMMYFUNCTION("""COMPUTED_VALUE"""),"Project Manager")</f>
        <v>Project Manager</v>
      </c>
      <c r="D905" s="2" t="str">
        <f>IFERROR(__xludf.DUMMYFUNCTION("""COMPUTED_VALUE"""),"Schapira")</f>
        <v>Schapira</v>
      </c>
      <c r="E905" s="2" t="str">
        <f>IFERROR(__xludf.DUMMYFUNCTION("""COMPUTED_VALUE"""),"NA")</f>
        <v>NA</v>
      </c>
      <c r="F905" s="2" t="str">
        <f>IFERROR(__xludf.DUMMYFUNCTION("""COMPUTED_VALUE"""),"s.koletsi@ucl.ac.uk")</f>
        <v>s.koletsi@ucl.ac.uk</v>
      </c>
      <c r="G905" s="2" t="str">
        <f>IFERROR(__xludf.DUMMYFUNCTION("""COMPUTED_VALUE"""),"0000-0002-6661-7797")</f>
        <v>0000-0002-6661-7797</v>
      </c>
    </row>
    <row r="906">
      <c r="A906" s="2" t="str">
        <f>IFERROR(__xludf.DUMMYFUNCTION("""COMPUTED_VALUE"""),"Avenali")</f>
        <v>Avenali</v>
      </c>
      <c r="B906" s="2" t="str">
        <f>IFERROR(__xludf.DUMMYFUNCTION("""COMPUTED_VALUE"""),"Micol")</f>
        <v>Micol</v>
      </c>
      <c r="C906" s="2" t="str">
        <f>IFERROR(__xludf.DUMMYFUNCTION("""COMPUTED_VALUE"""),"Key Personnel")</f>
        <v>Key Personnel</v>
      </c>
      <c r="D906" s="2" t="str">
        <f>IFERROR(__xludf.DUMMYFUNCTION("""COMPUTED_VALUE"""),"Blandini")</f>
        <v>Blandini</v>
      </c>
      <c r="E906" s="2" t="str">
        <f>IFERROR(__xludf.DUMMYFUNCTION("""COMPUTED_VALUE"""),"Clinical research fellow - PhD student")</f>
        <v>Clinical research fellow - PhD student</v>
      </c>
      <c r="F906" s="2" t="str">
        <f>IFERROR(__xludf.DUMMYFUNCTION("""COMPUTED_VALUE"""),"micol.avenali@mondino.it")</f>
        <v>micol.avenali@mondino.it</v>
      </c>
      <c r="G906" s="2" t="str">
        <f>IFERROR(__xludf.DUMMYFUNCTION("""COMPUTED_VALUE"""),"0000-0002-7880-9921")</f>
        <v>0000-0002-7880-9921</v>
      </c>
    </row>
    <row r="907">
      <c r="A907" s="2" t="str">
        <f>IFERROR(__xludf.DUMMYFUNCTION("""COMPUTED_VALUE"""),"Cerri")</f>
        <v>Cerri</v>
      </c>
      <c r="B907" s="2" t="str">
        <f>IFERROR(__xludf.DUMMYFUNCTION("""COMPUTED_VALUE"""),"Silvia")</f>
        <v>Silvia</v>
      </c>
      <c r="C907" s="2" t="str">
        <f>IFERROR(__xludf.DUMMYFUNCTION("""COMPUTED_VALUE"""),"Key Personnel")</f>
        <v>Key Personnel</v>
      </c>
      <c r="D907" s="2" t="str">
        <f>IFERROR(__xludf.DUMMYFUNCTION("""COMPUTED_VALUE"""),"Blandini")</f>
        <v>Blandini</v>
      </c>
      <c r="E907" s="2" t="str">
        <f>IFERROR(__xludf.DUMMYFUNCTION("""COMPUTED_VALUE"""),"Senior research scientist")</f>
        <v>Senior research scientist</v>
      </c>
      <c r="F907" s="2" t="str">
        <f>IFERROR(__xludf.DUMMYFUNCTION("""COMPUTED_VALUE"""),"silvia.cerri@mondino.it")</f>
        <v>silvia.cerri@mondino.it</v>
      </c>
      <c r="G907" s="2" t="str">
        <f>IFERROR(__xludf.DUMMYFUNCTION("""COMPUTED_VALUE"""),"0000-0002-6466-5381")</f>
        <v>0000-0002-6466-5381</v>
      </c>
    </row>
    <row r="908">
      <c r="A908" s="2" t="str">
        <f>IFERROR(__xludf.DUMMYFUNCTION("""COMPUTED_VALUE"""),"Valente")</f>
        <v>Valente</v>
      </c>
      <c r="B908" s="2" t="str">
        <f>IFERROR(__xludf.DUMMYFUNCTION("""COMPUTED_VALUE"""),"Enza Maria")</f>
        <v>Enza Maria</v>
      </c>
      <c r="C908" s="2" t="str">
        <f>IFERROR(__xludf.DUMMYFUNCTION("""COMPUTED_VALUE"""),"Key Personnel")</f>
        <v>Key Personnel</v>
      </c>
      <c r="D908" s="2" t="str">
        <f>IFERROR(__xludf.DUMMYFUNCTION("""COMPUTED_VALUE"""),"Blandini")</f>
        <v>Blandini</v>
      </c>
      <c r="E908" s="2" t="str">
        <f>IFERROR(__xludf.DUMMYFUNCTION("""COMPUTED_VALUE"""),"senior research scientist")</f>
        <v>senior research scientist</v>
      </c>
      <c r="F908" s="2" t="str">
        <f>IFERROR(__xludf.DUMMYFUNCTION("""COMPUTED_VALUE"""),"enzamaria.valente@unipv.it")</f>
        <v>enzamaria.valente@unipv.it</v>
      </c>
      <c r="G908" s="2" t="str">
        <f>IFERROR(__xludf.DUMMYFUNCTION("""COMPUTED_VALUE"""),"0000-0002-0600-6820")</f>
        <v>0000-0002-0600-6820</v>
      </c>
    </row>
    <row r="909">
      <c r="A909" s="2" t="str">
        <f>IFERROR(__xludf.DUMMYFUNCTION("""COMPUTED_VALUE"""),"Pisani")</f>
        <v>Pisani</v>
      </c>
      <c r="B909" s="2" t="str">
        <f>IFERROR(__xludf.DUMMYFUNCTION("""COMPUTED_VALUE"""),"Antonio")</f>
        <v>Antonio</v>
      </c>
      <c r="C909" s="2" t="str">
        <f>IFERROR(__xludf.DUMMYFUNCTION("""COMPUTED_VALUE"""),"Key Personnel")</f>
        <v>Key Personnel</v>
      </c>
      <c r="D909" s="2" t="str">
        <f>IFERROR(__xludf.DUMMYFUNCTION("""COMPUTED_VALUE"""),"Blandini")</f>
        <v>Blandini</v>
      </c>
      <c r="E909" s="2" t="str">
        <f>IFERROR(__xludf.DUMMYFUNCTION("""COMPUTED_VALUE"""),"Senior reserach scientist")</f>
        <v>Senior reserach scientist</v>
      </c>
      <c r="F909" s="2" t="str">
        <f>IFERROR(__xludf.DUMMYFUNCTION("""COMPUTED_VALUE"""),"antonio.pisani@unipv.it")</f>
        <v>antonio.pisani@unipv.it</v>
      </c>
      <c r="G909" s="2" t="str">
        <f>IFERROR(__xludf.DUMMYFUNCTION("""COMPUTED_VALUE"""),"0000-0002-8432-594X")</f>
        <v>0000-0002-8432-594X</v>
      </c>
    </row>
    <row r="910">
      <c r="A910" s="2" t="str">
        <f>IFERROR(__xludf.DUMMYFUNCTION("""COMPUTED_VALUE"""),"Perez")</f>
        <v>Perez</v>
      </c>
      <c r="B910" s="2" t="str">
        <f>IFERROR(__xludf.DUMMYFUNCTION("""COMPUTED_VALUE"""),"Maria Jose")</f>
        <v>Maria Jose</v>
      </c>
      <c r="C910" s="2" t="str">
        <f>IFERROR(__xludf.DUMMYFUNCTION("""COMPUTED_VALUE"""),"Key Personnel")</f>
        <v>Key Personnel</v>
      </c>
      <c r="D910" s="2" t="str">
        <f>IFERROR(__xludf.DUMMYFUNCTION("""COMPUTED_VALUE"""),"Deleidi")</f>
        <v>Deleidi</v>
      </c>
      <c r="E910" s="2" t="str">
        <f>IFERROR(__xludf.DUMMYFUNCTION("""COMPUTED_VALUE"""),"Post-doc")</f>
        <v>Post-doc</v>
      </c>
      <c r="F910" s="2" t="str">
        <f>IFERROR(__xludf.DUMMYFUNCTION("""COMPUTED_VALUE"""),"maria-jose.perez@institutimagine.org")</f>
        <v>maria-jose.perez@institutimagine.org</v>
      </c>
      <c r="G910" s="2" t="str">
        <f>IFERROR(__xludf.DUMMYFUNCTION("""COMPUTED_VALUE"""),"0000-0001-8842-4286")</f>
        <v>0000-0001-8842-4286</v>
      </c>
    </row>
    <row r="911">
      <c r="A911" s="2" t="str">
        <f>IFERROR(__xludf.DUMMYFUNCTION("""COMPUTED_VALUE"""),"Le Chatelier")</f>
        <v>Le Chatelier</v>
      </c>
      <c r="B911" s="2" t="str">
        <f>IFERROR(__xludf.DUMMYFUNCTION("""COMPUTED_VALUE"""),"Emmanuelle")</f>
        <v>Emmanuelle</v>
      </c>
      <c r="C911" s="2" t="str">
        <f>IFERROR(__xludf.DUMMYFUNCTION("""COMPUTED_VALUE"""),"Key Personnel")</f>
        <v>Key Personnel</v>
      </c>
      <c r="D911" s="2" t="str">
        <f>IFERROR(__xludf.DUMMYFUNCTION("""COMPUTED_VALUE"""),"Almeida")</f>
        <v>Almeida</v>
      </c>
      <c r="E911" s="2" t="str">
        <f>IFERROR(__xludf.DUMMYFUNCTION("""COMPUTED_VALUE"""),"Senior research scientist")</f>
        <v>Senior research scientist</v>
      </c>
      <c r="F911" s="2" t="str">
        <f>IFERROR(__xludf.DUMMYFUNCTION("""COMPUTED_VALUE"""),"emmanuelle.lechatelier@inrae.fr")</f>
        <v>emmanuelle.lechatelier@inrae.fr</v>
      </c>
      <c r="G911" s="2" t="str">
        <f>IFERROR(__xludf.DUMMYFUNCTION("""COMPUTED_VALUE"""),"0000-0002-2724-0536")</f>
        <v>0000-0002-2724-0536</v>
      </c>
    </row>
    <row r="912">
      <c r="A912" s="2" t="str">
        <f>IFERROR(__xludf.DUMMYFUNCTION("""COMPUTED_VALUE"""),"Menozzi")</f>
        <v>Menozzi</v>
      </c>
      <c r="B912" s="2" t="str">
        <f>IFERROR(__xludf.DUMMYFUNCTION("""COMPUTED_VALUE"""),"Elisa")</f>
        <v>Elisa</v>
      </c>
      <c r="C912" s="2" t="str">
        <f>IFERROR(__xludf.DUMMYFUNCTION("""COMPUTED_VALUE"""),"Key Personnel")</f>
        <v>Key Personnel</v>
      </c>
      <c r="D912" s="2" t="str">
        <f>IFERROR(__xludf.DUMMYFUNCTION("""COMPUTED_VALUE"""),"Schapira")</f>
        <v>Schapira</v>
      </c>
      <c r="E912" s="2" t="str">
        <f>IFERROR(__xludf.DUMMYFUNCTION("""COMPUTED_VALUE"""),"PhD student")</f>
        <v>PhD student</v>
      </c>
      <c r="F912" s="2" t="str">
        <f>IFERROR(__xludf.DUMMYFUNCTION("""COMPUTED_VALUE"""),"e.menozzi@ucl.ac.uk")</f>
        <v>e.menozzi@ucl.ac.uk</v>
      </c>
      <c r="G912" s="2" t="str">
        <f>IFERROR(__xludf.DUMMYFUNCTION("""COMPUTED_VALUE"""),"0000-0003-3565-7910")</f>
        <v>0000-0003-3565-7910</v>
      </c>
    </row>
    <row r="913">
      <c r="A913" s="2" t="str">
        <f>IFERROR(__xludf.DUMMYFUNCTION("""COMPUTED_VALUE"""),"Toffoli")</f>
        <v>Toffoli</v>
      </c>
      <c r="B913" s="2" t="str">
        <f>IFERROR(__xludf.DUMMYFUNCTION("""COMPUTED_VALUE"""),"Marco")</f>
        <v>Marco</v>
      </c>
      <c r="C913" s="2" t="str">
        <f>IFERROR(__xludf.DUMMYFUNCTION("""COMPUTED_VALUE"""),"Key Personnel")</f>
        <v>Key Personnel</v>
      </c>
      <c r="D913" s="2" t="str">
        <f>IFERROR(__xludf.DUMMYFUNCTION("""COMPUTED_VALUE"""),"Schapira")</f>
        <v>Schapira</v>
      </c>
      <c r="E913" s="2" t="str">
        <f>IFERROR(__xludf.DUMMYFUNCTION("""COMPUTED_VALUE"""),"PhD student")</f>
        <v>PhD student</v>
      </c>
      <c r="F913" s="2" t="str">
        <f>IFERROR(__xludf.DUMMYFUNCTION("""COMPUTED_VALUE"""),"m.toffoli@ucl.ac.uk")</f>
        <v>m.toffoli@ucl.ac.uk</v>
      </c>
      <c r="G913" s="2" t="str">
        <f>IFERROR(__xludf.DUMMYFUNCTION("""COMPUTED_VALUE"""),"0000-0002-3255-9648")</f>
        <v>0000-0002-3255-9648</v>
      </c>
    </row>
    <row r="914">
      <c r="A914" s="2" t="str">
        <f>IFERROR(__xludf.DUMMYFUNCTION("""COMPUTED_VALUE"""),"Gegg")</f>
        <v>Gegg</v>
      </c>
      <c r="B914" s="2" t="str">
        <f>IFERROR(__xludf.DUMMYFUNCTION("""COMPUTED_VALUE"""),"Matthew")</f>
        <v>Matthew</v>
      </c>
      <c r="C914" s="2" t="str">
        <f>IFERROR(__xludf.DUMMYFUNCTION("""COMPUTED_VALUE"""),"Key Personnel")</f>
        <v>Key Personnel</v>
      </c>
      <c r="D914" s="2" t="str">
        <f>IFERROR(__xludf.DUMMYFUNCTION("""COMPUTED_VALUE"""),"Schapira")</f>
        <v>Schapira</v>
      </c>
      <c r="E914" s="2" t="str">
        <f>IFERROR(__xludf.DUMMYFUNCTION("""COMPUTED_VALUE"""),"Postdoc")</f>
        <v>Postdoc</v>
      </c>
      <c r="F914" s="2" t="str">
        <f>IFERROR(__xludf.DUMMYFUNCTION("""COMPUTED_VALUE"""),"matthew.gegg@ucl.ac.uk")</f>
        <v>matthew.gegg@ucl.ac.uk</v>
      </c>
      <c r="G914" s="2" t="str">
        <f>IFERROR(__xludf.DUMMYFUNCTION("""COMPUTED_VALUE"""),"0000-0001-8093-0723")</f>
        <v>0000-0001-8093-0723</v>
      </c>
    </row>
    <row r="915">
      <c r="A915" s="2" t="str">
        <f>IFERROR(__xludf.DUMMYFUNCTION("""COMPUTED_VALUE"""),"Lucas Del Pozo")</f>
        <v>Lucas Del Pozo</v>
      </c>
      <c r="B915" s="2" t="str">
        <f>IFERROR(__xludf.DUMMYFUNCTION("""COMPUTED_VALUE"""),"Sara")</f>
        <v>Sara</v>
      </c>
      <c r="C915" s="2" t="str">
        <f>IFERROR(__xludf.DUMMYFUNCTION("""COMPUTED_VALUE"""),"Key Personnel")</f>
        <v>Key Personnel</v>
      </c>
      <c r="D915" s="2" t="str">
        <f>IFERROR(__xludf.DUMMYFUNCTION("""COMPUTED_VALUE"""),"Schapira")</f>
        <v>Schapira</v>
      </c>
      <c r="E915" s="2" t="str">
        <f>IFERROR(__xludf.DUMMYFUNCTION("""COMPUTED_VALUE"""),"PhD student")</f>
        <v>PhD student</v>
      </c>
      <c r="F915" s="2" t="str">
        <f>IFERROR(__xludf.DUMMYFUNCTION("""COMPUTED_VALUE"""),"s.pozo@ucl.ac.uk")</f>
        <v>s.pozo@ucl.ac.uk</v>
      </c>
      <c r="G915" s="2" t="str">
        <f>IFERROR(__xludf.DUMMYFUNCTION("""COMPUTED_VALUE"""),"0000-0002-5431-8204")</f>
        <v>0000-0002-5431-8204</v>
      </c>
    </row>
    <row r="916">
      <c r="A916" s="2" t="str">
        <f>IFERROR(__xludf.DUMMYFUNCTION("""COMPUTED_VALUE"""),"Chau")</f>
        <v>Chau</v>
      </c>
      <c r="B916" s="2" t="str">
        <f>IFERROR(__xludf.DUMMYFUNCTION("""COMPUTED_VALUE"""),"David (KaiYin)")</f>
        <v>David (KaiYin)</v>
      </c>
      <c r="C916" s="2" t="str">
        <f>IFERROR(__xludf.DUMMYFUNCTION("""COMPUTED_VALUE"""),"Key Personnel")</f>
        <v>Key Personnel</v>
      </c>
      <c r="D916" s="2" t="str">
        <f>IFERROR(__xludf.DUMMYFUNCTION("""COMPUTED_VALUE"""),"Schapira")</f>
        <v>Schapira</v>
      </c>
      <c r="E916" s="2" t="str">
        <f>IFERROR(__xludf.DUMMYFUNCTION("""COMPUTED_VALUE"""),"Senior Research Scientist/Lab Manager")</f>
        <v>Senior Research Scientist/Lab Manager</v>
      </c>
      <c r="F916" s="2" t="str">
        <f>IFERROR(__xludf.DUMMYFUNCTION("""COMPUTED_VALUE"""),"k.chau@ucl.ac.uk")</f>
        <v>k.chau@ucl.ac.uk</v>
      </c>
      <c r="G916" s="2" t="str">
        <f>IFERROR(__xludf.DUMMYFUNCTION("""COMPUTED_VALUE"""),"0000-0002-5797-2922")</f>
        <v>0000-0002-5797-2922</v>
      </c>
    </row>
    <row r="917">
      <c r="A917" s="2" t="str">
        <f>IFERROR(__xludf.DUMMYFUNCTION("""COMPUTED_VALUE"""),"Spanos")</f>
        <v>Spanos</v>
      </c>
      <c r="B917" s="2" t="str">
        <f>IFERROR(__xludf.DUMMYFUNCTION("""COMPUTED_VALUE"""),"Fokion")</f>
        <v>Fokion</v>
      </c>
      <c r="C917" s="2" t="str">
        <f>IFERROR(__xludf.DUMMYFUNCTION("""COMPUTED_VALUE"""),"Key Personnel")</f>
        <v>Key Personnel</v>
      </c>
      <c r="D917" s="2" t="str">
        <f>IFERROR(__xludf.DUMMYFUNCTION("""COMPUTED_VALUE"""),"Deleidi")</f>
        <v>Deleidi</v>
      </c>
      <c r="E917" s="2" t="str">
        <f>IFERROR(__xludf.DUMMYFUNCTION("""COMPUTED_VALUE"""),"Doctoral Candidate")</f>
        <v>Doctoral Candidate</v>
      </c>
      <c r="F917" s="2" t="str">
        <f>IFERROR(__xludf.DUMMYFUNCTION("""COMPUTED_VALUE"""),"fokion.spanos@institutimagine.org")</f>
        <v>fokion.spanos@institutimagine.org</v>
      </c>
      <c r="G917" s="2" t="str">
        <f>IFERROR(__xludf.DUMMYFUNCTION("""COMPUTED_VALUE"""),"0000-0002-0753-4561")</f>
        <v>0000-0002-0753-4561</v>
      </c>
    </row>
    <row r="918">
      <c r="A918" s="2" t="str">
        <f>IFERROR(__xludf.DUMMYFUNCTION("""COMPUTED_VALUE"""),"La Vitola")</f>
        <v>La Vitola</v>
      </c>
      <c r="B918" s="2" t="str">
        <f>IFERROR(__xludf.DUMMYFUNCTION("""COMPUTED_VALUE"""),"Pietro")</f>
        <v>Pietro</v>
      </c>
      <c r="C918" s="2" t="str">
        <f>IFERROR(__xludf.DUMMYFUNCTION("""COMPUTED_VALUE"""),"Key Personnel")</f>
        <v>Key Personnel</v>
      </c>
      <c r="D918" s="2" t="str">
        <f>IFERROR(__xludf.DUMMYFUNCTION("""COMPUTED_VALUE"""),"Di Monte")</f>
        <v>Di Monte</v>
      </c>
      <c r="E918" s="2" t="str">
        <f>IFERROR(__xludf.DUMMYFUNCTION("""COMPUTED_VALUE"""),"Post-doc")</f>
        <v>Post-doc</v>
      </c>
      <c r="F918" s="2" t="str">
        <f>IFERROR(__xludf.DUMMYFUNCTION("""COMPUTED_VALUE"""),"Pietro.LaVitola@dzne.de")</f>
        <v>Pietro.LaVitola@dzne.de</v>
      </c>
      <c r="G918" s="2" t="str">
        <f>IFERROR(__xludf.DUMMYFUNCTION("""COMPUTED_VALUE"""),"0000-0001-7415-0739")</f>
        <v>0000-0001-7415-0739</v>
      </c>
    </row>
    <row r="919">
      <c r="A919" s="2" t="str">
        <f>IFERROR(__xludf.DUMMYFUNCTION("""COMPUTED_VALUE"""),"Galandra")</f>
        <v>Galandra</v>
      </c>
      <c r="B919" s="2" t="str">
        <f>IFERROR(__xludf.DUMMYFUNCTION("""COMPUTED_VALUE"""),"Caterina")</f>
        <v>Caterina</v>
      </c>
      <c r="C919" s="2" t="str">
        <f>IFERROR(__xludf.DUMMYFUNCTION("""COMPUTED_VALUE"""),"Key Personnel")</f>
        <v>Key Personnel</v>
      </c>
      <c r="D919" s="2" t="str">
        <f>IFERROR(__xludf.DUMMYFUNCTION("""COMPUTED_VALUE"""),"Blandini")</f>
        <v>Blandini</v>
      </c>
      <c r="E919" s="2" t="str">
        <f>IFERROR(__xludf.DUMMYFUNCTION("""COMPUTED_VALUE"""),"Data Manager")</f>
        <v>Data Manager</v>
      </c>
      <c r="F919" s="2" t="str">
        <f>IFERROR(__xludf.DUMMYFUNCTION("""COMPUTED_VALUE"""),"caterina.galandra@mondino.it")</f>
        <v>caterina.galandra@mondino.it</v>
      </c>
      <c r="G919" s="2" t="str">
        <f>IFERROR(__xludf.DUMMYFUNCTION("""COMPUTED_VALUE"""),"0000-0002-7048-814X")</f>
        <v>0000-0002-7048-814X</v>
      </c>
    </row>
    <row r="920" ht="18.75" customHeight="1">
      <c r="A920" s="2" t="str">
        <f>IFERROR(__xludf.DUMMYFUNCTION("""COMPUTED_VALUE"""),"Lee")</f>
        <v>Lee</v>
      </c>
      <c r="B920" s="2" t="str">
        <f>IFERROR(__xludf.DUMMYFUNCTION("""COMPUTED_VALUE"""),"Chiao-Yin")</f>
        <v>Chiao-Yin</v>
      </c>
      <c r="C920" s="2" t="str">
        <f>IFERROR(__xludf.DUMMYFUNCTION("""COMPUTED_VALUE"""),"Key Personnel")</f>
        <v>Key Personnel</v>
      </c>
      <c r="D920" s="2" t="str">
        <f>IFERROR(__xludf.DUMMYFUNCTION("""COMPUTED_VALUE"""),"Schapira")</f>
        <v>Schapira</v>
      </c>
      <c r="E920" s="2" t="str">
        <f>IFERROR(__xludf.DUMMYFUNCTION("""COMPUTED_VALUE"""),"PhD Student")</f>
        <v>PhD Student</v>
      </c>
      <c r="F920" s="2" t="str">
        <f>IFERROR(__xludf.DUMMYFUNCTION("""COMPUTED_VALUE"""),"l.chiao-yin@ucl.ac.uk")</f>
        <v>l.chiao-yin@ucl.ac.uk</v>
      </c>
      <c r="G920" s="2" t="str">
        <f>IFERROR(__xludf.DUMMYFUNCTION("""COMPUTED_VALUE"""),"0000-0003-1117-3006")</f>
        <v>0000-0003-1117-3006</v>
      </c>
    </row>
    <row r="921">
      <c r="A921" s="2" t="str">
        <f>IFERROR(__xludf.DUMMYFUNCTION("""COMPUTED_VALUE"""),"Bertoli")</f>
        <v>Bertoli</v>
      </c>
      <c r="B921" s="2" t="str">
        <f>IFERROR(__xludf.DUMMYFUNCTION("""COMPUTED_VALUE"""),"Federico")</f>
        <v>Federico</v>
      </c>
      <c r="C921" s="2" t="str">
        <f>IFERROR(__xludf.DUMMYFUNCTION("""COMPUTED_VALUE"""),"Key Personnel")</f>
        <v>Key Personnel</v>
      </c>
      <c r="D921" s="2" t="str">
        <f>IFERROR(__xludf.DUMMYFUNCTION("""COMPUTED_VALUE"""),"Deleidi")</f>
        <v>Deleidi</v>
      </c>
      <c r="E921" s="2" t="str">
        <f>IFERROR(__xludf.DUMMYFUNCTION("""COMPUTED_VALUE"""),"Research Assistant")</f>
        <v>Research Assistant</v>
      </c>
      <c r="F921" s="2" t="str">
        <f>IFERROR(__xludf.DUMMYFUNCTION("""COMPUTED_VALUE"""),"federico.bertoli@institutimagine.org")</f>
        <v>federico.bertoli@institutimagine.org</v>
      </c>
      <c r="G921" s="2" t="str">
        <f>IFERROR(__xludf.DUMMYFUNCTION("""COMPUTED_VALUE"""),"0000-0001-5600-1190")</f>
        <v>0000-0001-5600-1190</v>
      </c>
    </row>
    <row r="922">
      <c r="A922" s="2" t="str">
        <f>IFERROR(__xludf.DUMMYFUNCTION("""COMPUTED_VALUE"""),"Weißleder")</f>
        <v>Weißleder</v>
      </c>
      <c r="B922" s="2" t="str">
        <f>IFERROR(__xludf.DUMMYFUNCTION("""COMPUTED_VALUE"""),"Christin")</f>
        <v>Christin</v>
      </c>
      <c r="C922" s="2" t="str">
        <f>IFERROR(__xludf.DUMMYFUNCTION("""COMPUTED_VALUE"""),"Key Personnel")</f>
        <v>Key Personnel</v>
      </c>
      <c r="D922" s="2" t="str">
        <f>IFERROR(__xludf.DUMMYFUNCTION("""COMPUTED_VALUE"""),"Deleidi")</f>
        <v>Deleidi</v>
      </c>
      <c r="E922" s="2" t="str">
        <f>IFERROR(__xludf.DUMMYFUNCTION("""COMPUTED_VALUE"""),"Post-doc")</f>
        <v>Post-doc</v>
      </c>
      <c r="F922" s="2" t="str">
        <f>IFERROR(__xludf.DUMMYFUNCTION("""COMPUTED_VALUE"""),"christin.weissleder@institutimagine.org")</f>
        <v>christin.weissleder@institutimagine.org</v>
      </c>
      <c r="G922" s="2" t="str">
        <f>IFERROR(__xludf.DUMMYFUNCTION("""COMPUTED_VALUE"""),"0000-0001-8858-9590")</f>
        <v>0000-0001-8858-9590</v>
      </c>
    </row>
    <row r="923">
      <c r="A923" s="2" t="str">
        <f>IFERROR(__xludf.DUMMYFUNCTION("""COMPUTED_VALUE"""),"Taanman")</f>
        <v>Taanman</v>
      </c>
      <c r="B923" s="2" t="str">
        <f>IFERROR(__xludf.DUMMYFUNCTION("""COMPUTED_VALUE"""),"Jan-Willem")</f>
        <v>Jan-Willem</v>
      </c>
      <c r="C923" s="2" t="str">
        <f>IFERROR(__xludf.DUMMYFUNCTION("""COMPUTED_VALUE"""),"Key Personnel")</f>
        <v>Key Personnel</v>
      </c>
      <c r="D923" s="2" t="str">
        <f>IFERROR(__xludf.DUMMYFUNCTION("""COMPUTED_VALUE"""),"Schapira")</f>
        <v>Schapira</v>
      </c>
      <c r="E923" s="2" t="str">
        <f>IFERROR(__xludf.DUMMYFUNCTION("""COMPUTED_VALUE"""),"Associate Professor")</f>
        <v>Associate Professor</v>
      </c>
      <c r="F923" s="2" t="str">
        <f>IFERROR(__xludf.DUMMYFUNCTION("""COMPUTED_VALUE"""),"j.taanman@ucl.ac.uk")</f>
        <v>j.taanman@ucl.ac.uk</v>
      </c>
      <c r="G923" s="2" t="str">
        <f>IFERROR(__xludf.DUMMYFUNCTION("""COMPUTED_VALUE"""),"0000-0002-5476-9785")</f>
        <v>0000-0002-5476-9785</v>
      </c>
    </row>
    <row r="924">
      <c r="A924" s="2" t="str">
        <f>IFERROR(__xludf.DUMMYFUNCTION("""COMPUTED_VALUE"""),"Mezabrovschi")</f>
        <v>Mezabrovschi</v>
      </c>
      <c r="B924" s="2" t="str">
        <f>IFERROR(__xludf.DUMMYFUNCTION("""COMPUTED_VALUE"""),"Roxana")</f>
        <v>Roxana</v>
      </c>
      <c r="C924" s="2" t="str">
        <f>IFERROR(__xludf.DUMMYFUNCTION("""COMPUTED_VALUE"""),"Key Personnel")</f>
        <v>Key Personnel</v>
      </c>
      <c r="D924" s="2" t="str">
        <f>IFERROR(__xludf.DUMMYFUNCTION("""COMPUTED_VALUE"""),"Schapira")</f>
        <v>Schapira</v>
      </c>
      <c r="E924" s="2" t="str">
        <f>IFERROR(__xludf.DUMMYFUNCTION("""COMPUTED_VALUE"""),"Research Assistant")</f>
        <v>Research Assistant</v>
      </c>
      <c r="F924" s="2" t="str">
        <f>IFERROR(__xludf.DUMMYFUNCTION("""COMPUTED_VALUE"""),"r.mezabrovschi@ucl.ac.uk")</f>
        <v>r.mezabrovschi@ucl.ac.uk</v>
      </c>
      <c r="G924" s="2" t="str">
        <f>IFERROR(__xludf.DUMMYFUNCTION("""COMPUTED_VALUE"""),"0000-0001-8580-0629")</f>
        <v>0000-0001-8580-0629</v>
      </c>
    </row>
    <row r="925">
      <c r="A925" s="2" t="str">
        <f>IFERROR(__xludf.DUMMYFUNCTION("""COMPUTED_VALUE"""),"Harbachova")</f>
        <v>Harbachova</v>
      </c>
      <c r="B925" s="2" t="str">
        <f>IFERROR(__xludf.DUMMYFUNCTION("""COMPUTED_VALUE"""),"Eugenia")</f>
        <v>Eugenia</v>
      </c>
      <c r="C925" s="2" t="str">
        <f>IFERROR(__xludf.DUMMYFUNCTION("""COMPUTED_VALUE"""),"Key Personnel")</f>
        <v>Key Personnel</v>
      </c>
      <c r="D925" s="2" t="str">
        <f>IFERROR(__xludf.DUMMYFUNCTION("""COMPUTED_VALUE"""),"Di Monte")</f>
        <v>Di Monte</v>
      </c>
      <c r="E925" s="2" t="str">
        <f>IFERROR(__xludf.DUMMYFUNCTION("""COMPUTED_VALUE"""),"Post-doc")</f>
        <v>Post-doc</v>
      </c>
      <c r="F925" s="2" t="str">
        <f>IFERROR(__xludf.DUMMYFUNCTION("""COMPUTED_VALUE"""),"Eugenia.Harbachova@dzne.de")</f>
        <v>Eugenia.Harbachova@dzne.de</v>
      </c>
      <c r="G925" s="2" t="str">
        <f>IFERROR(__xludf.DUMMYFUNCTION("""COMPUTED_VALUE"""),"0000-0001-9639-4849")</f>
        <v>0000-0001-9639-4849</v>
      </c>
    </row>
    <row r="926">
      <c r="A926" s="2" t="str">
        <f>IFERROR(__xludf.DUMMYFUNCTION("""COMPUTED_VALUE"""),"Yalkic")</f>
        <v>Yalkic</v>
      </c>
      <c r="B926" s="2" t="str">
        <f>IFERROR(__xludf.DUMMYFUNCTION("""COMPUTED_VALUE"""),"Selen")</f>
        <v>Selen</v>
      </c>
      <c r="C926" s="2" t="str">
        <f>IFERROR(__xludf.DUMMYFUNCTION("""COMPUTED_VALUE"""),"Key Personnel")</f>
        <v>Key Personnel</v>
      </c>
      <c r="D926" s="2" t="str">
        <f>IFERROR(__xludf.DUMMYFUNCTION("""COMPUTED_VALUE"""),"Schapira")</f>
        <v>Schapira</v>
      </c>
      <c r="E926" s="2" t="str">
        <f>IFERROR(__xludf.DUMMYFUNCTION("""COMPUTED_VALUE"""),"Research Assistant")</f>
        <v>Research Assistant</v>
      </c>
      <c r="F926" s="2" t="str">
        <f>IFERROR(__xludf.DUMMYFUNCTION("""COMPUTED_VALUE"""),"s.yalkic@ucl.ac.uk")</f>
        <v>s.yalkic@ucl.ac.uk</v>
      </c>
      <c r="G926" s="2" t="str">
        <f>IFERROR(__xludf.DUMMYFUNCTION("""COMPUTED_VALUE"""),"0000-0002-9811-6612")</f>
        <v>0000-0002-9811-6612</v>
      </c>
    </row>
    <row r="927">
      <c r="A927" s="2" t="str">
        <f>IFERROR(__xludf.DUMMYFUNCTION("""COMPUTED_VALUE"""),"Ongari")</f>
        <v>Ongari</v>
      </c>
      <c r="B927" s="2" t="str">
        <f>IFERROR(__xludf.DUMMYFUNCTION("""COMPUTED_VALUE"""),"Gerardo")</f>
        <v>Gerardo</v>
      </c>
      <c r="C927" s="2" t="str">
        <f>IFERROR(__xludf.DUMMYFUNCTION("""COMPUTED_VALUE"""),"Key Personnel")</f>
        <v>Key Personnel</v>
      </c>
      <c r="D927" s="2" t="str">
        <f>IFERROR(__xludf.DUMMYFUNCTION("""COMPUTED_VALUE"""),"Blandini")</f>
        <v>Blandini</v>
      </c>
      <c r="E927" s="2" t="str">
        <f>IFERROR(__xludf.DUMMYFUNCTION("""COMPUTED_VALUE"""),"PhD Student")</f>
        <v>PhD Student</v>
      </c>
      <c r="F927" s="2" t="str">
        <f>IFERROR(__xludf.DUMMYFUNCTION("""COMPUTED_VALUE"""),"gerardo.ongari@mondino.it")</f>
        <v>gerardo.ongari@mondino.it</v>
      </c>
      <c r="G927" s="2" t="str">
        <f>IFERROR(__xludf.DUMMYFUNCTION("""COMPUTED_VALUE"""),"0000-0003-0151-0910")</f>
        <v>0000-0003-0151-0910</v>
      </c>
    </row>
    <row r="928">
      <c r="A928" s="2" t="str">
        <f>IFERROR(__xludf.DUMMYFUNCTION("""COMPUTED_VALUE"""),"Meslier")</f>
        <v>Meslier</v>
      </c>
      <c r="B928" s="2" t="str">
        <f>IFERROR(__xludf.DUMMYFUNCTION("""COMPUTED_VALUE"""),"Victoria")</f>
        <v>Victoria</v>
      </c>
      <c r="C928" s="2" t="str">
        <f>IFERROR(__xludf.DUMMYFUNCTION("""COMPUTED_VALUE"""),"Key Personnel")</f>
        <v>Key Personnel</v>
      </c>
      <c r="D928" s="2" t="str">
        <f>IFERROR(__xludf.DUMMYFUNCTION("""COMPUTED_VALUE"""),"Almeida")</f>
        <v>Almeida</v>
      </c>
      <c r="E928" s="2" t="str">
        <f>IFERROR(__xludf.DUMMYFUNCTION("""COMPUTED_VALUE"""),"Research scientist")</f>
        <v>Research scientist</v>
      </c>
      <c r="F928" s="2" t="str">
        <f>IFERROR(__xludf.DUMMYFUNCTION("""COMPUTED_VALUE"""),"victoria.meslier@inrae.fr")</f>
        <v>victoria.meslier@inrae.fr</v>
      </c>
      <c r="G928" s="2" t="str">
        <f>IFERROR(__xludf.DUMMYFUNCTION("""COMPUTED_VALUE"""),"0000-0003-2699-0092")</f>
        <v>0000-0003-2699-0092</v>
      </c>
    </row>
    <row r="929">
      <c r="A929" s="2" t="str">
        <f>IFERROR(__xludf.DUMMYFUNCTION("""COMPUTED_VALUE"""),"Quinquis        ")</f>
        <v>Quinquis        </v>
      </c>
      <c r="B929" s="2" t="str">
        <f>IFERROR(__xludf.DUMMYFUNCTION("""COMPUTED_VALUE"""),"Benoit")</f>
        <v>Benoit</v>
      </c>
      <c r="C929" s="2" t="str">
        <f>IFERROR(__xludf.DUMMYFUNCTION("""COMPUTED_VALUE"""),"Key Personnel")</f>
        <v>Key Personnel</v>
      </c>
      <c r="D929" s="2" t="str">
        <f>IFERROR(__xludf.DUMMYFUNCTION("""COMPUTED_VALUE"""),"Almeida")</f>
        <v>Almeida</v>
      </c>
      <c r="E929" s="2" t="str">
        <f>IFERROR(__xludf.DUMMYFUNCTION("""COMPUTED_VALUE"""),"Research associate, Operational manager")</f>
        <v>Research associate, Operational manager</v>
      </c>
      <c r="F929" s="2" t="str">
        <f>IFERROR(__xludf.DUMMYFUNCTION("""COMPUTED_VALUE"""),"benoit.quinquis@inrae.fr")</f>
        <v>benoit.quinquis@inrae.fr</v>
      </c>
      <c r="G929" s="2" t="str">
        <f>IFERROR(__xludf.DUMMYFUNCTION("""COMPUTED_VALUE"""),"0000-0002-7573-969X")</f>
        <v>0000-0002-7573-969X</v>
      </c>
    </row>
    <row r="930">
      <c r="A930" s="2" t="str">
        <f>IFERROR(__xludf.DUMMYFUNCTION("""COMPUTED_VALUE"""),"Rollar")</f>
        <v>Rollar</v>
      </c>
      <c r="B930" s="2" t="str">
        <f>IFERROR(__xludf.DUMMYFUNCTION("""COMPUTED_VALUE"""),"Angela")</f>
        <v>Angela</v>
      </c>
      <c r="C930" s="2" t="str">
        <f>IFERROR(__xludf.DUMMYFUNCTION("""COMPUTED_VALUE"""),"Key Personnel")</f>
        <v>Key Personnel</v>
      </c>
      <c r="D930" s="2" t="str">
        <f>IFERROR(__xludf.DUMMYFUNCTION("""COMPUTED_VALUE"""),"Di Monte")</f>
        <v>Di Monte</v>
      </c>
      <c r="E930" s="2" t="str">
        <f>IFERROR(__xludf.DUMMYFUNCTION("""COMPUTED_VALUE"""),"PhD Student")</f>
        <v>PhD Student</v>
      </c>
      <c r="F930" s="2" t="str">
        <f>IFERROR(__xludf.DUMMYFUNCTION("""COMPUTED_VALUE"""),"Angela.Rollar@dzne.de")</f>
        <v>Angela.Rollar@dzne.de</v>
      </c>
      <c r="G930" s="2" t="str">
        <f>IFERROR(__xludf.DUMMYFUNCTION("""COMPUTED_VALUE"""),"0000-0003-1016-6912")</f>
        <v>0000-0003-1016-6912</v>
      </c>
    </row>
    <row r="931">
      <c r="A931" s="2" t="str">
        <f>IFERROR(__xludf.DUMMYFUNCTION("""COMPUTED_VALUE"""),"Ezzine")</f>
        <v>Ezzine</v>
      </c>
      <c r="B931" s="2" t="str">
        <f>IFERROR(__xludf.DUMMYFUNCTION("""COMPUTED_VALUE"""),"Chaima")</f>
        <v>Chaima</v>
      </c>
      <c r="C931" s="2" t="str">
        <f>IFERROR(__xludf.DUMMYFUNCTION("""COMPUTED_VALUE"""),"Key Personnel")</f>
        <v>Key Personnel</v>
      </c>
      <c r="D931" s="2" t="str">
        <f>IFERROR(__xludf.DUMMYFUNCTION("""COMPUTED_VALUE"""),"Almeida")</f>
        <v>Almeida</v>
      </c>
      <c r="E931" s="2" t="str">
        <f>IFERROR(__xludf.DUMMYFUNCTION("""COMPUTED_VALUE"""),"Post-doc")</f>
        <v>Post-doc</v>
      </c>
      <c r="F931" s="2" t="str">
        <f>IFERROR(__xludf.DUMMYFUNCTION("""COMPUTED_VALUE"""),"chaima.ezzine@inrae.fr")</f>
        <v>chaima.ezzine@inrae.fr</v>
      </c>
      <c r="G931" s="2" t="str">
        <f>IFERROR(__xludf.DUMMYFUNCTION("""COMPUTED_VALUE"""),"0000-0002-5642-5337")</f>
        <v>0000-0002-5642-5337</v>
      </c>
    </row>
    <row r="932">
      <c r="A932" s="2" t="str">
        <f>IFERROR(__xludf.DUMMYFUNCTION("""COMPUTED_VALUE"""),"Mitrotti")</f>
        <v>Mitrotti</v>
      </c>
      <c r="B932" s="2" t="str">
        <f>IFERROR(__xludf.DUMMYFUNCTION("""COMPUTED_VALUE"""),"Pierfrancesco")</f>
        <v>Pierfrancesco</v>
      </c>
      <c r="C932" s="2" t="str">
        <f>IFERROR(__xludf.DUMMYFUNCTION("""COMPUTED_VALUE"""),"Key Personnel")</f>
        <v>Key Personnel</v>
      </c>
      <c r="D932" s="2" t="str">
        <f>IFERROR(__xludf.DUMMYFUNCTION("""COMPUTED_VALUE"""),"Blandini")</f>
        <v>Blandini</v>
      </c>
      <c r="E932" s="2" t="str">
        <f>IFERROR(__xludf.DUMMYFUNCTION("""COMPUTED_VALUE"""),"Clinical Research Fellow")</f>
        <v>Clinical Research Fellow</v>
      </c>
      <c r="F932" s="2" t="str">
        <f>IFERROR(__xludf.DUMMYFUNCTION("""COMPUTED_VALUE"""),"pierfrancesco.mitrotti01@universitadipavia.it")</f>
        <v>pierfrancesco.mitrotti01@universitadipavia.it</v>
      </c>
      <c r="G932" s="2" t="str">
        <f>IFERROR(__xludf.DUMMYFUNCTION("""COMPUTED_VALUE"""),"0000-0003-3574-1290")</f>
        <v>0000-0003-3574-1290</v>
      </c>
    </row>
    <row r="933">
      <c r="A933" s="2" t="str">
        <f>IFERROR(__xludf.DUMMYFUNCTION("""COMPUTED_VALUE"""),"Colombo ")</f>
        <v>Colombo </v>
      </c>
      <c r="B933" s="2" t="str">
        <f>IFERROR(__xludf.DUMMYFUNCTION("""COMPUTED_VALUE"""),"Laura")</f>
        <v>Laura</v>
      </c>
      <c r="C933" s="2" t="str">
        <f>IFERROR(__xludf.DUMMYFUNCTION("""COMPUTED_VALUE"""),"Key Personnel")</f>
        <v>Key Personnel</v>
      </c>
      <c r="D933" s="2" t="str">
        <f>IFERROR(__xludf.DUMMYFUNCTION("""COMPUTED_VALUE"""),"Deleidi")</f>
        <v>Deleidi</v>
      </c>
      <c r="E933" s="2" t="str">
        <f>IFERROR(__xludf.DUMMYFUNCTION("""COMPUTED_VALUE"""),"Post-doc")</f>
        <v>Post-doc</v>
      </c>
      <c r="F933" s="2" t="str">
        <f>IFERROR(__xludf.DUMMYFUNCTION("""COMPUTED_VALUE"""),"laura.colombo@institutimagine.org")</f>
        <v>laura.colombo@institutimagine.org</v>
      </c>
      <c r="G933" s="2" t="str">
        <f>IFERROR(__xludf.DUMMYFUNCTION("""COMPUTED_VALUE"""),"0000-0002-3458-8127")</f>
        <v>0000-0002-3458-8127</v>
      </c>
    </row>
    <row r="934">
      <c r="A934" s="2" t="str">
        <f>IFERROR(__xludf.DUMMYFUNCTION("""COMPUTED_VALUE"""),"Raji")</f>
        <v>Raji</v>
      </c>
      <c r="B934" s="2" t="str">
        <f>IFERROR(__xludf.DUMMYFUNCTION("""COMPUTED_VALUE"""),"Hariam")</f>
        <v>Hariam</v>
      </c>
      <c r="C934" s="2" t="str">
        <f>IFERROR(__xludf.DUMMYFUNCTION("""COMPUTED_VALUE"""),"Key Personnel")</f>
        <v>Key Personnel</v>
      </c>
      <c r="D934" s="2" t="str">
        <f>IFERROR(__xludf.DUMMYFUNCTION("""COMPUTED_VALUE"""),"Deleidi")</f>
        <v>Deleidi</v>
      </c>
      <c r="E934" s="2" t="str">
        <f>IFERROR(__xludf.DUMMYFUNCTION("""COMPUTED_VALUE"""),"Research Associate")</f>
        <v>Research Associate</v>
      </c>
      <c r="F934" s="2" t="str">
        <f>IFERROR(__xludf.DUMMYFUNCTION("""COMPUTED_VALUE"""),"hariam.raji@institutimagine.org")</f>
        <v>hariam.raji@institutimagine.org</v>
      </c>
      <c r="G934" s="2" t="str">
        <f>IFERROR(__xludf.DUMMYFUNCTION("""COMPUTED_VALUE"""),"0000-0002-2705-8857")</f>
        <v>0000-0002-2705-8857</v>
      </c>
    </row>
    <row r="935">
      <c r="A935" s="2" t="str">
        <f>IFERROR(__xludf.DUMMYFUNCTION("""COMPUTED_VALUE"""),"Loefflad")</f>
        <v>Loefflad</v>
      </c>
      <c r="B935" s="2" t="str">
        <f>IFERROR(__xludf.DUMMYFUNCTION("""COMPUTED_VALUE"""),"Nadine")</f>
        <v>Nadine</v>
      </c>
      <c r="C935" s="2" t="str">
        <f>IFERROR(__xludf.DUMMYFUNCTION("""COMPUTED_VALUE"""),"Key Personnel")</f>
        <v>Key Personnel</v>
      </c>
      <c r="D935" s="2" t="str">
        <f>IFERROR(__xludf.DUMMYFUNCTION("""COMPUTED_VALUE"""),"Schapira")</f>
        <v>Schapira</v>
      </c>
      <c r="E935" s="2" t="str">
        <f>IFERROR(__xludf.DUMMYFUNCTION("""COMPUTED_VALUE"""),"Research Assistant")</f>
        <v>Research Assistant</v>
      </c>
      <c r="F935" s="2" t="str">
        <f>IFERROR(__xludf.DUMMYFUNCTION("""COMPUTED_VALUE"""),"nadine.loefflad@ucl.ac.uk")</f>
        <v>nadine.loefflad@ucl.ac.uk</v>
      </c>
      <c r="G935" s="2" t="str">
        <f>IFERROR(__xludf.DUMMYFUNCTION("""COMPUTED_VALUE"""),"0000-0002-9940-7750")</f>
        <v>0000-0002-9940-7750</v>
      </c>
    </row>
    <row r="936">
      <c r="A936" s="2" t="str">
        <f>IFERROR(__xludf.DUMMYFUNCTION("""COMPUTED_VALUE"""),"Fierli")</f>
        <v>Fierli</v>
      </c>
      <c r="B936" s="2" t="str">
        <f>IFERROR(__xludf.DUMMYFUNCTION("""COMPUTED_VALUE"""),"Federico")</f>
        <v>Federico</v>
      </c>
      <c r="C936" s="2" t="str">
        <f>IFERROR(__xludf.DUMMYFUNCTION("""COMPUTED_VALUE"""),"Key Personnel")</f>
        <v>Key Personnel</v>
      </c>
      <c r="D936" s="2" t="str">
        <f>IFERROR(__xludf.DUMMYFUNCTION("""COMPUTED_VALUE"""),"Schapira")</f>
        <v>Schapira</v>
      </c>
      <c r="E936" s="2" t="str">
        <f>IFERROR(__xludf.DUMMYFUNCTION("""COMPUTED_VALUE"""),"Research Assistant")</f>
        <v>Research Assistant</v>
      </c>
      <c r="F936" s="2" t="str">
        <f>IFERROR(__xludf.DUMMYFUNCTION("""COMPUTED_VALUE"""),"f.fierli@ucl.ac.uk")</f>
        <v>f.fierli@ucl.ac.uk</v>
      </c>
      <c r="G936" s="2" t="str">
        <f>IFERROR(__xludf.DUMMYFUNCTION("""COMPUTED_VALUE"""),"0000-0002-8259-2067")</f>
        <v>0000-0002-8259-2067</v>
      </c>
    </row>
    <row r="937">
      <c r="A937" s="2" t="str">
        <f>IFERROR(__xludf.DUMMYFUNCTION("""COMPUTED_VALUE"""),"Nazeer")</f>
        <v>Nazeer</v>
      </c>
      <c r="B937" s="2" t="str">
        <f>IFERROR(__xludf.DUMMYFUNCTION("""COMPUTED_VALUE"""),"Aleesa")</f>
        <v>Aleesa</v>
      </c>
      <c r="C937" s="2" t="str">
        <f>IFERROR(__xludf.DUMMYFUNCTION("""COMPUTED_VALUE"""),"Key Personnel")</f>
        <v>Key Personnel</v>
      </c>
      <c r="D937" s="2" t="str">
        <f>IFERROR(__xludf.DUMMYFUNCTION("""COMPUTED_VALUE"""),"Schapira")</f>
        <v>Schapira</v>
      </c>
      <c r="E937" s="2" t="str">
        <f>IFERROR(__xludf.DUMMYFUNCTION("""COMPUTED_VALUE"""),"Research Assistant")</f>
        <v>Research Assistant</v>
      </c>
      <c r="F937" s="2" t="str">
        <f>IFERROR(__xludf.DUMMYFUNCTION("""COMPUTED_VALUE"""),"a.nazeer@ucl.ac.uk")</f>
        <v>a.nazeer@ucl.ac.uk</v>
      </c>
      <c r="G937" s="2" t="str">
        <f>IFERROR(__xludf.DUMMYFUNCTION("""COMPUTED_VALUE"""),"0000-0003-1642-8370")</f>
        <v>0000-0003-1642-8370</v>
      </c>
    </row>
    <row r="938">
      <c r="A938" s="2" t="str">
        <f>IFERROR(__xludf.DUMMYFUNCTION("""COMPUTED_VALUE"""),"Carr")</f>
        <v>Carr</v>
      </c>
      <c r="B938" s="2" t="str">
        <f>IFERROR(__xludf.DUMMYFUNCTION("""COMPUTED_VALUE"""),"Heidi")</f>
        <v>Heidi</v>
      </c>
      <c r="C938" s="2" t="str">
        <f>IFERROR(__xludf.DUMMYFUNCTION("""COMPUTED_VALUE"""),"Key Personnel")</f>
        <v>Key Personnel</v>
      </c>
      <c r="D938" s="2" t="str">
        <f>IFERROR(__xludf.DUMMYFUNCTION("""COMPUTED_VALUE"""),"Schapira")</f>
        <v>Schapira</v>
      </c>
      <c r="E938" s="2" t="str">
        <f>IFERROR(__xludf.DUMMYFUNCTION("""COMPUTED_VALUE"""),"Reseasrch Assistant")</f>
        <v>Reseasrch Assistant</v>
      </c>
      <c r="F938" s="2" t="str">
        <f>IFERROR(__xludf.DUMMYFUNCTION("""COMPUTED_VALUE"""),"skgthc1@ucl.ac.uk")</f>
        <v>skgthc1@ucl.ac.uk</v>
      </c>
      <c r="G938" s="2" t="str">
        <f>IFERROR(__xludf.DUMMYFUNCTION("""COMPUTED_VALUE"""),"0000-0001-6633-8774")</f>
        <v>0000-0001-6633-8774</v>
      </c>
    </row>
    <row r="939">
      <c r="A939" s="2" t="str">
        <f>IFERROR(__xludf.DUMMYFUNCTION("""COMPUTED_VALUE"""),"Calabrese")</f>
        <v>Calabrese</v>
      </c>
      <c r="B939" s="2" t="str">
        <f>IFERROR(__xludf.DUMMYFUNCTION("""COMPUTED_VALUE"""),"Rosaria")</f>
        <v>Rosaria</v>
      </c>
      <c r="C939" s="2" t="str">
        <f>IFERROR(__xludf.DUMMYFUNCTION("""COMPUTED_VALUE"""),"Key Personnel")</f>
        <v>Key Personnel</v>
      </c>
      <c r="D939" s="2" t="str">
        <f>IFERROR(__xludf.DUMMYFUNCTION("""COMPUTED_VALUE"""),"Blandini")</f>
        <v>Blandini</v>
      </c>
      <c r="E939" s="2" t="str">
        <f>IFERROR(__xludf.DUMMYFUNCTION("""COMPUTED_VALUE"""),"Research Assistant ")</f>
        <v>Research Assistant </v>
      </c>
      <c r="F939" s="2" t="str">
        <f>IFERROR(__xludf.DUMMYFUNCTION("""COMPUTED_VALUE"""),"rosaria.calabrese@mondino.it")</f>
        <v>rosaria.calabrese@mondino.it</v>
      </c>
      <c r="G939" s="2" t="str">
        <f>IFERROR(__xludf.DUMMYFUNCTION("""COMPUTED_VALUE"""),"0009-0008-6632-4653")</f>
        <v>0009-0008-6632-4653</v>
      </c>
    </row>
    <row r="940">
      <c r="A940" s="2" t="str">
        <f>IFERROR(__xludf.DUMMYFUNCTION("""COMPUTED_VALUE"""),"Famechon")</f>
        <v>Famechon</v>
      </c>
      <c r="B940" s="2" t="str">
        <f>IFERROR(__xludf.DUMMYFUNCTION("""COMPUTED_VALUE"""),"Alexandre")</f>
        <v>Alexandre</v>
      </c>
      <c r="C940" s="2" t="str">
        <f>IFERROR(__xludf.DUMMYFUNCTION("""COMPUTED_VALUE"""),"Key Personnel")</f>
        <v>Key Personnel</v>
      </c>
      <c r="D940" s="2" t="str">
        <f>IFERROR(__xludf.DUMMYFUNCTION("""COMPUTED_VALUE"""),"Almeida")</f>
        <v>Almeida</v>
      </c>
      <c r="E940" s="2" t="str">
        <f>IFERROR(__xludf.DUMMYFUNCTION("""COMPUTED_VALUE"""),"Lab technician ")</f>
        <v>Lab technician </v>
      </c>
      <c r="F940" s="2" t="str">
        <f>IFERROR(__xludf.DUMMYFUNCTION("""COMPUTED_VALUE"""),"alexandre.famechon@inrae.fr")</f>
        <v>alexandre.famechon@inrae.fr</v>
      </c>
      <c r="G940" s="2" t="str">
        <f>IFERROR(__xludf.DUMMYFUNCTION("""COMPUTED_VALUE"""),"0009-0009-6298-3755")</f>
        <v>0009-0009-6298-3755</v>
      </c>
    </row>
    <row r="941">
      <c r="A941" s="2" t="str">
        <f>IFERROR(__xludf.DUMMYFUNCTION("""COMPUTED_VALUE"""),"Giachino")</f>
        <v>Giachino</v>
      </c>
      <c r="B941" s="2" t="str">
        <f>IFERROR(__xludf.DUMMYFUNCTION("""COMPUTED_VALUE"""),"Carmela ")</f>
        <v>Carmela </v>
      </c>
      <c r="C941" s="2" t="str">
        <f>IFERROR(__xludf.DUMMYFUNCTION("""COMPUTED_VALUE"""),"Key Personnel")</f>
        <v>Key Personnel</v>
      </c>
      <c r="D941" s="2" t="str">
        <f>IFERROR(__xludf.DUMMYFUNCTION("""COMPUTED_VALUE"""),"Deleidi")</f>
        <v>Deleidi</v>
      </c>
      <c r="E941" s="2" t="str">
        <f>IFERROR(__xludf.DUMMYFUNCTION("""COMPUTED_VALUE"""),"Post-Doc")</f>
        <v>Post-Doc</v>
      </c>
      <c r="F941" s="2" t="str">
        <f>IFERROR(__xludf.DUMMYFUNCTION("""COMPUTED_VALUE"""),"carmela.giachino@institutimagine.org")</f>
        <v>carmela.giachino@institutimagine.org</v>
      </c>
      <c r="G941" s="2" t="str">
        <f>IFERROR(__xludf.DUMMYFUNCTION("""COMPUTED_VALUE"""),"0000-0003-3650-8677")</f>
        <v>0000-0003-3650-8677</v>
      </c>
    </row>
    <row r="942">
      <c r="A942" s="2" t="str">
        <f>IFERROR(__xludf.DUMMYFUNCTION("""COMPUTED_VALUE"""),"Shahar Golan")</f>
        <v>Shahar Golan</v>
      </c>
      <c r="B942" s="2" t="str">
        <f>IFERROR(__xludf.DUMMYFUNCTION("""COMPUTED_VALUE"""),"Revi")</f>
        <v>Revi</v>
      </c>
      <c r="C942" s="2" t="str">
        <f>IFERROR(__xludf.DUMMYFUNCTION("""COMPUTED_VALUE"""),"Key Personnel")</f>
        <v>Key Personnel</v>
      </c>
      <c r="D942" s="2" t="str">
        <f>IFERROR(__xludf.DUMMYFUNCTION("""COMPUTED_VALUE"""),"Schapira")</f>
        <v>Schapira</v>
      </c>
      <c r="E942" s="2" t="str">
        <f>IFERROR(__xludf.DUMMYFUNCTION("""COMPUTED_VALUE"""),"Research Technician")</f>
        <v>Research Technician</v>
      </c>
      <c r="F942" s="2" t="str">
        <f>IFERROR(__xludf.DUMMYFUNCTION("""COMPUTED_VALUE"""),"r.golan@ucl.ac.uk")</f>
        <v>r.golan@ucl.ac.uk</v>
      </c>
      <c r="G942" s="2" t="str">
        <f>IFERROR(__xludf.DUMMYFUNCTION("""COMPUTED_VALUE"""),"0009-0004-2441-6091")</f>
        <v>0009-0004-2441-6091</v>
      </c>
    </row>
    <row r="943">
      <c r="A943" s="2" t="str">
        <f>IFERROR(__xludf.DUMMYFUNCTION("""COMPUTED_VALUE"""),"Szegö")</f>
        <v>Szegö</v>
      </c>
      <c r="B943" s="2" t="str">
        <f>IFERROR(__xludf.DUMMYFUNCTION("""COMPUTED_VALUE"""),"Eva")</f>
        <v>Eva</v>
      </c>
      <c r="C943" s="2" t="str">
        <f>IFERROR(__xludf.DUMMYFUNCTION("""COMPUTED_VALUE"""),"Key Personnel")</f>
        <v>Key Personnel</v>
      </c>
      <c r="D943" s="2" t="str">
        <f>IFERROR(__xludf.DUMMYFUNCTION("""COMPUTED_VALUE"""),"Di Monte")</f>
        <v>Di Monte</v>
      </c>
      <c r="E943" s="2" t="str">
        <f>IFERROR(__xludf.DUMMYFUNCTION("""COMPUTED_VALUE"""),"Research Fellow")</f>
        <v>Research Fellow</v>
      </c>
      <c r="F943" s="2" t="str">
        <f>IFERROR(__xludf.DUMMYFUNCTION("""COMPUTED_VALUE"""),"Eva.Szegoe@dzne.de")</f>
        <v>Eva.Szegoe@dzne.de</v>
      </c>
      <c r="G943" s="2" t="str">
        <f>IFERROR(__xludf.DUMMYFUNCTION("""COMPUTED_VALUE"""),"0000-0002-2629-2131")</f>
        <v>0000-0002-2629-2131</v>
      </c>
    </row>
    <row r="944">
      <c r="A944" s="2" t="str">
        <f>IFERROR(__xludf.DUMMYFUNCTION("""COMPUTED_VALUE"""),"Takhi")</f>
        <v>Takhi</v>
      </c>
      <c r="B944" s="2" t="str">
        <f>IFERROR(__xludf.DUMMYFUNCTION("""COMPUTED_VALUE"""),"Anushka")</f>
        <v>Anushka</v>
      </c>
      <c r="C944" s="2" t="str">
        <f>IFERROR(__xludf.DUMMYFUNCTION("""COMPUTED_VALUE"""),"Key Personnel")</f>
        <v>Key Personnel</v>
      </c>
      <c r="D944" s="2" t="str">
        <f>IFERROR(__xludf.DUMMYFUNCTION("""COMPUTED_VALUE"""),"Di Monte")</f>
        <v>Di Monte</v>
      </c>
      <c r="E944" s="2" t="str">
        <f>IFERROR(__xludf.DUMMYFUNCTION("""COMPUTED_VALUE"""),"Research Assistant")</f>
        <v>Research Assistant</v>
      </c>
      <c r="F944" s="2" t="str">
        <f>IFERROR(__xludf.DUMMYFUNCTION("""COMPUTED_VALUE"""),"Anushka.Takhi@dzne.de")</f>
        <v>Anushka.Takhi@dzne.de</v>
      </c>
      <c r="G944" s="2" t="str">
        <f>IFERROR(__xludf.DUMMYFUNCTION("""COMPUTED_VALUE"""),"0009-0007-4646-132X")</f>
        <v>0009-0007-4646-132X</v>
      </c>
    </row>
    <row r="945">
      <c r="A945" s="2" t="str">
        <f>IFERROR(__xludf.DUMMYFUNCTION("""COMPUTED_VALUE"""),"Stiuso")</f>
        <v>Stiuso</v>
      </c>
      <c r="B945" s="2" t="str">
        <f>IFERROR(__xludf.DUMMYFUNCTION("""COMPUTED_VALUE"""),"Rita")</f>
        <v>Rita</v>
      </c>
      <c r="C945" s="2" t="str">
        <f>IFERROR(__xludf.DUMMYFUNCTION("""COMPUTED_VALUE"""),"Key Personnel")</f>
        <v>Key Personnel</v>
      </c>
      <c r="D945" s="2" t="str">
        <f>IFERROR(__xludf.DUMMYFUNCTION("""COMPUTED_VALUE"""),"Blandini")</f>
        <v>Blandini</v>
      </c>
      <c r="E945" s="2" t="str">
        <f>IFERROR(__xludf.DUMMYFUNCTION("""COMPUTED_VALUE"""),"Biotechnician")</f>
        <v>Biotechnician</v>
      </c>
      <c r="F945" s="2" t="str">
        <f>IFERROR(__xludf.DUMMYFUNCTION("""COMPUTED_VALUE"""),"rita.stiuso@mondino.it")</f>
        <v>rita.stiuso@mondino.it</v>
      </c>
      <c r="G945" s="2" t="str">
        <f>IFERROR(__xludf.DUMMYFUNCTION("""COMPUTED_VALUE"""),"0009-0007-5595-9066")</f>
        <v>0009-0007-5595-9066</v>
      </c>
    </row>
    <row r="946">
      <c r="A946" s="2" t="str">
        <f>IFERROR(__xludf.DUMMYFUNCTION("""COMPUTED_VALUE"""),"Lejard")</f>
        <v>Lejard</v>
      </c>
      <c r="B946" s="2" t="str">
        <f>IFERROR(__xludf.DUMMYFUNCTION("""COMPUTED_VALUE"""),"Véronique")</f>
        <v>Véronique</v>
      </c>
      <c r="C946" s="2" t="str">
        <f>IFERROR(__xludf.DUMMYFUNCTION("""COMPUTED_VALUE"""),"Key Personnel")</f>
        <v>Key Personnel</v>
      </c>
      <c r="D946" s="2" t="str">
        <f>IFERROR(__xludf.DUMMYFUNCTION("""COMPUTED_VALUE"""),"Almeida")</f>
        <v>Almeida</v>
      </c>
      <c r="E946" s="2" t="str">
        <f>IFERROR(__xludf.DUMMYFUNCTION("""COMPUTED_VALUE"""),"High throughput functional screening expert supervisor")</f>
        <v>High throughput functional screening expert supervisor</v>
      </c>
      <c r="F946" s="2" t="str">
        <f>IFERROR(__xludf.DUMMYFUNCTION("""COMPUTED_VALUE"""),"veronique.lejard@inrae.fr")</f>
        <v>veronique.lejard@inrae.fr</v>
      </c>
      <c r="G946" s="2" t="str">
        <f>IFERROR(__xludf.DUMMYFUNCTION("""COMPUTED_VALUE"""),"0009-0002-9721-9588")</f>
        <v>0009-0002-9721-9588</v>
      </c>
    </row>
    <row r="947">
      <c r="A947" s="2" t="str">
        <f>IFERROR(__xludf.DUMMYFUNCTION("""COMPUTED_VALUE"""),"Giat")</f>
        <v>Giat</v>
      </c>
      <c r="B947" s="2" t="str">
        <f>IFERROR(__xludf.DUMMYFUNCTION("""COMPUTED_VALUE"""),"Margot")</f>
        <v>Margot</v>
      </c>
      <c r="C947" s="2" t="str">
        <f>IFERROR(__xludf.DUMMYFUNCTION("""COMPUTED_VALUE"""),"Key Personnel")</f>
        <v>Key Personnel</v>
      </c>
      <c r="D947" s="2" t="str">
        <f>IFERROR(__xludf.DUMMYFUNCTION("""COMPUTED_VALUE"""),"Almeida")</f>
        <v>Almeida</v>
      </c>
      <c r="E947" s="2" t="str">
        <f>IFERROR(__xludf.DUMMYFUNCTION("""COMPUTED_VALUE"""),"Sample treatment, aliquoting and DNA extraction processing")</f>
        <v>Sample treatment, aliquoting and DNA extraction processing</v>
      </c>
      <c r="F947" s="2" t="str">
        <f>IFERROR(__xludf.DUMMYFUNCTION("""COMPUTED_VALUE"""),"margot.giat@inrae.fr")</f>
        <v>margot.giat@inrae.fr</v>
      </c>
      <c r="G947" s="2" t="str">
        <f>IFERROR(__xludf.DUMMYFUNCTION("""COMPUTED_VALUE"""),"pending")</f>
        <v>pending</v>
      </c>
    </row>
    <row r="948">
      <c r="A948" s="2" t="str">
        <f>IFERROR(__xludf.DUMMYFUNCTION("""COMPUTED_VALUE"""),"Plaza-Oñate")</f>
        <v>Plaza-Oñate</v>
      </c>
      <c r="B948" s="2" t="str">
        <f>IFERROR(__xludf.DUMMYFUNCTION("""COMPUTED_VALUE"""),"Florian")</f>
        <v>Florian</v>
      </c>
      <c r="C948" s="2" t="str">
        <f>IFERROR(__xludf.DUMMYFUNCTION("""COMPUTED_VALUE"""),"Key Personnel")</f>
        <v>Key Personnel</v>
      </c>
      <c r="D948" s="2" t="str">
        <f>IFERROR(__xludf.DUMMYFUNCTION("""COMPUTED_VALUE"""),"Almeida")</f>
        <v>Almeida</v>
      </c>
      <c r="E948" s="2" t="str">
        <f>IFERROR(__xludf.DUMMYFUNCTION("""COMPUTED_VALUE"""),"Microbiome data scientist")</f>
        <v>Microbiome data scientist</v>
      </c>
      <c r="F948" s="2" t="str">
        <f>IFERROR(__xludf.DUMMYFUNCTION("""COMPUTED_VALUE"""),"florian.plaza-onate@inrae.fr")</f>
        <v>florian.plaza-onate@inrae.fr</v>
      </c>
      <c r="G948" s="2" t="str">
        <f>IFERROR(__xludf.DUMMYFUNCTION("""COMPUTED_VALUE"""),"0000-0001-6036-0989")</f>
        <v>0000-0001-6036-0989</v>
      </c>
    </row>
    <row r="949">
      <c r="A949" s="2" t="str">
        <f>IFERROR(__xludf.DUMMYFUNCTION("""COMPUTED_VALUE"""),"Dime")</f>
        <v>Dime</v>
      </c>
      <c r="B949" s="2" t="str">
        <f>IFERROR(__xludf.DUMMYFUNCTION("""COMPUTED_VALUE"""),"Sébastien")</f>
        <v>Sébastien</v>
      </c>
      <c r="C949" s="2" t="str">
        <f>IFERROR(__xludf.DUMMYFUNCTION("""COMPUTED_VALUE"""),"Key Personnel")</f>
        <v>Key Personnel</v>
      </c>
      <c r="D949" s="2" t="str">
        <f>IFERROR(__xludf.DUMMYFUNCTION("""COMPUTED_VALUE"""),"Almeida")</f>
        <v>Almeida</v>
      </c>
      <c r="E949" s="2" t="str">
        <f>IFERROR(__xludf.DUMMYFUNCTION("""COMPUTED_VALUE"""),"Administration supervisor")</f>
        <v>Administration supervisor</v>
      </c>
      <c r="F949" s="2" t="str">
        <f>IFERROR(__xludf.DUMMYFUNCTION("""COMPUTED_VALUE"""),"Sebastien.Dime@inrae.fr")</f>
        <v>Sebastien.Dime@inrae.fr</v>
      </c>
      <c r="G949" s="2" t="str">
        <f>IFERROR(__xludf.DUMMYFUNCTION("""COMPUTED_VALUE"""),"pending")</f>
        <v>pending</v>
      </c>
    </row>
    <row r="950">
      <c r="A950" s="2" t="str">
        <f>IFERROR(__xludf.DUMMYFUNCTION("""COMPUTED_VALUE"""),"Santos")</f>
        <v>Santos</v>
      </c>
      <c r="B950" s="2" t="str">
        <f>IFERROR(__xludf.DUMMYFUNCTION("""COMPUTED_VALUE"""),"Renata")</f>
        <v>Renata</v>
      </c>
      <c r="C950" s="2" t="str">
        <f>IFERROR(__xludf.DUMMYFUNCTION("""COMPUTED_VALUE"""),"Key Personnel")</f>
        <v>Key Personnel</v>
      </c>
      <c r="D950" s="2" t="str">
        <f>IFERROR(__xludf.DUMMYFUNCTION("""COMPUTED_VALUE"""),"Deleidi")</f>
        <v>Deleidi</v>
      </c>
      <c r="E950" s="2" t="str">
        <f>IFERROR(__xludf.DUMMYFUNCTION("""COMPUTED_VALUE"""),"Scientist")</f>
        <v>Scientist</v>
      </c>
      <c r="F950" s="2" t="str">
        <f>IFERROR(__xludf.DUMMYFUNCTION("""COMPUTED_VALUE"""),"renata.santos@inserm.fr")</f>
        <v>renata.santos@inserm.fr</v>
      </c>
      <c r="G950" s="2" t="str">
        <f>IFERROR(__xludf.DUMMYFUNCTION("""COMPUTED_VALUE"""),"0000-0002-3085-5128")</f>
        <v>0000-0002-3085-5128</v>
      </c>
    </row>
    <row r="951">
      <c r="A951" s="2" t="str">
        <f>IFERROR(__xludf.DUMMYFUNCTION("""COMPUTED_VALUE"""),"Renard")</f>
        <v>Renard</v>
      </c>
      <c r="B951" s="2" t="str">
        <f>IFERROR(__xludf.DUMMYFUNCTION("""COMPUTED_VALUE"""),"France")</f>
        <v>France</v>
      </c>
      <c r="C951" s="2"/>
      <c r="D951" s="2" t="str">
        <f>IFERROR(__xludf.DUMMYFUNCTION("""COMPUTED_VALUE"""),"Deleidi")</f>
        <v>Deleidi</v>
      </c>
      <c r="E951" s="2" t="str">
        <f>IFERROR(__xludf.DUMMYFUNCTION("""COMPUTED_VALUE"""),"PhD student")</f>
        <v>PhD student</v>
      </c>
      <c r="F951" s="2" t="str">
        <f>IFERROR(__xludf.DUMMYFUNCTION("""COMPUTED_VALUE"""),"france.renard@inserm.fr")</f>
        <v>france.renard@inserm.fr</v>
      </c>
      <c r="G951" s="2" t="str">
        <f>IFERROR(__xludf.DUMMYFUNCTION("""COMPUTED_VALUE"""),"0009-0008-5849-9904")</f>
        <v>0009-0008-5849-9904</v>
      </c>
    </row>
    <row r="952">
      <c r="A952" s="2" t="str">
        <f>IFERROR(__xludf.DUMMYFUNCTION("""COMPUTED_VALUE"""),"LASMARRIGUES")</f>
        <v>LASMARRIGUES</v>
      </c>
      <c r="B952" s="2" t="str">
        <f>IFERROR(__xludf.DUMMYFUNCTION("""COMPUTED_VALUE"""),"Romane")</f>
        <v>Romane</v>
      </c>
      <c r="C952" s="2"/>
      <c r="D952" s="2" t="str">
        <f>IFERROR(__xludf.DUMMYFUNCTION("""COMPUTED_VALUE"""),"Deleidi")</f>
        <v>Deleidi</v>
      </c>
      <c r="E952" s="2" t="str">
        <f>IFERROR(__xludf.DUMMYFUNCTION("""COMPUTED_VALUE"""),"Research Assistant")</f>
        <v>Research Assistant</v>
      </c>
      <c r="F952" s="2" t="str">
        <f>IFERROR(__xludf.DUMMYFUNCTION("""COMPUTED_VALUE"""),"romane.lasmarrigues@institutimagine.org")</f>
        <v>romane.lasmarrigues@institutimagine.org</v>
      </c>
      <c r="G952" s="2" t="str">
        <f>IFERROR(__xludf.DUMMYFUNCTION("""COMPUTED_VALUE"""),"0009-0003-1751-2379")</f>
        <v>0009-0003-1751-2379</v>
      </c>
    </row>
    <row r="953">
      <c r="A953" s="2" t="str">
        <f>IFERROR(__xludf.DUMMYFUNCTION("""COMPUTED_VALUE"""),"Bandirali")</f>
        <v>Bandirali</v>
      </c>
      <c r="B953" s="2" t="str">
        <f>IFERROR(__xludf.DUMMYFUNCTION("""COMPUTED_VALUE"""),"Loris")</f>
        <v>Loris</v>
      </c>
      <c r="C953" s="2" t="str">
        <f>IFERROR(__xludf.DUMMYFUNCTION("""COMPUTED_VALUE"""),"Key Personnel")</f>
        <v>Key Personnel</v>
      </c>
      <c r="D953" s="2" t="str">
        <f>IFERROR(__xludf.DUMMYFUNCTION("""COMPUTED_VALUE"""),"Blandini")</f>
        <v>Blandini</v>
      </c>
      <c r="E953" s="2" t="str">
        <f>IFERROR(__xludf.DUMMYFUNCTION("""COMPUTED_VALUE"""),"PhD student")</f>
        <v>PhD student</v>
      </c>
      <c r="F953" s="2" t="str">
        <f>IFERROR(__xludf.DUMMYFUNCTION("""COMPUTED_VALUE"""),"loris.bandirali01@universitadipavia.it")</f>
        <v>loris.bandirali01@universitadipavia.it</v>
      </c>
      <c r="G953" s="2" t="str">
        <f>IFERROR(__xludf.DUMMYFUNCTION("""COMPUTED_VALUE"""),"0009-0009-6819-6496")</f>
        <v>0009-0009-6819-6496</v>
      </c>
    </row>
    <row r="954">
      <c r="A954" s="2" t="str">
        <f>IFERROR(__xludf.DUMMYFUNCTION("""COMPUTED_VALUE"""),"Pittwood")</f>
        <v>Pittwood</v>
      </c>
      <c r="B954" s="2" t="str">
        <f>IFERROR(__xludf.DUMMYFUNCTION("""COMPUTED_VALUE"""),"Georgia ")</f>
        <v>Georgia </v>
      </c>
      <c r="C954" s="2" t="str">
        <f>IFERROR(__xludf.DUMMYFUNCTION("""COMPUTED_VALUE"""),"Key Personnel")</f>
        <v>Key Personnel</v>
      </c>
      <c r="D954" s="2" t="str">
        <f>IFERROR(__xludf.DUMMYFUNCTION("""COMPUTED_VALUE"""),"Schapira")</f>
        <v>Schapira</v>
      </c>
      <c r="E954" s="2" t="str">
        <f>IFERROR(__xludf.DUMMYFUNCTION("""COMPUTED_VALUE"""),"Research Assistant")</f>
        <v>Research Assistant</v>
      </c>
      <c r="F954" s="2" t="str">
        <f>IFERROR(__xludf.DUMMYFUNCTION("""COMPUTED_VALUE"""),"g.pittwood@ucl.ac.uk")</f>
        <v>g.pittwood@ucl.ac.uk</v>
      </c>
      <c r="G954" s="2" t="str">
        <f>IFERROR(__xludf.DUMMYFUNCTION("""COMPUTED_VALUE"""),"0009-0009-6370-6872")</f>
        <v>0009-0009-6370-6872</v>
      </c>
    </row>
    <row r="955">
      <c r="A955" s="2" t="str">
        <f>IFERROR(__xludf.DUMMYFUNCTION("""COMPUTED_VALUE"""),"Geiger")</f>
        <v>Geiger</v>
      </c>
      <c r="B955" s="2" t="str">
        <f>IFERROR(__xludf.DUMMYFUNCTION("""COMPUTED_VALUE"""),"Mallia")</f>
        <v>Mallia</v>
      </c>
      <c r="C955" s="2" t="str">
        <f>IFERROR(__xludf.DUMMYFUNCTION("""COMPUTED_VALUE"""),"Key Personnel")</f>
        <v>Key Personnel</v>
      </c>
      <c r="D955" s="2" t="str">
        <f>IFERROR(__xludf.DUMMYFUNCTION("""COMPUTED_VALUE"""),"Almeida")</f>
        <v>Almeida</v>
      </c>
      <c r="E955" s="2" t="str">
        <f>IFERROR(__xludf.DUMMYFUNCTION("""COMPUTED_VALUE"""),"Analyst")</f>
        <v>Analyst</v>
      </c>
      <c r="F955" s="2" t="str">
        <f>IFERROR(__xludf.DUMMYFUNCTION("""COMPUTED_VALUE"""),"mallia.geiger@inrae.fr")</f>
        <v>mallia.geiger@inrae.fr</v>
      </c>
      <c r="G955" s="2" t="str">
        <f>IFERROR(__xludf.DUMMYFUNCTION("""COMPUTED_VALUE"""),"0009-0005-4430-7914.")</f>
        <v>0009-0005-4430-7914.</v>
      </c>
    </row>
    <row r="956">
      <c r="A956" s="2" t="str">
        <f>IFERROR(__xludf.DUMMYFUNCTION("""COMPUTED_VALUE"""),"Ren")</f>
        <v>Ren</v>
      </c>
      <c r="B956" s="2" t="str">
        <f>IFERROR(__xludf.DUMMYFUNCTION("""COMPUTED_VALUE"""),"Yani")</f>
        <v>Yani</v>
      </c>
      <c r="C956" s="2" t="str">
        <f>IFERROR(__xludf.DUMMYFUNCTION("""COMPUTED_VALUE"""),"Key Personnel")</f>
        <v>Key Personnel</v>
      </c>
      <c r="D956" s="2" t="str">
        <f>IFERROR(__xludf.DUMMYFUNCTION("""COMPUTED_VALUE"""),"Almeida")</f>
        <v>Almeida</v>
      </c>
      <c r="E956" s="2" t="str">
        <f>IFERROR(__xludf.DUMMYFUNCTION("""COMPUTED_VALUE"""),"Bioanalyst")</f>
        <v>Bioanalyst</v>
      </c>
      <c r="F956" s="2" t="str">
        <f>IFERROR(__xludf.DUMMYFUNCTION("""COMPUTED_VALUE"""),"yani.ren@inrae.fr")</f>
        <v>yani.ren@inrae.fr</v>
      </c>
      <c r="G956" s="2" t="str">
        <f>IFERROR(__xludf.DUMMYFUNCTION("""COMPUTED_VALUE"""),"0009-0009-3426-2897")</f>
        <v>0009-0009-3426-2897</v>
      </c>
    </row>
    <row r="957">
      <c r="A957" s="2" t="str">
        <f>IFERROR(__xludf.DUMMYFUNCTION("""COMPUTED_VALUE"""),"Chahtour")</f>
        <v>Chahtour</v>
      </c>
      <c r="B957" s="2" t="str">
        <f>IFERROR(__xludf.DUMMYFUNCTION("""COMPUTED_VALUE"""),"Cherif")</f>
        <v>Cherif</v>
      </c>
      <c r="C957" s="2" t="str">
        <f>IFERROR(__xludf.DUMMYFUNCTION("""COMPUTED_VALUE"""),"Key Personnel")</f>
        <v>Key Personnel</v>
      </c>
      <c r="D957" s="2" t="str">
        <f>IFERROR(__xludf.DUMMYFUNCTION("""COMPUTED_VALUE"""),"Almeida")</f>
        <v>Almeida</v>
      </c>
      <c r="E957" s="2" t="str">
        <f>IFERROR(__xludf.DUMMYFUNCTION("""COMPUTED_VALUE"""),"Biological Engineer")</f>
        <v>Biological Engineer</v>
      </c>
      <c r="F957" s="2" t="str">
        <f>IFERROR(__xludf.DUMMYFUNCTION("""COMPUTED_VALUE"""),"cherif.chahtour@inrae.fr")</f>
        <v>cherif.chahtour@inrae.fr</v>
      </c>
      <c r="G957" s="2" t="str">
        <f>IFERROR(__xludf.DUMMYFUNCTION("""COMPUTED_VALUE"""),"0009-0001-1938-7108")</f>
        <v>0009-0001-1938-7108</v>
      </c>
    </row>
    <row r="958">
      <c r="A958" s="2" t="str">
        <f>IFERROR(__xludf.DUMMYFUNCTION("""COMPUTED_VALUE"""),"Scherzer")</f>
        <v>Scherzer</v>
      </c>
      <c r="B958" s="2" t="str">
        <f>IFERROR(__xludf.DUMMYFUNCTION("""COMPUTED_VALUE"""),"Clemens")</f>
        <v>Clemens</v>
      </c>
      <c r="C958" s="2" t="str">
        <f>IFERROR(__xludf.DUMMYFUNCTION("""COMPUTED_VALUE"""),"Lead-PI")</f>
        <v>Lead-PI</v>
      </c>
      <c r="D958" s="2" t="str">
        <f>IFERROR(__xludf.DUMMYFUNCTION("""COMPUTED_VALUE"""),"-")</f>
        <v>-</v>
      </c>
      <c r="E958" s="2" t="str">
        <f>IFERROR(__xludf.DUMMYFUNCTION("""COMPUTED_VALUE"""),"-")</f>
        <v>-</v>
      </c>
      <c r="F958" s="2" t="str">
        <f>IFERROR(__xludf.DUMMYFUNCTION("""COMPUTED_VALUE"""),"clemens.scherzer@yale.edu")</f>
        <v>clemens.scherzer@yale.edu</v>
      </c>
      <c r="G958" s="2" t="str">
        <f>IFERROR(__xludf.DUMMYFUNCTION("""COMPUTED_VALUE"""),"0000-0002-0567-9193")</f>
        <v>0000-0002-0567-9193</v>
      </c>
    </row>
    <row r="959">
      <c r="A959" s="2" t="str">
        <f>IFERROR(__xludf.DUMMYFUNCTION("""COMPUTED_VALUE"""),"Dong")</f>
        <v>Dong</v>
      </c>
      <c r="B959" s="2" t="str">
        <f>IFERROR(__xludf.DUMMYFUNCTION("""COMPUTED_VALUE"""),"Xianjun ")</f>
        <v>Xianjun </v>
      </c>
      <c r="C959" s="2" t="str">
        <f>IFERROR(__xludf.DUMMYFUNCTION("""COMPUTED_VALUE"""),"Co-PI")</f>
        <v>Co-PI</v>
      </c>
      <c r="D959" s="2" t="str">
        <f>IFERROR(__xludf.DUMMYFUNCTION("""COMPUTED_VALUE"""),"-")</f>
        <v>-</v>
      </c>
      <c r="E959" s="2" t="str">
        <f>IFERROR(__xludf.DUMMYFUNCTION("""COMPUTED_VALUE"""),"-")</f>
        <v>-</v>
      </c>
      <c r="F959" s="2" t="str">
        <f>IFERROR(__xludf.DUMMYFUNCTION("""COMPUTED_VALUE"""),"xianjun.dong@yale.edu")</f>
        <v>xianjun.dong@yale.edu</v>
      </c>
      <c r="G959" s="2" t="str">
        <f>IFERROR(__xludf.DUMMYFUNCTION("""COMPUTED_VALUE"""),"0000-0002-8052-9320")</f>
        <v>0000-0002-8052-9320</v>
      </c>
    </row>
    <row r="960">
      <c r="A960" s="2" t="str">
        <f>IFERROR(__xludf.DUMMYFUNCTION("""COMPUTED_VALUE"""),"Feany")</f>
        <v>Feany</v>
      </c>
      <c r="B960" s="2" t="str">
        <f>IFERROR(__xludf.DUMMYFUNCTION("""COMPUTED_VALUE"""),"Mel")</f>
        <v>Mel</v>
      </c>
      <c r="C960" s="2" t="str">
        <f>IFERROR(__xludf.DUMMYFUNCTION("""COMPUTED_VALUE"""),"Co-PI")</f>
        <v>Co-PI</v>
      </c>
      <c r="D960" s="2" t="str">
        <f>IFERROR(__xludf.DUMMYFUNCTION("""COMPUTED_VALUE"""),"-")</f>
        <v>-</v>
      </c>
      <c r="E960" s="2" t="str">
        <f>IFERROR(__xludf.DUMMYFUNCTION("""COMPUTED_VALUE"""),"-")</f>
        <v>-</v>
      </c>
      <c r="F960" s="2" t="str">
        <f>IFERROR(__xludf.DUMMYFUNCTION("""COMPUTED_VALUE"""),"mel_feany@hms.harvard.edu")</f>
        <v>mel_feany@hms.harvard.edu</v>
      </c>
      <c r="G960" s="2" t="str">
        <f>IFERROR(__xludf.DUMMYFUNCTION("""COMPUTED_VALUE"""),"0000-0003-0315-7970")</f>
        <v>0000-0003-0315-7970</v>
      </c>
    </row>
    <row r="961">
      <c r="A961" s="2" t="str">
        <f>IFERROR(__xludf.DUMMYFUNCTION("""COMPUTED_VALUE"""),"Levin")</f>
        <v>Levin</v>
      </c>
      <c r="B961" s="2" t="str">
        <f>IFERROR(__xludf.DUMMYFUNCTION("""COMPUTED_VALUE"""),"Joshua")</f>
        <v>Joshua</v>
      </c>
      <c r="C961" s="2" t="str">
        <f>IFERROR(__xludf.DUMMYFUNCTION("""COMPUTED_VALUE"""),"Co-PI")</f>
        <v>Co-PI</v>
      </c>
      <c r="D961" s="2" t="str">
        <f>IFERROR(__xludf.DUMMYFUNCTION("""COMPUTED_VALUE"""),"-")</f>
        <v>-</v>
      </c>
      <c r="E961" s="2" t="str">
        <f>IFERROR(__xludf.DUMMYFUNCTION("""COMPUTED_VALUE"""),"-")</f>
        <v>-</v>
      </c>
      <c r="F961" s="2" t="str">
        <f>IFERROR(__xludf.DUMMYFUNCTION("""COMPUTED_VALUE"""),"jlevin@broadinstitute.org")</f>
        <v>jlevin@broadinstitute.org</v>
      </c>
      <c r="G961" s="2" t="str">
        <f>IFERROR(__xludf.DUMMYFUNCTION("""COMPUTED_VALUE"""),"0000-0002-0170-3598")</f>
        <v>0000-0002-0170-3598</v>
      </c>
    </row>
    <row r="962">
      <c r="A962" s="2" t="str">
        <f>IFERROR(__xludf.DUMMYFUNCTION("""COMPUTED_VALUE"""),"Zhang")</f>
        <v>Zhang</v>
      </c>
      <c r="B962" s="2" t="str">
        <f>IFERROR(__xludf.DUMMYFUNCTION("""COMPUTED_VALUE"""),"Su-Chun")</f>
        <v>Su-Chun</v>
      </c>
      <c r="C962" s="2" t="str">
        <f>IFERROR(__xludf.DUMMYFUNCTION("""COMPUTED_VALUE"""),"Co-PI")</f>
        <v>Co-PI</v>
      </c>
      <c r="D962" s="2" t="str">
        <f>IFERROR(__xludf.DUMMYFUNCTION("""COMPUTED_VALUE"""),"-")</f>
        <v>-</v>
      </c>
      <c r="E962" s="2" t="str">
        <f>IFERROR(__xludf.DUMMYFUNCTION("""COMPUTED_VALUE"""),"-")</f>
        <v>-</v>
      </c>
      <c r="F962" s="2" t="str">
        <f>IFERROR(__xludf.DUMMYFUNCTION("""COMPUTED_VALUE"""),"suchunz@sbpdiscovery.org")</f>
        <v>suchunz@sbpdiscovery.org</v>
      </c>
      <c r="G962" s="2" t="str">
        <f>IFERROR(__xludf.DUMMYFUNCTION("""COMPUTED_VALUE"""),"0000-0003-0563-5147")</f>
        <v>0000-0003-0563-5147</v>
      </c>
    </row>
    <row r="963">
      <c r="A963" s="2" t="str">
        <f>IFERROR(__xludf.DUMMYFUNCTION("""COMPUTED_VALUE"""),"Beach")</f>
        <v>Beach</v>
      </c>
      <c r="B963" s="2" t="str">
        <f>IFERROR(__xludf.DUMMYFUNCTION("""COMPUTED_VALUE"""),"Thomas")</f>
        <v>Thomas</v>
      </c>
      <c r="C963" s="2" t="str">
        <f>IFERROR(__xludf.DUMMYFUNCTION("""COMPUTED_VALUE"""),"Key Personnel")</f>
        <v>Key Personnel</v>
      </c>
      <c r="D963" s="2" t="str">
        <f>IFERROR(__xludf.DUMMYFUNCTION("""COMPUTED_VALUE"""),"Subcontract PI-Scherzer")</f>
        <v>Subcontract PI-Scherzer</v>
      </c>
      <c r="E963" s="2" t="str">
        <f>IFERROR(__xludf.DUMMYFUNCTION("""COMPUTED_VALUE"""),"PI")</f>
        <v>PI</v>
      </c>
      <c r="F963" s="2" t="str">
        <f>IFERROR(__xludf.DUMMYFUNCTION("""COMPUTED_VALUE"""),"Thomas.Beach@bannerhealth.com")</f>
        <v>Thomas.Beach@bannerhealth.com</v>
      </c>
      <c r="G963" s="2" t="str">
        <f>IFERROR(__xludf.DUMMYFUNCTION("""COMPUTED_VALUE"""),"0000-0003-3296-6128")</f>
        <v>0000-0003-3296-6128</v>
      </c>
    </row>
    <row r="964">
      <c r="A964" s="2" t="str">
        <f>IFERROR(__xludf.DUMMYFUNCTION("""COMPUTED_VALUE"""),"Serrano")</f>
        <v>Serrano</v>
      </c>
      <c r="B964" s="2" t="str">
        <f>IFERROR(__xludf.DUMMYFUNCTION("""COMPUTED_VALUE"""),"Geidy ")</f>
        <v>Geidy </v>
      </c>
      <c r="C964" s="2" t="str">
        <f>IFERROR(__xludf.DUMMYFUNCTION("""COMPUTED_VALUE"""),"Key Personnel")</f>
        <v>Key Personnel</v>
      </c>
      <c r="D964" s="2" t="str">
        <f>IFERROR(__xludf.DUMMYFUNCTION("""COMPUTED_VALUE"""),"Subcontractee-Scherzer")</f>
        <v>Subcontractee-Scherzer</v>
      </c>
      <c r="E964" s="2" t="str">
        <f>IFERROR(__xludf.DUMMYFUNCTION("""COMPUTED_VALUE"""),"Lab Director")</f>
        <v>Lab Director</v>
      </c>
      <c r="F964" s="2" t="str">
        <f>IFERROR(__xludf.DUMMYFUNCTION("""COMPUTED_VALUE"""),"Geidy.Serrano@bannerhealth.com")</f>
        <v>Geidy.Serrano@bannerhealth.com</v>
      </c>
      <c r="G964" s="2" t="str">
        <f>IFERROR(__xludf.DUMMYFUNCTION("""COMPUTED_VALUE"""),"0000-0002-9527-2011
")</f>
        <v>0000-0002-9527-2011
</v>
      </c>
    </row>
    <row r="965">
      <c r="A965" s="2" t="str">
        <f>IFERROR(__xludf.DUMMYFUNCTION("""COMPUTED_VALUE"""),"Mathivanan")</f>
        <v>Mathivanan</v>
      </c>
      <c r="B965" s="2" t="str">
        <f>IFERROR(__xludf.DUMMYFUNCTION("""COMPUTED_VALUE"""),"Sakthikumar ")</f>
        <v>Sakthikumar </v>
      </c>
      <c r="C965" s="2" t="str">
        <f>IFERROR(__xludf.DUMMYFUNCTION("""COMPUTED_VALUE"""),"Key Personnel")</f>
        <v>Key Personnel</v>
      </c>
      <c r="D965" s="2" t="str">
        <f>IFERROR(__xludf.DUMMYFUNCTION("""COMPUTED_VALUE"""),"Zhang")</f>
        <v>Zhang</v>
      </c>
      <c r="E965" s="2" t="str">
        <f>IFERROR(__xludf.DUMMYFUNCTION("""COMPUTED_VALUE"""),"Research associate")</f>
        <v>Research associate</v>
      </c>
      <c r="F965" s="2" t="str">
        <f>IFERROR(__xludf.DUMMYFUNCTION("""COMPUTED_VALUE"""),"smathivanan@sbpdiscovery.org")</f>
        <v>smathivanan@sbpdiscovery.org</v>
      </c>
      <c r="G965" s="2" t="str">
        <f>IFERROR(__xludf.DUMMYFUNCTION("""COMPUTED_VALUE"""),"0000-0002-6647-8774")</f>
        <v>0000-0002-6647-8774</v>
      </c>
    </row>
    <row r="966">
      <c r="A966" s="2" t="str">
        <f>IFERROR(__xludf.DUMMYFUNCTION("""COMPUTED_VALUE"""),"Lin")</f>
        <v>Lin</v>
      </c>
      <c r="B966" s="2" t="str">
        <f>IFERROR(__xludf.DUMMYFUNCTION("""COMPUTED_VALUE"""),"Zechuan ")</f>
        <v>Zechuan </v>
      </c>
      <c r="C966" s="2" t="str">
        <f>IFERROR(__xludf.DUMMYFUNCTION("""COMPUTED_VALUE"""),"Key Personnel")</f>
        <v>Key Personnel</v>
      </c>
      <c r="D966" s="2" t="str">
        <f>IFERROR(__xludf.DUMMYFUNCTION("""COMPUTED_VALUE"""),"Scherzer")</f>
        <v>Scherzer</v>
      </c>
      <c r="E966" s="2" t="str">
        <f>IFERROR(__xludf.DUMMYFUNCTION("""COMPUTED_VALUE"""),"Postdoc")</f>
        <v>Postdoc</v>
      </c>
      <c r="F966" s="2" t="str">
        <f>IFERROR(__xludf.DUMMYFUNCTION("""COMPUTED_VALUE"""),"linzechuan110@163.com")</f>
        <v>linzechuan110@163.com</v>
      </c>
      <c r="G966" s="2" t="str">
        <f>IFERROR(__xludf.DUMMYFUNCTION("""COMPUTED_VALUE"""),"0000-0003-2270-5194")</f>
        <v>0000-0003-2270-5194</v>
      </c>
    </row>
    <row r="967">
      <c r="A967" s="2" t="str">
        <f>IFERROR(__xludf.DUMMYFUNCTION("""COMPUTED_VALUE"""),"Simmons")</f>
        <v>Simmons</v>
      </c>
      <c r="B967" s="2" t="str">
        <f>IFERROR(__xludf.DUMMYFUNCTION("""COMPUTED_VALUE"""),"Sean")</f>
        <v>Sean</v>
      </c>
      <c r="C967" s="2" t="str">
        <f>IFERROR(__xludf.DUMMYFUNCTION("""COMPUTED_VALUE"""),"Key Personnel")</f>
        <v>Key Personnel</v>
      </c>
      <c r="D967" s="2" t="str">
        <f>IFERROR(__xludf.DUMMYFUNCTION("""COMPUTED_VALUE"""),"Levin")</f>
        <v>Levin</v>
      </c>
      <c r="E967" s="2" t="str">
        <f>IFERROR(__xludf.DUMMYFUNCTION("""COMPUTED_VALUE"""),"Computational scientist")</f>
        <v>Computational scientist</v>
      </c>
      <c r="F967" s="2" t="str">
        <f>IFERROR(__xludf.DUMMYFUNCTION("""COMPUTED_VALUE"""),"ssimmons@broadinstitute.org")</f>
        <v>ssimmons@broadinstitute.org</v>
      </c>
      <c r="G967" s="2" t="str">
        <f>IFERROR(__xludf.DUMMYFUNCTION("""COMPUTED_VALUE"""),"0000-0002-1537-4000")</f>
        <v>0000-0002-1537-4000</v>
      </c>
    </row>
    <row r="968">
      <c r="A968" s="2" t="str">
        <f>IFERROR(__xludf.DUMMYFUNCTION("""COMPUTED_VALUE"""),"Locascio")</f>
        <v>Locascio</v>
      </c>
      <c r="B968" s="2" t="str">
        <f>IFERROR(__xludf.DUMMYFUNCTION("""COMPUTED_VALUE"""),"Joseph ")</f>
        <v>Joseph </v>
      </c>
      <c r="C968" s="2" t="str">
        <f>IFERROR(__xludf.DUMMYFUNCTION("""COMPUTED_VALUE"""),"Key Personnel")</f>
        <v>Key Personnel</v>
      </c>
      <c r="D968" s="2" t="str">
        <f>IFERROR(__xludf.DUMMYFUNCTION("""COMPUTED_VALUE"""),"Scherzer")</f>
        <v>Scherzer</v>
      </c>
      <c r="E968" s="2" t="str">
        <f>IFERROR(__xludf.DUMMYFUNCTION("""COMPUTED_VALUE"""),"Statistician")</f>
        <v>Statistician</v>
      </c>
      <c r="F968" s="2" t="str">
        <f>IFERROR(__xludf.DUMMYFUNCTION("""COMPUTED_VALUE"""),"JLOCASCIO@mgh.harvard.edu")</f>
        <v>JLOCASCIO@mgh.harvard.edu</v>
      </c>
      <c r="G968" s="2" t="str">
        <f>IFERROR(__xludf.DUMMYFUNCTION("""COMPUTED_VALUE"""),"0000-0003-3439-1209")</f>
        <v>0000-0003-3439-1209</v>
      </c>
    </row>
    <row r="969">
      <c r="A969" s="2" t="str">
        <f>IFERROR(__xludf.DUMMYFUNCTION("""COMPUTED_VALUE"""),"Weykopf")</f>
        <v>Weykopf</v>
      </c>
      <c r="B969" s="2" t="str">
        <f>IFERROR(__xludf.DUMMYFUNCTION("""COMPUTED_VALUE"""),"Beatrice ")</f>
        <v>Beatrice </v>
      </c>
      <c r="C969" s="2" t="str">
        <f>IFERROR(__xludf.DUMMYFUNCTION("""COMPUTED_VALUE"""),"Project Manager")</f>
        <v>Project Manager</v>
      </c>
      <c r="D969" s="2" t="str">
        <f>IFERROR(__xludf.DUMMYFUNCTION("""COMPUTED_VALUE"""),"Scherzer")</f>
        <v>Scherzer</v>
      </c>
      <c r="E969" s="2" t="str">
        <f>IFERROR(__xludf.DUMMYFUNCTION("""COMPUTED_VALUE"""),"Postdoc")</f>
        <v>Postdoc</v>
      </c>
      <c r="F969" s="2" t="str">
        <f>IFERROR(__xludf.DUMMYFUNCTION("""COMPUTED_VALUE"""),"beatrice.weykopf@yale.edu")</f>
        <v>beatrice.weykopf@yale.edu</v>
      </c>
      <c r="G969" s="2" t="str">
        <f>IFERROR(__xludf.DUMMYFUNCTION("""COMPUTED_VALUE"""),"0000-0001-5541-839X")</f>
        <v>0000-0001-5541-839X</v>
      </c>
    </row>
    <row r="970">
      <c r="A970" s="2" t="str">
        <f>IFERROR(__xludf.DUMMYFUNCTION("""COMPUTED_VALUE"""),"Zhong")</f>
        <v>Zhong</v>
      </c>
      <c r="B970" s="2" t="str">
        <f>IFERROR(__xludf.DUMMYFUNCTION("""COMPUTED_VALUE"""),"Yi")</f>
        <v>Yi</v>
      </c>
      <c r="C970" s="2" t="str">
        <f>IFERROR(__xludf.DUMMYFUNCTION("""COMPUTED_VALUE"""),"Key Personnel")</f>
        <v>Key Personnel</v>
      </c>
      <c r="D970" s="2" t="str">
        <f>IFERROR(__xludf.DUMMYFUNCTION("""COMPUTED_VALUE"""),"Feany")</f>
        <v>Feany</v>
      </c>
      <c r="E970" s="2" t="str">
        <f>IFERROR(__xludf.DUMMYFUNCTION("""COMPUTED_VALUE"""),"Lab assistant")</f>
        <v>Lab assistant</v>
      </c>
      <c r="F970" s="2" t="str">
        <f>IFERROR(__xludf.DUMMYFUNCTION("""COMPUTED_VALUE"""),"yzhong2@bwh.harvard.edu")</f>
        <v>yzhong2@bwh.harvard.edu</v>
      </c>
      <c r="G970" s="2" t="str">
        <f>IFERROR(__xludf.DUMMYFUNCTION("""COMPUTED_VALUE"""),"0000-0003-3770-1102")</f>
        <v>0000-0003-3770-1102</v>
      </c>
    </row>
    <row r="971">
      <c r="A971" s="2" t="str">
        <f>IFERROR(__xludf.DUMMYFUNCTION("""COMPUTED_VALUE"""),"Parker")</f>
        <v>Parker</v>
      </c>
      <c r="B971" s="2" t="str">
        <f>IFERROR(__xludf.DUMMYFUNCTION("""COMPUTED_VALUE"""),"Jacob")</f>
        <v>Jacob</v>
      </c>
      <c r="C971" s="2" t="str">
        <f>IFERROR(__xludf.DUMMYFUNCTION("""COMPUTED_VALUE"""),"Key Personnel")</f>
        <v>Key Personnel</v>
      </c>
      <c r="D971" s="2" t="str">
        <f>IFERROR(__xludf.DUMMYFUNCTION("""COMPUTED_VALUE"""),"Scherzer")</f>
        <v>Scherzer</v>
      </c>
      <c r="E971" s="2" t="str">
        <f>IFERROR(__xludf.DUMMYFUNCTION("""COMPUTED_VALUE"""),"Postdoc")</f>
        <v>Postdoc</v>
      </c>
      <c r="F971" s="2" t="str">
        <f>IFERROR(__xludf.DUMMYFUNCTION("""COMPUTED_VALUE"""),"jacob.parker@yale.edu")</f>
        <v>jacob.parker@yale.edu</v>
      </c>
      <c r="G971" s="2" t="str">
        <f>IFERROR(__xludf.DUMMYFUNCTION("""COMPUTED_VALUE"""),"0000-0001-9425-6418")</f>
        <v>0000-0001-9425-6418</v>
      </c>
    </row>
    <row r="972">
      <c r="A972" s="2" t="str">
        <f>IFERROR(__xludf.DUMMYFUNCTION("""COMPUTED_VALUE"""),"Yuan")</f>
        <v>Yuan</v>
      </c>
      <c r="B972" s="2" t="str">
        <f>IFERROR(__xludf.DUMMYFUNCTION("""COMPUTED_VALUE"""),"Jie")</f>
        <v>Jie</v>
      </c>
      <c r="C972" s="2" t="str">
        <f>IFERROR(__xludf.DUMMYFUNCTION("""COMPUTED_VALUE"""),"Key Personnel")</f>
        <v>Key Personnel</v>
      </c>
      <c r="D972" s="2" t="str">
        <f>IFERROR(__xludf.DUMMYFUNCTION("""COMPUTED_VALUE"""),"Scherzer")</f>
        <v>Scherzer</v>
      </c>
      <c r="E972" s="2" t="str">
        <f>IFERROR(__xludf.DUMMYFUNCTION("""COMPUTED_VALUE"""),"Postdoc")</f>
        <v>Postdoc</v>
      </c>
      <c r="F972" s="2" t="str">
        <f>IFERROR(__xludf.DUMMYFUNCTION("""COMPUTED_VALUE"""),"jay.yuan@gmail.com")</f>
        <v>jay.yuan@gmail.com</v>
      </c>
      <c r="G972" s="2" t="str">
        <f>IFERROR(__xludf.DUMMYFUNCTION("""COMPUTED_VALUE"""),"0000-0002-5626-2881")</f>
        <v>0000-0002-5626-2881</v>
      </c>
    </row>
    <row r="973">
      <c r="A973" s="2" t="str">
        <f>IFERROR(__xludf.DUMMYFUNCTION("""COMPUTED_VALUE"""),"Sharma")</f>
        <v>Sharma</v>
      </c>
      <c r="B973" s="2" t="str">
        <f>IFERROR(__xludf.DUMMYFUNCTION("""COMPUTED_VALUE"""),"Monika")</f>
        <v>Monika</v>
      </c>
      <c r="C973" s="2" t="str">
        <f>IFERROR(__xludf.DUMMYFUNCTION("""COMPUTED_VALUE"""),"Key Personnel")</f>
        <v>Key Personnel</v>
      </c>
      <c r="D973" s="2" t="str">
        <f>IFERROR(__xludf.DUMMYFUNCTION("""COMPUTED_VALUE"""),"Scherzer")</f>
        <v>Scherzer</v>
      </c>
      <c r="E973" s="2" t="str">
        <f>IFERROR(__xludf.DUMMYFUNCTION("""COMPUTED_VALUE"""),"Postdoc")</f>
        <v>Postdoc</v>
      </c>
      <c r="F973" s="2" t="str">
        <f>IFERROR(__xludf.DUMMYFUNCTION("""COMPUTED_VALUE"""),"monika.sharma@yale.edu")</f>
        <v>monika.sharma@yale.edu</v>
      </c>
      <c r="G973" s="2" t="str">
        <f>IFERROR(__xludf.DUMMYFUNCTION("""COMPUTED_VALUE"""),"0000-0002-7258-1399")</f>
        <v>0000-0002-7258-1399</v>
      </c>
    </row>
    <row r="974">
      <c r="A974" s="2" t="str">
        <f>IFERROR(__xludf.DUMMYFUNCTION("""COMPUTED_VALUE"""),"Cline")</f>
        <v>Cline</v>
      </c>
      <c r="B974" s="2" t="str">
        <f>IFERROR(__xludf.DUMMYFUNCTION("""COMPUTED_VALUE"""),"Madison")</f>
        <v>Madison</v>
      </c>
      <c r="C974" s="2" t="str">
        <f>IFERROR(__xludf.DUMMYFUNCTION("""COMPUTED_VALUE"""),"Key Personnel")</f>
        <v>Key Personnel</v>
      </c>
      <c r="D974" s="2" t="str">
        <f>IFERROR(__xludf.DUMMYFUNCTION("""COMPUTED_VALUE"""),"Subcontractee-Scherzer")</f>
        <v>Subcontractee-Scherzer</v>
      </c>
      <c r="E974" s="2" t="str">
        <f>IFERROR(__xludf.DUMMYFUNCTION("""COMPUTED_VALUE"""),"Research associate")</f>
        <v>Research associate</v>
      </c>
      <c r="F974" s="2" t="str">
        <f>IFERROR(__xludf.DUMMYFUNCTION("""COMPUTED_VALUE"""),"Madison.cline@bannerhealth.com")</f>
        <v>Madison.cline@bannerhealth.com</v>
      </c>
      <c r="G974" s="2" t="str">
        <f>IFERROR(__xludf.DUMMYFUNCTION("""COMPUTED_VALUE"""),"0000-0001-9672-7738")</f>
        <v>0000-0001-9672-7738</v>
      </c>
    </row>
    <row r="975">
      <c r="A975" s="2" t="str">
        <f>IFERROR(__xludf.DUMMYFUNCTION("""COMPUTED_VALUE"""),"Feng")</f>
        <v>Feng</v>
      </c>
      <c r="B975" s="2" t="str">
        <f>IFERROR(__xludf.DUMMYFUNCTION("""COMPUTED_VALUE"""),"Li")</f>
        <v>Li</v>
      </c>
      <c r="C975" s="2" t="str">
        <f>IFERROR(__xludf.DUMMYFUNCTION("""COMPUTED_VALUE"""),"Key Personnel")</f>
        <v>Key Personnel</v>
      </c>
      <c r="D975" s="2" t="str">
        <f>IFERROR(__xludf.DUMMYFUNCTION("""COMPUTED_VALUE"""),"Zhang")</f>
        <v>Zhang</v>
      </c>
      <c r="E975" s="2" t="str">
        <f>IFERROR(__xludf.DUMMYFUNCTION("""COMPUTED_VALUE"""),"Postdoc")</f>
        <v>Postdoc</v>
      </c>
      <c r="F975" s="2" t="str">
        <f>IFERROR(__xludf.DUMMYFUNCTION("""COMPUTED_VALUE"""),"lif@sbpdiscovery.org")</f>
        <v>lif@sbpdiscovery.org</v>
      </c>
      <c r="G975" s="2" t="str">
        <f>IFERROR(__xludf.DUMMYFUNCTION("""COMPUTED_VALUE"""),"0000-0002-2060-3023")</f>
        <v>0000-0002-2060-3023</v>
      </c>
    </row>
    <row r="976">
      <c r="A976" s="2" t="str">
        <f>IFERROR(__xludf.DUMMYFUNCTION("""COMPUTED_VALUE"""),"Nithianandam")</f>
        <v>Nithianandam</v>
      </c>
      <c r="B976" s="2" t="str">
        <f>IFERROR(__xludf.DUMMYFUNCTION("""COMPUTED_VALUE"""),"Vanitha")</f>
        <v>Vanitha</v>
      </c>
      <c r="C976" s="2" t="str">
        <f>IFERROR(__xludf.DUMMYFUNCTION("""COMPUTED_VALUE"""),"Key Personnel")</f>
        <v>Key Personnel</v>
      </c>
      <c r="D976" s="2" t="str">
        <f>IFERROR(__xludf.DUMMYFUNCTION("""COMPUTED_VALUE"""),"Feany")</f>
        <v>Feany</v>
      </c>
      <c r="E976" s="2" t="str">
        <f>IFERROR(__xludf.DUMMYFUNCTION("""COMPUTED_VALUE"""),"Postdoc")</f>
        <v>Postdoc</v>
      </c>
      <c r="F976" s="2" t="str">
        <f>IFERROR(__xludf.DUMMYFUNCTION("""COMPUTED_VALUE"""),"vanitha.nithianandam@yale.edu")</f>
        <v>vanitha.nithianandam@yale.edu</v>
      </c>
      <c r="G976" s="2" t="str">
        <f>IFERROR(__xludf.DUMMYFUNCTION("""COMPUTED_VALUE"""),"0000-0002-0740-0758")</f>
        <v>0000-0002-0740-0758</v>
      </c>
    </row>
    <row r="977">
      <c r="A977" s="2" t="str">
        <f>IFERROR(__xludf.DUMMYFUNCTION("""COMPUTED_VALUE"""),"Kim")</f>
        <v>Kim</v>
      </c>
      <c r="B977" s="2" t="str">
        <f>IFERROR(__xludf.DUMMYFUNCTION("""COMPUTED_VALUE"""),"Kwanho")</f>
        <v>Kwanho</v>
      </c>
      <c r="C977" s="2" t="str">
        <f>IFERROR(__xludf.DUMMYFUNCTION("""COMPUTED_VALUE"""),"Key Personnel")</f>
        <v>Key Personnel</v>
      </c>
      <c r="D977" s="2" t="str">
        <f>IFERROR(__xludf.DUMMYFUNCTION("""COMPUTED_VALUE"""),"Levin")</f>
        <v>Levin</v>
      </c>
      <c r="E977" s="2" t="str">
        <f>IFERROR(__xludf.DUMMYFUNCTION("""COMPUTED_VALUE"""),"Postdoc")</f>
        <v>Postdoc</v>
      </c>
      <c r="F977" s="2" t="str">
        <f>IFERROR(__xludf.DUMMYFUNCTION("""COMPUTED_VALUE"""),"kwanho@broadinstitute.org")</f>
        <v>kwanho@broadinstitute.org</v>
      </c>
      <c r="G977" s="2" t="str">
        <f>IFERROR(__xludf.DUMMYFUNCTION("""COMPUTED_VALUE"""),"0000-0002-4448-3193")</f>
        <v>0000-0002-4448-3193</v>
      </c>
    </row>
    <row r="978">
      <c r="A978" s="2" t="str">
        <f>IFERROR(__xludf.DUMMYFUNCTION("""COMPUTED_VALUE"""),"Grassin")</f>
        <v>Grassin</v>
      </c>
      <c r="B978" s="2" t="str">
        <f>IFERROR(__xludf.DUMMYFUNCTION("""COMPUTED_VALUE"""),"Ewa")</f>
        <v>Ewa</v>
      </c>
      <c r="C978" s="2" t="str">
        <f>IFERROR(__xludf.DUMMYFUNCTION("""COMPUTED_VALUE"""),"Key Personnel")</f>
        <v>Key Personnel</v>
      </c>
      <c r="D978" s="2" t="str">
        <f>IFERROR(__xludf.DUMMYFUNCTION("""COMPUTED_VALUE"""),"Dong")</f>
        <v>Dong</v>
      </c>
      <c r="E978" s="2" t="str">
        <f>IFERROR(__xludf.DUMMYFUNCTION("""COMPUTED_VALUE"""),"Postdoc")</f>
        <v>Postdoc</v>
      </c>
      <c r="F978" s="2" t="str">
        <f>IFERROR(__xludf.DUMMYFUNCTION("""COMPUTED_VALUE"""),"egrassin@bwh.harvard.edu")</f>
        <v>egrassin@bwh.harvard.edu</v>
      </c>
      <c r="G978" s="2" t="str">
        <f>IFERROR(__xludf.DUMMYFUNCTION("""COMPUTED_VALUE"""),"0000-0002-9691-0417")</f>
        <v>0000-0002-9691-0417</v>
      </c>
    </row>
    <row r="979">
      <c r="A979" s="2" t="str">
        <f>IFERROR(__xludf.DUMMYFUNCTION("""COMPUTED_VALUE"""),"Zhang")</f>
        <v>Zhang</v>
      </c>
      <c r="B979" s="2" t="str">
        <f>IFERROR(__xludf.DUMMYFUNCTION("""COMPUTED_VALUE"""),"Jixiang")</f>
        <v>Jixiang</v>
      </c>
      <c r="C979" s="2" t="str">
        <f>IFERROR(__xludf.DUMMYFUNCTION("""COMPUTED_VALUE"""),"Key Personnel")</f>
        <v>Key Personnel</v>
      </c>
      <c r="D979" s="2" t="str">
        <f>IFERROR(__xludf.DUMMYFUNCTION("""COMPUTED_VALUE"""),"Levin")</f>
        <v>Levin</v>
      </c>
      <c r="E979" s="2" t="str">
        <f>IFERROR(__xludf.DUMMYFUNCTION("""COMPUTED_VALUE"""),"Research Scientist")</f>
        <v>Research Scientist</v>
      </c>
      <c r="F979" s="2" t="str">
        <f>IFERROR(__xludf.DUMMYFUNCTION("""COMPUTED_VALUE"""),"zhangjix@broadinstitute.org")</f>
        <v>zhangjix@broadinstitute.org</v>
      </c>
      <c r="G979" s="2" t="str">
        <f>IFERROR(__xludf.DUMMYFUNCTION("""COMPUTED_VALUE"""),"0000-0002-1641-8650")</f>
        <v>0000-0002-1641-8650</v>
      </c>
    </row>
    <row r="980">
      <c r="A980" s="2" t="str">
        <f>IFERROR(__xludf.DUMMYFUNCTION("""COMPUTED_VALUE"""),"Lorenzini")</f>
        <v>Lorenzini</v>
      </c>
      <c r="B980" s="2" t="str">
        <f>IFERROR(__xludf.DUMMYFUNCTION("""COMPUTED_VALUE"""),"Ileana")</f>
        <v>Ileana</v>
      </c>
      <c r="C980" s="2" t="str">
        <f>IFERROR(__xludf.DUMMYFUNCTION("""COMPUTED_VALUE"""),"Key Personnel")</f>
        <v>Key Personnel</v>
      </c>
      <c r="D980" s="2" t="str">
        <f>IFERROR(__xludf.DUMMYFUNCTION("""COMPUTED_VALUE"""),"Subcontractee-Scherzer")</f>
        <v>Subcontractee-Scherzer</v>
      </c>
      <c r="E980" s="2" t="str">
        <f>IFERROR(__xludf.DUMMYFUNCTION("""COMPUTED_VALUE"""),"Research associate")</f>
        <v>Research associate</v>
      </c>
      <c r="F980" s="2" t="str">
        <f>IFERROR(__xludf.DUMMYFUNCTION("""COMPUTED_VALUE"""),"ileana.lorenzini@bannerhealth.com")</f>
        <v>ileana.lorenzini@bannerhealth.com</v>
      </c>
      <c r="G980" s="2" t="str">
        <f>IFERROR(__xludf.DUMMYFUNCTION("""COMPUTED_VALUE"""),"0009-0008-7071-9690")</f>
        <v>0009-0008-7071-9690</v>
      </c>
    </row>
    <row r="981">
      <c r="A981" s="2" t="str">
        <f>IFERROR(__xludf.DUMMYFUNCTION("""COMPUTED_VALUE"""),"Intorcia")</f>
        <v>Intorcia</v>
      </c>
      <c r="B981" s="2" t="str">
        <f>IFERROR(__xludf.DUMMYFUNCTION("""COMPUTED_VALUE"""),"Anthony")</f>
        <v>Anthony</v>
      </c>
      <c r="C981" s="2" t="str">
        <f>IFERROR(__xludf.DUMMYFUNCTION("""COMPUTED_VALUE"""),"Key Personnel")</f>
        <v>Key Personnel</v>
      </c>
      <c r="D981" s="2" t="str">
        <f>IFERROR(__xludf.DUMMYFUNCTION("""COMPUTED_VALUE"""),"Subcontractee-Scherzer")</f>
        <v>Subcontractee-Scherzer</v>
      </c>
      <c r="E981" s="2" t="str">
        <f>IFERROR(__xludf.DUMMYFUNCTION("""COMPUTED_VALUE"""),"Research Scientist (PhD)")</f>
        <v>Research Scientist (PhD)</v>
      </c>
      <c r="F981" s="2" t="str">
        <f>IFERROR(__xludf.DUMMYFUNCTION("""COMPUTED_VALUE"""),"Anthony.Intorcia@bannerhealth.com")</f>
        <v>Anthony.Intorcia@bannerhealth.com</v>
      </c>
      <c r="G981" s="2" t="str">
        <f>IFERROR(__xludf.DUMMYFUNCTION("""COMPUTED_VALUE"""),"0009-0004-5613-5825")</f>
        <v>0009-0004-5613-5825</v>
      </c>
    </row>
    <row r="982">
      <c r="A982" s="2" t="str">
        <f>IFERROR(__xludf.DUMMYFUNCTION("""COMPUTED_VALUE"""),"Bukhari")</f>
        <v>Bukhari</v>
      </c>
      <c r="B982" s="2" t="str">
        <f>IFERROR(__xludf.DUMMYFUNCTION("""COMPUTED_VALUE"""),"Syed Hassan")</f>
        <v>Syed Hassan</v>
      </c>
      <c r="C982" s="2" t="str">
        <f>IFERROR(__xludf.DUMMYFUNCTION("""COMPUTED_VALUE"""),"Key Personnel")</f>
        <v>Key Personnel</v>
      </c>
      <c r="D982" s="2" t="str">
        <f>IFERROR(__xludf.DUMMYFUNCTION("""COMPUTED_VALUE"""),"Feany")</f>
        <v>Feany</v>
      </c>
      <c r="E982" s="2" t="str">
        <f>IFERROR(__xludf.DUMMYFUNCTION("""COMPUTED_VALUE"""),"Postdoc")</f>
        <v>Postdoc</v>
      </c>
      <c r="F982" s="2" t="str">
        <f>IFERROR(__xludf.DUMMYFUNCTION("""COMPUTED_VALUE"""),"shbukhari@bwh.harvard.edu")</f>
        <v>shbukhari@bwh.harvard.edu</v>
      </c>
      <c r="G982" s="2" t="str">
        <f>IFERROR(__xludf.DUMMYFUNCTION("""COMPUTED_VALUE"""),"0000-0003-3328-8234")</f>
        <v>0000-0003-3328-8234</v>
      </c>
    </row>
    <row r="983">
      <c r="A983" s="2" t="str">
        <f>IFERROR(__xludf.DUMMYFUNCTION("""COMPUTED_VALUE"""),"Zhuo")</f>
        <v>Zhuo</v>
      </c>
      <c r="B983" s="2" t="str">
        <f>IFERROR(__xludf.DUMMYFUNCTION("""COMPUTED_VALUE"""),"Shun-Yi")</f>
        <v>Shun-Yi</v>
      </c>
      <c r="C983" s="2" t="str">
        <f>IFERROR(__xludf.DUMMYFUNCTION("""COMPUTED_VALUE"""),"Key Personnel")</f>
        <v>Key Personnel</v>
      </c>
      <c r="D983" s="2" t="str">
        <f>IFERROR(__xludf.DUMMYFUNCTION("""COMPUTED_VALUE"""),"Feany")</f>
        <v>Feany</v>
      </c>
      <c r="E983" s="2" t="str">
        <f>IFERROR(__xludf.DUMMYFUNCTION("""COMPUTED_VALUE"""),"Postdoc")</f>
        <v>Postdoc</v>
      </c>
      <c r="F983" s="2" t="str">
        <f>IFERROR(__xludf.DUMMYFUNCTION("""COMPUTED_VALUE"""),"szhuo15@bwh.harvard.edu")</f>
        <v>szhuo15@bwh.harvard.edu</v>
      </c>
      <c r="G983" s="2" t="str">
        <f>IFERROR(__xludf.DUMMYFUNCTION("""COMPUTED_VALUE"""),"0009-0006-7239-6667")</f>
        <v>0009-0006-7239-6667</v>
      </c>
    </row>
    <row r="984">
      <c r="A984" s="2" t="str">
        <f>IFERROR(__xludf.DUMMYFUNCTION("""COMPUTED_VALUE"""),"Aslam")</f>
        <v>Aslam</v>
      </c>
      <c r="B984" s="2" t="str">
        <f>IFERROR(__xludf.DUMMYFUNCTION("""COMPUTED_VALUE"""),"Sidra")</f>
        <v>Sidra</v>
      </c>
      <c r="C984" s="2" t="str">
        <f>IFERROR(__xludf.DUMMYFUNCTION("""COMPUTED_VALUE"""),"Key Personnel")</f>
        <v>Key Personnel</v>
      </c>
      <c r="D984" s="2" t="str">
        <f>IFERROR(__xludf.DUMMYFUNCTION("""COMPUTED_VALUE"""),"Subcontractee-Scherzer")</f>
        <v>Subcontractee-Scherzer</v>
      </c>
      <c r="E984" s="2" t="str">
        <f>IFERROR(__xludf.DUMMYFUNCTION("""COMPUTED_VALUE"""),"Postdoc")</f>
        <v>Postdoc</v>
      </c>
      <c r="F984" s="2" t="str">
        <f>IFERROR(__xludf.DUMMYFUNCTION("""COMPUTED_VALUE"""),"sidra.aslam29@yahoo.com")</f>
        <v>sidra.aslam29@yahoo.com</v>
      </c>
      <c r="G984" s="2" t="str">
        <f>IFERROR(__xludf.DUMMYFUNCTION("""COMPUTED_VALUE"""),"0000-0002-2179-4976")</f>
        <v>0000-0002-2179-4976</v>
      </c>
    </row>
    <row r="985">
      <c r="A985" s="2" t="str">
        <f>IFERROR(__xludf.DUMMYFUNCTION("""COMPUTED_VALUE"""),"Hu")</f>
        <v>Hu</v>
      </c>
      <c r="B985" s="2" t="str">
        <f>IFERROR(__xludf.DUMMYFUNCTION("""COMPUTED_VALUE"""),"Yuxuan")</f>
        <v>Yuxuan</v>
      </c>
      <c r="C985" s="2" t="str">
        <f>IFERROR(__xludf.DUMMYFUNCTION("""COMPUTED_VALUE"""),"Key Personnel")</f>
        <v>Key Personnel</v>
      </c>
      <c r="D985" s="2" t="str">
        <f>IFERROR(__xludf.DUMMYFUNCTION("""COMPUTED_VALUE"""),"Dong")</f>
        <v>Dong</v>
      </c>
      <c r="E985" s="2" t="str">
        <f>IFERROR(__xludf.DUMMYFUNCTION("""COMPUTED_VALUE"""),"Research associate")</f>
        <v>Research associate</v>
      </c>
      <c r="F985" s="2" t="str">
        <f>IFERROR(__xludf.DUMMYFUNCTION("""COMPUTED_VALUE"""),"yuxuan.hu@yale.edu")</f>
        <v>yuxuan.hu@yale.edu</v>
      </c>
      <c r="G985" s="2" t="str">
        <f>IFERROR(__xludf.DUMMYFUNCTION("""COMPUTED_VALUE"""),"0000-0003-2931-2991")</f>
        <v>0000-0003-2931-2991</v>
      </c>
    </row>
    <row r="986">
      <c r="A986" s="2" t="str">
        <f>IFERROR(__xludf.DUMMYFUNCTION("""COMPUTED_VALUE"""),"Xu")</f>
        <v>Xu</v>
      </c>
      <c r="B986" s="2" t="str">
        <f>IFERROR(__xludf.DUMMYFUNCTION("""COMPUTED_VALUE"""),"Qingru")</f>
        <v>Qingru</v>
      </c>
      <c r="C986" s="2" t="str">
        <f>IFERROR(__xludf.DUMMYFUNCTION("""COMPUTED_VALUE"""),"Key Personnel")</f>
        <v>Key Personnel</v>
      </c>
      <c r="D986" s="2" t="str">
        <f>IFERROR(__xludf.DUMMYFUNCTION("""COMPUTED_VALUE"""),"Dong")</f>
        <v>Dong</v>
      </c>
      <c r="E986" s="2" t="str">
        <f>IFERROR(__xludf.DUMMYFUNCTION("""COMPUTED_VALUE"""),"Research associate")</f>
        <v>Research associate</v>
      </c>
      <c r="F986" s="2" t="str">
        <f>IFERROR(__xludf.DUMMYFUNCTION("""COMPUTED_VALUE"""),"qingru.xu@yale.edu")</f>
        <v>qingru.xu@yale.edu</v>
      </c>
      <c r="G986" s="2" t="str">
        <f>IFERROR(__xludf.DUMMYFUNCTION("""COMPUTED_VALUE"""),"0009-0009-4372-2496")</f>
        <v>0009-0009-4372-2496</v>
      </c>
    </row>
    <row r="987">
      <c r="A987" s="2" t="str">
        <f>IFERROR(__xludf.DUMMYFUNCTION("""COMPUTED_VALUE"""),"Zhao")</f>
        <v>Zhao</v>
      </c>
      <c r="B987" s="2" t="str">
        <f>IFERROR(__xludf.DUMMYFUNCTION("""COMPUTED_VALUE"""),"Yiyong")</f>
        <v>Yiyong</v>
      </c>
      <c r="C987" s="2" t="str">
        <f>IFERROR(__xludf.DUMMYFUNCTION("""COMPUTED_VALUE"""),"Key Personnel")</f>
        <v>Key Personnel</v>
      </c>
      <c r="D987" s="2" t="str">
        <f>IFERROR(__xludf.DUMMYFUNCTION("""COMPUTED_VALUE"""),"Dong")</f>
        <v>Dong</v>
      </c>
      <c r="E987" s="2" t="str">
        <f>IFERROR(__xludf.DUMMYFUNCTION("""COMPUTED_VALUE"""),"Postdoc")</f>
        <v>Postdoc</v>
      </c>
      <c r="F987" s="2" t="str">
        <f>IFERROR(__xludf.DUMMYFUNCTION("""COMPUTED_VALUE"""),"yiyong.zhao@yale.edu")</f>
        <v>yiyong.zhao@yale.edu</v>
      </c>
      <c r="G987" s="2" t="str">
        <f>IFERROR(__xludf.DUMMYFUNCTION("""COMPUTED_VALUE"""),"0000-0002-5823-2926")</f>
        <v>0000-0002-5823-2926</v>
      </c>
    </row>
    <row r="988">
      <c r="A988" s="2" t="str">
        <f>IFERROR(__xludf.DUMMYFUNCTION("""COMPUTED_VALUE"""),"Lu")</f>
        <v>Lu</v>
      </c>
      <c r="B988" s="2" t="str">
        <f>IFERROR(__xludf.DUMMYFUNCTION("""COMPUTED_VALUE"""),"Mingming")</f>
        <v>Mingming</v>
      </c>
      <c r="C988" s="2" t="str">
        <f>IFERROR(__xludf.DUMMYFUNCTION("""COMPUTED_VALUE"""),"Key Personnel")</f>
        <v>Key Personnel</v>
      </c>
      <c r="D988" s="2" t="str">
        <f>IFERROR(__xludf.DUMMYFUNCTION("""COMPUTED_VALUE"""),"Dong")</f>
        <v>Dong</v>
      </c>
      <c r="E988" s="2" t="str">
        <f>IFERROR(__xludf.DUMMYFUNCTION("""COMPUTED_VALUE"""),"Postdoc")</f>
        <v>Postdoc</v>
      </c>
      <c r="F988" s="2" t="str">
        <f>IFERROR(__xludf.DUMMYFUNCTION("""COMPUTED_VALUE"""),"mingming.lu@yale.edu")</f>
        <v>mingming.lu@yale.edu</v>
      </c>
      <c r="G988" s="2" t="str">
        <f>IFERROR(__xludf.DUMMYFUNCTION("""COMPUTED_VALUE"""),"0009-0002-3920-0467")</f>
        <v>0009-0002-3920-0467</v>
      </c>
    </row>
    <row r="989">
      <c r="A989" s="2" t="str">
        <f>IFERROR(__xludf.DUMMYFUNCTION("""COMPUTED_VALUE"""),"Kang")</f>
        <v>Kang</v>
      </c>
      <c r="B989" s="2" t="str">
        <f>IFERROR(__xludf.DUMMYFUNCTION("""COMPUTED_VALUE"""),"Phil Jun")</f>
        <v>Phil Jun</v>
      </c>
      <c r="C989" s="2" t="str">
        <f>IFERROR(__xludf.DUMMYFUNCTION("""COMPUTED_VALUE"""),"Key Personnel")</f>
        <v>Key Personnel</v>
      </c>
      <c r="D989" s="2" t="str">
        <f>IFERROR(__xludf.DUMMYFUNCTION("""COMPUTED_VALUE"""),"Zhang")</f>
        <v>Zhang</v>
      </c>
      <c r="E989" s="2" t="str">
        <f>IFERROR(__xludf.DUMMYFUNCTION("""COMPUTED_VALUE"""),"Postdoc")</f>
        <v>Postdoc</v>
      </c>
      <c r="F989" s="2" t="str">
        <f>IFERROR(__xludf.DUMMYFUNCTION("""COMPUTED_VALUE"""),"gmskpj@duke-nus.edu.sg")</f>
        <v>gmskpj@duke-nus.edu.sg</v>
      </c>
      <c r="G989" s="2" t="str">
        <f>IFERROR(__xludf.DUMMYFUNCTION("""COMPUTED_VALUE"""),"0009-0007-4153-901X")</f>
        <v>0009-0007-4153-901X</v>
      </c>
    </row>
    <row r="990">
      <c r="A990" s="2" t="str">
        <f>IFERROR(__xludf.DUMMYFUNCTION("""COMPUTED_VALUE"""),"Kearny ")</f>
        <v>Kearny </v>
      </c>
      <c r="B990" s="2" t="str">
        <f>IFERROR(__xludf.DUMMYFUNCTION("""COMPUTED_VALUE"""),"Matthew")</f>
        <v>Matthew</v>
      </c>
      <c r="C990" s="2" t="str">
        <f>IFERROR(__xludf.DUMMYFUNCTION("""COMPUTED_VALUE"""),"Key Personnel")</f>
        <v>Key Personnel</v>
      </c>
      <c r="D990" s="2" t="str">
        <f>IFERROR(__xludf.DUMMYFUNCTION("""COMPUTED_VALUE"""),"Scherzer")</f>
        <v>Scherzer</v>
      </c>
      <c r="E990" s="2" t="str">
        <f>IFERROR(__xludf.DUMMYFUNCTION("""COMPUTED_VALUE"""),"Research Scientist")</f>
        <v>Research Scientist</v>
      </c>
      <c r="F990" s="2" t="str">
        <f>IFERROR(__xludf.DUMMYFUNCTION("""COMPUTED_VALUE"""),"matthew.kearney@yale.edu")</f>
        <v>matthew.kearney@yale.edu</v>
      </c>
      <c r="G990" s="2" t="str">
        <f>IFERROR(__xludf.DUMMYFUNCTION("""COMPUTED_VALUE"""),"0009-0005-2106-7401")</f>
        <v>0009-0005-2106-7401</v>
      </c>
    </row>
    <row r="991">
      <c r="A991" s="2" t="str">
        <f>IFERROR(__xludf.DUMMYFUNCTION("""COMPUTED_VALUE"""),"Zhao")</f>
        <v>Zhao</v>
      </c>
      <c r="B991" s="2" t="str">
        <f>IFERROR(__xludf.DUMMYFUNCTION("""COMPUTED_VALUE"""),"Liping")</f>
        <v>Liping</v>
      </c>
      <c r="C991" s="2" t="str">
        <f>IFERROR(__xludf.DUMMYFUNCTION("""COMPUTED_VALUE"""),"Key Personnel")</f>
        <v>Key Personnel</v>
      </c>
      <c r="D991" s="2" t="str">
        <f>IFERROR(__xludf.DUMMYFUNCTION("""COMPUTED_VALUE"""),"Scherzer")</f>
        <v>Scherzer</v>
      </c>
      <c r="E991" s="2" t="str">
        <f>IFERROR(__xludf.DUMMYFUNCTION("""COMPUTED_VALUE"""),"Research Scientist")</f>
        <v>Research Scientist</v>
      </c>
      <c r="F991" s="2" t="str">
        <f>IFERROR(__xludf.DUMMYFUNCTION("""COMPUTED_VALUE"""),"liping.zhao@yale.edu")</f>
        <v>liping.zhao@yale.edu</v>
      </c>
      <c r="G991" s="2" t="str">
        <f>IFERROR(__xludf.DUMMYFUNCTION("""COMPUTED_VALUE"""),"0009-0001-0822-8988")</f>
        <v>0009-0001-0822-8988</v>
      </c>
    </row>
    <row r="992">
      <c r="A992" s="2" t="str">
        <f>IFERROR(__xludf.DUMMYFUNCTION("""COMPUTED_VALUE"""),"Gatti da Silva")</f>
        <v>Gatti da Silva</v>
      </c>
      <c r="B992" s="2" t="str">
        <f>IFERROR(__xludf.DUMMYFUNCTION("""COMPUTED_VALUE"""),"Guilherme H.")</f>
        <v>Guilherme H.</v>
      </c>
      <c r="C992" s="2" t="str">
        <f>IFERROR(__xludf.DUMMYFUNCTION("""COMPUTED_VALUE"""),"Key Personnel")</f>
        <v>Key Personnel</v>
      </c>
      <c r="D992" s="2" t="str">
        <f>IFERROR(__xludf.DUMMYFUNCTION("""COMPUTED_VALUE"""),"Feany")</f>
        <v>Feany</v>
      </c>
      <c r="E992" s="2" t="str">
        <f>IFERROR(__xludf.DUMMYFUNCTION("""COMPUTED_VALUE"""),"Postdoc")</f>
        <v>Postdoc</v>
      </c>
      <c r="F992" s="2" t="str">
        <f>IFERROR(__xludf.DUMMYFUNCTION("""COMPUTED_VALUE"""),"ggattidasilva@bwh.harvard.edu")</f>
        <v>ggattidasilva@bwh.harvard.edu</v>
      </c>
      <c r="G992" s="2" t="str">
        <f>IFERROR(__xludf.DUMMYFUNCTION("""COMPUTED_VALUE"""),"0000-0002-6567-1839")</f>
        <v>0000-0002-6567-1839</v>
      </c>
    </row>
    <row r="993">
      <c r="A993" s="2" t="str">
        <f>IFERROR(__xludf.DUMMYFUNCTION("""COMPUTED_VALUE"""),"Liu")</f>
        <v>Liu</v>
      </c>
      <c r="B993" s="2" t="str">
        <f>IFERROR(__xludf.DUMMYFUNCTION("""COMPUTED_VALUE"""),"Tingwei")</f>
        <v>Tingwei</v>
      </c>
      <c r="C993" s="2" t="str">
        <f>IFERROR(__xludf.DUMMYFUNCTION("""COMPUTED_VALUE"""),"Key Personnel")</f>
        <v>Key Personnel</v>
      </c>
      <c r="D993" s="2" t="str">
        <f>IFERROR(__xludf.DUMMYFUNCTION("""COMPUTED_VALUE"""),"Dong")</f>
        <v>Dong</v>
      </c>
      <c r="E993" s="2" t="str">
        <f>IFERROR(__xludf.DUMMYFUNCTION("""COMPUTED_VALUE"""),"Reserach associate")</f>
        <v>Reserach associate</v>
      </c>
      <c r="F993" s="2" t="str">
        <f>IFERROR(__xludf.DUMMYFUNCTION("""COMPUTED_VALUE"""),"tingwei.liu@yale.edu")</f>
        <v>tingwei.liu@yale.edu</v>
      </c>
      <c r="G993" s="2" t="str">
        <f>IFERROR(__xludf.DUMMYFUNCTION("""COMPUTED_VALUE"""),"0009-0006-7761-4096")</f>
        <v>0009-0006-7761-4096</v>
      </c>
    </row>
    <row r="994">
      <c r="A994" s="2" t="str">
        <f>IFERROR(__xludf.DUMMYFUNCTION("""COMPUTED_VALUE"""),"Zhang")</f>
        <v>Zhang</v>
      </c>
      <c r="B994" s="2" t="str">
        <f>IFERROR(__xludf.DUMMYFUNCTION("""COMPUTED_VALUE"""),"Liping")</f>
        <v>Liping</v>
      </c>
      <c r="C994" s="2" t="str">
        <f>IFERROR(__xludf.DUMMYFUNCTION("""COMPUTED_VALUE"""),"Key Personnel")</f>
        <v>Key Personnel</v>
      </c>
      <c r="D994" s="2" t="str">
        <f>IFERROR(__xludf.DUMMYFUNCTION("""COMPUTED_VALUE"""),"Feany")</f>
        <v>Feany</v>
      </c>
      <c r="E994" s="2" t="str">
        <f>IFERROR(__xludf.DUMMYFUNCTION("""COMPUTED_VALUE"""),"Postdoc")</f>
        <v>Postdoc</v>
      </c>
      <c r="F994" s="2" t="str">
        <f>IFERROR(__xludf.DUMMYFUNCTION("""COMPUTED_VALUE"""),"LZHANG86@bwh.harvard.edu")</f>
        <v>LZHANG86@bwh.harvard.edu</v>
      </c>
      <c r="G994" s="2" t="str">
        <f>IFERROR(__xludf.DUMMYFUNCTION("""COMPUTED_VALUE"""),"0000-0002-7027-0570")</f>
        <v>0000-0002-7027-0570</v>
      </c>
    </row>
    <row r="995">
      <c r="A995" s="2" t="str">
        <f>IFERROR(__xludf.DUMMYFUNCTION("""COMPUTED_VALUE"""),"Nehme")</f>
        <v>Nehme</v>
      </c>
      <c r="B995" s="2" t="str">
        <f>IFERROR(__xludf.DUMMYFUNCTION("""COMPUTED_VALUE"""),"Ralda")</f>
        <v>Ralda</v>
      </c>
      <c r="C995" s="2" t="str">
        <f>IFERROR(__xludf.DUMMYFUNCTION("""COMPUTED_VALUE"""),"Key Personnel")</f>
        <v>Key Personnel</v>
      </c>
      <c r="D995" s="2" t="str">
        <f>IFERROR(__xludf.DUMMYFUNCTION("""COMPUTED_VALUE"""),"Subcontract PI-Levin")</f>
        <v>Subcontract PI-Levin</v>
      </c>
      <c r="E995" s="2" t="str">
        <f>IFERROR(__xludf.DUMMYFUNCTION("""COMPUTED_VALUE""")," PI")</f>
        <v> PI</v>
      </c>
      <c r="F995" s="2" t="str">
        <f>IFERROR(__xludf.DUMMYFUNCTION("""COMPUTED_VALUE"""),"rnehme@broadinstitute.org")</f>
        <v>rnehme@broadinstitute.org</v>
      </c>
      <c r="G995" s="2" t="str">
        <f>IFERROR(__xludf.DUMMYFUNCTION("""COMPUTED_VALUE"""),"0000-0001-7215-3311")</f>
        <v>0000-0001-7215-3311</v>
      </c>
    </row>
    <row r="996">
      <c r="A996" s="2" t="str">
        <f>IFERROR(__xludf.DUMMYFUNCTION("""COMPUTED_VALUE"""),"MacMahon Copas")</f>
        <v>MacMahon Copas</v>
      </c>
      <c r="B996" s="2" t="str">
        <f>IFERROR(__xludf.DUMMYFUNCTION("""COMPUTED_VALUE"""),"Adina")</f>
        <v>Adina</v>
      </c>
      <c r="C996" s="2" t="str">
        <f>IFERROR(__xludf.DUMMYFUNCTION("""COMPUTED_VALUE"""),"Key Personnel")</f>
        <v>Key Personnel</v>
      </c>
      <c r="D996" s="2" t="str">
        <f>IFERROR(__xludf.DUMMYFUNCTION("""COMPUTED_VALUE"""),"Scherzer")</f>
        <v>Scherzer</v>
      </c>
      <c r="E996" s="2" t="str">
        <f>IFERROR(__xludf.DUMMYFUNCTION("""COMPUTED_VALUE"""),"Postdoc")</f>
        <v>Postdoc</v>
      </c>
      <c r="F996" s="2" t="str">
        <f>IFERROR(__xludf.DUMMYFUNCTION("""COMPUTED_VALUE"""),"adina.macmahoncopas@yale.edu")</f>
        <v>adina.macmahoncopas@yale.edu</v>
      </c>
      <c r="G996" s="2" t="str">
        <f>IFERROR(__xludf.DUMMYFUNCTION("""COMPUTED_VALUE"""),"0000-0002-5118-1652")</f>
        <v>0000-0002-5118-1652</v>
      </c>
    </row>
    <row r="997">
      <c r="A997" s="2" t="str">
        <f>IFERROR(__xludf.DUMMYFUNCTION("""COMPUTED_VALUE"""),"Olivero-Acosta")</f>
        <v>Olivero-Acosta</v>
      </c>
      <c r="B997" s="2" t="str">
        <f>IFERROR(__xludf.DUMMYFUNCTION("""COMPUTED_VALUE"""),"Maria")</f>
        <v>Maria</v>
      </c>
      <c r="C997" s="2" t="str">
        <f>IFERROR(__xludf.DUMMYFUNCTION("""COMPUTED_VALUE"""),"Key Personnel")</f>
        <v>Key Personnel</v>
      </c>
      <c r="D997" s="2" t="str">
        <f>IFERROR(__xludf.DUMMYFUNCTION("""COMPUTED_VALUE"""),"Dong")</f>
        <v>Dong</v>
      </c>
      <c r="E997" s="2" t="str">
        <f>IFERROR(__xludf.DUMMYFUNCTION("""COMPUTED_VALUE"""),"Postdoc")</f>
        <v>Postdoc</v>
      </c>
      <c r="F997" s="2" t="str">
        <f>IFERROR(__xludf.DUMMYFUNCTION("""COMPUTED_VALUE"""),"maria.olivero-acosta@yale.edu")</f>
        <v>maria.olivero-acosta@yale.edu</v>
      </c>
      <c r="G997" s="2" t="str">
        <f>IFERROR(__xludf.DUMMYFUNCTION("""COMPUTED_VALUE"""),"0000-0002-2799-7336")</f>
        <v>0000-0002-2799-7336</v>
      </c>
    </row>
    <row r="998">
      <c r="A998" s="2" t="str">
        <f>IFERROR(__xludf.DUMMYFUNCTION("""COMPUTED_VALUE"""),"Yamamoto")</f>
        <v>Yamamoto</v>
      </c>
      <c r="B998" s="2" t="str">
        <f>IFERROR(__xludf.DUMMYFUNCTION("""COMPUTED_VALUE"""),"Haru")</f>
        <v>Haru</v>
      </c>
      <c r="C998" s="2" t="str">
        <f>IFERROR(__xludf.DUMMYFUNCTION("""COMPUTED_VALUE"""),"Key Personnel")</f>
        <v>Key Personnel</v>
      </c>
      <c r="D998" s="2" t="str">
        <f>IFERROR(__xludf.DUMMYFUNCTION("""COMPUTED_VALUE"""),"Scherzer")</f>
        <v>Scherzer</v>
      </c>
      <c r="E998" s="2" t="str">
        <f>IFERROR(__xludf.DUMMYFUNCTION("""COMPUTED_VALUE"""),"MD/PhD Student")</f>
        <v>MD/PhD Student</v>
      </c>
      <c r="F998" s="2" t="str">
        <f>IFERROR(__xludf.DUMMYFUNCTION("""COMPUTED_VALUE"""),"haru.yamamoto@yale.edu")</f>
        <v>haru.yamamoto@yale.edu</v>
      </c>
      <c r="G998" s="2" t="str">
        <f>IFERROR(__xludf.DUMMYFUNCTION("""COMPUTED_VALUE"""),"0000-0003-4567-6939")</f>
        <v>0000-0003-4567-6939</v>
      </c>
    </row>
    <row r="999">
      <c r="A999" s="2" t="str">
        <f>IFERROR(__xludf.DUMMYFUNCTION("""COMPUTED_VALUE"""),"Mazureac")</f>
        <v>Mazureac</v>
      </c>
      <c r="B999" s="2" t="str">
        <f>IFERROR(__xludf.DUMMYFUNCTION("""COMPUTED_VALUE"""),"Ilinca")</f>
        <v>Ilinca</v>
      </c>
      <c r="C999" s="2" t="str">
        <f>IFERROR(__xludf.DUMMYFUNCTION("""COMPUTED_VALUE"""),"Key Personnel")</f>
        <v>Key Personnel</v>
      </c>
      <c r="D999" s="2" t="str">
        <f>IFERROR(__xludf.DUMMYFUNCTION("""COMPUTED_VALUE"""),"Subcontractee-Levin")</f>
        <v>Subcontractee-Levin</v>
      </c>
      <c r="E999" s="2" t="str">
        <f>IFERROR(__xludf.DUMMYFUNCTION("""COMPUTED_VALUE"""),"Reserach associate")</f>
        <v>Reserach associate</v>
      </c>
      <c r="F999" s="2" t="str">
        <f>IFERROR(__xludf.DUMMYFUNCTION("""COMPUTED_VALUE"""),"imazurea@broadinstitute.org")</f>
        <v>imazurea@broadinstitute.org</v>
      </c>
      <c r="G999" s="2" t="str">
        <f>IFERROR(__xludf.DUMMYFUNCTION("""COMPUTED_VALUE"""),"0009-0006-6241-0373")</f>
        <v>0009-0006-6241-0373</v>
      </c>
    </row>
    <row r="1000">
      <c r="A1000" s="2" t="str">
        <f>IFERROR(__xludf.DUMMYFUNCTION("""COMPUTED_VALUE"""),"Ferri Marques")</f>
        <v>Ferri Marques</v>
      </c>
      <c r="B1000" s="2" t="str">
        <f>IFERROR(__xludf.DUMMYFUNCTION("""COMPUTED_VALUE"""),"Diogo")</f>
        <v>Diogo</v>
      </c>
      <c r="C1000" s="2" t="str">
        <f>IFERROR(__xludf.DUMMYFUNCTION("""COMPUTED_VALUE"""),"Key Personnel")</f>
        <v>Key Personnel</v>
      </c>
      <c r="D1000" s="2" t="str">
        <f>IFERROR(__xludf.DUMMYFUNCTION("""COMPUTED_VALUE"""),"Subcontractee-Levin")</f>
        <v>Subcontractee-Levin</v>
      </c>
      <c r="E1000" s="2" t="str">
        <f>IFERROR(__xludf.DUMMYFUNCTION("""COMPUTED_VALUE"""),"Postdoc")</f>
        <v>Postdoc</v>
      </c>
      <c r="F1000" s="2" t="str">
        <f>IFERROR(__xludf.DUMMYFUNCTION("""COMPUTED_VALUE"""),"dferrima@broadinstitute.org")</f>
        <v>dferrima@broadinstitute.org</v>
      </c>
      <c r="G1000" s="2" t="str">
        <f>IFERROR(__xludf.DUMMYFUNCTION("""COMPUTED_VALUE"""),"0000-0001-8897-6638")</f>
        <v>0000-0001-8897-6638</v>
      </c>
    </row>
    <row r="1001">
      <c r="A1001" s="2" t="str">
        <f>IFERROR(__xludf.DUMMYFUNCTION("""COMPUTED_VALUE"""),"Perna")</f>
        <v>Perna</v>
      </c>
      <c r="B1001" s="2" t="str">
        <f>IFERROR(__xludf.DUMMYFUNCTION("""COMPUTED_VALUE"""),"Laura")</f>
        <v>Laura</v>
      </c>
      <c r="C1001" s="2" t="str">
        <f>IFERROR(__xludf.DUMMYFUNCTION("""COMPUTED_VALUE"""),"Key Personnel")</f>
        <v>Key Personnel</v>
      </c>
      <c r="D1001" s="2" t="str">
        <f>IFERROR(__xludf.DUMMYFUNCTION("""COMPUTED_VALUE"""),"Feany")</f>
        <v>Feany</v>
      </c>
      <c r="E1001" s="2" t="str">
        <f>IFERROR(__xludf.DUMMYFUNCTION("""COMPUTED_VALUE"""),"Postdoc")</f>
        <v>Postdoc</v>
      </c>
      <c r="F1001" s="2" t="str">
        <f>IFERROR(__xludf.DUMMYFUNCTION("""COMPUTED_VALUE"""),"lperna@bwh.harvard.edu")</f>
        <v>lperna@bwh.harvard.edu</v>
      </c>
      <c r="G1001" s="2" t="str">
        <f>IFERROR(__xludf.DUMMYFUNCTION("""COMPUTED_VALUE"""),"0009-0000-3571-6541")</f>
        <v>0009-0000-3571-6541</v>
      </c>
    </row>
    <row r="1002">
      <c r="A1002" s="2" t="str">
        <f>IFERROR(__xludf.DUMMYFUNCTION("""COMPUTED_VALUE"""),"Li")</f>
        <v>Li</v>
      </c>
      <c r="B1002" s="2" t="str">
        <f>IFERROR(__xludf.DUMMYFUNCTION("""COMPUTED_VALUE"""),"Dunhui")</f>
        <v>Dunhui</v>
      </c>
      <c r="C1002" s="2" t="str">
        <f>IFERROR(__xludf.DUMMYFUNCTION("""COMPUTED_VALUE"""),"Key Personnel")</f>
        <v>Key Personnel</v>
      </c>
      <c r="D1002" s="2" t="str">
        <f>IFERROR(__xludf.DUMMYFUNCTION("""COMPUTED_VALUE"""),"Scherzer")</f>
        <v>Scherzer</v>
      </c>
      <c r="E1002" s="2" t="str">
        <f>IFERROR(__xludf.DUMMYFUNCTION("""COMPUTED_VALUE"""),"Associate Research Scientist")</f>
        <v>Associate Research Scientist</v>
      </c>
      <c r="F1002" s="2" t="str">
        <f>IFERROR(__xludf.DUMMYFUNCTION("""COMPUTED_VALUE"""),"dunhui.li@yale.edu")</f>
        <v>dunhui.li@yale.edu</v>
      </c>
      <c r="G1002" s="2" t="str">
        <f>IFERROR(__xludf.DUMMYFUNCTION("""COMPUTED_VALUE"""),"0000-0002-1961-3689")</f>
        <v>0000-0002-1961-3689</v>
      </c>
    </row>
    <row r="1003">
      <c r="A1003" s="2" t="str">
        <f>IFERROR(__xludf.DUMMYFUNCTION("""COMPUTED_VALUE"""),"Calikusu")</f>
        <v>Calikusu</v>
      </c>
      <c r="B1003" s="2" t="str">
        <f>IFERROR(__xludf.DUMMYFUNCTION("""COMPUTED_VALUE"""),"Zehra F.")</f>
        <v>Zehra F.</v>
      </c>
      <c r="C1003" s="2" t="str">
        <f>IFERROR(__xludf.DUMMYFUNCTION("""COMPUTED_VALUE"""),"Key Personnel")</f>
        <v>Key Personnel</v>
      </c>
      <c r="D1003" s="2" t="str">
        <f>IFERROR(__xludf.DUMMYFUNCTION("""COMPUTED_VALUE"""),"Scherzer")</f>
        <v>Scherzer</v>
      </c>
      <c r="E1003" s="2" t="str">
        <f>IFERROR(__xludf.DUMMYFUNCTION("""COMPUTED_VALUE"""),"Postdoc")</f>
        <v>Postdoc</v>
      </c>
      <c r="F1003" s="2" t="str">
        <f>IFERROR(__xludf.DUMMYFUNCTION("""COMPUTED_VALUE"""),"zehra.calikusu@gmail.com")</f>
        <v>zehra.calikusu@gmail.com</v>
      </c>
      <c r="G1003" s="2" t="str">
        <f>IFERROR(__xludf.DUMMYFUNCTION("""COMPUTED_VALUE"""),"0000-0002-6644-6553")</f>
        <v>0000-0002-6644-6553</v>
      </c>
    </row>
    <row r="1004">
      <c r="A1004" s="2" t="str">
        <f>IFERROR(__xludf.DUMMYFUNCTION("""COMPUTED_VALUE"""),"Yuan")</f>
        <v>Yuan</v>
      </c>
      <c r="B1004" s="2" t="str">
        <f>IFERROR(__xludf.DUMMYFUNCTION("""COMPUTED_VALUE"""),"Fang")</f>
        <v>Fang</v>
      </c>
      <c r="C1004" s="2" t="str">
        <f>IFERROR(__xludf.DUMMYFUNCTION("""COMPUTED_VALUE"""),"Key Personnel")</f>
        <v>Key Personnel</v>
      </c>
      <c r="D1004" s="2" t="str">
        <f>IFERROR(__xludf.DUMMYFUNCTION("""COMPUTED_VALUE"""),"Zhang")</f>
        <v>Zhang</v>
      </c>
      <c r="E1004" s="2" t="str">
        <f>IFERROR(__xludf.DUMMYFUNCTION("""COMPUTED_VALUE"""),"Postdoc")</f>
        <v>Postdoc</v>
      </c>
      <c r="F1004" s="2" t="str">
        <f>IFERROR(__xludf.DUMMYFUNCTION("""COMPUTED_VALUE"""),"yuanfang@duke-nus.edu.sg")</f>
        <v>yuanfang@duke-nus.edu.sg</v>
      </c>
      <c r="G1004" s="2" t="str">
        <f>IFERROR(__xludf.DUMMYFUNCTION("""COMPUTED_VALUE"""),"0000-0002-4251-1066")</f>
        <v>0000-0002-4251-1066</v>
      </c>
    </row>
    <row r="1005">
      <c r="A1005" s="2" t="str">
        <f>IFERROR(__xludf.DUMMYFUNCTION("""COMPUTED_VALUE"""),"Rouhiardeshiri")</f>
        <v>Rouhiardeshiri</v>
      </c>
      <c r="B1005" s="2" t="str">
        <f>IFERROR(__xludf.DUMMYFUNCTION("""COMPUTED_VALUE"""),"Sara")</f>
        <v>Sara</v>
      </c>
      <c r="C1005" s="2" t="str">
        <f>IFERROR(__xludf.DUMMYFUNCTION("""COMPUTED_VALUE"""),"Key Personnel")</f>
        <v>Key Personnel</v>
      </c>
      <c r="D1005" s="2" t="str">
        <f>IFERROR(__xludf.DUMMYFUNCTION("""COMPUTED_VALUE"""),"Zhang")</f>
        <v>Zhang</v>
      </c>
      <c r="E1005" s="2" t="str">
        <f>IFERROR(__xludf.DUMMYFUNCTION("""COMPUTED_VALUE"""),"Postdoc")</f>
        <v>Postdoc</v>
      </c>
      <c r="F1005" s="2" t="str">
        <f>IFERROR(__xludf.DUMMYFUNCTION("""COMPUTED_VALUE"""),"mrouhiardeshiri@sbpdiscovery.org")</f>
        <v>mrouhiardeshiri@sbpdiscovery.org</v>
      </c>
      <c r="G1005" s="2" t="str">
        <f>IFERROR(__xludf.DUMMYFUNCTION("""COMPUTED_VALUE"""),"0000-0002-6049-3471")</f>
        <v>0000-0002-6049-3471</v>
      </c>
    </row>
    <row r="1006">
      <c r="A1006" s="2" t="str">
        <f>IFERROR(__xludf.DUMMYFUNCTION("""COMPUTED_VALUE"""),"Liu")</f>
        <v>Liu</v>
      </c>
      <c r="B1006" s="2" t="str">
        <f>IFERROR(__xludf.DUMMYFUNCTION("""COMPUTED_VALUE"""),"Weiqiang (Leo)")</f>
        <v>Weiqiang (Leo)</v>
      </c>
      <c r="C1006" s="2" t="str">
        <f>IFERROR(__xludf.DUMMYFUNCTION("""COMPUTED_VALUE"""),"Key Personnel")</f>
        <v>Key Personnel</v>
      </c>
      <c r="D1006" s="2" t="str">
        <f>IFERROR(__xludf.DUMMYFUNCTION("""COMPUTED_VALUE"""),"Dong")</f>
        <v>Dong</v>
      </c>
      <c r="E1006" s="2" t="str">
        <f>IFERROR(__xludf.DUMMYFUNCTION("""COMPUTED_VALUE"""),"Postdoc")</f>
        <v>Postdoc</v>
      </c>
      <c r="F1006" s="2" t="str">
        <f>IFERROR(__xludf.DUMMYFUNCTION("""COMPUTED_VALUE"""),"weiqiang.liu@yale.edu")</f>
        <v>weiqiang.liu@yale.edu</v>
      </c>
      <c r="G1006" s="2" t="str">
        <f>IFERROR(__xludf.DUMMYFUNCTION("""COMPUTED_VALUE"""),"0000-0002-2429-8791")</f>
        <v>0000-0002-2429-8791</v>
      </c>
    </row>
    <row r="1007">
      <c r="A1007" s="2" t="str">
        <f>IFERROR(__xludf.DUMMYFUNCTION("""COMPUTED_VALUE"""),"Hu")</f>
        <v>Hu</v>
      </c>
      <c r="B1007" s="2" t="str">
        <f>IFERROR(__xludf.DUMMYFUNCTION("""COMPUTED_VALUE"""),"Ruifeng")</f>
        <v>Ruifeng</v>
      </c>
      <c r="C1007" s="2" t="str">
        <f>IFERROR(__xludf.DUMMYFUNCTION("""COMPUTED_VALUE"""),"Key Personnel")</f>
        <v>Key Personnel</v>
      </c>
      <c r="D1007" s="2" t="str">
        <f>IFERROR(__xludf.DUMMYFUNCTION("""COMPUTED_VALUE"""),"Dong")</f>
        <v>Dong</v>
      </c>
      <c r="E1007" s="2" t="str">
        <f>IFERROR(__xludf.DUMMYFUNCTION("""COMPUTED_VALUE"""),"Research Scientist")</f>
        <v>Research Scientist</v>
      </c>
      <c r="F1007" s="2" t="str">
        <f>IFERROR(__xludf.DUMMYFUNCTION("""COMPUTED_VALUE"""),"ruifeng.hu@yale.edu")</f>
        <v>ruifeng.hu@yale.edu</v>
      </c>
      <c r="G1007" s="2" t="str">
        <f>IFERROR(__xludf.DUMMYFUNCTION("""COMPUTED_VALUE"""),"0000-0001-5549-3082")</f>
        <v>0000-0001-5549-3082</v>
      </c>
    </row>
    <row r="1008">
      <c r="A1008" s="2" t="str">
        <f>IFERROR(__xludf.DUMMYFUNCTION("""COMPUTED_VALUE"""),"Chintalapudi")</f>
        <v>Chintalapudi</v>
      </c>
      <c r="B1008" s="2" t="str">
        <f>IFERROR(__xludf.DUMMYFUNCTION("""COMPUTED_VALUE"""),"Himanshu")</f>
        <v>Himanshu</v>
      </c>
      <c r="C1008" s="2" t="str">
        <f>IFERROR(__xludf.DUMMYFUNCTION("""COMPUTED_VALUE"""),"Key Personnel")</f>
        <v>Key Personnel</v>
      </c>
      <c r="D1008" s="2" t="str">
        <f>IFERROR(__xludf.DUMMYFUNCTION("""COMPUTED_VALUE"""),"Dong")</f>
        <v>Dong</v>
      </c>
      <c r="E1008" s="2" t="str">
        <f>IFERROR(__xludf.DUMMYFUNCTION("""COMPUTED_VALUE"""),"Associate Research Scientist")</f>
        <v>Associate Research Scientist</v>
      </c>
      <c r="F1008" s="2" t="str">
        <f>IFERROR(__xludf.DUMMYFUNCTION("""COMPUTED_VALUE"""),"himanshuchintalapudi@gmail.com")</f>
        <v>himanshuchintalapudi@gmail.com</v>
      </c>
      <c r="G1008" s="2" t="str">
        <f>IFERROR(__xludf.DUMMYFUNCTION("""COMPUTED_VALUE"""),"0009-0003-3752-5660")</f>
        <v>0009-0003-3752-5660</v>
      </c>
    </row>
    <row r="1009">
      <c r="A1009" s="2" t="str">
        <f>IFERROR(__xludf.DUMMYFUNCTION("""COMPUTED_VALUE"""),"Patel")</f>
        <v>Patel</v>
      </c>
      <c r="B1009" s="2" t="str">
        <f>IFERROR(__xludf.DUMMYFUNCTION("""COMPUTED_VALUE"""),"Deep")</f>
        <v>Deep</v>
      </c>
      <c r="C1009" s="2" t="str">
        <f>IFERROR(__xludf.DUMMYFUNCTION("""COMPUTED_VALUE"""),"Key Personnel")</f>
        <v>Key Personnel</v>
      </c>
      <c r="D1009" s="2" t="str">
        <f>IFERROR(__xludf.DUMMYFUNCTION("""COMPUTED_VALUE"""),"Dong")</f>
        <v>Dong</v>
      </c>
      <c r="E1009" s="2" t="str">
        <f>IFERROR(__xludf.DUMMYFUNCTION("""COMPUTED_VALUE"""),"Master Student")</f>
        <v>Master Student</v>
      </c>
      <c r="F1009" s="2" t="str">
        <f>IFERROR(__xludf.DUMMYFUNCTION("""COMPUTED_VALUE"""),"deep.patel@yale.edu")</f>
        <v>deep.patel@yale.edu</v>
      </c>
      <c r="G1009" s="2" t="str">
        <f>IFERROR(__xludf.DUMMYFUNCTION("""COMPUTED_VALUE"""),"0009-0006-4138-1200")</f>
        <v>0009-0006-4138-1200</v>
      </c>
    </row>
    <row r="1010">
      <c r="A1010" s="2" t="str">
        <f>IFERROR(__xludf.DUMMYFUNCTION("""COMPUTED_VALUE"""),"Surmeier")</f>
        <v>Surmeier</v>
      </c>
      <c r="B1010" s="2" t="str">
        <f>IFERROR(__xludf.DUMMYFUNCTION("""COMPUTED_VALUE"""),"D. James (Jim)")</f>
        <v>D. James (Jim)</v>
      </c>
      <c r="C1010" s="2" t="str">
        <f>IFERROR(__xludf.DUMMYFUNCTION("""COMPUTED_VALUE"""),"Lead-PI")</f>
        <v>Lead-PI</v>
      </c>
      <c r="D1010" s="2" t="str">
        <f>IFERROR(__xludf.DUMMYFUNCTION("""COMPUTED_VALUE"""),"Surmeier")</f>
        <v>Surmeier</v>
      </c>
      <c r="E1010" s="2" t="str">
        <f>IFERROR(__xludf.DUMMYFUNCTION("""COMPUTED_VALUE"""),"PI")</f>
        <v>PI</v>
      </c>
      <c r="F1010" s="2" t="str">
        <f>IFERROR(__xludf.DUMMYFUNCTION("""COMPUTED_VALUE"""),"j-surmeier@northwestern.edu")</f>
        <v>j-surmeier@northwestern.edu</v>
      </c>
      <c r="G1010" s="2" t="str">
        <f>IFERROR(__xludf.DUMMYFUNCTION("""COMPUTED_VALUE"""),"0000-0002-6376-5225")</f>
        <v>0000-0002-6376-5225</v>
      </c>
    </row>
    <row r="1011">
      <c r="A1011" s="2" t="str">
        <f>IFERROR(__xludf.DUMMYFUNCTION("""COMPUTED_VALUE"""),"Arber")</f>
        <v>Arber</v>
      </c>
      <c r="B1011" s="2" t="str">
        <f>IFERROR(__xludf.DUMMYFUNCTION("""COMPUTED_VALUE"""),"Silvia")</f>
        <v>Silvia</v>
      </c>
      <c r="C1011" s="2" t="str">
        <f>IFERROR(__xludf.DUMMYFUNCTION("""COMPUTED_VALUE"""),"Co-PI")</f>
        <v>Co-PI</v>
      </c>
      <c r="D1011" s="2" t="str">
        <f>IFERROR(__xludf.DUMMYFUNCTION("""COMPUTED_VALUE"""),"Arber")</f>
        <v>Arber</v>
      </c>
      <c r="E1011" s="2" t="str">
        <f>IFERROR(__xludf.DUMMYFUNCTION("""COMPUTED_VALUE"""),"PI")</f>
        <v>PI</v>
      </c>
      <c r="F1011" s="2" t="str">
        <f>IFERROR(__xludf.DUMMYFUNCTION("""COMPUTED_VALUE"""),"silvia.arber@unibas.ch")</f>
        <v>silvia.arber@unibas.ch</v>
      </c>
      <c r="G1011" s="2" t="str">
        <f>IFERROR(__xludf.DUMMYFUNCTION("""COMPUTED_VALUE"""),"0000-0002-6261-250X")</f>
        <v>0000-0002-6261-250X</v>
      </c>
    </row>
    <row r="1012">
      <c r="A1012" s="2" t="str">
        <f>IFERROR(__xludf.DUMMYFUNCTION("""COMPUTED_VALUE"""),"Costa")</f>
        <v>Costa</v>
      </c>
      <c r="B1012" s="2" t="str">
        <f>IFERROR(__xludf.DUMMYFUNCTION("""COMPUTED_VALUE"""),"Rui")</f>
        <v>Rui</v>
      </c>
      <c r="C1012" s="2" t="str">
        <f>IFERROR(__xludf.DUMMYFUNCTION("""COMPUTED_VALUE"""),"Co-PI")</f>
        <v>Co-PI</v>
      </c>
      <c r="D1012" s="2" t="str">
        <f>IFERROR(__xludf.DUMMYFUNCTION("""COMPUTED_VALUE"""),"Costa")</f>
        <v>Costa</v>
      </c>
      <c r="E1012" s="2" t="str">
        <f>IFERROR(__xludf.DUMMYFUNCTION("""COMPUTED_VALUE"""),"PI")</f>
        <v>PI</v>
      </c>
      <c r="F1012" s="2" t="str">
        <f>IFERROR(__xludf.DUMMYFUNCTION("""COMPUTED_VALUE"""),"rui.costa@alleninstitute.org")</f>
        <v>rui.costa@alleninstitute.org</v>
      </c>
      <c r="G1012" s="2" t="str">
        <f>IFERROR(__xludf.DUMMYFUNCTION("""COMPUTED_VALUE"""),"0000-0003-0495-8374")</f>
        <v>0000-0003-0495-8374</v>
      </c>
    </row>
    <row r="1013">
      <c r="A1013" s="2" t="str">
        <f>IFERROR(__xludf.DUMMYFUNCTION("""COMPUTED_VALUE"""),"Dan")</f>
        <v>Dan</v>
      </c>
      <c r="B1013" s="2" t="str">
        <f>IFERROR(__xludf.DUMMYFUNCTION("""COMPUTED_VALUE"""),"Yang")</f>
        <v>Yang</v>
      </c>
      <c r="C1013" s="2" t="str">
        <f>IFERROR(__xludf.DUMMYFUNCTION("""COMPUTED_VALUE"""),"Co-PI")</f>
        <v>Co-PI</v>
      </c>
      <c r="D1013" s="2" t="str">
        <f>IFERROR(__xludf.DUMMYFUNCTION("""COMPUTED_VALUE"""),"Dan")</f>
        <v>Dan</v>
      </c>
      <c r="E1013" s="2" t="str">
        <f>IFERROR(__xludf.DUMMYFUNCTION("""COMPUTED_VALUE"""),"PI")</f>
        <v>PI</v>
      </c>
      <c r="F1013" s="2" t="str">
        <f>IFERROR(__xludf.DUMMYFUNCTION("""COMPUTED_VALUE"""),"ydan@berkeley.edu")</f>
        <v>ydan@berkeley.edu</v>
      </c>
      <c r="G1013" s="2" t="str">
        <f>IFERROR(__xludf.DUMMYFUNCTION("""COMPUTED_VALUE"""),"0000-0002-3818-877X")</f>
        <v>0000-0002-3818-877X</v>
      </c>
    </row>
    <row r="1014">
      <c r="A1014" s="2" t="str">
        <f>IFERROR(__xludf.DUMMYFUNCTION("""COMPUTED_VALUE"""),"Kennedy")</f>
        <v>Kennedy</v>
      </c>
      <c r="B1014" s="2" t="str">
        <f>IFERROR(__xludf.DUMMYFUNCTION("""COMPUTED_VALUE"""),"Ann")</f>
        <v>Ann</v>
      </c>
      <c r="C1014" s="2" t="str">
        <f>IFERROR(__xludf.DUMMYFUNCTION("""COMPUTED_VALUE"""),"Co-PI")</f>
        <v>Co-PI</v>
      </c>
      <c r="D1014" s="2" t="str">
        <f>IFERROR(__xludf.DUMMYFUNCTION("""COMPUTED_VALUE"""),"Kennedy")</f>
        <v>Kennedy</v>
      </c>
      <c r="E1014" s="2" t="str">
        <f>IFERROR(__xludf.DUMMYFUNCTION("""COMPUTED_VALUE"""),"PI")</f>
        <v>PI</v>
      </c>
      <c r="F1014" s="2" t="str">
        <f>IFERROR(__xludf.DUMMYFUNCTION("""COMPUTED_VALUE"""),"akennedy@scripps.edu")</f>
        <v>akennedy@scripps.edu</v>
      </c>
      <c r="G1014" s="2" t="str">
        <f>IFERROR(__xludf.DUMMYFUNCTION("""COMPUTED_VALUE"""),"0000-0002-3782-0518")</f>
        <v>0000-0002-3782-0518</v>
      </c>
    </row>
    <row r="1015">
      <c r="A1015" s="2" t="str">
        <f>IFERROR(__xludf.DUMMYFUNCTION("""COMPUTED_VALUE"""),"Larsen")</f>
        <v>Larsen</v>
      </c>
      <c r="B1015" s="2" t="str">
        <f>IFERROR(__xludf.DUMMYFUNCTION("""COMPUTED_VALUE"""),"Emily")</f>
        <v>Emily</v>
      </c>
      <c r="C1015" s="2" t="str">
        <f>IFERROR(__xludf.DUMMYFUNCTION("""COMPUTED_VALUE"""),"Key Personnel")</f>
        <v>Key Personnel</v>
      </c>
      <c r="D1015" s="2" t="str">
        <f>IFERROR(__xludf.DUMMYFUNCTION("""COMPUTED_VALUE"""),"Surmeier")</f>
        <v>Surmeier</v>
      </c>
      <c r="E1015" s="2"/>
      <c r="F1015" s="2" t="str">
        <f>IFERROR(__xludf.DUMMYFUNCTION("""COMPUTED_VALUE"""),"emily.larsen@northwestern.edu")</f>
        <v>emily.larsen@northwestern.edu</v>
      </c>
      <c r="G1015" s="2" t="str">
        <f>IFERROR(__xludf.DUMMYFUNCTION("""COMPUTED_VALUE"""),"0000-0001-9063-5963")</f>
        <v>0000-0001-9063-5963</v>
      </c>
    </row>
    <row r="1016">
      <c r="A1016" s="2" t="str">
        <f>IFERROR(__xludf.DUMMYFUNCTION("""COMPUTED_VALUE"""),"Cui")</f>
        <v>Cui</v>
      </c>
      <c r="B1016" s="2" t="str">
        <f>IFERROR(__xludf.DUMMYFUNCTION("""COMPUTED_VALUE"""),"Qialing")</f>
        <v>Qialing</v>
      </c>
      <c r="C1016" s="2" t="str">
        <f>IFERROR(__xludf.DUMMYFUNCTION("""COMPUTED_VALUE"""),"Key Personnel")</f>
        <v>Key Personnel</v>
      </c>
      <c r="D1016" s="2" t="str">
        <f>IFERROR(__xludf.DUMMYFUNCTION("""COMPUTED_VALUE"""),"Surmeier")</f>
        <v>Surmeier</v>
      </c>
      <c r="E1016" s="2" t="str">
        <f>IFERROR(__xludf.DUMMYFUNCTION("""COMPUTED_VALUE"""),"Research Assistant Professor")</f>
        <v>Research Assistant Professor</v>
      </c>
      <c r="F1016" s="2" t="str">
        <f>IFERROR(__xludf.DUMMYFUNCTION("""COMPUTED_VALUE"""),"q-cui@northwestern.edu")</f>
        <v>q-cui@northwestern.edu</v>
      </c>
      <c r="G1016" s="2" t="str">
        <f>IFERROR(__xludf.DUMMYFUNCTION("""COMPUTED_VALUE"""),"0000-0002-1632-4208")</f>
        <v>0000-0002-1632-4208</v>
      </c>
    </row>
    <row r="1017">
      <c r="A1017" s="2" t="str">
        <f>IFERROR(__xludf.DUMMYFUNCTION("""COMPUTED_VALUE"""),"Zhai")</f>
        <v>Zhai</v>
      </c>
      <c r="B1017" s="2" t="str">
        <f>IFERROR(__xludf.DUMMYFUNCTION("""COMPUTED_VALUE"""),"Shenyu")</f>
        <v>Shenyu</v>
      </c>
      <c r="C1017" s="2" t="str">
        <f>IFERROR(__xludf.DUMMYFUNCTION("""COMPUTED_VALUE"""),"Key Personnel")</f>
        <v>Key Personnel</v>
      </c>
      <c r="D1017" s="2" t="str">
        <f>IFERROR(__xludf.DUMMYFUNCTION("""COMPUTED_VALUE"""),"Surmeier")</f>
        <v>Surmeier</v>
      </c>
      <c r="E1017" s="2" t="str">
        <f>IFERROR(__xludf.DUMMYFUNCTION("""COMPUTED_VALUE"""),"Research Associate")</f>
        <v>Research Associate</v>
      </c>
      <c r="F1017" s="2" t="str">
        <f>IFERROR(__xludf.DUMMYFUNCTION("""COMPUTED_VALUE"""),"shenyu.zhai@northwestern.edu")</f>
        <v>shenyu.zhai@northwestern.edu</v>
      </c>
      <c r="G1017" s="2" t="str">
        <f>IFERROR(__xludf.DUMMYFUNCTION("""COMPUTED_VALUE"""),"0000-0002-7097-9387")</f>
        <v>0000-0002-7097-9387</v>
      </c>
    </row>
    <row r="1018">
      <c r="A1018" s="2" t="str">
        <f>IFERROR(__xludf.DUMMYFUNCTION("""COMPUTED_VALUE"""),"Simmons")</f>
        <v>Simmons</v>
      </c>
      <c r="B1018" s="2" t="str">
        <f>IFERROR(__xludf.DUMMYFUNCTION("""COMPUTED_VALUE"""),"Denard")</f>
        <v>Denard</v>
      </c>
      <c r="C1018" s="2" t="str">
        <f>IFERROR(__xludf.DUMMYFUNCTION("""COMPUTED_VALUE"""),"Key Personnel")</f>
        <v>Key Personnel</v>
      </c>
      <c r="D1018" s="2" t="str">
        <f>IFERROR(__xludf.DUMMYFUNCTION("""COMPUTED_VALUE"""),"Surmeier")</f>
        <v>Surmeier</v>
      </c>
      <c r="E1018" s="2" t="str">
        <f>IFERROR(__xludf.DUMMYFUNCTION("""COMPUTED_VALUE"""),"Postdoc")</f>
        <v>Postdoc</v>
      </c>
      <c r="F1018" s="2" t="str">
        <f>IFERROR(__xludf.DUMMYFUNCTION("""COMPUTED_VALUE"""),"denard.simmons@northwestern.edu")</f>
        <v>denard.simmons@northwestern.edu</v>
      </c>
      <c r="G1018" s="2" t="str">
        <f>IFERROR(__xludf.DUMMYFUNCTION("""COMPUTED_VALUE"""),"0000-0002-9829-4312")</f>
        <v>0000-0002-9829-4312</v>
      </c>
    </row>
    <row r="1019">
      <c r="A1019" s="2" t="str">
        <f>IFERROR(__xludf.DUMMYFUNCTION("""COMPUTED_VALUE"""),"Guzman")</f>
        <v>Guzman</v>
      </c>
      <c r="B1019" s="2" t="str">
        <f>IFERROR(__xludf.DUMMYFUNCTION("""COMPUTED_VALUE"""),"Jaime")</f>
        <v>Jaime</v>
      </c>
      <c r="C1019" s="2" t="str">
        <f>IFERROR(__xludf.DUMMYFUNCTION("""COMPUTED_VALUE"""),"Key Personnel")</f>
        <v>Key Personnel</v>
      </c>
      <c r="D1019" s="2" t="str">
        <f>IFERROR(__xludf.DUMMYFUNCTION("""COMPUTED_VALUE"""),"Surmeier")</f>
        <v>Surmeier</v>
      </c>
      <c r="E1019" s="2" t="str">
        <f>IFERROR(__xludf.DUMMYFUNCTION("""COMPUTED_VALUE"""),"Research Assistant Professor")</f>
        <v>Research Assistant Professor</v>
      </c>
      <c r="F1019" s="2" t="str">
        <f>IFERROR(__xludf.DUMMYFUNCTION("""COMPUTED_VALUE"""),"jnguzman@northwestern.edu")</f>
        <v>jnguzman@northwestern.edu</v>
      </c>
      <c r="G1019" s="2" t="str">
        <f>IFERROR(__xludf.DUMMYFUNCTION("""COMPUTED_VALUE"""),"0000-0001-6205-7721")</f>
        <v>0000-0001-6205-7721</v>
      </c>
    </row>
    <row r="1020">
      <c r="A1020" s="2" t="str">
        <f>IFERROR(__xludf.DUMMYFUNCTION("""COMPUTED_VALUE"""),"Ilijic")</f>
        <v>Ilijic</v>
      </c>
      <c r="B1020" s="2" t="str">
        <f>IFERROR(__xludf.DUMMYFUNCTION("""COMPUTED_VALUE"""),"Ema")</f>
        <v>Ema</v>
      </c>
      <c r="C1020" s="2" t="str">
        <f>IFERROR(__xludf.DUMMYFUNCTION("""COMPUTED_VALUE"""),"Key Personnel")</f>
        <v>Key Personnel</v>
      </c>
      <c r="D1020" s="2" t="str">
        <f>IFERROR(__xludf.DUMMYFUNCTION("""COMPUTED_VALUE"""),"Surmeier")</f>
        <v>Surmeier</v>
      </c>
      <c r="E1020" s="2" t="str">
        <f>IFERROR(__xludf.DUMMYFUNCTION("""COMPUTED_VALUE"""),"Research Assistant Professor")</f>
        <v>Research Assistant Professor</v>
      </c>
      <c r="F1020" s="2" t="str">
        <f>IFERROR(__xludf.DUMMYFUNCTION("""COMPUTED_VALUE"""),"e-ilijic@northwestern.edu")</f>
        <v>e-ilijic@northwestern.edu</v>
      </c>
      <c r="G1020" s="2" t="str">
        <f>IFERROR(__xludf.DUMMYFUNCTION("""COMPUTED_VALUE"""),"0000-0002-7112-4401")</f>
        <v>0000-0002-7112-4401</v>
      </c>
    </row>
    <row r="1021">
      <c r="A1021" s="2" t="str">
        <f>IFERROR(__xludf.DUMMYFUNCTION("""COMPUTED_VALUE"""),"Gonzalez-Rodriquez")</f>
        <v>Gonzalez-Rodriquez</v>
      </c>
      <c r="B1021" s="2" t="str">
        <f>IFERROR(__xludf.DUMMYFUNCTION("""COMPUTED_VALUE"""),"Patricia")</f>
        <v>Patricia</v>
      </c>
      <c r="C1021" s="2" t="str">
        <f>IFERROR(__xludf.DUMMYFUNCTION("""COMPUTED_VALUE"""),"Key Personnel")</f>
        <v>Key Personnel</v>
      </c>
      <c r="D1021" s="2" t="str">
        <f>IFERROR(__xludf.DUMMYFUNCTION("""COMPUTED_VALUE"""),"Surmeier")</f>
        <v>Surmeier</v>
      </c>
      <c r="E1021" s="2" t="str">
        <f>IFERROR(__xludf.DUMMYFUNCTION("""COMPUTED_VALUE"""),"Postdoc")</f>
        <v>Postdoc</v>
      </c>
      <c r="F1021" s="2" t="str">
        <f>IFERROR(__xludf.DUMMYFUNCTION("""COMPUTED_VALUE"""),"pgonzalez4@us.es")</f>
        <v>pgonzalez4@us.es</v>
      </c>
      <c r="G1021" s="2" t="str">
        <f>IFERROR(__xludf.DUMMYFUNCTION("""COMPUTED_VALUE"""),"0000-0002-2561-3984")</f>
        <v>0000-0002-2561-3984</v>
      </c>
    </row>
    <row r="1022">
      <c r="A1022" s="2" t="str">
        <f>IFERROR(__xludf.DUMMYFUNCTION("""COMPUTED_VALUE"""),"Moran")</f>
        <v>Moran</v>
      </c>
      <c r="B1022" s="2" t="str">
        <f>IFERROR(__xludf.DUMMYFUNCTION("""COMPUTED_VALUE"""),"James")</f>
        <v>James</v>
      </c>
      <c r="C1022" s="2" t="str">
        <f>IFERROR(__xludf.DUMMYFUNCTION("""COMPUTED_VALUE"""),"Key Personnel")</f>
        <v>Key Personnel</v>
      </c>
      <c r="D1022" s="2" t="str">
        <f>IFERROR(__xludf.DUMMYFUNCTION("""COMPUTED_VALUE"""),"Surmeier")</f>
        <v>Surmeier</v>
      </c>
      <c r="E1022" s="2" t="str">
        <f>IFERROR(__xludf.DUMMYFUNCTION("""COMPUTED_VALUE"""),"Postdoc")</f>
        <v>Postdoc</v>
      </c>
      <c r="F1022" s="2" t="str">
        <f>IFERROR(__xludf.DUMMYFUNCTION("""COMPUTED_VALUE"""),"james.moran@northwestern.edu")</f>
        <v>james.moran@northwestern.edu</v>
      </c>
      <c r="G1022" s="2" t="str">
        <f>IFERROR(__xludf.DUMMYFUNCTION("""COMPUTED_VALUE"""),"0000-0003-4517-4349")</f>
        <v>0000-0003-4517-4349</v>
      </c>
    </row>
    <row r="1023">
      <c r="A1023" s="2" t="str">
        <f>IFERROR(__xludf.DUMMYFUNCTION("""COMPUTED_VALUE"""),"Clarke")</f>
        <v>Clarke</v>
      </c>
      <c r="B1023" s="2" t="str">
        <f>IFERROR(__xludf.DUMMYFUNCTION("""COMPUTED_VALUE"""),"Vernon")</f>
        <v>Vernon</v>
      </c>
      <c r="C1023" s="2" t="str">
        <f>IFERROR(__xludf.DUMMYFUNCTION("""COMPUTED_VALUE"""),"Key Personnel")</f>
        <v>Key Personnel</v>
      </c>
      <c r="D1023" s="2" t="str">
        <f>IFERROR(__xludf.DUMMYFUNCTION("""COMPUTED_VALUE"""),"Surmeier")</f>
        <v>Surmeier</v>
      </c>
      <c r="E1023" s="2" t="str">
        <f>IFERROR(__xludf.DUMMYFUNCTION("""COMPUTED_VALUE"""),"Postdoc")</f>
        <v>Postdoc</v>
      </c>
      <c r="F1023" s="2" t="str">
        <f>IFERROR(__xludf.DUMMYFUNCTION("""COMPUTED_VALUE"""),"vernon.clarke@northwestern.edu")</f>
        <v>vernon.clarke@northwestern.edu</v>
      </c>
      <c r="G1023" s="2" t="str">
        <f>IFERROR(__xludf.DUMMYFUNCTION("""COMPUTED_VALUE"""),"0000-0002-6154-6555")</f>
        <v>0000-0002-6154-6555</v>
      </c>
    </row>
    <row r="1024">
      <c r="A1024" s="2" t="str">
        <f>IFERROR(__xludf.DUMMYFUNCTION("""COMPUTED_VALUE"""),"Zampese")</f>
        <v>Zampese</v>
      </c>
      <c r="B1024" s="2" t="str">
        <f>IFERROR(__xludf.DUMMYFUNCTION("""COMPUTED_VALUE"""),"Enrico")</f>
        <v>Enrico</v>
      </c>
      <c r="C1024" s="2" t="str">
        <f>IFERROR(__xludf.DUMMYFUNCTION("""COMPUTED_VALUE"""),"Key Personnel")</f>
        <v>Key Personnel</v>
      </c>
      <c r="D1024" s="2" t="str">
        <f>IFERROR(__xludf.DUMMYFUNCTION("""COMPUTED_VALUE"""),"Surmeier")</f>
        <v>Surmeier</v>
      </c>
      <c r="E1024" s="2" t="str">
        <f>IFERROR(__xludf.DUMMYFUNCTION("""COMPUTED_VALUE"""),"Research Associate")</f>
        <v>Research Associate</v>
      </c>
      <c r="F1024" s="2" t="str">
        <f>IFERROR(__xludf.DUMMYFUNCTION("""COMPUTED_VALUE"""),"enrico.zampese@northwestern.edu")</f>
        <v>enrico.zampese@northwestern.edu</v>
      </c>
      <c r="G1024" s="2" t="str">
        <f>IFERROR(__xludf.DUMMYFUNCTION("""COMPUTED_VALUE"""),"0000-0002-8851-2566")</f>
        <v>0000-0002-8851-2566</v>
      </c>
    </row>
    <row r="1025">
      <c r="A1025" s="2" t="str">
        <f>IFERROR(__xludf.DUMMYFUNCTION("""COMPUTED_VALUE"""),"Vrieler")</f>
        <v>Vrieler</v>
      </c>
      <c r="B1025" s="2" t="str">
        <f>IFERROR(__xludf.DUMMYFUNCTION("""COMPUTED_VALUE"""),"Nora")</f>
        <v>Nora</v>
      </c>
      <c r="C1025" s="2" t="str">
        <f>IFERROR(__xludf.DUMMYFUNCTION("""COMPUTED_VALUE"""),"Key Personnel")</f>
        <v>Key Personnel</v>
      </c>
      <c r="D1025" s="2" t="str">
        <f>IFERROR(__xludf.DUMMYFUNCTION("""COMPUTED_VALUE"""),"Surmeier")</f>
        <v>Surmeier</v>
      </c>
      <c r="E1025" s="2" t="str">
        <f>IFERROR(__xludf.DUMMYFUNCTION("""COMPUTED_VALUE"""),"Postdoc")</f>
        <v>Postdoc</v>
      </c>
      <c r="F1025" s="2" t="str">
        <f>IFERROR(__xludf.DUMMYFUNCTION("""COMPUTED_VALUE"""),"nora.vrieler@northwestern.edu")</f>
        <v>nora.vrieler@northwestern.edu</v>
      </c>
      <c r="G1025" s="2" t="str">
        <f>IFERROR(__xludf.DUMMYFUNCTION("""COMPUTED_VALUE"""),"0000-0002-8008-7884")</f>
        <v>0000-0002-8008-7884</v>
      </c>
    </row>
    <row r="1026">
      <c r="A1026" s="2" t="str">
        <f>IFERROR(__xludf.DUMMYFUNCTION("""COMPUTED_VALUE"""),"Fushiki")</f>
        <v>Fushiki</v>
      </c>
      <c r="B1026" s="2" t="str">
        <f>IFERROR(__xludf.DUMMYFUNCTION("""COMPUTED_VALUE"""),"Akira")</f>
        <v>Akira</v>
      </c>
      <c r="C1026" s="2" t="str">
        <f>IFERROR(__xludf.DUMMYFUNCTION("""COMPUTED_VALUE"""),"Key Personnel")</f>
        <v>Key Personnel</v>
      </c>
      <c r="D1026" s="2" t="str">
        <f>IFERROR(__xludf.DUMMYFUNCTION("""COMPUTED_VALUE"""),"Costa")</f>
        <v>Costa</v>
      </c>
      <c r="E1026" s="2" t="str">
        <f>IFERROR(__xludf.DUMMYFUNCTION("""COMPUTED_VALUE"""),"Postdoc")</f>
        <v>Postdoc</v>
      </c>
      <c r="F1026" s="2" t="str">
        <f>IFERROR(__xludf.DUMMYFUNCTION("""COMPUTED_VALUE"""),"akira.fushiki@alleninstitute.org")</f>
        <v>akira.fushiki@alleninstitute.org</v>
      </c>
      <c r="G1026" s="2" t="str">
        <f>IFERROR(__xludf.DUMMYFUNCTION("""COMPUTED_VALUE"""),"0000-0002-7987-6405")</f>
        <v>0000-0002-7987-6405</v>
      </c>
    </row>
    <row r="1027">
      <c r="A1027" s="2" t="str">
        <f>IFERROR(__xludf.DUMMYFUNCTION("""COMPUTED_VALUE"""),"Albarran")</f>
        <v>Albarran</v>
      </c>
      <c r="B1027" s="2" t="str">
        <f>IFERROR(__xludf.DUMMYFUNCTION("""COMPUTED_VALUE"""),"Eddy")</f>
        <v>Eddy</v>
      </c>
      <c r="C1027" s="2" t="str">
        <f>IFERROR(__xludf.DUMMYFUNCTION("""COMPUTED_VALUE"""),"Key Personnel")</f>
        <v>Key Personnel</v>
      </c>
      <c r="D1027" s="2" t="str">
        <f>IFERROR(__xludf.DUMMYFUNCTION("""COMPUTED_VALUE"""),"Costa")</f>
        <v>Costa</v>
      </c>
      <c r="E1027" s="2" t="str">
        <f>IFERROR(__xludf.DUMMYFUNCTION("""COMPUTED_VALUE"""),"Postdoc")</f>
        <v>Postdoc</v>
      </c>
      <c r="F1027" s="2" t="str">
        <f>IFERROR(__xludf.DUMMYFUNCTION("""COMPUTED_VALUE"""),"ea3040@columbia.edu")</f>
        <v>ea3040@columbia.edu</v>
      </c>
      <c r="G1027" s="2" t="str">
        <f>IFERROR(__xludf.DUMMYFUNCTION("""COMPUTED_VALUE"""),"0000-0002-1638-100X")</f>
        <v>0000-0002-1638-100X</v>
      </c>
    </row>
    <row r="1028">
      <c r="A1028" s="2" t="str">
        <f>IFERROR(__xludf.DUMMYFUNCTION("""COMPUTED_VALUE"""),"Vicente")</f>
        <v>Vicente</v>
      </c>
      <c r="B1028" s="2" t="str">
        <f>IFERROR(__xludf.DUMMYFUNCTION("""COMPUTED_VALUE"""),"Mafalda")</f>
        <v>Mafalda</v>
      </c>
      <c r="C1028" s="2" t="str">
        <f>IFERROR(__xludf.DUMMYFUNCTION("""COMPUTED_VALUE"""),"Key Personnel")</f>
        <v>Key Personnel</v>
      </c>
      <c r="D1028" s="2" t="str">
        <f>IFERROR(__xludf.DUMMYFUNCTION("""COMPUTED_VALUE"""),"Costa")</f>
        <v>Costa</v>
      </c>
      <c r="E1028" s="2" t="str">
        <f>IFERROR(__xludf.DUMMYFUNCTION("""COMPUTED_VALUE"""),"Research Scientist")</f>
        <v>Research Scientist</v>
      </c>
      <c r="F1028" s="2" t="str">
        <f>IFERROR(__xludf.DUMMYFUNCTION("""COMPUTED_VALUE"""),"mafalda.vicente@alleninstitute.org")</f>
        <v>mafalda.vicente@alleninstitute.org</v>
      </c>
      <c r="G1028" s="2" t="str">
        <f>IFERROR(__xludf.DUMMYFUNCTION("""COMPUTED_VALUE"""),"0000-0003-3815-2539")</f>
        <v>0000-0003-3815-2539</v>
      </c>
    </row>
    <row r="1029">
      <c r="A1029" s="2" t="str">
        <f>IFERROR(__xludf.DUMMYFUNCTION("""COMPUTED_VALUE"""),"Nyerges")</f>
        <v>Nyerges</v>
      </c>
      <c r="B1029" s="2" t="str">
        <f>IFERROR(__xludf.DUMMYFUNCTION("""COMPUTED_VALUE"""),"Cassandra")</f>
        <v>Cassandra</v>
      </c>
      <c r="C1029" s="2" t="str">
        <f>IFERROR(__xludf.DUMMYFUNCTION("""COMPUTED_VALUE"""),"Key Personnel")</f>
        <v>Key Personnel</v>
      </c>
      <c r="D1029" s="2" t="str">
        <f>IFERROR(__xludf.DUMMYFUNCTION("""COMPUTED_VALUE"""),"Arber")</f>
        <v>Arber</v>
      </c>
      <c r="E1029" s="2" t="str">
        <f>IFERROR(__xludf.DUMMYFUNCTION("""COMPUTED_VALUE"""),"Master's Student")</f>
        <v>Master's Student</v>
      </c>
      <c r="F1029" s="2" t="str">
        <f>IFERROR(__xludf.DUMMYFUNCTION("""COMPUTED_VALUE"""),"cassandra.nyerges@unibas.ch")</f>
        <v>cassandra.nyerges@unibas.ch</v>
      </c>
      <c r="G1029" s="2" t="str">
        <f>IFERROR(__xludf.DUMMYFUNCTION("""COMPUTED_VALUE"""),"0009-0008-2213-898X")</f>
        <v>0009-0008-2213-898X</v>
      </c>
    </row>
    <row r="1030">
      <c r="A1030" s="2" t="str">
        <f>IFERROR(__xludf.DUMMYFUNCTION("""COMPUTED_VALUE"""),"Falasconi")</f>
        <v>Falasconi</v>
      </c>
      <c r="B1030" s="2" t="str">
        <f>IFERROR(__xludf.DUMMYFUNCTION("""COMPUTED_VALUE"""),"Antonio")</f>
        <v>Antonio</v>
      </c>
      <c r="C1030" s="2" t="str">
        <f>IFERROR(__xludf.DUMMYFUNCTION("""COMPUTED_VALUE"""),"Key Personnel")</f>
        <v>Key Personnel</v>
      </c>
      <c r="D1030" s="2" t="str">
        <f>IFERROR(__xludf.DUMMYFUNCTION("""COMPUTED_VALUE"""),"Arber")</f>
        <v>Arber</v>
      </c>
      <c r="E1030" s="2" t="str">
        <f>IFERROR(__xludf.DUMMYFUNCTION("""COMPUTED_VALUE"""),"PhD student")</f>
        <v>PhD student</v>
      </c>
      <c r="F1030" s="2" t="str">
        <f>IFERROR(__xludf.DUMMYFUNCTION("""COMPUTED_VALUE"""),"antonio.falasconi@unibas.ch")</f>
        <v>antonio.falasconi@unibas.ch</v>
      </c>
      <c r="G1030" s="2"/>
    </row>
    <row r="1031">
      <c r="A1031" s="2" t="str">
        <f>IFERROR(__xludf.DUMMYFUNCTION("""COMPUTED_VALUE"""),"Kanodia")</f>
        <v>Kanodia</v>
      </c>
      <c r="B1031" s="2" t="str">
        <f>IFERROR(__xludf.DUMMYFUNCTION("""COMPUTED_VALUE"""),"Harsh")</f>
        <v>Harsh</v>
      </c>
      <c r="C1031" s="2" t="str">
        <f>IFERROR(__xludf.DUMMYFUNCTION("""COMPUTED_VALUE"""),"Key Personnel")</f>
        <v>Key Personnel</v>
      </c>
      <c r="D1031" s="2" t="str">
        <f>IFERROR(__xludf.DUMMYFUNCTION("""COMPUTED_VALUE"""),"Arber")</f>
        <v>Arber</v>
      </c>
      <c r="E1031" s="2" t="str">
        <f>IFERROR(__xludf.DUMMYFUNCTION("""COMPUTED_VALUE"""),"PhD student")</f>
        <v>PhD student</v>
      </c>
      <c r="F1031" s="2" t="str">
        <f>IFERROR(__xludf.DUMMYFUNCTION("""COMPUTED_VALUE"""),"harsh.kanodia@unibas.ch")</f>
        <v>harsh.kanodia@unibas.ch</v>
      </c>
      <c r="G1031" s="2"/>
    </row>
    <row r="1032">
      <c r="A1032" s="2" t="str">
        <f>IFERROR(__xludf.DUMMYFUNCTION("""COMPUTED_VALUE"""),"Huang")</f>
        <v>Huang</v>
      </c>
      <c r="B1032" s="2" t="str">
        <f>IFERROR(__xludf.DUMMYFUNCTION("""COMPUTED_VALUE"""),"Lindsay")</f>
        <v>Lindsay</v>
      </c>
      <c r="C1032" s="2" t="str">
        <f>IFERROR(__xludf.DUMMYFUNCTION("""COMPUTED_VALUE"""),"Key Personnel")</f>
        <v>Key Personnel</v>
      </c>
      <c r="D1032" s="2" t="str">
        <f>IFERROR(__xludf.DUMMYFUNCTION("""COMPUTED_VALUE"""),"Dan")</f>
        <v>Dan</v>
      </c>
      <c r="E1032" s="2" t="str">
        <f>IFERROR(__xludf.DUMMYFUNCTION("""COMPUTED_VALUE"""),"Postdoc")</f>
        <v>Postdoc</v>
      </c>
      <c r="F1032" s="2" t="str">
        <f>IFERROR(__xludf.DUMMYFUNCTION("""COMPUTED_VALUE"""),"xlh@berkeley.edu")</f>
        <v>xlh@berkeley.edu</v>
      </c>
      <c r="G1032" s="2" t="str">
        <f>IFERROR(__xludf.DUMMYFUNCTION("""COMPUTED_VALUE"""),"0000-0001-7367-8347")</f>
        <v>0000-0001-7367-8347</v>
      </c>
    </row>
    <row r="1033">
      <c r="A1033" s="2" t="str">
        <f>IFERROR(__xludf.DUMMYFUNCTION("""COMPUTED_VALUE"""),"Chen")</f>
        <v>Chen</v>
      </c>
      <c r="B1033" s="2" t="str">
        <f>IFERROR(__xludf.DUMMYFUNCTION("""COMPUTED_VALUE"""),"Changwan")</f>
        <v>Changwan</v>
      </c>
      <c r="C1033" s="2" t="str">
        <f>IFERROR(__xludf.DUMMYFUNCTION("""COMPUTED_VALUE"""),"Key Personnel")</f>
        <v>Key Personnel</v>
      </c>
      <c r="D1033" s="2" t="str">
        <f>IFERROR(__xludf.DUMMYFUNCTION("""COMPUTED_VALUE"""),"Dan")</f>
        <v>Dan</v>
      </c>
      <c r="E1033" s="2" t="str">
        <f>IFERROR(__xludf.DUMMYFUNCTION("""COMPUTED_VALUE"""),"Postdoc")</f>
        <v>Postdoc</v>
      </c>
      <c r="F1033" s="2" t="str">
        <f>IFERROR(__xludf.DUMMYFUNCTION("""COMPUTED_VALUE"""),"changwan.chen@berkeley.edu")</f>
        <v>changwan.chen@berkeley.edu</v>
      </c>
      <c r="G1033" s="2" t="str">
        <f>IFERROR(__xludf.DUMMYFUNCTION("""COMPUTED_VALUE"""),"0000-0002-2520-8516")</f>
        <v>0000-0002-2520-8516</v>
      </c>
    </row>
    <row r="1034">
      <c r="A1034" s="2" t="str">
        <f>IFERROR(__xludf.DUMMYFUNCTION("""COMPUTED_VALUE"""),"Pamukcu")</f>
        <v>Pamukcu</v>
      </c>
      <c r="B1034" s="2" t="str">
        <f>IFERROR(__xludf.DUMMYFUNCTION("""COMPUTED_VALUE"""),"Arin")</f>
        <v>Arin</v>
      </c>
      <c r="C1034" s="2" t="str">
        <f>IFERROR(__xludf.DUMMYFUNCTION("""COMPUTED_VALUE"""),"Key Personnel")</f>
        <v>Key Personnel</v>
      </c>
      <c r="D1034" s="2" t="str">
        <f>IFERROR(__xludf.DUMMYFUNCTION("""COMPUTED_VALUE"""),"Kennedy")</f>
        <v>Kennedy</v>
      </c>
      <c r="E1034" s="2" t="str">
        <f>IFERROR(__xludf.DUMMYFUNCTION("""COMPUTED_VALUE"""),"Postdoc")</f>
        <v>Postdoc</v>
      </c>
      <c r="F1034" s="2" t="str">
        <f>IFERROR(__xludf.DUMMYFUNCTION("""COMPUTED_VALUE"""),"arin.pamukcu@northwestern.edu")</f>
        <v>arin.pamukcu@northwestern.edu</v>
      </c>
      <c r="G1034" s="2" t="str">
        <f>IFERROR(__xludf.DUMMYFUNCTION("""COMPUTED_VALUE"""),"000-0003-3369-6318")</f>
        <v>000-0003-3369-6318</v>
      </c>
    </row>
    <row r="1035">
      <c r="A1035" s="2" t="str">
        <f>IFERROR(__xludf.DUMMYFUNCTION("""COMPUTED_VALUE"""),"Gast")</f>
        <v>Gast</v>
      </c>
      <c r="B1035" s="2" t="str">
        <f>IFERROR(__xludf.DUMMYFUNCTION("""COMPUTED_VALUE"""),"Richard")</f>
        <v>Richard</v>
      </c>
      <c r="C1035" s="2" t="str">
        <f>IFERROR(__xludf.DUMMYFUNCTION("""COMPUTED_VALUE"""),"Key Personnel")</f>
        <v>Key Personnel</v>
      </c>
      <c r="D1035" s="2" t="str">
        <f>IFERROR(__xludf.DUMMYFUNCTION("""COMPUTED_VALUE"""),"Kennedy")</f>
        <v>Kennedy</v>
      </c>
      <c r="E1035" s="2" t="str">
        <f>IFERROR(__xludf.DUMMYFUNCTION("""COMPUTED_VALUE"""),"Research Associate")</f>
        <v>Research Associate</v>
      </c>
      <c r="F1035" s="2" t="str">
        <f>IFERROR(__xludf.DUMMYFUNCTION("""COMPUTED_VALUE"""),"richard.gast@northwestern.edu")</f>
        <v>richard.gast@northwestern.edu</v>
      </c>
      <c r="G1035" s="2" t="str">
        <f>IFERROR(__xludf.DUMMYFUNCTION("""COMPUTED_VALUE"""),"0000-0002-4445-0340")</f>
        <v>0000-0002-4445-0340</v>
      </c>
    </row>
    <row r="1036">
      <c r="A1036" s="2" t="str">
        <f>IFERROR(__xludf.DUMMYFUNCTION("""COMPUTED_VALUE"""),"Ding")</f>
        <v>Ding</v>
      </c>
      <c r="B1036" s="2" t="str">
        <f>IFERROR(__xludf.DUMMYFUNCTION("""COMPUTED_VALUE"""),"Jun")</f>
        <v>Jun</v>
      </c>
      <c r="C1036" s="2" t="str">
        <f>IFERROR(__xludf.DUMMYFUNCTION("""COMPUTED_VALUE"""),"Co-PI")</f>
        <v>Co-PI</v>
      </c>
      <c r="D1036" s="2" t="str">
        <f>IFERROR(__xludf.DUMMYFUNCTION("""COMPUTED_VALUE"""),"Ding")</f>
        <v>Ding</v>
      </c>
      <c r="E1036" s="2" t="str">
        <f>IFERROR(__xludf.DUMMYFUNCTION("""COMPUTED_VALUE"""),"Research Scientist")</f>
        <v>Research Scientist</v>
      </c>
      <c r="F1036" s="2" t="str">
        <f>IFERROR(__xludf.DUMMYFUNCTION("""COMPUTED_VALUE"""),"dingjun@stanford.edu")</f>
        <v>dingjun@stanford.edu</v>
      </c>
      <c r="G1036" s="2" t="str">
        <f>IFERROR(__xludf.DUMMYFUNCTION("""COMPUTED_VALUE"""),"0000-0003-0690-1312")</f>
        <v>0000-0003-0690-1312</v>
      </c>
    </row>
    <row r="1037">
      <c r="A1037" s="2" t="str">
        <f>IFERROR(__xludf.DUMMYFUNCTION("""COMPUTED_VALUE"""),"Sun")</f>
        <v>Sun</v>
      </c>
      <c r="B1037" s="2" t="str">
        <f>IFERROR(__xludf.DUMMYFUNCTION("""COMPUTED_VALUE"""),"Yue")</f>
        <v>Yue</v>
      </c>
      <c r="C1037" s="2" t="str">
        <f>IFERROR(__xludf.DUMMYFUNCTION("""COMPUTED_VALUE"""),"Key Personnel")</f>
        <v>Key Personnel</v>
      </c>
      <c r="D1037" s="2" t="str">
        <f>IFERROR(__xludf.DUMMYFUNCTION("""COMPUTED_VALUE"""),"Ding")</f>
        <v>Ding</v>
      </c>
      <c r="E1037" s="2"/>
      <c r="F1037" s="2" t="str">
        <f>IFERROR(__xludf.DUMMYFUNCTION("""COMPUTED_VALUE"""),"sunyue@stanford.edu")</f>
        <v>sunyue@stanford.edu</v>
      </c>
      <c r="G1037" s="2" t="str">
        <f>IFERROR(__xludf.DUMMYFUNCTION("""COMPUTED_VALUE"""),"0000-0002-5681-130X")</f>
        <v>0000-0002-5681-130X</v>
      </c>
    </row>
    <row r="1038">
      <c r="A1038" s="2" t="str">
        <f>IFERROR(__xludf.DUMMYFUNCTION("""COMPUTED_VALUE"""),"Roth")</f>
        <v>Roth</v>
      </c>
      <c r="B1038" s="2" t="str">
        <f>IFERROR(__xludf.DUMMYFUNCTION("""COMPUTED_VALUE"""),"Richard")</f>
        <v>Richard</v>
      </c>
      <c r="C1038" s="2" t="str">
        <f>IFERROR(__xludf.DUMMYFUNCTION("""COMPUTED_VALUE"""),"Key Personnel")</f>
        <v>Key Personnel</v>
      </c>
      <c r="D1038" s="2" t="str">
        <f>IFERROR(__xludf.DUMMYFUNCTION("""COMPUTED_VALUE"""),"Ding")</f>
        <v>Ding</v>
      </c>
      <c r="E1038" s="2" t="str">
        <f>IFERROR(__xludf.DUMMYFUNCTION("""COMPUTED_VALUE"""),"Postdoc")</f>
        <v>Postdoc</v>
      </c>
      <c r="F1038" s="2" t="str">
        <f>IFERROR(__xludf.DUMMYFUNCTION("""COMPUTED_VALUE"""),"rhroth@stanford.edu")</f>
        <v>rhroth@stanford.edu</v>
      </c>
      <c r="G1038" s="2" t="str">
        <f>IFERROR(__xludf.DUMMYFUNCTION("""COMPUTED_VALUE"""),"0000-0002-6855-999X")</f>
        <v>0000-0002-6855-999X</v>
      </c>
    </row>
    <row r="1039">
      <c r="A1039" s="2" t="str">
        <f>IFERROR(__xludf.DUMMYFUNCTION("""COMPUTED_VALUE"""),"Hwang")</f>
        <v>Hwang</v>
      </c>
      <c r="B1039" s="2" t="str">
        <f>IFERROR(__xludf.DUMMYFUNCTION("""COMPUTED_VALUE"""),"Fuu Jiun")</f>
        <v>Fuu Jiun</v>
      </c>
      <c r="C1039" s="2" t="str">
        <f>IFERROR(__xludf.DUMMYFUNCTION("""COMPUTED_VALUE"""),"Key Personnel")</f>
        <v>Key Personnel</v>
      </c>
      <c r="D1039" s="2" t="str">
        <f>IFERROR(__xludf.DUMMYFUNCTION("""COMPUTED_VALUE"""),"Ding")</f>
        <v>Ding</v>
      </c>
      <c r="E1039" s="2" t="str">
        <f>IFERROR(__xludf.DUMMYFUNCTION("""COMPUTED_VALUE"""),"Research Associate")</f>
        <v>Research Associate</v>
      </c>
      <c r="F1039" s="2" t="str">
        <f>IFERROR(__xludf.DUMMYFUNCTION("""COMPUTED_VALUE"""),"fuujiun@stanford.edu")</f>
        <v>fuujiun@stanford.edu</v>
      </c>
      <c r="G1039" s="2" t="str">
        <f>IFERROR(__xludf.DUMMYFUNCTION("""COMPUTED_VALUE"""),"0000-0003-0477-986X")</f>
        <v>0000-0003-0477-986X</v>
      </c>
    </row>
    <row r="1040">
      <c r="A1040" s="2" t="str">
        <f>IFERROR(__xludf.DUMMYFUNCTION("""COMPUTED_VALUE"""),"Ulrich")</f>
        <v>Ulrich</v>
      </c>
      <c r="B1040" s="2" t="str">
        <f>IFERROR(__xludf.DUMMYFUNCTION("""COMPUTED_VALUE"""),"Sasha")</f>
        <v>Sasha</v>
      </c>
      <c r="C1040" s="2" t="str">
        <f>IFERROR(__xludf.DUMMYFUNCTION("""COMPUTED_VALUE"""),"Key Personnel")</f>
        <v>Key Personnel</v>
      </c>
      <c r="D1040" s="2" t="str">
        <f>IFERROR(__xludf.DUMMYFUNCTION("""COMPUTED_VALUE"""),"Surmeier")</f>
        <v>Surmeier</v>
      </c>
      <c r="E1040" s="2" t="str">
        <f>IFERROR(__xludf.DUMMYFUNCTION("""COMPUTED_VALUE"""),"Lab Manager")</f>
        <v>Lab Manager</v>
      </c>
      <c r="F1040" s="2" t="str">
        <f>IFERROR(__xludf.DUMMYFUNCTION("""COMPUTED_VALUE"""),"s-ulrich@northwestern.edu")</f>
        <v>s-ulrich@northwestern.edu</v>
      </c>
      <c r="G1040" s="2" t="str">
        <f>IFERROR(__xludf.DUMMYFUNCTION("""COMPUTED_VALUE"""),"0009-0000-6880-3190")</f>
        <v>0009-0000-6880-3190</v>
      </c>
    </row>
    <row r="1041">
      <c r="A1041" s="2" t="str">
        <f>IFERROR(__xludf.DUMMYFUNCTION("""COMPUTED_VALUE"""),"Weber-Schmidt")</f>
        <v>Weber-Schmidt</v>
      </c>
      <c r="B1041" s="2" t="str">
        <f>IFERROR(__xludf.DUMMYFUNCTION("""COMPUTED_VALUE"""),"Christine")</f>
        <v>Christine</v>
      </c>
      <c r="C1041" s="2" t="str">
        <f>IFERROR(__xludf.DUMMYFUNCTION("""COMPUTED_VALUE"""),"Project Manager")</f>
        <v>Project Manager</v>
      </c>
      <c r="D1041" s="2" t="str">
        <f>IFERROR(__xludf.DUMMYFUNCTION("""COMPUTED_VALUE"""),"Costa")</f>
        <v>Costa</v>
      </c>
      <c r="E1041" s="2" t="str">
        <f>IFERROR(__xludf.DUMMYFUNCTION("""COMPUTED_VALUE"""),"Lab manager/Research Associate III")</f>
        <v>Lab manager/Research Associate III</v>
      </c>
      <c r="F1041" s="2" t="str">
        <f>IFERROR(__xludf.DUMMYFUNCTION("""COMPUTED_VALUE"""),"c.weber-schmidt@alleninstitute.org")</f>
        <v>c.weber-schmidt@alleninstitute.org</v>
      </c>
      <c r="G1041" s="2" t="str">
        <f>IFERROR(__xludf.DUMMYFUNCTION("""COMPUTED_VALUE"""),"0009-0003-2051-0825")</f>
        <v>0009-0003-2051-0825</v>
      </c>
    </row>
    <row r="1042">
      <c r="A1042" s="2" t="str">
        <f>IFERROR(__xludf.DUMMYFUNCTION("""COMPUTED_VALUE"""),"Sheng")</f>
        <v>Sheng</v>
      </c>
      <c r="B1042" s="2" t="str">
        <f>IFERROR(__xludf.DUMMYFUNCTION("""COMPUTED_VALUE"""),"Mengjun")</f>
        <v>Mengjun</v>
      </c>
      <c r="C1042" s="2" t="str">
        <f>IFERROR(__xludf.DUMMYFUNCTION("""COMPUTED_VALUE"""),"Key Personnel")</f>
        <v>Key Personnel</v>
      </c>
      <c r="D1042" s="2" t="str">
        <f>IFERROR(__xludf.DUMMYFUNCTION("""COMPUTED_VALUE"""),"Ding")</f>
        <v>Ding</v>
      </c>
      <c r="E1042" s="2" t="str">
        <f>IFERROR(__xludf.DUMMYFUNCTION("""COMPUTED_VALUE"""),"Postdoc")</f>
        <v>Postdoc</v>
      </c>
      <c r="F1042" s="2" t="str">
        <f>IFERROR(__xludf.DUMMYFUNCTION("""COMPUTED_VALUE"""),"mjsheng@stanford.edu")</f>
        <v>mjsheng@stanford.edu</v>
      </c>
      <c r="G1042" s="2" t="str">
        <f>IFERROR(__xludf.DUMMYFUNCTION("""COMPUTED_VALUE"""),"0000-0002-1440-3447")</f>
        <v>0000-0002-1440-3447</v>
      </c>
    </row>
    <row r="1043">
      <c r="A1043" s="2" t="str">
        <f>IFERROR(__xludf.DUMMYFUNCTION("""COMPUTED_VALUE"""),"Peterka")</f>
        <v>Peterka</v>
      </c>
      <c r="B1043" s="2" t="str">
        <f>IFERROR(__xludf.DUMMYFUNCTION("""COMPUTED_VALUE"""),"Darcy")</f>
        <v>Darcy</v>
      </c>
      <c r="C1043" s="2" t="str">
        <f>IFERROR(__xludf.DUMMYFUNCTION("""COMPUTED_VALUE"""),"Key Personnel")</f>
        <v>Key Personnel</v>
      </c>
      <c r="D1043" s="2" t="str">
        <f>IFERROR(__xludf.DUMMYFUNCTION("""COMPUTED_VALUE"""),"Costa")</f>
        <v>Costa</v>
      </c>
      <c r="E1043" s="2" t="str">
        <f>IFERROR(__xludf.DUMMYFUNCTION("""COMPUTED_VALUE"""),"Senior Research Scientist ")</f>
        <v>Senior Research Scientist </v>
      </c>
      <c r="F1043" s="2" t="str">
        <f>IFERROR(__xludf.DUMMYFUNCTION("""COMPUTED_VALUE"""),"dp2403@columbia.edu")</f>
        <v>dp2403@columbia.edu</v>
      </c>
      <c r="G1043" s="2" t="str">
        <f>IFERROR(__xludf.DUMMYFUNCTION("""COMPUTED_VALUE"""),"0000-0001-7351-5820")</f>
        <v>0000-0001-7351-5820</v>
      </c>
    </row>
    <row r="1044">
      <c r="A1044" s="2" t="str">
        <f>IFERROR(__xludf.DUMMYFUNCTION("""COMPUTED_VALUE"""),"Vaz")</f>
        <v>Vaz</v>
      </c>
      <c r="B1044" s="2" t="str">
        <f>IFERROR(__xludf.DUMMYFUNCTION("""COMPUTED_VALUE"""),"Ines")</f>
        <v>Ines</v>
      </c>
      <c r="C1044" s="2" t="str">
        <f>IFERROR(__xludf.DUMMYFUNCTION("""COMPUTED_VALUE"""),"Key Personnel")</f>
        <v>Key Personnel</v>
      </c>
      <c r="D1044" s="2" t="str">
        <f>IFERROR(__xludf.DUMMYFUNCTION("""COMPUTED_VALUE"""),"Costa")</f>
        <v>Costa</v>
      </c>
      <c r="E1044" s="2" t="str">
        <f>IFERROR(__xludf.DUMMYFUNCTION("""COMPUTED_VALUE"""),"Research Scientist")</f>
        <v>Research Scientist</v>
      </c>
      <c r="F1044" s="2" t="str">
        <f>IFERROR(__xludf.DUMMYFUNCTION("""COMPUTED_VALUE"""),"ines.rodrigues-vaz@alleninstitute.org")</f>
        <v>ines.rodrigues-vaz@alleninstitute.org</v>
      </c>
      <c r="G1044" s="2" t="str">
        <f>IFERROR(__xludf.DUMMYFUNCTION("""COMPUTED_VALUE"""),"0000-0002-4713-1361")</f>
        <v>0000-0002-4713-1361</v>
      </c>
    </row>
    <row r="1045">
      <c r="A1045" s="2" t="str">
        <f>IFERROR(__xludf.DUMMYFUNCTION("""COMPUTED_VALUE"""),"Athalye")</f>
        <v>Athalye</v>
      </c>
      <c r="B1045" s="2" t="str">
        <f>IFERROR(__xludf.DUMMYFUNCTION("""COMPUTED_VALUE"""),"Vivek")</f>
        <v>Vivek</v>
      </c>
      <c r="C1045" s="2" t="str">
        <f>IFERROR(__xludf.DUMMYFUNCTION("""COMPUTED_VALUE"""),"Key Personnel")</f>
        <v>Key Personnel</v>
      </c>
      <c r="D1045" s="2" t="str">
        <f>IFERROR(__xludf.DUMMYFUNCTION("""COMPUTED_VALUE"""),"Costa")</f>
        <v>Costa</v>
      </c>
      <c r="E1045" s="2" t="str">
        <f>IFERROR(__xludf.DUMMYFUNCTION("""COMPUTED_VALUE"""),"Senior Research Scientist ")</f>
        <v>Senior Research Scientist </v>
      </c>
      <c r="F1045" s="2" t="str">
        <f>IFERROR(__xludf.DUMMYFUNCTION("""COMPUTED_VALUE"""),"vivek.athalye@alleninstitute.org")</f>
        <v>vivek.athalye@alleninstitute.org</v>
      </c>
      <c r="G1045" s="2" t="str">
        <f>IFERROR(__xludf.DUMMYFUNCTION("""COMPUTED_VALUE"""),"0000-0001-6167-2562")</f>
        <v>0000-0001-6167-2562</v>
      </c>
    </row>
    <row r="1046">
      <c r="A1046" s="2" t="str">
        <f>IFERROR(__xludf.DUMMYFUNCTION("""COMPUTED_VALUE"""),"Tkatch")</f>
        <v>Tkatch</v>
      </c>
      <c r="B1046" s="2" t="str">
        <f>IFERROR(__xludf.DUMMYFUNCTION("""COMPUTED_VALUE"""),"Tatiana")</f>
        <v>Tatiana</v>
      </c>
      <c r="C1046" s="2" t="str">
        <f>IFERROR(__xludf.DUMMYFUNCTION("""COMPUTED_VALUE"""),"Key Personnel")</f>
        <v>Key Personnel</v>
      </c>
      <c r="D1046" s="2" t="str">
        <f>IFERROR(__xludf.DUMMYFUNCTION("""COMPUTED_VALUE"""),"Surmeier")</f>
        <v>Surmeier</v>
      </c>
      <c r="E1046" s="2" t="str">
        <f>IFERROR(__xludf.DUMMYFUNCTION("""COMPUTED_VALUE"""),"Research Scientist ")</f>
        <v>Research Scientist </v>
      </c>
      <c r="F1046" s="2" t="str">
        <f>IFERROR(__xludf.DUMMYFUNCTION("""COMPUTED_VALUE"""),"tatiana.tkatch@northwestern.edu")</f>
        <v>tatiana.tkatch@northwestern.edu</v>
      </c>
      <c r="G1046" s="2" t="str">
        <f>IFERROR(__xludf.DUMMYFUNCTION("""COMPUTED_VALUE"""),"0000-0001-6626-7435")</f>
        <v>0000-0001-6626-7435</v>
      </c>
    </row>
    <row r="1047">
      <c r="A1047" s="2" t="str">
        <f>IFERROR(__xludf.DUMMYFUNCTION("""COMPUTED_VALUE"""),"Xie")</f>
        <v>Xie</v>
      </c>
      <c r="B1047" s="2" t="str">
        <f>IFERROR(__xludf.DUMMYFUNCTION("""COMPUTED_VALUE"""),"Zhong")</f>
        <v>Zhong</v>
      </c>
      <c r="C1047" s="2" t="str">
        <f>IFERROR(__xludf.DUMMYFUNCTION("""COMPUTED_VALUE"""),"Key Personnel")</f>
        <v>Key Personnel</v>
      </c>
      <c r="D1047" s="2" t="str">
        <f>IFERROR(__xludf.DUMMYFUNCTION("""COMPUTED_VALUE"""),"Surmeier")</f>
        <v>Surmeier</v>
      </c>
      <c r="E1047" s="2" t="str">
        <f>IFERROR(__xludf.DUMMYFUNCTION("""COMPUTED_VALUE"""),"Research Scientist ")</f>
        <v>Research Scientist </v>
      </c>
      <c r="F1047" s="2" t="str">
        <f>IFERROR(__xludf.DUMMYFUNCTION("""COMPUTED_VALUE"""),"z-xie@northwestern.edu")</f>
        <v>z-xie@northwestern.edu</v>
      </c>
      <c r="G1047" s="2" t="str">
        <f>IFERROR(__xludf.DUMMYFUNCTION("""COMPUTED_VALUE"""),"0000-0002-8348-4455")</f>
        <v>0000-0002-8348-4455</v>
      </c>
    </row>
    <row r="1048">
      <c r="A1048" s="2" t="str">
        <f>IFERROR(__xludf.DUMMYFUNCTION("""COMPUTED_VALUE"""),"Daigle")</f>
        <v>Daigle</v>
      </c>
      <c r="B1048" s="2" t="str">
        <f>IFERROR(__xludf.DUMMYFUNCTION("""COMPUTED_VALUE"""),"Tanya")</f>
        <v>Tanya</v>
      </c>
      <c r="C1048" s="2" t="str">
        <f>IFERROR(__xludf.DUMMYFUNCTION("""COMPUTED_VALUE"""),"Key Personnel")</f>
        <v>Key Personnel</v>
      </c>
      <c r="D1048" s="2" t="str">
        <f>IFERROR(__xludf.DUMMYFUNCTION("""COMPUTED_VALUE"""),"Surmeier")</f>
        <v>Surmeier</v>
      </c>
      <c r="E1048" s="2" t="str">
        <f>IFERROR(__xludf.DUMMYFUNCTION("""COMPUTED_VALUE"""),"Research Scientist ")</f>
        <v>Research Scientist </v>
      </c>
      <c r="F1048" s="2" t="str">
        <f>IFERROR(__xludf.DUMMYFUNCTION("""COMPUTED_VALUE"""),"TanyaD@alleninstitute.org")</f>
        <v>TanyaD@alleninstitute.org</v>
      </c>
      <c r="G1048" s="2" t="str">
        <f>IFERROR(__xludf.DUMMYFUNCTION("""COMPUTED_VALUE"""),"0000-0001-9700-8452")</f>
        <v>0000-0001-9700-8452</v>
      </c>
    </row>
    <row r="1049">
      <c r="A1049" s="2" t="str">
        <f>IFERROR(__xludf.DUMMYFUNCTION("""COMPUTED_VALUE"""),"Karashchuk")</f>
        <v>Karashchuk</v>
      </c>
      <c r="B1049" s="2" t="str">
        <f>IFERROR(__xludf.DUMMYFUNCTION("""COMPUTED_VALUE"""),"Lili")</f>
        <v>Lili</v>
      </c>
      <c r="C1049" s="2" t="str">
        <f>IFERROR(__xludf.DUMMYFUNCTION("""COMPUTED_VALUE"""),"Key Personnel")</f>
        <v>Key Personnel</v>
      </c>
      <c r="D1049" s="2" t="str">
        <f>IFERROR(__xludf.DUMMYFUNCTION("""COMPUTED_VALUE"""),"Costa")</f>
        <v>Costa</v>
      </c>
      <c r="E1049" s="2" t="str">
        <f>IFERROR(__xludf.DUMMYFUNCTION("""COMPUTED_VALUE"""),"Research Scientist")</f>
        <v>Research Scientist</v>
      </c>
      <c r="F1049" s="2" t="str">
        <f>IFERROR(__xludf.DUMMYFUNCTION("""COMPUTED_VALUE"""),"lili.karashchuk@alleninstitute.org")</f>
        <v>lili.karashchuk@alleninstitute.org</v>
      </c>
      <c r="G1049" s="2" t="str">
        <f>IFERROR(__xludf.DUMMYFUNCTION("""COMPUTED_VALUE"""),"0000-0001-6244-8239")</f>
        <v>0000-0001-6244-8239</v>
      </c>
    </row>
    <row r="1050">
      <c r="A1050" s="2" t="str">
        <f>IFERROR(__xludf.DUMMYFUNCTION("""COMPUTED_VALUE"""),"Gu ")</f>
        <v>Gu </v>
      </c>
      <c r="B1050" s="2" t="str">
        <f>IFERROR(__xludf.DUMMYFUNCTION("""COMPUTED_VALUE"""),"Zirong")</f>
        <v>Zirong</v>
      </c>
      <c r="C1050" s="2" t="str">
        <f>IFERROR(__xludf.DUMMYFUNCTION("""COMPUTED_VALUE"""),"Key Personnel")</f>
        <v>Key Personnel</v>
      </c>
      <c r="D1050" s="2" t="str">
        <f>IFERROR(__xludf.DUMMYFUNCTION("""COMPUTED_VALUE"""),"Costa")</f>
        <v>Costa</v>
      </c>
      <c r="E1050" s="2" t="str">
        <f>IFERROR(__xludf.DUMMYFUNCTION("""COMPUTED_VALUE"""),"Research Assistant Professor")</f>
        <v>Research Assistant Professor</v>
      </c>
      <c r="F1050" s="2" t="str">
        <f>IFERROR(__xludf.DUMMYFUNCTION("""COMPUTED_VALUE"""),"zirong.gu@utdallas.edu")</f>
        <v>zirong.gu@utdallas.edu</v>
      </c>
      <c r="G1050" s="2" t="str">
        <f>IFERROR(__xludf.DUMMYFUNCTION("""COMPUTED_VALUE"""),"0000-0002-8262-7573")</f>
        <v>0000-0002-8262-7573</v>
      </c>
    </row>
    <row r="1051">
      <c r="A1051" s="2" t="str">
        <f>IFERROR(__xludf.DUMMYFUNCTION("""COMPUTED_VALUE"""),"Mendonça")</f>
        <v>Mendonça</v>
      </c>
      <c r="B1051" s="2" t="str">
        <f>IFERROR(__xludf.DUMMYFUNCTION("""COMPUTED_VALUE"""),"Marcelo")</f>
        <v>Marcelo</v>
      </c>
      <c r="C1051" s="2" t="str">
        <f>IFERROR(__xludf.DUMMYFUNCTION("""COMPUTED_VALUE"""),"Key Personnel")</f>
        <v>Key Personnel</v>
      </c>
      <c r="D1051" s="2" t="str">
        <f>IFERROR(__xludf.DUMMYFUNCTION("""COMPUTED_VALUE"""),"Costa")</f>
        <v>Costa</v>
      </c>
      <c r="E1051" s="2" t="str">
        <f>IFERROR(__xludf.DUMMYFUNCTION("""COMPUTED_VALUE"""),"Research Scientist")</f>
        <v>Research Scientist</v>
      </c>
      <c r="F1051" s="2" t="str">
        <f>IFERROR(__xludf.DUMMYFUNCTION("""COMPUTED_VALUE"""),"marcelo.mendonca@neuro.fchampalimaud.org")</f>
        <v>marcelo.mendonca@neuro.fchampalimaud.org</v>
      </c>
      <c r="G1051" s="2" t="str">
        <f>IFERROR(__xludf.DUMMYFUNCTION("""COMPUTED_VALUE"""),"0000-0003-3587-8553")</f>
        <v>0000-0003-3587-8553</v>
      </c>
    </row>
    <row r="1052">
      <c r="A1052" s="2" t="str">
        <f>IFERROR(__xludf.DUMMYFUNCTION("""COMPUTED_VALUE"""),"Alves da Silva")</f>
        <v>Alves da Silva</v>
      </c>
      <c r="B1052" s="2" t="str">
        <f>IFERROR(__xludf.DUMMYFUNCTION("""COMPUTED_VALUE"""),"Joaquim")</f>
        <v>Joaquim</v>
      </c>
      <c r="C1052" s="2" t="str">
        <f>IFERROR(__xludf.DUMMYFUNCTION("""COMPUTED_VALUE"""),"Key Personnel")</f>
        <v>Key Personnel</v>
      </c>
      <c r="D1052" s="2" t="str">
        <f>IFERROR(__xludf.DUMMYFUNCTION("""COMPUTED_VALUE"""),"Costa")</f>
        <v>Costa</v>
      </c>
      <c r="E1052" s="2" t="str">
        <f>IFERROR(__xludf.DUMMYFUNCTION("""COMPUTED_VALUE"""),"Group Leader")</f>
        <v>Group Leader</v>
      </c>
      <c r="F1052" s="2" t="str">
        <f>IFERROR(__xludf.DUMMYFUNCTION("""COMPUTED_VALUE"""),"joaquim.silva@neuro.fchampalimaud.org")</f>
        <v>joaquim.silva@neuro.fchampalimaud.org</v>
      </c>
      <c r="G1052" s="2" t="str">
        <f>IFERROR(__xludf.DUMMYFUNCTION("""COMPUTED_VALUE"""),"0000-0002-3967-3603")</f>
        <v>0000-0002-3967-3603</v>
      </c>
    </row>
    <row r="1053">
      <c r="A1053" s="2" t="str">
        <f>IFERROR(__xludf.DUMMYFUNCTION("""COMPUTED_VALUE"""),"Scaria")</f>
        <v>Scaria</v>
      </c>
      <c r="B1053" s="2" t="str">
        <f>IFERROR(__xludf.DUMMYFUNCTION("""COMPUTED_VALUE"""),"Lara")</f>
        <v>Lara</v>
      </c>
      <c r="C1053" s="2" t="str">
        <f>IFERROR(__xludf.DUMMYFUNCTION("""COMPUTED_VALUE"""),"Key Personnel")</f>
        <v>Key Personnel</v>
      </c>
      <c r="D1053" s="2" t="str">
        <f>IFERROR(__xludf.DUMMYFUNCTION("""COMPUTED_VALUE"""),"Costa")</f>
        <v>Costa</v>
      </c>
      <c r="E1053" s="2" t="str">
        <f>IFERROR(__xludf.DUMMYFUNCTION("""COMPUTED_VALUE"""),"Research Associate")</f>
        <v>Research Associate</v>
      </c>
      <c r="F1053" s="2" t="str">
        <f>IFERROR(__xludf.DUMMYFUNCTION("""COMPUTED_VALUE"""),"lara.scaria@alleninstitute.org")</f>
        <v>lara.scaria@alleninstitute.org</v>
      </c>
      <c r="G1053" s="2" t="str">
        <f>IFERROR(__xludf.DUMMYFUNCTION("""COMPUTED_VALUE"""),"0000-0003-2417-9036")</f>
        <v>0000-0003-2417-9036</v>
      </c>
    </row>
    <row r="1054">
      <c r="A1054" s="2" t="str">
        <f>IFERROR(__xludf.DUMMYFUNCTION("""COMPUTED_VALUE"""),"Ding")</f>
        <v>Ding</v>
      </c>
      <c r="B1054" s="2" t="str">
        <f>IFERROR(__xludf.DUMMYFUNCTION("""COMPUTED_VALUE"""),"Xinlu")</f>
        <v>Xinlu</v>
      </c>
      <c r="C1054" s="2" t="str">
        <f>IFERROR(__xludf.DUMMYFUNCTION("""COMPUTED_VALUE"""),"Key Personnel")</f>
        <v>Key Personnel</v>
      </c>
      <c r="D1054" s="2" t="str">
        <f>IFERROR(__xludf.DUMMYFUNCTION("""COMPUTED_VALUE"""),"Dan")</f>
        <v>Dan</v>
      </c>
      <c r="E1054" s="2" t="str">
        <f>IFERROR(__xludf.DUMMYFUNCTION("""COMPUTED_VALUE"""),"Postdoc")</f>
        <v>Postdoc</v>
      </c>
      <c r="F1054" s="2" t="str">
        <f>IFERROR(__xludf.DUMMYFUNCTION("""COMPUTED_VALUE"""),"dingxl@berkeley.edu")</f>
        <v>dingxl@berkeley.edu</v>
      </c>
      <c r="G1054" s="2" t="str">
        <f>IFERROR(__xludf.DUMMYFUNCTION("""COMPUTED_VALUE"""),"0000-0002-1378-1112")</f>
        <v>0000-0002-1378-1112</v>
      </c>
    </row>
    <row r="1055">
      <c r="A1055" s="2" t="str">
        <f>IFERROR(__xludf.DUMMYFUNCTION("""COMPUTED_VALUE"""),"Silverman")</f>
        <v>Silverman</v>
      </c>
      <c r="B1055" s="2" t="str">
        <f>IFERROR(__xludf.DUMMYFUNCTION("""COMPUTED_VALUE"""),"Daniel")</f>
        <v>Daniel</v>
      </c>
      <c r="C1055" s="2" t="str">
        <f>IFERROR(__xludf.DUMMYFUNCTION("""COMPUTED_VALUE"""),"Key Personnel")</f>
        <v>Key Personnel</v>
      </c>
      <c r="D1055" s="2" t="str">
        <f>IFERROR(__xludf.DUMMYFUNCTION("""COMPUTED_VALUE"""),"Dan")</f>
        <v>Dan</v>
      </c>
      <c r="E1055" s="2" t="str">
        <f>IFERROR(__xludf.DUMMYFUNCTION("""COMPUTED_VALUE"""),"Postdoc")</f>
        <v>Postdoc</v>
      </c>
      <c r="F1055" s="2" t="str">
        <f>IFERROR(__xludf.DUMMYFUNCTION("""COMPUTED_VALUE"""),"dsilverman@berkeley.edu")</f>
        <v>dsilverman@berkeley.edu</v>
      </c>
      <c r="G1055" s="2" t="str">
        <f>IFERROR(__xludf.DUMMYFUNCTION("""COMPUTED_VALUE"""),"0000-0002-3502-3742")</f>
        <v>0000-0002-3502-3742</v>
      </c>
    </row>
    <row r="1056">
      <c r="A1056" s="2" t="str">
        <f>IFERROR(__xludf.DUMMYFUNCTION("""COMPUTED_VALUE"""),"Schlossmacher")</f>
        <v>Schlossmacher</v>
      </c>
      <c r="B1056" s="2" t="str">
        <f>IFERROR(__xludf.DUMMYFUNCTION("""COMPUTED_VALUE"""),"Michael")</f>
        <v>Michael</v>
      </c>
      <c r="C1056" s="2" t="str">
        <f>IFERROR(__xludf.DUMMYFUNCTION("""COMPUTED_VALUE"""),"Lead-PI")</f>
        <v>Lead-PI</v>
      </c>
      <c r="D1056" s="2" t="str">
        <f>IFERROR(__xludf.DUMMYFUNCTION("""COMPUTED_VALUE"""),"Schlossmacher")</f>
        <v>Schlossmacher</v>
      </c>
      <c r="E1056" s="2"/>
      <c r="F1056" s="2" t="str">
        <f>IFERROR(__xludf.DUMMYFUNCTION("""COMPUTED_VALUE"""),"mschlossmacher@toh.ca")</f>
        <v>mschlossmacher@toh.ca</v>
      </c>
      <c r="G1056" s="2" t="str">
        <f>IFERROR(__xludf.DUMMYFUNCTION("""COMPUTED_VALUE"""),"0000-0002-0394-0300")</f>
        <v>0000-0002-0394-0300</v>
      </c>
    </row>
    <row r="1057">
      <c r="A1057" s="2" t="str">
        <f>IFERROR(__xludf.DUMMYFUNCTION("""COMPUTED_VALUE"""),"Arenkiel")</f>
        <v>Arenkiel</v>
      </c>
      <c r="B1057" s="2" t="str">
        <f>IFERROR(__xludf.DUMMYFUNCTION("""COMPUTED_VALUE"""),"Benjamin")</f>
        <v>Benjamin</v>
      </c>
      <c r="C1057" s="2" t="str">
        <f>IFERROR(__xludf.DUMMYFUNCTION("""COMPUTED_VALUE"""),"Co-PI")</f>
        <v>Co-PI</v>
      </c>
      <c r="D1057" s="2" t="str">
        <f>IFERROR(__xludf.DUMMYFUNCTION("""COMPUTED_VALUE"""),"Arenkiel")</f>
        <v>Arenkiel</v>
      </c>
      <c r="E1057" s="2"/>
      <c r="F1057" s="2" t="str">
        <f>IFERROR(__xludf.DUMMYFUNCTION("""COMPUTED_VALUE"""),"arenkiel@bcm.edu")</f>
        <v>arenkiel@bcm.edu</v>
      </c>
      <c r="G1057" s="2" t="str">
        <f>IFERROR(__xludf.DUMMYFUNCTION("""COMPUTED_VALUE"""),"0000-0001-9047-2420")</f>
        <v>0000-0001-9047-2420</v>
      </c>
    </row>
    <row r="1058">
      <c r="A1058" s="2" t="str">
        <f>IFERROR(__xludf.DUMMYFUNCTION("""COMPUTED_VALUE"""),"Mollenhauer ")</f>
        <v>Mollenhauer </v>
      </c>
      <c r="B1058" s="2" t="str">
        <f>IFERROR(__xludf.DUMMYFUNCTION("""COMPUTED_VALUE"""),"Brit")</f>
        <v>Brit</v>
      </c>
      <c r="C1058" s="2" t="str">
        <f>IFERROR(__xludf.DUMMYFUNCTION("""COMPUTED_VALUE"""),"Co-PI")</f>
        <v>Co-PI</v>
      </c>
      <c r="D1058" s="2" t="str">
        <f>IFERROR(__xludf.DUMMYFUNCTION("""COMPUTED_VALUE"""),"Mollenhauer")</f>
        <v>Mollenhauer</v>
      </c>
      <c r="E1058" s="2"/>
      <c r="F1058" s="2" t="str">
        <f>IFERROR(__xludf.DUMMYFUNCTION("""COMPUTED_VALUE"""),"brit.mollenhauer@med.uni-goettingen.de")</f>
        <v>brit.mollenhauer@med.uni-goettingen.de</v>
      </c>
      <c r="G1058" s="2" t="str">
        <f>IFERROR(__xludf.DUMMYFUNCTION("""COMPUTED_VALUE"""),"0000-0001-8437-3645")</f>
        <v>0000-0001-8437-3645</v>
      </c>
    </row>
    <row r="1059">
      <c r="A1059" s="2" t="str">
        <f>IFERROR(__xludf.DUMMYFUNCTION("""COMPUTED_VALUE"""),"Rousseaux")</f>
        <v>Rousseaux</v>
      </c>
      <c r="B1059" s="2" t="str">
        <f>IFERROR(__xludf.DUMMYFUNCTION("""COMPUTED_VALUE"""),"Maxime")</f>
        <v>Maxime</v>
      </c>
      <c r="C1059" s="2" t="str">
        <f>IFERROR(__xludf.DUMMYFUNCTION("""COMPUTED_VALUE"""),"Co-PI")</f>
        <v>Co-PI</v>
      </c>
      <c r="D1059" s="2" t="str">
        <f>IFERROR(__xludf.DUMMYFUNCTION("""COMPUTED_VALUE"""),"Rousseaux")</f>
        <v>Rousseaux</v>
      </c>
      <c r="E1059" s="2"/>
      <c r="F1059" s="2" t="str">
        <f>IFERROR(__xludf.DUMMYFUNCTION("""COMPUTED_VALUE"""),"max.rousseaux@uottawa.ca")</f>
        <v>max.rousseaux@uottawa.ca</v>
      </c>
      <c r="G1059" s="2" t="str">
        <f>IFERROR(__xludf.DUMMYFUNCTION("""COMPUTED_VALUE"""),"0000-0002-2737-6193")</f>
        <v>0000-0002-2737-6193</v>
      </c>
    </row>
    <row r="1060">
      <c r="A1060" s="2" t="str">
        <f>IFERROR(__xludf.DUMMYFUNCTION("""COMPUTED_VALUE"""),"Stadelmann")</f>
        <v>Stadelmann</v>
      </c>
      <c r="B1060" s="2" t="str">
        <f>IFERROR(__xludf.DUMMYFUNCTION("""COMPUTED_VALUE"""),"Christine")</f>
        <v>Christine</v>
      </c>
      <c r="C1060" s="2" t="str">
        <f>IFERROR(__xludf.DUMMYFUNCTION("""COMPUTED_VALUE"""),"Co-PI")</f>
        <v>Co-PI</v>
      </c>
      <c r="D1060" s="2" t="str">
        <f>IFERROR(__xludf.DUMMYFUNCTION("""COMPUTED_VALUE"""),"Stadelmann")</f>
        <v>Stadelmann</v>
      </c>
      <c r="E1060" s="2"/>
      <c r="F1060" s="2" t="str">
        <f>IFERROR(__xludf.DUMMYFUNCTION("""COMPUTED_VALUE"""),"cstadelmann@med.uni-goettingen.de")</f>
        <v>cstadelmann@med.uni-goettingen.de</v>
      </c>
      <c r="G1060" s="2" t="str">
        <f>IFERROR(__xludf.DUMMYFUNCTION("""COMPUTED_VALUE"""),"0000-0003-1766-5458")</f>
        <v>0000-0003-1766-5458</v>
      </c>
    </row>
    <row r="1061">
      <c r="A1061" s="2" t="str">
        <f>IFERROR(__xludf.DUMMYFUNCTION("""COMPUTED_VALUE"""),"Tomlinson")</f>
        <v>Tomlinson</v>
      </c>
      <c r="B1061" s="2" t="str">
        <f>IFERROR(__xludf.DUMMYFUNCTION("""COMPUTED_VALUE"""),"Julianna")</f>
        <v>Julianna</v>
      </c>
      <c r="C1061" s="2" t="str">
        <f>IFERROR(__xludf.DUMMYFUNCTION("""COMPUTED_VALUE"""),"Project Manager")</f>
        <v>Project Manager</v>
      </c>
      <c r="D1061" s="2" t="str">
        <f>IFERROR(__xludf.DUMMYFUNCTION("""COMPUTED_VALUE"""),"Schlossmacher")</f>
        <v>Schlossmacher</v>
      </c>
      <c r="E1061" s="2"/>
      <c r="F1061" s="2" t="str">
        <f>IFERROR(__xludf.DUMMYFUNCTION("""COMPUTED_VALUE"""),"jtomlinson@ohri.ca")</f>
        <v>jtomlinson@ohri.ca</v>
      </c>
      <c r="G1061" s="2" t="str">
        <f>IFERROR(__xludf.DUMMYFUNCTION("""COMPUTED_VALUE"""),"0000-0003-2997-5162
")</f>
        <v>0000-0003-2997-5162
</v>
      </c>
    </row>
    <row r="1062">
      <c r="A1062" s="2" t="str">
        <f>IFERROR(__xludf.DUMMYFUNCTION("""COMPUTED_VALUE"""),"Liu")</f>
        <v>Liu</v>
      </c>
      <c r="B1062" s="2" t="str">
        <f>IFERROR(__xludf.DUMMYFUNCTION("""COMPUTED_VALUE"""),"Zhandong")</f>
        <v>Zhandong</v>
      </c>
      <c r="C1062" s="2" t="str">
        <f>IFERROR(__xludf.DUMMYFUNCTION("""COMPUTED_VALUE"""),"Collaborating PI")</f>
        <v>Collaborating PI</v>
      </c>
      <c r="D1062" s="2" t="str">
        <f>IFERROR(__xludf.DUMMYFUNCTION("""COMPUTED_VALUE"""),"Liu")</f>
        <v>Liu</v>
      </c>
      <c r="E1062" s="2"/>
      <c r="F1062" s="2" t="str">
        <f>IFERROR(__xludf.DUMMYFUNCTION("""COMPUTED_VALUE"""),"zhandong.liu@bcm.edu")</f>
        <v>zhandong.liu@bcm.edu</v>
      </c>
      <c r="G1062" s="2" t="str">
        <f>IFERROR(__xludf.DUMMYFUNCTION("""COMPUTED_VALUE"""),"0000-0002-7608-0831")</f>
        <v>0000-0002-7608-0831</v>
      </c>
    </row>
    <row r="1063">
      <c r="A1063" s="2" t="str">
        <f>IFERROR(__xludf.DUMMYFUNCTION("""COMPUTED_VALUE"""),"Franz")</f>
        <v>Franz</v>
      </c>
      <c r="B1063" s="2" t="str">
        <f>IFERROR(__xludf.DUMMYFUNCTION("""COMPUTED_VALUE"""),"Jonas")</f>
        <v>Jonas</v>
      </c>
      <c r="C1063" s="2" t="str">
        <f>IFERROR(__xludf.DUMMYFUNCTION("""COMPUTED_VALUE"""),"Key Personnel")</f>
        <v>Key Personnel</v>
      </c>
      <c r="D1063" s="2" t="str">
        <f>IFERROR(__xludf.DUMMYFUNCTION("""COMPUTED_VALUE"""),"Stadelmann")</f>
        <v>Stadelmann</v>
      </c>
      <c r="E1063" s="2"/>
      <c r="F1063" s="2" t="str">
        <f>IFERROR(__xludf.DUMMYFUNCTION("""COMPUTED_VALUE"""),"jonas.franz@med.uni-goettingen.de")</f>
        <v>jonas.franz@med.uni-goettingen.de</v>
      </c>
      <c r="G1063" s="2" t="str">
        <f>IFERROR(__xludf.DUMMYFUNCTION("""COMPUTED_VALUE"""),"0000-0001-7523-6622")</f>
        <v>0000-0001-7523-6622</v>
      </c>
    </row>
    <row r="1064">
      <c r="A1064" s="2" t="str">
        <f>IFERROR(__xludf.DUMMYFUNCTION("""COMPUTED_VALUE"""),"Woulfe")</f>
        <v>Woulfe</v>
      </c>
      <c r="B1064" s="2" t="str">
        <f>IFERROR(__xludf.DUMMYFUNCTION("""COMPUTED_VALUE"""),"John")</f>
        <v>John</v>
      </c>
      <c r="C1064" s="2" t="str">
        <f>IFERROR(__xludf.DUMMYFUNCTION("""COMPUTED_VALUE"""),"Collaborating PI")</f>
        <v>Collaborating PI</v>
      </c>
      <c r="D1064" s="2" t="str">
        <f>IFERROR(__xludf.DUMMYFUNCTION("""COMPUTED_VALUE"""),"Woulfe")</f>
        <v>Woulfe</v>
      </c>
      <c r="E1064" s="2"/>
      <c r="F1064" s="2" t="str">
        <f>IFERROR(__xludf.DUMMYFUNCTION("""COMPUTED_VALUE"""),"jwoulfe@eorla.ca")</f>
        <v>jwoulfe@eorla.ca</v>
      </c>
      <c r="G1064" s="2" t="str">
        <f>IFERROR(__xludf.DUMMYFUNCTION("""COMPUTED_VALUE"""),"0000-0002-7382-6343")</f>
        <v>0000-0002-7382-6343</v>
      </c>
    </row>
    <row r="1065">
      <c r="A1065" s="2" t="str">
        <f>IFERROR(__xludf.DUMMYFUNCTION("""COMPUTED_VALUE"""),"Salmaso")</f>
        <v>Salmaso</v>
      </c>
      <c r="B1065" s="2" t="str">
        <f>IFERROR(__xludf.DUMMYFUNCTION("""COMPUTED_VALUE"""),"Natalina")</f>
        <v>Natalina</v>
      </c>
      <c r="C1065" s="2" t="str">
        <f>IFERROR(__xludf.DUMMYFUNCTION("""COMPUTED_VALUE"""),"Collaborating PI")</f>
        <v>Collaborating PI</v>
      </c>
      <c r="D1065" s="2" t="str">
        <f>IFERROR(__xludf.DUMMYFUNCTION("""COMPUTED_VALUE"""),"Salmaso")</f>
        <v>Salmaso</v>
      </c>
      <c r="E1065" s="2"/>
      <c r="F1065" s="2" t="str">
        <f>IFERROR(__xludf.DUMMYFUNCTION("""COMPUTED_VALUE"""),"natalina.salmaso@carleton.ca")</f>
        <v>natalina.salmaso@carleton.ca</v>
      </c>
      <c r="G1065" s="2" t="str">
        <f>IFERROR(__xludf.DUMMYFUNCTION("""COMPUTED_VALUE"""),"0000-0002-9661-5194")</f>
        <v>0000-0002-9661-5194</v>
      </c>
    </row>
    <row r="1066">
      <c r="A1066" s="2" t="str">
        <f>IFERROR(__xludf.DUMMYFUNCTION("""COMPUTED_VALUE"""),"Penninger")</f>
        <v>Penninger</v>
      </c>
      <c r="B1066" s="2" t="str">
        <f>IFERROR(__xludf.DUMMYFUNCTION("""COMPUTED_VALUE"""),"Josef")</f>
        <v>Josef</v>
      </c>
      <c r="C1066" s="2" t="str">
        <f>IFERROR(__xludf.DUMMYFUNCTION("""COMPUTED_VALUE"""),"Collaborating PI")</f>
        <v>Collaborating PI</v>
      </c>
      <c r="D1066" s="2" t="str">
        <f>IFERROR(__xludf.DUMMYFUNCTION("""COMPUTED_VALUE"""),"Penninger")</f>
        <v>Penninger</v>
      </c>
      <c r="E1066" s="2"/>
      <c r="F1066" s="2" t="str">
        <f>IFERROR(__xludf.DUMMYFUNCTION("""COMPUTED_VALUE"""),"josef.penninger@ubc.ca")</f>
        <v>josef.penninger@ubc.ca</v>
      </c>
      <c r="G1066" s="2" t="str">
        <f>IFERROR(__xludf.DUMMYFUNCTION("""COMPUTED_VALUE"""),"0000-0002-8194-3777")</f>
        <v>0000-0002-8194-3777</v>
      </c>
    </row>
    <row r="1067">
      <c r="A1067" s="2" t="str">
        <f>IFERROR(__xludf.DUMMYFUNCTION("""COMPUTED_VALUE"""),"Nguyen")</f>
        <v>Nguyen</v>
      </c>
      <c r="B1067" s="2" t="str">
        <f>IFERROR(__xludf.DUMMYFUNCTION("""COMPUTED_VALUE"""),"Benjamin")</f>
        <v>Benjamin</v>
      </c>
      <c r="C1067" s="2" t="str">
        <f>IFERROR(__xludf.DUMMYFUNCTION("""COMPUTED_VALUE"""),"Key Personnel")</f>
        <v>Key Personnel</v>
      </c>
      <c r="D1067" s="2" t="str">
        <f>IFERROR(__xludf.DUMMYFUNCTION("""COMPUTED_VALUE"""),"Rousseaux")</f>
        <v>Rousseaux</v>
      </c>
      <c r="E1067" s="2"/>
      <c r="F1067" s="2" t="str">
        <f>IFERROR(__xludf.DUMMYFUNCTION("""COMPUTED_VALUE"""),"benjamin.nguyen@uottawa.ca")</f>
        <v>benjamin.nguyen@uottawa.ca</v>
      </c>
      <c r="G1067" s="2" t="str">
        <f>IFERROR(__xludf.DUMMYFUNCTION("""COMPUTED_VALUE"""),"0000-0001-5485-0308")</f>
        <v>0000-0001-5485-0308</v>
      </c>
    </row>
    <row r="1068">
      <c r="A1068" s="2" t="str">
        <f>IFERROR(__xludf.DUMMYFUNCTION("""COMPUTED_VALUE"""),"Ricke")</f>
        <v>Ricke</v>
      </c>
      <c r="B1068" s="2" t="str">
        <f>IFERROR(__xludf.DUMMYFUNCTION("""COMPUTED_VALUE"""),"Konrad")</f>
        <v>Konrad</v>
      </c>
      <c r="C1068" s="2" t="str">
        <f>IFERROR(__xludf.DUMMYFUNCTION("""COMPUTED_VALUE"""),"Key Personnel")</f>
        <v>Key Personnel</v>
      </c>
      <c r="D1068" s="2" t="str">
        <f>IFERROR(__xludf.DUMMYFUNCTION("""COMPUTED_VALUE"""),"Rousseaux")</f>
        <v>Rousseaux</v>
      </c>
      <c r="E1068" s="2"/>
      <c r="F1068" s="2" t="str">
        <f>IFERROR(__xludf.DUMMYFUNCTION("""COMPUTED_VALUE"""),"konradricke1985@gmail.com")</f>
        <v>konradricke1985@gmail.com</v>
      </c>
      <c r="G1068" s="2" t="str">
        <f>IFERROR(__xludf.DUMMYFUNCTION("""COMPUTED_VALUE"""),"0000-0002-9425-0603")</f>
        <v>0000-0002-9425-0603</v>
      </c>
    </row>
    <row r="1069">
      <c r="A1069" s="2" t="str">
        <f>IFERROR(__xludf.DUMMYFUNCTION("""COMPUTED_VALUE"""),"Hasan Ali")</f>
        <v>Hasan Ali</v>
      </c>
      <c r="B1069" s="2" t="str">
        <f>IFERROR(__xludf.DUMMYFUNCTION("""COMPUTED_VALUE"""),"Omar")</f>
        <v>Omar</v>
      </c>
      <c r="C1069" s="2" t="str">
        <f>IFERROR(__xludf.DUMMYFUNCTION("""COMPUTED_VALUE"""),"Key Personnel")</f>
        <v>Key Personnel</v>
      </c>
      <c r="D1069" s="2" t="str">
        <f>IFERROR(__xludf.DUMMYFUNCTION("""COMPUTED_VALUE"""),"Penninger")</f>
        <v>Penninger</v>
      </c>
      <c r="E1069" s="2" t="str">
        <f>IFERROR(__xludf.DUMMYFUNCTION("""COMPUTED_VALUE"""),"Clinician Scientist")</f>
        <v>Clinician Scientist</v>
      </c>
      <c r="F1069" s="2" t="str">
        <f>IFERROR(__xludf.DUMMYFUNCTION("""COMPUTED_VALUE"""),"omar.hasanali@ubc.ca")</f>
        <v>omar.hasanali@ubc.ca</v>
      </c>
      <c r="G1069" s="2" t="str">
        <f>IFERROR(__xludf.DUMMYFUNCTION("""COMPUTED_VALUE"""),"0000-0001-5185-7520")</f>
        <v>0000-0001-5185-7520</v>
      </c>
    </row>
    <row r="1070">
      <c r="A1070" s="2" t="str">
        <f>IFERROR(__xludf.DUMMYFUNCTION("""COMPUTED_VALUE"""),"Lengacher")</f>
        <v>Lengacher</v>
      </c>
      <c r="B1070" s="2" t="str">
        <f>IFERROR(__xludf.DUMMYFUNCTION("""COMPUTED_VALUE"""),"Nathalie")</f>
        <v>Nathalie</v>
      </c>
      <c r="C1070" s="2" t="str">
        <f>IFERROR(__xludf.DUMMYFUNCTION("""COMPUTED_VALUE"""),"Key Personnel")</f>
        <v>Key Personnel</v>
      </c>
      <c r="D1070" s="2" t="str">
        <f>IFERROR(__xludf.DUMMYFUNCTION("""COMPUTED_VALUE"""),"Schlossmacher")</f>
        <v>Schlossmacher</v>
      </c>
      <c r="E1070" s="2" t="str">
        <f>IFERROR(__xludf.DUMMYFUNCTION("""COMPUTED_VALUE"""),"Research Technician")</f>
        <v>Research Technician</v>
      </c>
      <c r="F1070" s="2" t="str">
        <f>IFERROR(__xludf.DUMMYFUNCTION("""COMPUTED_VALUE"""),"nathalie.lengacher@uottawa.ca")</f>
        <v>nathalie.lengacher@uottawa.ca</v>
      </c>
      <c r="G1070" s="2" t="str">
        <f>IFERROR(__xludf.DUMMYFUNCTION("""COMPUTED_VALUE"""),"0000-0002-2536-1895")</f>
        <v>0000-0002-2536-1895</v>
      </c>
    </row>
    <row r="1071">
      <c r="A1071" s="2" t="str">
        <f>IFERROR(__xludf.DUMMYFUNCTION("""COMPUTED_VALUE"""),"Lunn")</f>
        <v>Lunn</v>
      </c>
      <c r="B1071" s="2" t="str">
        <f>IFERROR(__xludf.DUMMYFUNCTION("""COMPUTED_VALUE"""),"Michaela")</f>
        <v>Michaela</v>
      </c>
      <c r="C1071" s="2" t="str">
        <f>IFERROR(__xludf.DUMMYFUNCTION("""COMPUTED_VALUE"""),"Key Personnel")</f>
        <v>Key Personnel</v>
      </c>
      <c r="D1071" s="2" t="str">
        <f>IFERROR(__xludf.DUMMYFUNCTION("""COMPUTED_VALUE"""),"Schlossmacher")</f>
        <v>Schlossmacher</v>
      </c>
      <c r="E1071" s="2" t="str">
        <f>IFERROR(__xludf.DUMMYFUNCTION("""COMPUTED_VALUE"""),"PhD Candidate")</f>
        <v>PhD Candidate</v>
      </c>
      <c r="F1071" s="2" t="str">
        <f>IFERROR(__xludf.DUMMYFUNCTION("""COMPUTED_VALUE"""),"mlunn092@uottawa.ca")</f>
        <v>mlunn092@uottawa.ca</v>
      </c>
      <c r="G1071" s="2" t="str">
        <f>IFERROR(__xludf.DUMMYFUNCTION("""COMPUTED_VALUE"""),"0000-0003-0876-8017")</f>
        <v>0000-0003-0876-8017</v>
      </c>
    </row>
    <row r="1072">
      <c r="A1072" s="2" t="str">
        <f>IFERROR(__xludf.DUMMYFUNCTION("""COMPUTED_VALUE"""),"Li")</f>
        <v>Li</v>
      </c>
      <c r="B1072" s="2" t="str">
        <f>IFERROR(__xludf.DUMMYFUNCTION("""COMPUTED_VALUE"""),"Juan")</f>
        <v>Juan</v>
      </c>
      <c r="C1072" s="2" t="str">
        <f>IFERROR(__xludf.DUMMYFUNCTION("""COMPUTED_VALUE"""),"Key Personnel")</f>
        <v>Key Personnel</v>
      </c>
      <c r="D1072" s="2" t="str">
        <f>IFERROR(__xludf.DUMMYFUNCTION("""COMPUTED_VALUE"""),"Schlossmacher")</f>
        <v>Schlossmacher</v>
      </c>
      <c r="E1072" s="2"/>
      <c r="F1072" s="2" t="str">
        <f>IFERROR(__xludf.DUMMYFUNCTION("""COMPUTED_VALUE"""),"juli@ohri.ca")</f>
        <v>juli@ohri.ca</v>
      </c>
      <c r="G1072" s="2" t="str">
        <f>IFERROR(__xludf.DUMMYFUNCTION("""COMPUTED_VALUE"""),"0000-0003-1565-2477")</f>
        <v>0000-0003-1565-2477</v>
      </c>
    </row>
    <row r="1073">
      <c r="A1073" s="2" t="str">
        <f>IFERROR(__xludf.DUMMYFUNCTION("""COMPUTED_VALUE"""),"Belfort")</f>
        <v>Belfort</v>
      </c>
      <c r="B1073" s="2" t="str">
        <f>IFERROR(__xludf.DUMMYFUNCTION("""COMPUTED_VALUE"""),"Benjamin")</f>
        <v>Benjamin</v>
      </c>
      <c r="C1073" s="2" t="str">
        <f>IFERROR(__xludf.DUMMYFUNCTION("""COMPUTED_VALUE"""),"Key Personnel")</f>
        <v>Key Personnel</v>
      </c>
      <c r="D1073" s="2" t="str">
        <f>IFERROR(__xludf.DUMMYFUNCTION("""COMPUTED_VALUE"""),"Arenkiel")</f>
        <v>Arenkiel</v>
      </c>
      <c r="E1073" s="2" t="str">
        <f>IFERROR(__xludf.DUMMYFUNCTION("""COMPUTED_VALUE"""),"MD/PhD Candidate")</f>
        <v>MD/PhD Candidate</v>
      </c>
      <c r="F1073" s="2" t="str">
        <f>IFERROR(__xludf.DUMMYFUNCTION("""COMPUTED_VALUE"""),"benjamin.belfort@bcm.edu")</f>
        <v>benjamin.belfort@bcm.edu</v>
      </c>
      <c r="G1073" s="2" t="str">
        <f>IFERROR(__xludf.DUMMYFUNCTION("""COMPUTED_VALUE"""),"0000-0002-2866-5763")</f>
        <v>0000-0002-2866-5763</v>
      </c>
    </row>
    <row r="1074">
      <c r="A1074" s="2" t="str">
        <f>IFERROR(__xludf.DUMMYFUNCTION("""COMPUTED_VALUE"""),"Xylaki")</f>
        <v>Xylaki</v>
      </c>
      <c r="B1074" s="2" t="str">
        <f>IFERROR(__xludf.DUMMYFUNCTION("""COMPUTED_VALUE"""),"Mary")</f>
        <v>Mary</v>
      </c>
      <c r="C1074" s="2" t="str">
        <f>IFERROR(__xludf.DUMMYFUNCTION("""COMPUTED_VALUE"""),"Key Personnel")</f>
        <v>Key Personnel</v>
      </c>
      <c r="D1074" s="2" t="str">
        <f>IFERROR(__xludf.DUMMYFUNCTION("""COMPUTED_VALUE"""),"Mollenhauer")</f>
        <v>Mollenhauer</v>
      </c>
      <c r="E1074" s="2" t="str">
        <f>IFERROR(__xludf.DUMMYFUNCTION("""COMPUTED_VALUE"""),"Postdoctoral Fellow")</f>
        <v>Postdoctoral Fellow</v>
      </c>
      <c r="F1074" s="2" t="str">
        <f>IFERROR(__xludf.DUMMYFUNCTION("""COMPUTED_VALUE"""),"maria.xylaki@med.uni-goettingen.de")</f>
        <v>maria.xylaki@med.uni-goettingen.de</v>
      </c>
      <c r="G1074" s="2" t="str">
        <f>IFERROR(__xludf.DUMMYFUNCTION("""COMPUTED_VALUE"""),"0000-0002-7892-8621")</f>
        <v>0000-0002-7892-8621</v>
      </c>
    </row>
    <row r="1075">
      <c r="A1075" s="2" t="str">
        <f>IFERROR(__xludf.DUMMYFUNCTION("""COMPUTED_VALUE"""),"Bartl")</f>
        <v>Bartl</v>
      </c>
      <c r="B1075" s="2" t="str">
        <f>IFERROR(__xludf.DUMMYFUNCTION("""COMPUTED_VALUE"""),"Michael")</f>
        <v>Michael</v>
      </c>
      <c r="C1075" s="2" t="str">
        <f>IFERROR(__xludf.DUMMYFUNCTION("""COMPUTED_VALUE"""),"Key Personnel")</f>
        <v>Key Personnel</v>
      </c>
      <c r="D1075" s="2" t="str">
        <f>IFERROR(__xludf.DUMMYFUNCTION("""COMPUTED_VALUE"""),"Mollenhauer")</f>
        <v>Mollenhauer</v>
      </c>
      <c r="E1075" s="2" t="str">
        <f>IFERROR(__xludf.DUMMYFUNCTION("""COMPUTED_VALUE"""),"Clinician Scientist")</f>
        <v>Clinician Scientist</v>
      </c>
      <c r="F1075" s="2" t="str">
        <f>IFERROR(__xludf.DUMMYFUNCTION("""COMPUTED_VALUE"""),"michael.bartl@med.uni-goettingen.de")</f>
        <v>michael.bartl@med.uni-goettingen.de</v>
      </c>
      <c r="G1075" s="2" t="str">
        <f>IFERROR(__xludf.DUMMYFUNCTION("""COMPUTED_VALUE"""),"0000-0002-7752-2443")</f>
        <v>0000-0002-7752-2443</v>
      </c>
    </row>
    <row r="1076">
      <c r="A1076" s="2" t="str">
        <f>IFERROR(__xludf.DUMMYFUNCTION("""COMPUTED_VALUE"""),"McNeill")</f>
        <v>McNeill</v>
      </c>
      <c r="B1076" s="2" t="str">
        <f>IFERROR(__xludf.DUMMYFUNCTION("""COMPUTED_VALUE"""),"Jessica")</f>
        <v>Jessica</v>
      </c>
      <c r="C1076" s="2" t="str">
        <f>IFERROR(__xludf.DUMMYFUNCTION("""COMPUTED_VALUE"""),"Key Personnel")</f>
        <v>Key Personnel</v>
      </c>
      <c r="D1076" s="2" t="str">
        <f>IFERROR(__xludf.DUMMYFUNCTION("""COMPUTED_VALUE"""),"Salmaso")</f>
        <v>Salmaso</v>
      </c>
      <c r="E1076" s="2" t="str">
        <f>IFERROR(__xludf.DUMMYFUNCTION("""COMPUTED_VALUE"""),"Graduate Student")</f>
        <v>Graduate Student</v>
      </c>
      <c r="F1076" s="2" t="str">
        <f>IFERROR(__xludf.DUMMYFUNCTION("""COMPUTED_VALUE"""),"jessicamcneill@cmail.carleton.ca")</f>
        <v>jessicamcneill@cmail.carleton.ca</v>
      </c>
      <c r="G1076" s="2" t="str">
        <f>IFERROR(__xludf.DUMMYFUNCTION("""COMPUTED_VALUE"""),"0000-0003-4260-9706")</f>
        <v>0000-0003-4260-9706</v>
      </c>
    </row>
    <row r="1077">
      <c r="A1077" s="2" t="str">
        <f>IFERROR(__xludf.DUMMYFUNCTION("""COMPUTED_VALUE"""),"Simard")</f>
        <v>Simard</v>
      </c>
      <c r="B1077" s="2" t="str">
        <f>IFERROR(__xludf.DUMMYFUNCTION("""COMPUTED_VALUE"""),"Stephanie")</f>
        <v>Stephanie</v>
      </c>
      <c r="C1077" s="2" t="str">
        <f>IFERROR(__xludf.DUMMYFUNCTION("""COMPUTED_VALUE"""),"Key Personnel")</f>
        <v>Key Personnel</v>
      </c>
      <c r="D1077" s="2" t="str">
        <f>IFERROR(__xludf.DUMMYFUNCTION("""COMPUTED_VALUE"""),"Salmaso")</f>
        <v>Salmaso</v>
      </c>
      <c r="E1077" s="2" t="str">
        <f>IFERROR(__xludf.DUMMYFUNCTION("""COMPUTED_VALUE"""),"Lab manager")</f>
        <v>Lab manager</v>
      </c>
      <c r="F1077" s="2" t="str">
        <f>IFERROR(__xludf.DUMMYFUNCTION("""COMPUTED_VALUE"""),"stephanieraysimard@gmail.com")</f>
        <v>stephanieraysimard@gmail.com</v>
      </c>
      <c r="G1077" s="2" t="str">
        <f>IFERROR(__xludf.DUMMYFUNCTION("""COMPUTED_VALUE"""),"0000-0001-7770-2295")</f>
        <v>0000-0001-7770-2295</v>
      </c>
    </row>
    <row r="1078">
      <c r="A1078" s="2" t="str">
        <f>IFERROR(__xludf.DUMMYFUNCTION("""COMPUTED_VALUE"""),"Reimer ")</f>
        <v>Reimer </v>
      </c>
      <c r="B1078" s="2" t="str">
        <f>IFERROR(__xludf.DUMMYFUNCTION("""COMPUTED_VALUE"""),"Jacob")</f>
        <v>Jacob</v>
      </c>
      <c r="C1078" s="2" t="str">
        <f>IFERROR(__xludf.DUMMYFUNCTION("""COMPUTED_VALUE"""),"Collaborating PI")</f>
        <v>Collaborating PI</v>
      </c>
      <c r="D1078" s="2" t="str">
        <f>IFERROR(__xludf.DUMMYFUNCTION("""COMPUTED_VALUE"""),"Reimer")</f>
        <v>Reimer</v>
      </c>
      <c r="E1078" s="2" t="str">
        <f>IFERROR(__xludf.DUMMYFUNCTION("""COMPUTED_VALUE"""),"PI")</f>
        <v>PI</v>
      </c>
      <c r="F1078" s="2" t="str">
        <f>IFERROR(__xludf.DUMMYFUNCTION("""COMPUTED_VALUE"""),"reimer@bcm.edu")</f>
        <v>reimer@bcm.edu</v>
      </c>
      <c r="G1078" s="2" t="str">
        <f>IFERROR(__xludf.DUMMYFUNCTION("""COMPUTED_VALUE"""),"0000-0003-4364-8846")</f>
        <v>0000-0003-4364-8846</v>
      </c>
    </row>
    <row r="1079">
      <c r="A1079" s="2" t="str">
        <f>IFERROR(__xludf.DUMMYFUNCTION("""COMPUTED_VALUE"""),"Garza")</f>
        <v>Garza</v>
      </c>
      <c r="B1079" s="2" t="str">
        <f>IFERROR(__xludf.DUMMYFUNCTION("""COMPUTED_VALUE"""),"Alex")</f>
        <v>Alex</v>
      </c>
      <c r="C1079" s="2" t="str">
        <f>IFERROR(__xludf.DUMMYFUNCTION("""COMPUTED_VALUE"""),"Key Personnel")</f>
        <v>Key Personnel</v>
      </c>
      <c r="D1079" s="2" t="str">
        <f>IFERROR(__xludf.DUMMYFUNCTION("""COMPUTED_VALUE"""),"Arenkiel")</f>
        <v>Arenkiel</v>
      </c>
      <c r="E1079" s="2" t="str">
        <f>IFERROR(__xludf.DUMMYFUNCTION("""COMPUTED_VALUE"""),"Graduate Student")</f>
        <v>Graduate Student</v>
      </c>
      <c r="F1079" s="2" t="str">
        <f>IFERROR(__xludf.DUMMYFUNCTION("""COMPUTED_VALUE"""),"alexandra.garza@bcm.edu")</f>
        <v>alexandra.garza@bcm.edu</v>
      </c>
      <c r="G1079" s="2" t="str">
        <f>IFERROR(__xludf.DUMMYFUNCTION("""COMPUTED_VALUE"""),"0000-0003-3288-4237")</f>
        <v>0000-0003-3288-4237</v>
      </c>
    </row>
    <row r="1080">
      <c r="A1080" s="2" t="str">
        <f>IFERROR(__xludf.DUMMYFUNCTION("""COMPUTED_VALUE"""),"Callaghan")</f>
        <v>Callaghan</v>
      </c>
      <c r="B1080" s="2" t="str">
        <f>IFERROR(__xludf.DUMMYFUNCTION("""COMPUTED_VALUE"""),"Steve")</f>
        <v>Steve</v>
      </c>
      <c r="C1080" s="2" t="str">
        <f>IFERROR(__xludf.DUMMYFUNCTION("""COMPUTED_VALUE"""),"Key Personnel")</f>
        <v>Key Personnel</v>
      </c>
      <c r="D1080" s="2" t="str">
        <f>IFERROR(__xludf.DUMMYFUNCTION("""COMPUTED_VALUE"""),"Rousseaux")</f>
        <v>Rousseaux</v>
      </c>
      <c r="E1080" s="2" t="str">
        <f>IFERROR(__xludf.DUMMYFUNCTION("""COMPUTED_VALUE"""),"Lab manager")</f>
        <v>Lab manager</v>
      </c>
      <c r="F1080" s="2" t="str">
        <f>IFERROR(__xludf.DUMMYFUNCTION("""COMPUTED_VALUE"""),"Steve.Callaghan@uottawa.ca")</f>
        <v>Steve.Callaghan@uottawa.ca</v>
      </c>
      <c r="G1080" s="2" t="str">
        <f>IFERROR(__xludf.DUMMYFUNCTION("""COMPUTED_VALUE"""),"0000-0001-6692-4060")</f>
        <v>0000-0001-6692-4060</v>
      </c>
    </row>
    <row r="1081">
      <c r="A1081" s="2" t="str">
        <f>IFERROR(__xludf.DUMMYFUNCTION("""COMPUTED_VALUE"""),"Prior")</f>
        <v>Prior</v>
      </c>
      <c r="B1081" s="2" t="str">
        <f>IFERROR(__xludf.DUMMYFUNCTION("""COMPUTED_VALUE"""),"Carolin Fabienne")</f>
        <v>Carolin Fabienne</v>
      </c>
      <c r="C1081" s="2" t="str">
        <f>IFERROR(__xludf.DUMMYFUNCTION("""COMPUTED_VALUE"""),"Key Personnel")</f>
        <v>Key Personnel</v>
      </c>
      <c r="D1081" s="2" t="str">
        <f>IFERROR(__xludf.DUMMYFUNCTION("""COMPUTED_VALUE"""),"Stadelmann")</f>
        <v>Stadelmann</v>
      </c>
      <c r="E1081" s="2" t="str">
        <f>IFERROR(__xludf.DUMMYFUNCTION("""COMPUTED_VALUE"""),"Medical Student")</f>
        <v>Medical Student</v>
      </c>
      <c r="F1081" s="2" t="str">
        <f>IFERROR(__xludf.DUMMYFUNCTION("""COMPUTED_VALUE"""),"c.prior@stud.uni-goettingen.de")</f>
        <v>c.prior@stud.uni-goettingen.de</v>
      </c>
      <c r="G1081" s="2" t="str">
        <f>IFERROR(__xludf.DUMMYFUNCTION("""COMPUTED_VALUE"""),"0000-0002-5601-4693")</f>
        <v>0000-0002-5601-4693</v>
      </c>
    </row>
    <row r="1082">
      <c r="A1082" s="2" t="str">
        <f>IFERROR(__xludf.DUMMYFUNCTION("""COMPUTED_VALUE"""),"Maluach")</f>
        <v>Maluach</v>
      </c>
      <c r="B1082" s="2" t="str">
        <f>IFERROR(__xludf.DUMMYFUNCTION("""COMPUTED_VALUE"""),"Alfred")</f>
        <v>Alfred</v>
      </c>
      <c r="C1082" s="2" t="str">
        <f>IFERROR(__xludf.DUMMYFUNCTION("""COMPUTED_VALUE"""),"Key Personnel")</f>
        <v>Key Personnel</v>
      </c>
      <c r="D1082" s="2" t="str">
        <f>IFERROR(__xludf.DUMMYFUNCTION("""COMPUTED_VALUE"""),"Rousseaux")</f>
        <v>Rousseaux</v>
      </c>
      <c r="E1082" s="2" t="str">
        <f>IFERROR(__xludf.DUMMYFUNCTION("""COMPUTED_VALUE"""),"Graduate Student")</f>
        <v>Graduate Student</v>
      </c>
      <c r="F1082" s="2" t="str">
        <f>IFERROR(__xludf.DUMMYFUNCTION("""COMPUTED_VALUE"""),"amalu090@uottawa.ca")</f>
        <v>amalu090@uottawa.ca</v>
      </c>
      <c r="G1082" s="2" t="str">
        <f>IFERROR(__xludf.DUMMYFUNCTION("""COMPUTED_VALUE"""),"0000-0002-5874-5158")</f>
        <v>0000-0002-5874-5158</v>
      </c>
    </row>
    <row r="1083">
      <c r="A1083" s="2" t="str">
        <f>IFERROR(__xludf.DUMMYFUNCTION("""COMPUTED_VALUE"""),"Ortiz")</f>
        <v>Ortiz</v>
      </c>
      <c r="B1083" s="2" t="str">
        <f>IFERROR(__xludf.DUMMYFUNCTION("""COMPUTED_VALUE"""),"Zoe")</f>
        <v>Zoe</v>
      </c>
      <c r="C1083" s="2" t="str">
        <f>IFERROR(__xludf.DUMMYFUNCTION("""COMPUTED_VALUE"""),"Key Personnel")</f>
        <v>Key Personnel</v>
      </c>
      <c r="D1083" s="2" t="str">
        <f>IFERROR(__xludf.DUMMYFUNCTION("""COMPUTED_VALUE"""),"Salmaso")</f>
        <v>Salmaso</v>
      </c>
      <c r="E1083" s="2" t="str">
        <f>IFERROR(__xludf.DUMMYFUNCTION("""COMPUTED_VALUE"""),"Undergraduate Student")</f>
        <v>Undergraduate Student</v>
      </c>
      <c r="F1083" s="2" t="str">
        <f>IFERROR(__xludf.DUMMYFUNCTION("""COMPUTED_VALUE"""),"ZoeOrtiz@cmail.carleton.ca")</f>
        <v>ZoeOrtiz@cmail.carleton.ca</v>
      </c>
      <c r="G1083" s="2" t="str">
        <f>IFERROR(__xludf.DUMMYFUNCTION("""COMPUTED_VALUE"""),"0000-0002-8647-7787")</f>
        <v>0000-0002-8647-7787</v>
      </c>
    </row>
    <row r="1084">
      <c r="A1084" s="2" t="str">
        <f>IFERROR(__xludf.DUMMYFUNCTION("""COMPUTED_VALUE"""),"Suman")</f>
        <v>Suman</v>
      </c>
      <c r="B1084" s="2" t="str">
        <f>IFERROR(__xludf.DUMMYFUNCTION("""COMPUTED_VALUE"""),"Priya")</f>
        <v>Priya</v>
      </c>
      <c r="C1084" s="2" t="str">
        <f>IFERROR(__xludf.DUMMYFUNCTION("""COMPUTED_VALUE"""),"Key Personnel")</f>
        <v>Key Personnel</v>
      </c>
      <c r="D1084" s="2" t="str">
        <f>IFERROR(__xludf.DUMMYFUNCTION("""COMPUTED_VALUE"""),"Schlossmacher")</f>
        <v>Schlossmacher</v>
      </c>
      <c r="E1084" s="2" t="str">
        <f>IFERROR(__xludf.DUMMYFUNCTION("""COMPUTED_VALUE"""),"Graduate Student")</f>
        <v>Graduate Student</v>
      </c>
      <c r="F1084" s="2" t="str">
        <f>IFERROR(__xludf.DUMMYFUNCTION("""COMPUTED_VALUE"""),"psuma022@uottawa.ca")</f>
        <v>psuma022@uottawa.ca</v>
      </c>
      <c r="G1084" s="2" t="str">
        <f>IFERROR(__xludf.DUMMYFUNCTION("""COMPUTED_VALUE"""),"0000-0003-3821-0591")</f>
        <v>0000-0003-3821-0591</v>
      </c>
    </row>
    <row r="1085">
      <c r="A1085" s="2" t="str">
        <f>IFERROR(__xludf.DUMMYFUNCTION("""COMPUTED_VALUE"""),"Würfel")</f>
        <v>Würfel</v>
      </c>
      <c r="B1085" s="2" t="str">
        <f>IFERROR(__xludf.DUMMYFUNCTION("""COMPUTED_VALUE"""),"Thea")</f>
        <v>Thea</v>
      </c>
      <c r="C1085" s="2" t="str">
        <f>IFERROR(__xludf.DUMMYFUNCTION("""COMPUTED_VALUE"""),"Key Personnel")</f>
        <v>Key Personnel</v>
      </c>
      <c r="D1085" s="2" t="str">
        <f>IFERROR(__xludf.DUMMYFUNCTION("""COMPUTED_VALUE"""),"Stadelmann")</f>
        <v>Stadelmann</v>
      </c>
      <c r="E1085" s="2" t="str">
        <f>IFERROR(__xludf.DUMMYFUNCTION("""COMPUTED_VALUE"""),"Graduate Student")</f>
        <v>Graduate Student</v>
      </c>
      <c r="F1085" s="2" t="str">
        <f>IFERROR(__xludf.DUMMYFUNCTION("""COMPUTED_VALUE"""),"thea.wuerfel@med.uni-goettingen.de")</f>
        <v>thea.wuerfel@med.uni-goettingen.de</v>
      </c>
      <c r="G1085" s="2" t="str">
        <f>IFERROR(__xludf.DUMMYFUNCTION("""COMPUTED_VALUE"""),"0009-0008-1048-2484")</f>
        <v>0009-0008-1048-2484</v>
      </c>
    </row>
    <row r="1086">
      <c r="A1086" s="2" t="str">
        <f>IFERROR(__xludf.DUMMYFUNCTION("""COMPUTED_VALUE"""),"Groulx")</f>
        <v>Groulx</v>
      </c>
      <c r="B1086" s="2" t="str">
        <f>IFERROR(__xludf.DUMMYFUNCTION("""COMPUTED_VALUE"""),"Chase")</f>
        <v>Chase</v>
      </c>
      <c r="C1086" s="2" t="str">
        <f>IFERROR(__xludf.DUMMYFUNCTION("""COMPUTED_VALUE"""),"Key Personnel")</f>
        <v>Key Personnel</v>
      </c>
      <c r="D1086" s="2" t="str">
        <f>IFERROR(__xludf.DUMMYFUNCTION("""COMPUTED_VALUE"""),"Salmaso")</f>
        <v>Salmaso</v>
      </c>
      <c r="E1086" s="2" t="str">
        <f>IFERROR(__xludf.DUMMYFUNCTION("""COMPUTED_VALUE"""),"Research Technician")</f>
        <v>Research Technician</v>
      </c>
      <c r="F1086" s="2" t="str">
        <f>IFERROR(__xludf.DUMMYFUNCTION("""COMPUTED_VALUE"""),"chase.groulx@gmail.com")</f>
        <v>chase.groulx@gmail.com</v>
      </c>
      <c r="G1086" s="2" t="str">
        <f>IFERROR(__xludf.DUMMYFUNCTION("""COMPUTED_VALUE"""),"0000-0002-1841-5955")</f>
        <v>0000-0002-1841-5955</v>
      </c>
    </row>
    <row r="1087">
      <c r="A1087" s="2" t="str">
        <f>IFERROR(__xludf.DUMMYFUNCTION("""COMPUTED_VALUE"""),"Green-Berkowitz")</f>
        <v>Green-Berkowitz</v>
      </c>
      <c r="B1087" s="2" t="str">
        <f>IFERROR(__xludf.DUMMYFUNCTION("""COMPUTED_VALUE"""),"Emma")</f>
        <v>Emma</v>
      </c>
      <c r="C1087" s="2" t="str">
        <f>IFERROR(__xludf.DUMMYFUNCTION("""COMPUTED_VALUE"""),"Key Personnel")</f>
        <v>Key Personnel</v>
      </c>
      <c r="D1087" s="2" t="str">
        <f>IFERROR(__xludf.DUMMYFUNCTION("""COMPUTED_VALUE"""),"Rousseaux")</f>
        <v>Rousseaux</v>
      </c>
      <c r="E1087" s="2" t="str">
        <f>IFERROR(__xludf.DUMMYFUNCTION("""COMPUTED_VALUE"""),"Graduate Student")</f>
        <v>Graduate Student</v>
      </c>
      <c r="F1087" s="2" t="str">
        <f>IFERROR(__xludf.DUMMYFUNCTION("""COMPUTED_VALUE"""),"egree074@uottawa.ca")</f>
        <v>egree074@uottawa.ca</v>
      </c>
      <c r="G1087" s="2" t="str">
        <f>IFERROR(__xludf.DUMMYFUNCTION("""COMPUTED_VALUE"""),"0009-0001-4186-111X")</f>
        <v>0009-0001-4186-111X</v>
      </c>
    </row>
    <row r="1088">
      <c r="A1088" s="2" t="str">
        <f>IFERROR(__xludf.DUMMYFUNCTION("""COMPUTED_VALUE"""),"Coppola ")</f>
        <v>Coppola </v>
      </c>
      <c r="B1088" s="2" t="str">
        <f>IFERROR(__xludf.DUMMYFUNCTION("""COMPUTED_VALUE"""),"Gianfilippo")</f>
        <v>Gianfilippo</v>
      </c>
      <c r="C1088" s="2" t="str">
        <f>IFERROR(__xludf.DUMMYFUNCTION("""COMPUTED_VALUE"""),"Collaborating PI")</f>
        <v>Collaborating PI</v>
      </c>
      <c r="D1088" s="2" t="str">
        <f>IFERROR(__xludf.DUMMYFUNCTION("""COMPUTED_VALUE"""),"Coppola ")</f>
        <v>Coppola </v>
      </c>
      <c r="E1088" s="2" t="str">
        <f>IFERROR(__xludf.DUMMYFUNCTION("""COMPUTED_VALUE"""),"PI")</f>
        <v>PI</v>
      </c>
      <c r="F1088" s="2" t="str">
        <f>IFERROR(__xludf.DUMMYFUNCTION("""COMPUTED_VALUE"""),"gianfilippo.coppola@yale.edu")</f>
        <v>gianfilippo.coppola@yale.edu</v>
      </c>
      <c r="G1088" s="2" t="str">
        <f>IFERROR(__xludf.DUMMYFUNCTION("""COMPUTED_VALUE"""),"0000-0003-2675-783X")</f>
        <v>0000-0003-2675-783X</v>
      </c>
    </row>
    <row r="1089">
      <c r="A1089" s="2" t="str">
        <f>IFERROR(__xludf.DUMMYFUNCTION("""COMPUTED_VALUE"""),"Brain")</f>
        <v>Brain</v>
      </c>
      <c r="B1089" s="2" t="str">
        <f>IFERROR(__xludf.DUMMYFUNCTION("""COMPUTED_VALUE"""),"Devin")</f>
        <v>Devin</v>
      </c>
      <c r="C1089" s="2" t="str">
        <f>IFERROR(__xludf.DUMMYFUNCTION("""COMPUTED_VALUE"""),"Key Personnel")</f>
        <v>Key Personnel</v>
      </c>
      <c r="D1089" s="2" t="str">
        <f>IFERROR(__xludf.DUMMYFUNCTION("""COMPUTED_VALUE"""),"Rousseaux")</f>
        <v>Rousseaux</v>
      </c>
      <c r="E1089" s="2" t="str">
        <f>IFERROR(__xludf.DUMMYFUNCTION("""COMPUTED_VALUE"""),"Graduate Student")</f>
        <v>Graduate Student</v>
      </c>
      <c r="F1089" s="2" t="str">
        <f>IFERROR(__xludf.DUMMYFUNCTION("""COMPUTED_VALUE"""),"dbrai095@uottawa.ca")</f>
        <v>dbrai095@uottawa.ca</v>
      </c>
      <c r="G1089" s="2" t="str">
        <f>IFERROR(__xludf.DUMMYFUNCTION("""COMPUTED_VALUE"""),"0009-0008-7729-0372")</f>
        <v>0009-0008-7729-0372</v>
      </c>
    </row>
    <row r="1090">
      <c r="A1090" s="2" t="str">
        <f>IFERROR(__xludf.DUMMYFUNCTION("""COMPUTED_VALUE"""),"Aras")</f>
        <v>Aras</v>
      </c>
      <c r="B1090" s="2" t="str">
        <f>IFERROR(__xludf.DUMMYFUNCTION("""COMPUTED_VALUE"""),"Sukru")</f>
        <v>Sukru</v>
      </c>
      <c r="C1090" s="2" t="str">
        <f>IFERROR(__xludf.DUMMYFUNCTION("""COMPUTED_VALUE"""),"Key Personnel")</f>
        <v>Key Personnel</v>
      </c>
      <c r="D1090" s="2" t="str">
        <f>IFERROR(__xludf.DUMMYFUNCTION("""COMPUTED_VALUE"""),"Liu")</f>
        <v>Liu</v>
      </c>
      <c r="E1090" s="2" t="str">
        <f>IFERROR(__xludf.DUMMYFUNCTION("""COMPUTED_VALUE"""),"Assistant Professor")</f>
        <v>Assistant Professor</v>
      </c>
      <c r="F1090" s="2" t="str">
        <f>IFERROR(__xludf.DUMMYFUNCTION("""COMPUTED_VALUE"""),"sukru.aras@bcm.edu")</f>
        <v>sukru.aras@bcm.edu</v>
      </c>
      <c r="G1090" s="2" t="str">
        <f>IFERROR(__xludf.DUMMYFUNCTION("""COMPUTED_VALUE"""),"0000-0003-1821-9126")</f>
        <v>0000-0003-1821-9126</v>
      </c>
    </row>
    <row r="1091">
      <c r="A1091" s="2" t="str">
        <f>IFERROR(__xludf.DUMMYFUNCTION("""COMPUTED_VALUE"""),"Jia")</f>
        <v>Jia</v>
      </c>
      <c r="B1091" s="2" t="str">
        <f>IFERROR(__xludf.DUMMYFUNCTION("""COMPUTED_VALUE"""),"Johnathan")</f>
        <v>Johnathan</v>
      </c>
      <c r="C1091" s="2" t="str">
        <f>IFERROR(__xludf.DUMMYFUNCTION("""COMPUTED_VALUE"""),"Key Personnel")</f>
        <v>Key Personnel</v>
      </c>
      <c r="D1091" s="2" t="str">
        <f>IFERROR(__xludf.DUMMYFUNCTION("""COMPUTED_VALUE"""),"Liu")</f>
        <v>Liu</v>
      </c>
      <c r="E1091" s="2" t="str">
        <f>IFERROR(__xludf.DUMMYFUNCTION("""COMPUTED_VALUE"""),"Data Analyst")</f>
        <v>Data Analyst</v>
      </c>
      <c r="F1091" s="2" t="str">
        <f>IFERROR(__xludf.DUMMYFUNCTION("""COMPUTED_VALUE"""),"Johnathan.Jia@bcm.edu")</f>
        <v>Johnathan.Jia@bcm.edu</v>
      </c>
      <c r="G1091" s="2" t="str">
        <f>IFERROR(__xludf.DUMMYFUNCTION("""COMPUTED_VALUE"""),"0000-0001-7466-8589")</f>
        <v>0000-0001-7466-8589</v>
      </c>
    </row>
    <row r="1092">
      <c r="A1092" s="2" t="str">
        <f>IFERROR(__xludf.DUMMYFUNCTION("""COMPUTED_VALUE"""),"Zhong")</f>
        <v>Zhong</v>
      </c>
      <c r="B1092" s="2" t="str">
        <f>IFERROR(__xludf.DUMMYFUNCTION("""COMPUTED_VALUE"""),"Yi")</f>
        <v>Yi</v>
      </c>
      <c r="C1092" s="2" t="str">
        <f>IFERROR(__xludf.DUMMYFUNCTION("""COMPUTED_VALUE"""),"Key Personnel")</f>
        <v>Key Personnel</v>
      </c>
      <c r="D1092" s="2" t="str">
        <f>IFERROR(__xludf.DUMMYFUNCTION("""COMPUTED_VALUE"""),"Liu")</f>
        <v>Liu</v>
      </c>
      <c r="E1092" s="2"/>
      <c r="F1092" s="2" t="str">
        <f>IFERROR(__xludf.DUMMYFUNCTION("""COMPUTED_VALUE"""),"Yi.Zhong@bcm.edu")</f>
        <v>Yi.Zhong@bcm.edu</v>
      </c>
      <c r="G1092" s="2"/>
    </row>
    <row r="1093">
      <c r="A1093" s="2" t="str">
        <f>IFERROR(__xludf.DUMMYFUNCTION("""COMPUTED_VALUE"""),"Pasupuleti")</f>
        <v>Pasupuleti</v>
      </c>
      <c r="B1093" s="2" t="str">
        <f>IFERROR(__xludf.DUMMYFUNCTION("""COMPUTED_VALUE"""),"Sasidhar")</f>
        <v>Sasidhar</v>
      </c>
      <c r="C1093" s="2" t="str">
        <f>IFERROR(__xludf.DUMMYFUNCTION("""COMPUTED_VALUE"""),"Key Personnel")</f>
        <v>Key Personnel</v>
      </c>
      <c r="D1093" s="2" t="str">
        <f>IFERROR(__xludf.DUMMYFUNCTION("""COMPUTED_VALUE"""),"Liu")</f>
        <v>Liu</v>
      </c>
      <c r="E1093" s="2"/>
      <c r="F1093" s="2" t="str">
        <f>IFERROR(__xludf.DUMMYFUNCTION("""COMPUTED_VALUE"""),"sasidhar.pasupuleti@bcm.edu")</f>
        <v>sasidhar.pasupuleti@bcm.edu</v>
      </c>
      <c r="G1093" s="2" t="str">
        <f>IFERROR(__xludf.DUMMYFUNCTION("""COMPUTED_VALUE"""),"0000-0003-0310-5812")</f>
        <v>0000-0003-0310-5812</v>
      </c>
    </row>
    <row r="1094">
      <c r="A1094" s="2" t="str">
        <f>IFERROR(__xludf.DUMMYFUNCTION("""COMPUTED_VALUE"""),"Chopra")</f>
        <v>Chopra</v>
      </c>
      <c r="B1094" s="2" t="str">
        <f>IFERROR(__xludf.DUMMYFUNCTION("""COMPUTED_VALUE"""),"Avika")</f>
        <v>Avika</v>
      </c>
      <c r="C1094" s="2" t="str">
        <f>IFERROR(__xludf.DUMMYFUNCTION("""COMPUTED_VALUE"""),"Key Personnel")</f>
        <v>Key Personnel</v>
      </c>
      <c r="D1094" s="2" t="str">
        <f>IFERROR(__xludf.DUMMYFUNCTION("""COMPUTED_VALUE"""),"Mollenhauer")</f>
        <v>Mollenhauer</v>
      </c>
      <c r="E1094" s="2" t="str">
        <f>IFERROR(__xludf.DUMMYFUNCTION("""COMPUTED_VALUE"""),"Postdoctoral Fellow")</f>
        <v>Postdoctoral Fellow</v>
      </c>
      <c r="F1094" s="2" t="str">
        <f>IFERROR(__xludf.DUMMYFUNCTION("""COMPUTED_VALUE"""),"avika.chopra@med.uni-goettingen.de")</f>
        <v>avika.chopra@med.uni-goettingen.de</v>
      </c>
      <c r="G1094" s="2" t="str">
        <f>IFERROR(__xludf.DUMMYFUNCTION("""COMPUTED_VALUE"""),"0000-0003-2250-3787 ")</f>
        <v>0000-0003-2250-3787 </v>
      </c>
    </row>
    <row r="1095">
      <c r="A1095" s="2" t="str">
        <f>IFERROR(__xludf.DUMMYFUNCTION("""COMPUTED_VALUE"""),"Thakur")</f>
        <v>Thakur</v>
      </c>
      <c r="B1095" s="2" t="str">
        <f>IFERROR(__xludf.DUMMYFUNCTION("""COMPUTED_VALUE"""),"Karan")</f>
        <v>Karan</v>
      </c>
      <c r="C1095" s="2" t="str">
        <f>IFERROR(__xludf.DUMMYFUNCTION("""COMPUTED_VALUE"""),"Key Personnel")</f>
        <v>Key Personnel</v>
      </c>
      <c r="D1095" s="2" t="str">
        <f>IFERROR(__xludf.DUMMYFUNCTION("""COMPUTED_VALUE"""),"Schlossmacher")</f>
        <v>Schlossmacher</v>
      </c>
      <c r="E1095" s="2" t="str">
        <f>IFERROR(__xludf.DUMMYFUNCTION("""COMPUTED_VALUE"""),"Graduate Student")</f>
        <v>Graduate Student</v>
      </c>
      <c r="F1095" s="2" t="str">
        <f>IFERROR(__xludf.DUMMYFUNCTION("""COMPUTED_VALUE"""),"kthak061@uottawa.ca")</f>
        <v>kthak061@uottawa.ca</v>
      </c>
      <c r="G1095" s="2" t="str">
        <f>IFERROR(__xludf.DUMMYFUNCTION("""COMPUTED_VALUE"""),"0009-0006-6666-2586")</f>
        <v>0009-0006-6666-2586</v>
      </c>
    </row>
    <row r="1096">
      <c r="A1096" s="2" t="str">
        <f>IFERROR(__xludf.DUMMYFUNCTION("""COMPUTED_VALUE"""),"Rodriguez Aller")</f>
        <v>Rodriguez Aller</v>
      </c>
      <c r="B1096" s="2" t="str">
        <f>IFERROR(__xludf.DUMMYFUNCTION("""COMPUTED_VALUE"""),"Raquel")</f>
        <v>Raquel</v>
      </c>
      <c r="C1096" s="2" t="str">
        <f>IFERROR(__xludf.DUMMYFUNCTION("""COMPUTED_VALUE"""),"Key Personnel")</f>
        <v>Key Personnel</v>
      </c>
      <c r="D1096" s="2" t="str">
        <f>IFERROR(__xludf.DUMMYFUNCTION("""COMPUTED_VALUE"""),"Saghatelyan")</f>
        <v>Saghatelyan</v>
      </c>
      <c r="E1096" s="2" t="str">
        <f>IFERROR(__xludf.DUMMYFUNCTION("""COMPUTED_VALUE"""),"Graduate Student")</f>
        <v>Graduate Student</v>
      </c>
      <c r="F1096" s="2" t="str">
        <f>IFERROR(__xludf.DUMMYFUNCTION("""COMPUTED_VALUE"""),"rrodr103@uottawa.ca")</f>
        <v>rrodr103@uottawa.ca</v>
      </c>
      <c r="G1096" s="2" t="str">
        <f>IFERROR(__xludf.DUMMYFUNCTION("""COMPUTED_VALUE"""),"0009-0002-2343-0903")</f>
        <v>0009-0002-2343-0903</v>
      </c>
    </row>
    <row r="1097">
      <c r="A1097" s="2" t="str">
        <f>IFERROR(__xludf.DUMMYFUNCTION("""COMPUTED_VALUE"""),"Saghatelyan")</f>
        <v>Saghatelyan</v>
      </c>
      <c r="B1097" s="2" t="str">
        <f>IFERROR(__xludf.DUMMYFUNCTION("""COMPUTED_VALUE"""),"Armen")</f>
        <v>Armen</v>
      </c>
      <c r="C1097" s="2" t="str">
        <f>IFERROR(__xludf.DUMMYFUNCTION("""COMPUTED_VALUE"""),"Collaborating PI")</f>
        <v>Collaborating PI</v>
      </c>
      <c r="D1097" s="2" t="str">
        <f>IFERROR(__xludf.DUMMYFUNCTION("""COMPUTED_VALUE"""),"Saghatelyan")</f>
        <v>Saghatelyan</v>
      </c>
      <c r="E1097" s="2" t="str">
        <f>IFERROR(__xludf.DUMMYFUNCTION("""COMPUTED_VALUE"""),"PI")</f>
        <v>PI</v>
      </c>
      <c r="F1097" s="2" t="str">
        <f>IFERROR(__xludf.DUMMYFUNCTION("""COMPUTED_VALUE"""),"asaghate@uottawa.ca")</f>
        <v>asaghate@uottawa.ca</v>
      </c>
      <c r="G1097" s="2" t="str">
        <f>IFERROR(__xludf.DUMMYFUNCTION("""COMPUTED_VALUE"""),"0000-0003-4962-0465")</f>
        <v>0000-0003-4962-0465</v>
      </c>
    </row>
    <row r="1098">
      <c r="A1098" s="2" t="str">
        <f>IFERROR(__xludf.DUMMYFUNCTION("""COMPUTED_VALUE"""),"Vangheluwe")</f>
        <v>Vangheluwe</v>
      </c>
      <c r="B1098" s="2" t="str">
        <f>IFERROR(__xludf.DUMMYFUNCTION("""COMPUTED_VALUE"""),"Peter")</f>
        <v>Peter</v>
      </c>
      <c r="C1098" s="2" t="str">
        <f>IFERROR(__xludf.DUMMYFUNCTION("""COMPUTED_VALUE"""),"Lead-PI")</f>
        <v>Lead-PI</v>
      </c>
      <c r="D1098" s="2"/>
      <c r="E1098" s="2" t="str">
        <f>IFERROR(__xludf.DUMMYFUNCTION("""COMPUTED_VALUE"""),"PI")</f>
        <v>PI</v>
      </c>
      <c r="F1098" s="2" t="str">
        <f>IFERROR(__xludf.DUMMYFUNCTION("""COMPUTED_VALUE"""),"peter.vangheluwe@kuleuven.be")</f>
        <v>peter.vangheluwe@kuleuven.be</v>
      </c>
      <c r="G1098" s="2" t="str">
        <f>IFERROR(__xludf.DUMMYFUNCTION("""COMPUTED_VALUE"""),"0000-0002-7822-2944")</f>
        <v>0000-0002-7822-2944</v>
      </c>
    </row>
    <row r="1099">
      <c r="A1099" s="2" t="str">
        <f>IFERROR(__xludf.DUMMYFUNCTION("""COMPUTED_VALUE"""),"Baekelandt")</f>
        <v>Baekelandt</v>
      </c>
      <c r="B1099" s="2" t="str">
        <f>IFERROR(__xludf.DUMMYFUNCTION("""COMPUTED_VALUE"""),"Veerle ")</f>
        <v>Veerle </v>
      </c>
      <c r="C1099" s="2" t="str">
        <f>IFERROR(__xludf.DUMMYFUNCTION("""COMPUTED_VALUE"""),"Co-PI")</f>
        <v>Co-PI</v>
      </c>
      <c r="D1099" s="2"/>
      <c r="E1099" s="2" t="str">
        <f>IFERROR(__xludf.DUMMYFUNCTION("""COMPUTED_VALUE"""),"PI")</f>
        <v>PI</v>
      </c>
      <c r="F1099" s="2" t="str">
        <f>IFERROR(__xludf.DUMMYFUNCTION("""COMPUTED_VALUE"""),"veerle.baekelandt@kuleuven.be")</f>
        <v>veerle.baekelandt@kuleuven.be</v>
      </c>
      <c r="G1099" s="2" t="str">
        <f>IFERROR(__xludf.DUMMYFUNCTION("""COMPUTED_VALUE"""),"0000-0001-8966-2921")</f>
        <v>0000-0001-8966-2921</v>
      </c>
    </row>
    <row r="1100">
      <c r="A1100" s="2" t="str">
        <f>IFERROR(__xludf.DUMMYFUNCTION("""COMPUTED_VALUE"""),"Lyons")</f>
        <v>Lyons</v>
      </c>
      <c r="B1100" s="2" t="str">
        <f>IFERROR(__xludf.DUMMYFUNCTION("""COMPUTED_VALUE"""),"Joseph ")</f>
        <v>Joseph </v>
      </c>
      <c r="C1100" s="2" t="str">
        <f>IFERROR(__xludf.DUMMYFUNCTION("""COMPUTED_VALUE"""),"Co-PI")</f>
        <v>Co-PI</v>
      </c>
      <c r="D1100" s="2"/>
      <c r="E1100" s="2" t="str">
        <f>IFERROR(__xludf.DUMMYFUNCTION("""COMPUTED_VALUE"""),"PI")</f>
        <v>PI</v>
      </c>
      <c r="F1100" s="2" t="str">
        <f>IFERROR(__xludf.DUMMYFUNCTION("""COMPUTED_VALUE"""),"lyons@mbg.au.dk")</f>
        <v>lyons@mbg.au.dk</v>
      </c>
      <c r="G1100" s="2" t="str">
        <f>IFERROR(__xludf.DUMMYFUNCTION("""COMPUTED_VALUE"""),"0000-0003-0218-4862")</f>
        <v>0000-0003-0218-4862</v>
      </c>
    </row>
    <row r="1101">
      <c r="A1101" s="2" t="str">
        <f>IFERROR(__xludf.DUMMYFUNCTION("""COMPUTED_VALUE"""),"Sidransky")</f>
        <v>Sidransky</v>
      </c>
      <c r="B1101" s="2" t="str">
        <f>IFERROR(__xludf.DUMMYFUNCTION("""COMPUTED_VALUE"""),"Ellen ")</f>
        <v>Ellen </v>
      </c>
      <c r="C1101" s="2" t="str">
        <f>IFERROR(__xludf.DUMMYFUNCTION("""COMPUTED_VALUE"""),"Co-PI")</f>
        <v>Co-PI</v>
      </c>
      <c r="D1101" s="2"/>
      <c r="E1101" s="2" t="str">
        <f>IFERROR(__xludf.DUMMYFUNCTION("""COMPUTED_VALUE"""),"PI")</f>
        <v>PI</v>
      </c>
      <c r="F1101" s="2" t="str">
        <f>IFERROR(__xludf.DUMMYFUNCTION("""COMPUTED_VALUE"""),"ellen.sidransky@nih.gov")</f>
        <v>ellen.sidransky@nih.gov</v>
      </c>
      <c r="G1101" s="2" t="str">
        <f>IFERROR(__xludf.DUMMYFUNCTION("""COMPUTED_VALUE"""),"0000-0002-3019-8500")</f>
        <v>0000-0002-3019-8500</v>
      </c>
    </row>
    <row r="1102">
      <c r="A1102" s="2" t="str">
        <f>IFERROR(__xludf.DUMMYFUNCTION("""COMPUTED_VALUE"""),"Daniëls")</f>
        <v>Daniëls</v>
      </c>
      <c r="B1102" s="2" t="str">
        <f>IFERROR(__xludf.DUMMYFUNCTION("""COMPUTED_VALUE"""),"Veronique ")</f>
        <v>Veronique </v>
      </c>
      <c r="C1102" s="2" t="str">
        <f>IFERROR(__xludf.DUMMYFUNCTION("""COMPUTED_VALUE"""),"Project Manager")</f>
        <v>Project Manager</v>
      </c>
      <c r="D1102" s="2" t="str">
        <f>IFERROR(__xludf.DUMMYFUNCTION("""COMPUTED_VALUE"""),"Baekelandt")</f>
        <v>Baekelandt</v>
      </c>
      <c r="E1102" s="2" t="str">
        <f>IFERROR(__xludf.DUMMYFUNCTION("""COMPUTED_VALUE"""),"innovation manager")</f>
        <v>innovation manager</v>
      </c>
      <c r="F1102" s="2" t="str">
        <f>IFERROR(__xludf.DUMMYFUNCTION("""COMPUTED_VALUE"""),"veronique.daniels@kuleuven.be")</f>
        <v>veronique.daniels@kuleuven.be</v>
      </c>
      <c r="G1102" s="2" t="str">
        <f>IFERROR(__xludf.DUMMYFUNCTION("""COMPUTED_VALUE"""),"0000-0003-3403-8106")</f>
        <v>0000-0003-3403-8106</v>
      </c>
    </row>
    <row r="1103">
      <c r="A1103" s="2" t="str">
        <f>IFERROR(__xludf.DUMMYFUNCTION("""COMPUTED_VALUE"""),"Han")</f>
        <v>Han</v>
      </c>
      <c r="B1103" s="2" t="str">
        <f>IFERROR(__xludf.DUMMYFUNCTION("""COMPUTED_VALUE"""),"Tae-Un")</f>
        <v>Tae-Un</v>
      </c>
      <c r="C1103" s="2" t="str">
        <f>IFERROR(__xludf.DUMMYFUNCTION("""COMPUTED_VALUE"""),"Key Personnel")</f>
        <v>Key Personnel</v>
      </c>
      <c r="D1103" s="2" t="str">
        <f>IFERROR(__xludf.DUMMYFUNCTION("""COMPUTED_VALUE"""),"Sidransky")</f>
        <v>Sidransky</v>
      </c>
      <c r="E1103" s="2" t="str">
        <f>IFERROR(__xludf.DUMMYFUNCTION("""COMPUTED_VALUE"""),"Staff scientist")</f>
        <v>Staff scientist</v>
      </c>
      <c r="F1103" s="2" t="str">
        <f>IFERROR(__xludf.DUMMYFUNCTION("""COMPUTED_VALUE"""),"hant2@nih.gov")</f>
        <v>hant2@nih.gov</v>
      </c>
      <c r="G1103" s="2" t="str">
        <f>IFERROR(__xludf.DUMMYFUNCTION("""COMPUTED_VALUE"""),"0000-0002-0287-0160")</f>
        <v>0000-0002-0287-0160</v>
      </c>
    </row>
    <row r="1104">
      <c r="A1104" s="2" t="str">
        <f>IFERROR(__xludf.DUMMYFUNCTION("""COMPUTED_VALUE"""),"Van Veen")</f>
        <v>Van Veen</v>
      </c>
      <c r="B1104" s="2" t="str">
        <f>IFERROR(__xludf.DUMMYFUNCTION("""COMPUTED_VALUE"""),"Sarah")</f>
        <v>Sarah</v>
      </c>
      <c r="C1104" s="2" t="str">
        <f>IFERROR(__xludf.DUMMYFUNCTION("""COMPUTED_VALUE"""),"Key Personnel")</f>
        <v>Key Personnel</v>
      </c>
      <c r="D1104" s="2" t="str">
        <f>IFERROR(__xludf.DUMMYFUNCTION("""COMPUTED_VALUE"""),"Vangheluwe")</f>
        <v>Vangheluwe</v>
      </c>
      <c r="E1104" s="2" t="str">
        <f>IFERROR(__xludf.DUMMYFUNCTION("""COMPUTED_VALUE"""),"postdoc")</f>
        <v>postdoc</v>
      </c>
      <c r="F1104" s="2" t="str">
        <f>IFERROR(__xludf.DUMMYFUNCTION("""COMPUTED_VALUE"""),"sarah.vanveen@kuleuven.be")</f>
        <v>sarah.vanveen@kuleuven.be</v>
      </c>
      <c r="G1104" s="2" t="str">
        <f>IFERROR(__xludf.DUMMYFUNCTION("""COMPUTED_VALUE"""),"0000-0002-7639-7847")</f>
        <v>0000-0002-7639-7847</v>
      </c>
    </row>
    <row r="1105">
      <c r="A1105" s="2" t="str">
        <f>IFERROR(__xludf.DUMMYFUNCTION("""COMPUTED_VALUE"""),"Sarrafha")</f>
        <v>Sarrafha</v>
      </c>
      <c r="B1105" s="2" t="str">
        <f>IFERROR(__xludf.DUMMYFUNCTION("""COMPUTED_VALUE"""),"Lily")</f>
        <v>Lily</v>
      </c>
      <c r="C1105" s="2" t="str">
        <f>IFERROR(__xludf.DUMMYFUNCTION("""COMPUTED_VALUE"""),"Key Personnel")</f>
        <v>Key Personnel</v>
      </c>
      <c r="D1105" s="2" t="str">
        <f>IFERROR(__xludf.DUMMYFUNCTION("""COMPUTED_VALUE"""),"Blanchard")</f>
        <v>Blanchard</v>
      </c>
      <c r="E1105" s="2" t="str">
        <f>IFERROR(__xludf.DUMMYFUNCTION("""COMPUTED_VALUE"""),"grad student")</f>
        <v>grad student</v>
      </c>
      <c r="F1105" s="2" t="str">
        <f>IFERROR(__xludf.DUMMYFUNCTION("""COMPUTED_VALUE"""),"lily.sarrafha@icahn.mssm.edu")</f>
        <v>lily.sarrafha@icahn.mssm.edu</v>
      </c>
      <c r="G1105" s="2" t="str">
        <f>IFERROR(__xludf.DUMMYFUNCTION("""COMPUTED_VALUE"""),"0000-0002-6168-2119")</f>
        <v>0000-0002-6168-2119</v>
      </c>
    </row>
    <row r="1106">
      <c r="A1106" s="2" t="str">
        <f>IFERROR(__xludf.DUMMYFUNCTION("""COMPUTED_VALUE"""),"Vrijsen")</f>
        <v>Vrijsen</v>
      </c>
      <c r="B1106" s="2" t="str">
        <f>IFERROR(__xludf.DUMMYFUNCTION("""COMPUTED_VALUE"""),"Stephanie ")</f>
        <v>Stephanie </v>
      </c>
      <c r="C1106" s="2" t="str">
        <f>IFERROR(__xludf.DUMMYFUNCTION("""COMPUTED_VALUE"""),"Key Personnel")</f>
        <v>Key Personnel</v>
      </c>
      <c r="D1106" s="2" t="str">
        <f>IFERROR(__xludf.DUMMYFUNCTION("""COMPUTED_VALUE"""),"Vangheluwe")</f>
        <v>Vangheluwe</v>
      </c>
      <c r="E1106" s="2" t="str">
        <f>IFERROR(__xludf.DUMMYFUNCTION("""COMPUTED_VALUE"""),"PhD student")</f>
        <v>PhD student</v>
      </c>
      <c r="F1106" s="2" t="str">
        <f>IFERROR(__xludf.DUMMYFUNCTION("""COMPUTED_VALUE"""),"stephanie.vrijsen@kuleuven.be")</f>
        <v>stephanie.vrijsen@kuleuven.be</v>
      </c>
      <c r="G1106" s="2" t="str">
        <f>IFERROR(__xludf.DUMMYFUNCTION("""COMPUTED_VALUE"""),"0000-0002-2601-510X")</f>
        <v>0000-0002-2601-510X</v>
      </c>
    </row>
    <row r="1107">
      <c r="A1107" s="2" t="str">
        <f>IFERROR(__xludf.DUMMYFUNCTION("""COMPUTED_VALUE"""),"Chen")</f>
        <v>Chen</v>
      </c>
      <c r="B1107" s="2" t="str">
        <f>IFERROR(__xludf.DUMMYFUNCTION("""COMPUTED_VALUE"""),"Yu ")</f>
        <v>Yu </v>
      </c>
      <c r="C1107" s="2" t="str">
        <f>IFERROR(__xludf.DUMMYFUNCTION("""COMPUTED_VALUE"""),"Key Personnel")</f>
        <v>Key Personnel</v>
      </c>
      <c r="D1107" s="2" t="str">
        <f>IFERROR(__xludf.DUMMYFUNCTION("""COMPUTED_VALUE"""),"Sidransky")</f>
        <v>Sidransky</v>
      </c>
      <c r="E1107" s="2" t="str">
        <f>IFERROR(__xludf.DUMMYFUNCTION("""COMPUTED_VALUE"""),"Staff scientist")</f>
        <v>Staff scientist</v>
      </c>
      <c r="F1107" s="2" t="str">
        <f>IFERROR(__xludf.DUMMYFUNCTION("""COMPUTED_VALUE"""),"yu.chen@nih.gov")</f>
        <v>yu.chen@nih.gov</v>
      </c>
      <c r="G1107" s="2" t="str">
        <f>IFERROR(__xludf.DUMMYFUNCTION("""COMPUTED_VALUE"""),"0000-0001-5438-7309")</f>
        <v>0000-0001-5438-7309</v>
      </c>
    </row>
    <row r="1108">
      <c r="A1108" s="2" t="str">
        <f>IFERROR(__xludf.DUMMYFUNCTION("""COMPUTED_VALUE"""),"Van den Haute")</f>
        <v>Van den Haute</v>
      </c>
      <c r="B1108" s="2" t="str">
        <f>IFERROR(__xludf.DUMMYFUNCTION("""COMPUTED_VALUE"""),"Chris ")</f>
        <v>Chris </v>
      </c>
      <c r="C1108" s="2" t="str">
        <f>IFERROR(__xludf.DUMMYFUNCTION("""COMPUTED_VALUE"""),"Key Personnel")</f>
        <v>Key Personnel</v>
      </c>
      <c r="D1108" s="2" t="str">
        <f>IFERROR(__xludf.DUMMYFUNCTION("""COMPUTED_VALUE"""),"Baekelandt")</f>
        <v>Baekelandt</v>
      </c>
      <c r="E1108" s="2" t="str">
        <f>IFERROR(__xludf.DUMMYFUNCTION("""COMPUTED_VALUE"""),"research expert")</f>
        <v>research expert</v>
      </c>
      <c r="F1108" s="2" t="str">
        <f>IFERROR(__xludf.DUMMYFUNCTION("""COMPUTED_VALUE"""),"chris.vandenhaute@kuleuven.be")</f>
        <v>chris.vandenhaute@kuleuven.be</v>
      </c>
      <c r="G1108" s="2" t="str">
        <f>IFERROR(__xludf.DUMMYFUNCTION("""COMPUTED_VALUE"""),"0000-0002-6650-3845")</f>
        <v>0000-0002-6650-3845</v>
      </c>
    </row>
    <row r="1109">
      <c r="A1109" s="2" t="str">
        <f>IFERROR(__xludf.DUMMYFUNCTION("""COMPUTED_VALUE"""),"Tayebi")</f>
        <v>Tayebi</v>
      </c>
      <c r="B1109" s="2" t="str">
        <f>IFERROR(__xludf.DUMMYFUNCTION("""COMPUTED_VALUE"""),"Nahid ")</f>
        <v>Nahid </v>
      </c>
      <c r="C1109" s="2" t="str">
        <f>IFERROR(__xludf.DUMMYFUNCTION("""COMPUTED_VALUE"""),"Key Personnel")</f>
        <v>Key Personnel</v>
      </c>
      <c r="D1109" s="2" t="str">
        <f>IFERROR(__xludf.DUMMYFUNCTION("""COMPUTED_VALUE"""),"Sidransky")</f>
        <v>Sidransky</v>
      </c>
      <c r="E1109" s="2" t="str">
        <f>IFERROR(__xludf.DUMMYFUNCTION("""COMPUTED_VALUE"""),"Staff scientist")</f>
        <v>Staff scientist</v>
      </c>
      <c r="F1109" s="2" t="str">
        <f>IFERROR(__xludf.DUMMYFUNCTION("""COMPUTED_VALUE"""),"tayebin@mail.nih.gov")</f>
        <v>tayebin@mail.nih.gov</v>
      </c>
      <c r="G1109" s="2" t="str">
        <f>IFERROR(__xludf.DUMMYFUNCTION("""COMPUTED_VALUE"""),"0000-0002-1007-4957")</f>
        <v>0000-0002-1007-4957</v>
      </c>
    </row>
    <row r="1110">
      <c r="A1110" s="2" t="str">
        <f>IFERROR(__xludf.DUMMYFUNCTION("""COMPUTED_VALUE"""),"Kareva")</f>
        <v>Kareva</v>
      </c>
      <c r="B1110" s="2" t="str">
        <f>IFERROR(__xludf.DUMMYFUNCTION("""COMPUTED_VALUE"""),"Tatyana ")</f>
        <v>Tatyana </v>
      </c>
      <c r="C1110" s="2" t="str">
        <f>IFERROR(__xludf.DUMMYFUNCTION("""COMPUTED_VALUE"""),"Key Personnel")</f>
        <v>Key Personnel</v>
      </c>
      <c r="D1110" s="2" t="str">
        <f>IFERROR(__xludf.DUMMYFUNCTION("""COMPUTED_VALUE"""),"Blanchard")</f>
        <v>Blanchard</v>
      </c>
      <c r="E1110" s="2" t="str">
        <f>IFERROR(__xludf.DUMMYFUNCTION("""COMPUTED_VALUE"""),"research associate")</f>
        <v>research associate</v>
      </c>
      <c r="F1110" s="2" t="str">
        <f>IFERROR(__xludf.DUMMYFUNCTION("""COMPUTED_VALUE"""),"tatyana.kareva@mssm.edu")</f>
        <v>tatyana.kareva@mssm.edu</v>
      </c>
      <c r="G1110" s="2" t="str">
        <f>IFERROR(__xludf.DUMMYFUNCTION("""COMPUTED_VALUE"""),"0000-0002-6625-0243")</f>
        <v>0000-0002-6625-0243</v>
      </c>
    </row>
    <row r="1111">
      <c r="A1111" s="2" t="str">
        <f>IFERROR(__xludf.DUMMYFUNCTION("""COMPUTED_VALUE"""),"Van Asselberghs")</f>
        <v>Van Asselberghs</v>
      </c>
      <c r="B1111" s="2" t="str">
        <f>IFERROR(__xludf.DUMMYFUNCTION("""COMPUTED_VALUE"""),"Joris ")</f>
        <v>Joris </v>
      </c>
      <c r="C1111" s="2" t="str">
        <f>IFERROR(__xludf.DUMMYFUNCTION("""COMPUTED_VALUE"""),"Key Personnel")</f>
        <v>Key Personnel</v>
      </c>
      <c r="D1111" s="2" t="str">
        <f>IFERROR(__xludf.DUMMYFUNCTION("""COMPUTED_VALUE"""),"Baekelandt")</f>
        <v>Baekelandt</v>
      </c>
      <c r="E1111" s="2" t="str">
        <f>IFERROR(__xludf.DUMMYFUNCTION("""COMPUTED_VALUE"""),"research associate")</f>
        <v>research associate</v>
      </c>
      <c r="F1111" s="2" t="str">
        <f>IFERROR(__xludf.DUMMYFUNCTION("""COMPUTED_VALUE"""),"joris.vanasselberghs@kuleuven.be")</f>
        <v>joris.vanasselberghs@kuleuven.be</v>
      </c>
      <c r="G1111" s="2" t="str">
        <f>IFERROR(__xludf.DUMMYFUNCTION("""COMPUTED_VALUE"""),"0000-0002-6482-8718")</f>
        <v>0000-0002-6482-8718</v>
      </c>
    </row>
    <row r="1112">
      <c r="A1112" s="2" t="str">
        <f>IFERROR(__xludf.DUMMYFUNCTION("""COMPUTED_VALUE"""),"Aertgeerts")</f>
        <v>Aertgeerts</v>
      </c>
      <c r="B1112" s="2" t="str">
        <f>IFERROR(__xludf.DUMMYFUNCTION("""COMPUTED_VALUE"""),"Annelies ")</f>
        <v>Annelies </v>
      </c>
      <c r="C1112" s="2" t="str">
        <f>IFERROR(__xludf.DUMMYFUNCTION("""COMPUTED_VALUE"""),"Key Personnel")</f>
        <v>Key Personnel</v>
      </c>
      <c r="D1112" s="2" t="str">
        <f>IFERROR(__xludf.DUMMYFUNCTION("""COMPUTED_VALUE"""),"Baekelandt")</f>
        <v>Baekelandt</v>
      </c>
      <c r="E1112" s="2" t="str">
        <f>IFERROR(__xludf.DUMMYFUNCTION("""COMPUTED_VALUE"""),"research associate")</f>
        <v>research associate</v>
      </c>
      <c r="F1112" s="2" t="str">
        <f>IFERROR(__xludf.DUMMYFUNCTION("""COMPUTED_VALUE"""),"annelies.aertgeerts@kuleuven.be")</f>
        <v>annelies.aertgeerts@kuleuven.be</v>
      </c>
      <c r="G1112" s="2" t="str">
        <f>IFERROR(__xludf.DUMMYFUNCTION("""COMPUTED_VALUE"""),"0000-0001-8253-2374")</f>
        <v>0000-0001-8253-2374</v>
      </c>
    </row>
    <row r="1113">
      <c r="A1113" s="2" t="str">
        <f>IFERROR(__xludf.DUMMYFUNCTION("""COMPUTED_VALUE"""),"Peelaerts")</f>
        <v>Peelaerts</v>
      </c>
      <c r="B1113" s="2" t="str">
        <f>IFERROR(__xludf.DUMMYFUNCTION("""COMPUTED_VALUE"""),"Wouter")</f>
        <v>Wouter</v>
      </c>
      <c r="C1113" s="2" t="str">
        <f>IFERROR(__xludf.DUMMYFUNCTION("""COMPUTED_VALUE"""),"Key Personnel")</f>
        <v>Key Personnel</v>
      </c>
      <c r="D1113" s="2" t="str">
        <f>IFERROR(__xludf.DUMMYFUNCTION("""COMPUTED_VALUE"""),"Baekelandt")</f>
        <v>Baekelandt</v>
      </c>
      <c r="E1113" s="2" t="str">
        <f>IFERROR(__xludf.DUMMYFUNCTION("""COMPUTED_VALUE"""),"postdoc")</f>
        <v>postdoc</v>
      </c>
      <c r="F1113" s="2" t="str">
        <f>IFERROR(__xludf.DUMMYFUNCTION("""COMPUTED_VALUE"""),"wouter.peelaerts@kuleuven.be")</f>
        <v>wouter.peelaerts@kuleuven.be</v>
      </c>
      <c r="G1113" s="2" t="str">
        <f>IFERROR(__xludf.DUMMYFUNCTION("""COMPUTED_VALUE"""),"0000-0003-3776-4162")</f>
        <v>0000-0003-3776-4162</v>
      </c>
    </row>
    <row r="1114">
      <c r="A1114" s="2" t="str">
        <f>IFERROR(__xludf.DUMMYFUNCTION("""COMPUTED_VALUE"""),"Coccia")</f>
        <v>Coccia</v>
      </c>
      <c r="B1114" s="2" t="str">
        <f>IFERROR(__xludf.DUMMYFUNCTION("""COMPUTED_VALUE"""),"Elena")</f>
        <v>Elena</v>
      </c>
      <c r="C1114" s="2" t="str">
        <f>IFERROR(__xludf.DUMMYFUNCTION("""COMPUTED_VALUE"""),"Key Personnel")</f>
        <v>Key Personnel</v>
      </c>
      <c r="D1114" s="2" t="str">
        <f>IFERROR(__xludf.DUMMYFUNCTION("""COMPUTED_VALUE"""),"Blanchard")</f>
        <v>Blanchard</v>
      </c>
      <c r="E1114" s="2" t="str">
        <f>IFERROR(__xludf.DUMMYFUNCTION("""COMPUTED_VALUE"""),"postdoc")</f>
        <v>postdoc</v>
      </c>
      <c r="F1114" s="2" t="str">
        <f>IFERROR(__xludf.DUMMYFUNCTION("""COMPUTED_VALUE"""),"coccia.el@gmail.com")</f>
        <v>coccia.el@gmail.com</v>
      </c>
      <c r="G1114" s="2" t="str">
        <f>IFERROR(__xludf.DUMMYFUNCTION("""COMPUTED_VALUE"""),"0000-0002-9849-2423")</f>
        <v>0000-0002-9849-2423</v>
      </c>
    </row>
    <row r="1115">
      <c r="A1115" s="2" t="str">
        <f>IFERROR(__xludf.DUMMYFUNCTION("""COMPUTED_VALUE"""),"Azfar")</f>
        <v>Azfar</v>
      </c>
      <c r="B1115" s="2" t="str">
        <f>IFERROR(__xludf.DUMMYFUNCTION("""COMPUTED_VALUE"""),"Mujahid")</f>
        <v>Mujahid</v>
      </c>
      <c r="C1115" s="2" t="str">
        <f>IFERROR(__xludf.DUMMYFUNCTION("""COMPUTED_VALUE"""),"Key Personnel")</f>
        <v>Key Personnel</v>
      </c>
      <c r="D1115" s="2" t="str">
        <f>IFERROR(__xludf.DUMMYFUNCTION("""COMPUTED_VALUE"""),"Vangheluwe")</f>
        <v>Vangheluwe</v>
      </c>
      <c r="E1115" s="2" t="str">
        <f>IFERROR(__xludf.DUMMYFUNCTION("""COMPUTED_VALUE"""),"PhD student")</f>
        <v>PhD student</v>
      </c>
      <c r="F1115" s="2" t="str">
        <f>IFERROR(__xludf.DUMMYFUNCTION("""COMPUTED_VALUE"""),"Mujahid.azfar@kuleuven.be")</f>
        <v>Mujahid.azfar@kuleuven.be</v>
      </c>
      <c r="G1115" s="2" t="str">
        <f>IFERROR(__xludf.DUMMYFUNCTION("""COMPUTED_VALUE"""),"0000-0001-5822-3969")</f>
        <v>0000-0001-5822-3969</v>
      </c>
    </row>
    <row r="1116">
      <c r="A1116" s="2" t="str">
        <f>IFERROR(__xludf.DUMMYFUNCTION("""COMPUTED_VALUE"""),"Lopez")</f>
        <v>Lopez</v>
      </c>
      <c r="B1116" s="2" t="str">
        <f>IFERROR(__xludf.DUMMYFUNCTION("""COMPUTED_VALUE"""),"Grisel")</f>
        <v>Grisel</v>
      </c>
      <c r="C1116" s="2" t="str">
        <f>IFERROR(__xludf.DUMMYFUNCTION("""COMPUTED_VALUE"""),"Key Personnel")</f>
        <v>Key Personnel</v>
      </c>
      <c r="D1116" s="2" t="str">
        <f>IFERROR(__xludf.DUMMYFUNCTION("""COMPUTED_VALUE"""),"Sidransky")</f>
        <v>Sidransky</v>
      </c>
      <c r="E1116" s="2" t="str">
        <f>IFERROR(__xludf.DUMMYFUNCTION("""COMPUTED_VALUE"""),"staff clinician")</f>
        <v>staff clinician</v>
      </c>
      <c r="F1116" s="2" t="str">
        <f>IFERROR(__xludf.DUMMYFUNCTION("""COMPUTED_VALUE"""),"glopez@mail.nih.gov")</f>
        <v>glopez@mail.nih.gov</v>
      </c>
      <c r="G1116" s="2" t="str">
        <f>IFERROR(__xludf.DUMMYFUNCTION("""COMPUTED_VALUE"""),"0000-0001-7785-2197")</f>
        <v>0000-0001-7785-2197</v>
      </c>
    </row>
    <row r="1117">
      <c r="A1117" s="2" t="str">
        <f>IFERROR(__xludf.DUMMYFUNCTION("""COMPUTED_VALUE"""),"Sanchiz Calvo")</f>
        <v>Sanchiz Calvo</v>
      </c>
      <c r="B1117" s="2" t="str">
        <f>IFERROR(__xludf.DUMMYFUNCTION("""COMPUTED_VALUE"""),"Maria")</f>
        <v>Maria</v>
      </c>
      <c r="C1117" s="2" t="str">
        <f>IFERROR(__xludf.DUMMYFUNCTION("""COMPUTED_VALUE"""),"Key Personnel")</f>
        <v>Key Personnel</v>
      </c>
      <c r="D1117" s="2" t="str">
        <f>IFERROR(__xludf.DUMMYFUNCTION("""COMPUTED_VALUE"""),"Baekelandt")</f>
        <v>Baekelandt</v>
      </c>
      <c r="E1117" s="2" t="str">
        <f>IFERROR(__xludf.DUMMYFUNCTION("""COMPUTED_VALUE"""),"grad student")</f>
        <v>grad student</v>
      </c>
      <c r="F1117" s="2" t="str">
        <f>IFERROR(__xludf.DUMMYFUNCTION("""COMPUTED_VALUE""")," maria.sanchizcalvo@kuleuven.be")</f>
        <v> maria.sanchizcalvo@kuleuven.be</v>
      </c>
      <c r="G1117" s="2" t="str">
        <f>IFERROR(__xludf.DUMMYFUNCTION("""COMPUTED_VALUE"""),"0000-0003-1773-8696")</f>
        <v>0000-0003-1773-8696</v>
      </c>
    </row>
    <row r="1118">
      <c r="A1118" s="2" t="str">
        <f>IFERROR(__xludf.DUMMYFUNCTION("""COMPUTED_VALUE"""),"Goldman")</f>
        <v>Goldman</v>
      </c>
      <c r="B1118" s="2" t="str">
        <f>IFERROR(__xludf.DUMMYFUNCTION("""COMPUTED_VALUE"""),"Camille")</f>
        <v>Camille</v>
      </c>
      <c r="C1118" s="2" t="str">
        <f>IFERROR(__xludf.DUMMYFUNCTION("""COMPUTED_VALUE"""),"Key Personnel")</f>
        <v>Key Personnel</v>
      </c>
      <c r="D1118" s="2" t="str">
        <f>IFERROR(__xludf.DUMMYFUNCTION("""COMPUTED_VALUE"""),"Blanchard")</f>
        <v>Blanchard</v>
      </c>
      <c r="E1118" s="2" t="str">
        <f>IFERROR(__xludf.DUMMYFUNCTION("""COMPUTED_VALUE"""),"grad student")</f>
        <v>grad student</v>
      </c>
      <c r="F1118" s="2" t="str">
        <f>IFERROR(__xludf.DUMMYFUNCTION("""COMPUTED_VALUE"""),"camille.goldman@icahn.mssm.edu")</f>
        <v>camille.goldman@icahn.mssm.edu</v>
      </c>
      <c r="G1118" s="2" t="str">
        <f>IFERROR(__xludf.DUMMYFUNCTION("""COMPUTED_VALUE"""),"0000-0002-9089-7290")</f>
        <v>0000-0002-9089-7290</v>
      </c>
    </row>
    <row r="1119">
      <c r="A1119" s="2" t="str">
        <f>IFERROR(__xludf.DUMMYFUNCTION("""COMPUTED_VALUE"""),"Pamula")</f>
        <v>Pamula</v>
      </c>
      <c r="B1119" s="2" t="str">
        <f>IFERROR(__xludf.DUMMYFUNCTION("""COMPUTED_VALUE"""),"Filip Karol")</f>
        <v>Filip Karol</v>
      </c>
      <c r="C1119" s="2" t="str">
        <f>IFERROR(__xludf.DUMMYFUNCTION("""COMPUTED_VALUE"""),"Key Personnel")</f>
        <v>Key Personnel</v>
      </c>
      <c r="D1119" s="2" t="str">
        <f>IFERROR(__xludf.DUMMYFUNCTION("""COMPUTED_VALUE"""),"Lyons")</f>
        <v>Lyons</v>
      </c>
      <c r="E1119" s="2" t="str">
        <f>IFERROR(__xludf.DUMMYFUNCTION("""COMPUTED_VALUE"""),"postdoc")</f>
        <v>postdoc</v>
      </c>
      <c r="F1119" s="2" t="str">
        <f>IFERROR(__xludf.DUMMYFUNCTION("""COMPUTED_VALUE"""),"fpamula@mbg.au.dk")</f>
        <v>fpamula@mbg.au.dk</v>
      </c>
      <c r="G1119" s="2" t="str">
        <f>IFERROR(__xludf.DUMMYFUNCTION("""COMPUTED_VALUE"""),"0000-0002-1765-8218")</f>
        <v>0000-0002-1765-8218</v>
      </c>
    </row>
    <row r="1120">
      <c r="A1120" s="2" t="str">
        <f>IFERROR(__xludf.DUMMYFUNCTION("""COMPUTED_VALUE"""),"Scholtissek")</f>
        <v>Scholtissek</v>
      </c>
      <c r="B1120" s="2" t="str">
        <f>IFERROR(__xludf.DUMMYFUNCTION("""COMPUTED_VALUE"""),"Klara Theresa")</f>
        <v>Klara Theresa</v>
      </c>
      <c r="C1120" s="2" t="str">
        <f>IFERROR(__xludf.DUMMYFUNCTION("""COMPUTED_VALUE"""),"Key Personnel")</f>
        <v>Key Personnel</v>
      </c>
      <c r="D1120" s="2" t="str">
        <f>IFERROR(__xludf.DUMMYFUNCTION("""COMPUTED_VALUE"""),"Lyons")</f>
        <v>Lyons</v>
      </c>
      <c r="E1120" s="2" t="str">
        <f>IFERROR(__xludf.DUMMYFUNCTION("""COMPUTED_VALUE"""),"grad student")</f>
        <v>grad student</v>
      </c>
      <c r="F1120" s="2" t="str">
        <f>IFERROR(__xludf.DUMMYFUNCTION("""COMPUTED_VALUE"""),"klsc@mbg.au.dk")</f>
        <v>klsc@mbg.au.dk</v>
      </c>
      <c r="G1120" s="2" t="str">
        <f>IFERROR(__xludf.DUMMYFUNCTION("""COMPUTED_VALUE"""),"0000-0002-2053-7572")</f>
        <v>0000-0002-2053-7572</v>
      </c>
    </row>
    <row r="1121">
      <c r="A1121" s="2" t="str">
        <f>IFERROR(__xludf.DUMMYFUNCTION("""COMPUTED_VALUE"""),"Berhe")</f>
        <v>Berhe</v>
      </c>
      <c r="B1121" s="2" t="str">
        <f>IFERROR(__xludf.DUMMYFUNCTION("""COMPUTED_VALUE"""),"Bahafta ")</f>
        <v>Bahafta </v>
      </c>
      <c r="C1121" s="2" t="str">
        <f>IFERROR(__xludf.DUMMYFUNCTION("""COMPUTED_VALUE"""),"Key Personnel")</f>
        <v>Key Personnel</v>
      </c>
      <c r="D1121" s="2" t="str">
        <f>IFERROR(__xludf.DUMMYFUNCTION("""COMPUTED_VALUE"""),"Sidransky")</f>
        <v>Sidransky</v>
      </c>
      <c r="E1121" s="2" t="str">
        <f>IFERROR(__xludf.DUMMYFUNCTION("""COMPUTED_VALUE"""),"research associate")</f>
        <v>research associate</v>
      </c>
      <c r="F1121" s="2" t="str">
        <f>IFERROR(__xludf.DUMMYFUNCTION("""COMPUTED_VALUE"""),"bahafta.berhe@nih.gov")</f>
        <v>bahafta.berhe@nih.gov</v>
      </c>
      <c r="G1121" s="2" t="str">
        <f>IFERROR(__xludf.DUMMYFUNCTION("""COMPUTED_VALUE"""),"0000-0003-4888-2869")</f>
        <v>0000-0003-4888-2869</v>
      </c>
    </row>
    <row r="1122">
      <c r="A1122" s="2" t="str">
        <f>IFERROR(__xludf.DUMMYFUNCTION("""COMPUTED_VALUE"""),"Hertz")</f>
        <v>Hertz</v>
      </c>
      <c r="B1122" s="2" t="str">
        <f>IFERROR(__xludf.DUMMYFUNCTION("""COMPUTED_VALUE"""),"Ellen ")</f>
        <v>Ellen </v>
      </c>
      <c r="C1122" s="2" t="str">
        <f>IFERROR(__xludf.DUMMYFUNCTION("""COMPUTED_VALUE"""),"Key Personnel")</f>
        <v>Key Personnel</v>
      </c>
      <c r="D1122" s="2" t="str">
        <f>IFERROR(__xludf.DUMMYFUNCTION("""COMPUTED_VALUE"""),"Sidransky")</f>
        <v>Sidransky</v>
      </c>
      <c r="E1122" s="2" t="str">
        <f>IFERROR(__xludf.DUMMYFUNCTION("""COMPUTED_VALUE"""),"post doc")</f>
        <v>post doc</v>
      </c>
      <c r="F1122" s="2" t="str">
        <f>IFERROR(__xludf.DUMMYFUNCTION("""COMPUTED_VALUE"""),"ellen.hertz@ki.se")</f>
        <v>ellen.hertz@ki.se</v>
      </c>
      <c r="G1122" s="2" t="str">
        <f>IFERROR(__xludf.DUMMYFUNCTION("""COMPUTED_VALUE"""),"0000-0002-0916-3557")</f>
        <v>0000-0002-0916-3557</v>
      </c>
    </row>
    <row r="1123">
      <c r="A1123" s="2" t="str">
        <f>IFERROR(__xludf.DUMMYFUNCTION("""COMPUTED_VALUE"""),"Blanchard")</f>
        <v>Blanchard</v>
      </c>
      <c r="B1123" s="2" t="str">
        <f>IFERROR(__xludf.DUMMYFUNCTION("""COMPUTED_VALUE"""),"Joel")</f>
        <v>Joel</v>
      </c>
      <c r="C1123" s="2" t="str">
        <f>IFERROR(__xludf.DUMMYFUNCTION("""COMPUTED_VALUE"""),"Co-PI")</f>
        <v>Co-PI</v>
      </c>
      <c r="D1123" s="2"/>
      <c r="E1123" s="2" t="str">
        <f>IFERROR(__xludf.DUMMYFUNCTION("""COMPUTED_VALUE"""),"PI")</f>
        <v>PI</v>
      </c>
      <c r="F1123" s="2" t="str">
        <f>IFERROR(__xludf.DUMMYFUNCTION("""COMPUTED_VALUE"""),"joel.blanchard@mssm.edu")</f>
        <v>joel.blanchard@mssm.edu</v>
      </c>
      <c r="G1123" s="2" t="str">
        <f>IFERROR(__xludf.DUMMYFUNCTION("""COMPUTED_VALUE"""),"0000-0003-3142-2970")</f>
        <v>0000-0003-3142-2970</v>
      </c>
    </row>
    <row r="1124">
      <c r="A1124" s="2" t="str">
        <f>IFERROR(__xludf.DUMMYFUNCTION("""COMPUTED_VALUE"""),"Louro")</f>
        <v>Louro</v>
      </c>
      <c r="B1124" s="2" t="str">
        <f>IFERROR(__xludf.DUMMYFUNCTION("""COMPUTED_VALUE"""),"Louise")</f>
        <v>Louise</v>
      </c>
      <c r="C1124" s="2" t="str">
        <f>IFERROR(__xludf.DUMMYFUNCTION("""COMPUTED_VALUE"""),"Key Personnel")</f>
        <v>Key Personnel</v>
      </c>
      <c r="D1124" s="2" t="str">
        <f>IFERROR(__xludf.DUMMYFUNCTION("""COMPUTED_VALUE"""),"Blanchard")</f>
        <v>Blanchard</v>
      </c>
      <c r="E1124" s="2" t="str">
        <f>IFERROR(__xludf.DUMMYFUNCTION("""COMPUTED_VALUE"""),"post doc")</f>
        <v>post doc</v>
      </c>
      <c r="F1124" s="2" t="str">
        <f>IFERROR(__xludf.DUMMYFUNCTION("""COMPUTED_VALUE"""),"louise.louro@mssm.edu")</f>
        <v>louise.louro@mssm.edu</v>
      </c>
      <c r="G1124" s="2" t="str">
        <f>IFERROR(__xludf.DUMMYFUNCTION("""COMPUTED_VALUE"""),"0000-0002-0937-9331")</f>
        <v>0000-0002-0937-9331</v>
      </c>
    </row>
    <row r="1125">
      <c r="A1125" s="2" t="str">
        <f>IFERROR(__xludf.DUMMYFUNCTION("""COMPUTED_VALUE"""),"Frank")</f>
        <v>Frank</v>
      </c>
      <c r="B1125" s="2" t="str">
        <f>IFERROR(__xludf.DUMMYFUNCTION("""COMPUTED_VALUE"""),"Sasha")</f>
        <v>Sasha</v>
      </c>
      <c r="C1125" s="2" t="str">
        <f>IFERROR(__xludf.DUMMYFUNCTION("""COMPUTED_VALUE"""),"Key Personnel")</f>
        <v>Key Personnel</v>
      </c>
      <c r="D1125" s="2" t="str">
        <f>IFERROR(__xludf.DUMMYFUNCTION("""COMPUTED_VALUE"""),"Blanchard")</f>
        <v>Blanchard</v>
      </c>
      <c r="E1125" s="2"/>
      <c r="F1125" s="2" t="str">
        <f>IFERROR(__xludf.DUMMYFUNCTION("""COMPUTED_VALUE"""),"alexander.frank@mssm.edu")</f>
        <v>alexander.frank@mssm.edu</v>
      </c>
      <c r="G1125" s="2"/>
    </row>
    <row r="1126">
      <c r="A1126" s="2" t="str">
        <f>IFERROR(__xludf.DUMMYFUNCTION("""COMPUTED_VALUE"""),"Lichtenberg")</f>
        <v>Lichtenberg</v>
      </c>
      <c r="B1126" s="2" t="str">
        <f>IFERROR(__xludf.DUMMYFUNCTION("""COMPUTED_VALUE"""),"Jens")</f>
        <v>Jens</v>
      </c>
      <c r="C1126" s="2" t="str">
        <f>IFERROR(__xludf.DUMMYFUNCTION("""COMPUTED_VALUE"""),"Key Personnel")</f>
        <v>Key Personnel</v>
      </c>
      <c r="D1126" s="2" t="str">
        <f>IFERROR(__xludf.DUMMYFUNCTION("""COMPUTED_VALUE"""),"Sidransky")</f>
        <v>Sidransky</v>
      </c>
      <c r="E1126" s="2" t="str">
        <f>IFERROR(__xludf.DUMMYFUNCTION("""COMPUTED_VALUE"""),"post doc")</f>
        <v>post doc</v>
      </c>
      <c r="F1126" s="2" t="str">
        <f>IFERROR(__xludf.DUMMYFUNCTION("""COMPUTED_VALUE"""),"jens.lichtenberg@nih.gov")</f>
        <v>jens.lichtenberg@nih.gov</v>
      </c>
      <c r="G1126" s="2" t="str">
        <f>IFERROR(__xludf.DUMMYFUNCTION("""COMPUTED_VALUE"""),"0000-0002-0023-4937")</f>
        <v>0000-0002-0023-4937</v>
      </c>
    </row>
    <row r="1127">
      <c r="A1127" s="2" t="str">
        <f>IFERROR(__xludf.DUMMYFUNCTION("""COMPUTED_VALUE"""),"Abou El Asrar")</f>
        <v>Abou El Asrar</v>
      </c>
      <c r="B1127" s="2" t="str">
        <f>IFERROR(__xludf.DUMMYFUNCTION("""COMPUTED_VALUE"""),"Rania")</f>
        <v>Rania</v>
      </c>
      <c r="C1127" s="2" t="str">
        <f>IFERROR(__xludf.DUMMYFUNCTION("""COMPUTED_VALUE"""),"Key Personnel")</f>
        <v>Key Personnel</v>
      </c>
      <c r="D1127" s="2" t="str">
        <f>IFERROR(__xludf.DUMMYFUNCTION("""COMPUTED_VALUE"""),"Vangheluwe")</f>
        <v>Vangheluwe</v>
      </c>
      <c r="E1127" s="2" t="str">
        <f>IFERROR(__xludf.DUMMYFUNCTION("""COMPUTED_VALUE"""),"post doc")</f>
        <v>post doc</v>
      </c>
      <c r="F1127" s="2" t="str">
        <f>IFERROR(__xludf.DUMMYFUNCTION("""COMPUTED_VALUE"""),"rania.abuelasrar@kuleuven.be")</f>
        <v>rania.abuelasrar@kuleuven.be</v>
      </c>
      <c r="G1127" s="2" t="str">
        <f>IFERROR(__xludf.DUMMYFUNCTION("""COMPUTED_VALUE"""),"0000-0001-9947-2697")</f>
        <v>0000-0001-9947-2697</v>
      </c>
    </row>
    <row r="1128">
      <c r="A1128" s="2" t="str">
        <f>IFERROR(__xludf.DUMMYFUNCTION("""COMPUTED_VALUE"""),"Dhondt")</f>
        <v>Dhondt</v>
      </c>
      <c r="B1128" s="2" t="str">
        <f>IFERROR(__xludf.DUMMYFUNCTION("""COMPUTED_VALUE"""),"Hanne")</f>
        <v>Hanne</v>
      </c>
      <c r="C1128" s="2" t="str">
        <f>IFERROR(__xludf.DUMMYFUNCTION("""COMPUTED_VALUE"""),"Key Personnel")</f>
        <v>Key Personnel</v>
      </c>
      <c r="D1128" s="2" t="str">
        <f>IFERROR(__xludf.DUMMYFUNCTION("""COMPUTED_VALUE"""),"Vangheluwe")</f>
        <v>Vangheluwe</v>
      </c>
      <c r="E1128" s="2" t="str">
        <f>IFERROR(__xludf.DUMMYFUNCTION("""COMPUTED_VALUE"""),"research associate")</f>
        <v>research associate</v>
      </c>
      <c r="F1128" s="2" t="str">
        <f>IFERROR(__xludf.DUMMYFUNCTION("""COMPUTED_VALUE"""),"hanne.dhondt@kuleuven.be")</f>
        <v>hanne.dhondt@kuleuven.be</v>
      </c>
      <c r="G1128" s="2" t="str">
        <f>IFERROR(__xludf.DUMMYFUNCTION("""COMPUTED_VALUE"""),"to be generated")</f>
        <v>to be generated</v>
      </c>
    </row>
    <row r="1129">
      <c r="A1129" s="2" t="str">
        <f>IFERROR(__xludf.DUMMYFUNCTION("""COMPUTED_VALUE"""),"Bejster")</f>
        <v>Bejster</v>
      </c>
      <c r="B1129" s="2" t="str">
        <f>IFERROR(__xludf.DUMMYFUNCTION("""COMPUTED_VALUE"""),"Jolien")</f>
        <v>Jolien</v>
      </c>
      <c r="C1129" s="2" t="str">
        <f>IFERROR(__xludf.DUMMYFUNCTION("""COMPUTED_VALUE"""),"Key Personnel")</f>
        <v>Key Personnel</v>
      </c>
      <c r="D1129" s="2" t="str">
        <f>IFERROR(__xludf.DUMMYFUNCTION("""COMPUTED_VALUE"""),"Vangheluwe")</f>
        <v>Vangheluwe</v>
      </c>
      <c r="E1129" s="2" t="str">
        <f>IFERROR(__xludf.DUMMYFUNCTION("""COMPUTED_VALUE"""),"research associate")</f>
        <v>research associate</v>
      </c>
      <c r="F1129" s="2" t="str">
        <f>IFERROR(__xludf.DUMMYFUNCTION("""COMPUTED_VALUE"""),"jolien.bejster@kuleuven.be")</f>
        <v>jolien.bejster@kuleuven.be</v>
      </c>
      <c r="G1129" s="2" t="str">
        <f>IFERROR(__xludf.DUMMYFUNCTION("""COMPUTED_VALUE"""),"0000-0001-5174-3021")</f>
        <v>0000-0001-5174-3021</v>
      </c>
    </row>
    <row r="1130">
      <c r="A1130" s="2" t="str">
        <f>IFERROR(__xludf.DUMMYFUNCTION("""COMPUTED_VALUE"""),"Glasstetter")</f>
        <v>Glasstetter</v>
      </c>
      <c r="B1130" s="2" t="str">
        <f>IFERROR(__xludf.DUMMYFUNCTION("""COMPUTED_VALUE"""),"Logan")</f>
        <v>Logan</v>
      </c>
      <c r="C1130" s="2" t="str">
        <f>IFERROR(__xludf.DUMMYFUNCTION("""COMPUTED_VALUE"""),"Key Personnel")</f>
        <v>Key Personnel</v>
      </c>
      <c r="D1130" s="2" t="str">
        <f>IFERROR(__xludf.DUMMYFUNCTION("""COMPUTED_VALUE"""),"Sidransky")</f>
        <v>Sidransky</v>
      </c>
      <c r="E1130" s="2" t="str">
        <f>IFERROR(__xludf.DUMMYFUNCTION("""COMPUTED_VALUE"""),"post bac")</f>
        <v>post bac</v>
      </c>
      <c r="F1130" s="2" t="str">
        <f>IFERROR(__xludf.DUMMYFUNCTION("""COMPUTED_VALUE"""),"Logan.glasstetter@nih.gov")</f>
        <v>Logan.glasstetter@nih.gov</v>
      </c>
      <c r="G1130" s="2" t="str">
        <f>IFERROR(__xludf.DUMMYFUNCTION("""COMPUTED_VALUE"""),"0009-0006-3920-1477")</f>
        <v>0009-0006-3920-1477</v>
      </c>
    </row>
    <row r="1131">
      <c r="A1131" s="2" t="str">
        <f>IFERROR(__xludf.DUMMYFUNCTION("""COMPUTED_VALUE"""),"Eskesen Christensen")</f>
        <v>Eskesen Christensen</v>
      </c>
      <c r="B1131" s="2" t="str">
        <f>IFERROR(__xludf.DUMMYFUNCTION("""COMPUTED_VALUE"""),"Mads")</f>
        <v>Mads</v>
      </c>
      <c r="C1131" s="2" t="str">
        <f>IFERROR(__xludf.DUMMYFUNCTION("""COMPUTED_VALUE"""),"Key Personnel")</f>
        <v>Key Personnel</v>
      </c>
      <c r="D1131" s="2" t="str">
        <f>IFERROR(__xludf.DUMMYFUNCTION("""COMPUTED_VALUE"""),"Lyons")</f>
        <v>Lyons</v>
      </c>
      <c r="E1131" s="2" t="str">
        <f>IFERROR(__xludf.DUMMYFUNCTION("""COMPUTED_VALUE"""),"post doc")</f>
        <v>post doc</v>
      </c>
      <c r="F1131" s="2" t="str">
        <f>IFERROR(__xludf.DUMMYFUNCTION("""COMPUTED_VALUE"""),"mec@mbg.au.dk")</f>
        <v>mec@mbg.au.dk</v>
      </c>
      <c r="G1131" s="2" t="str">
        <f>IFERROR(__xludf.DUMMYFUNCTION("""COMPUTED_VALUE"""),"0009-0001-3864-2629")</f>
        <v>0009-0001-3864-2629</v>
      </c>
    </row>
    <row r="1132">
      <c r="A1132" s="2" t="str">
        <f>IFERROR(__xludf.DUMMYFUNCTION("""COMPUTED_VALUE"""),"Rytel")</f>
        <v>Rytel</v>
      </c>
      <c r="B1132" s="2" t="str">
        <f>IFERROR(__xludf.DUMMYFUNCTION("""COMPUTED_VALUE"""),"Krystyna")</f>
        <v>Krystyna</v>
      </c>
      <c r="C1132" s="2" t="str">
        <f>IFERROR(__xludf.DUMMYFUNCTION("""COMPUTED_VALUE"""),"Key Personnel")</f>
        <v>Key Personnel</v>
      </c>
      <c r="D1132" s="2" t="str">
        <f>IFERROR(__xludf.DUMMYFUNCTION("""COMPUTED_VALUE"""),"Sidransky")</f>
        <v>Sidransky</v>
      </c>
      <c r="E1132" s="2" t="str">
        <f>IFERROR(__xludf.DUMMYFUNCTION("""COMPUTED_VALUE"""),"post bac")</f>
        <v>post bac</v>
      </c>
      <c r="F1132" s="2" t="str">
        <f>IFERROR(__xludf.DUMMYFUNCTION("""COMPUTED_VALUE"""),"Krystyna.rytel@nih.gov")</f>
        <v>Krystyna.rytel@nih.gov</v>
      </c>
      <c r="G1132" s="2" t="str">
        <f>IFERROR(__xludf.DUMMYFUNCTION("""COMPUTED_VALUE"""),"0009-0006-3088-7337")</f>
        <v>0009-0006-3088-7337</v>
      </c>
    </row>
    <row r="1133">
      <c r="A1133" s="2" t="str">
        <f>IFERROR(__xludf.DUMMYFUNCTION("""COMPUTED_VALUE"""),"Ma")</f>
        <v>Ma</v>
      </c>
      <c r="B1133" s="2" t="str">
        <f>IFERROR(__xludf.DUMMYFUNCTION("""COMPUTED_VALUE"""),"Charisa")</f>
        <v>Charisa</v>
      </c>
      <c r="C1133" s="2" t="str">
        <f>IFERROR(__xludf.DUMMYFUNCTION("""COMPUTED_VALUE"""),"Key Personnel")</f>
        <v>Key Personnel</v>
      </c>
      <c r="D1133" s="2" t="str">
        <f>IFERROR(__xludf.DUMMYFUNCTION("""COMPUTED_VALUE"""),"Sidransky")</f>
        <v>Sidransky</v>
      </c>
      <c r="E1133" s="2" t="str">
        <f>IFERROR(__xludf.DUMMYFUNCTION("""COMPUTED_VALUE"""),"post bac")</f>
        <v>post bac</v>
      </c>
      <c r="F1133" s="2" t="str">
        <f>IFERROR(__xludf.DUMMYFUNCTION("""COMPUTED_VALUE"""),"charis.ma@nih.gov")</f>
        <v>charis.ma@nih.gov</v>
      </c>
      <c r="G1133" s="2" t="str">
        <f>IFERROR(__xludf.DUMMYFUNCTION("""COMPUTED_VALUE"""),"0009-0002-7711-3559")</f>
        <v>0009-0002-7711-3559</v>
      </c>
    </row>
    <row r="1134">
      <c r="A1134" s="2" t="str">
        <f>IFERROR(__xludf.DUMMYFUNCTION("""COMPUTED_VALUE"""),"Perez")</f>
        <v>Perez</v>
      </c>
      <c r="B1134" s="2" t="str">
        <f>IFERROR(__xludf.DUMMYFUNCTION("""COMPUTED_VALUE"""),"Andrea")</f>
        <v>Andrea</v>
      </c>
      <c r="C1134" s="2" t="str">
        <f>IFERROR(__xludf.DUMMYFUNCTION("""COMPUTED_VALUE"""),"Key Personnel")</f>
        <v>Key Personnel</v>
      </c>
      <c r="D1134" s="2" t="str">
        <f>IFERROR(__xludf.DUMMYFUNCTION("""COMPUTED_VALUE"""),"Blanchard")</f>
        <v>Blanchard</v>
      </c>
      <c r="E1134" s="2" t="str">
        <f>IFERROR(__xludf.DUMMYFUNCTION("""COMPUTED_VALUE"""),"post doc")</f>
        <v>post doc</v>
      </c>
      <c r="F1134" s="2" t="str">
        <f>IFERROR(__xludf.DUMMYFUNCTION("""COMPUTED_VALUE"""),"andrea.perez-arevalo@mssm.edu")</f>
        <v>andrea.perez-arevalo@mssm.edu</v>
      </c>
      <c r="G1134" s="2" t="str">
        <f>IFERROR(__xludf.DUMMYFUNCTION("""COMPUTED_VALUE"""),"0009-0005-1498-5423")</f>
        <v>0009-0005-1498-5423</v>
      </c>
    </row>
    <row r="1135">
      <c r="A1135" s="2" t="str">
        <f>IFERROR(__xludf.DUMMYFUNCTION("""COMPUTED_VALUE"""),"Bright")</f>
        <v>Bright</v>
      </c>
      <c r="B1135" s="2" t="str">
        <f>IFERROR(__xludf.DUMMYFUNCTION("""COMPUTED_VALUE"""),"Ana")</f>
        <v>Ana</v>
      </c>
      <c r="C1135" s="2" t="str">
        <f>IFERROR(__xludf.DUMMYFUNCTION("""COMPUTED_VALUE"""),"Key Personnel")</f>
        <v>Key Personnel</v>
      </c>
      <c r="D1135" s="2" t="str">
        <f>IFERROR(__xludf.DUMMYFUNCTION("""COMPUTED_VALUE"""),"Blanchard")</f>
        <v>Blanchard</v>
      </c>
      <c r="E1135" s="2" t="str">
        <f>IFERROR(__xludf.DUMMYFUNCTION("""COMPUTED_VALUE"""),"grad student")</f>
        <v>grad student</v>
      </c>
      <c r="F1135" s="2"/>
      <c r="G1135" s="2"/>
    </row>
    <row r="1136">
      <c r="A1136" s="2" t="str">
        <f>IFERROR(__xludf.DUMMYFUNCTION("""COMPUTED_VALUE"""),"Sohail")</f>
        <v>Sohail</v>
      </c>
      <c r="B1136" s="2" t="str">
        <f>IFERROR(__xludf.DUMMYFUNCTION("""COMPUTED_VALUE"""),"Soha")</f>
        <v>Soha</v>
      </c>
      <c r="C1136" s="2" t="str">
        <f>IFERROR(__xludf.DUMMYFUNCTION("""COMPUTED_VALUE"""),"Key Personnel")</f>
        <v>Key Personnel</v>
      </c>
      <c r="D1136" s="2" t="str">
        <f>IFERROR(__xludf.DUMMYFUNCTION("""COMPUTED_VALUE"""),"Blanchard")</f>
        <v>Blanchard</v>
      </c>
      <c r="E1136" s="2" t="str">
        <f>IFERROR(__xludf.DUMMYFUNCTION("""COMPUTED_VALUE"""),"technician")</f>
        <v>technician</v>
      </c>
      <c r="F1136" s="2"/>
      <c r="G1136" s="2"/>
    </row>
    <row r="1137">
      <c r="A1137" s="2" t="str">
        <f>IFERROR(__xludf.DUMMYFUNCTION("""COMPUTED_VALUE"""),"Nishimura")</f>
        <v>Nishimura</v>
      </c>
      <c r="B1137" s="2" t="str">
        <f>IFERROR(__xludf.DUMMYFUNCTION("""COMPUTED_VALUE"""),"Samantha")</f>
        <v>Samantha</v>
      </c>
      <c r="C1137" s="2" t="str">
        <f>IFERROR(__xludf.DUMMYFUNCTION("""COMPUTED_VALUE"""),"Key Personnel")</f>
        <v>Key Personnel</v>
      </c>
      <c r="D1137" s="2" t="str">
        <f>IFERROR(__xludf.DUMMYFUNCTION("""COMPUTED_VALUE"""),"Sidransky")</f>
        <v>Sidransky</v>
      </c>
      <c r="E1137" s="2" t="str">
        <f>IFERROR(__xludf.DUMMYFUNCTION("""COMPUTED_VALUE"""),"medical student")</f>
        <v>medical student</v>
      </c>
      <c r="F1137" s="2" t="str">
        <f>IFERROR(__xludf.DUMMYFUNCTION("""COMPUTED_VALUE"""),"samantha.nishimura@nih.gov")</f>
        <v>samantha.nishimura@nih.gov</v>
      </c>
      <c r="G1137" s="2" t="str">
        <f>IFERROR(__xludf.DUMMYFUNCTION("""COMPUTED_VALUE"""),"0009-0000-2920-5315")</f>
        <v>0009-0000-2920-5315</v>
      </c>
    </row>
    <row r="1138">
      <c r="A1138" s="2" t="str">
        <f>IFERROR(__xludf.DUMMYFUNCTION("""COMPUTED_VALUE"""),"Chen")</f>
        <v>Chen</v>
      </c>
      <c r="B1138" s="2" t="str">
        <f>IFERROR(__xludf.DUMMYFUNCTION("""COMPUTED_VALUE"""),"Tiffany")</f>
        <v>Tiffany</v>
      </c>
      <c r="C1138" s="2" t="str">
        <f>IFERROR(__xludf.DUMMYFUNCTION("""COMPUTED_VALUE"""),"Key Personnel")</f>
        <v>Key Personnel</v>
      </c>
      <c r="D1138" s="2" t="str">
        <f>IFERROR(__xludf.DUMMYFUNCTION("""COMPUTED_VALUE"""),"Sidransky")</f>
        <v>Sidransky</v>
      </c>
      <c r="E1138" s="2" t="str">
        <f>IFERROR(__xludf.DUMMYFUNCTION("""COMPUTED_VALUE"""),"post bac")</f>
        <v>post bac</v>
      </c>
      <c r="F1138" s="2" t="str">
        <f>IFERROR(__xludf.DUMMYFUNCTION("""COMPUTED_VALUE"""),"tiffany.chen2@nih.gov")</f>
        <v>tiffany.chen2@nih.gov</v>
      </c>
      <c r="G1138" s="2" t="str">
        <f>IFERROR(__xludf.DUMMYFUNCTION("""COMPUTED_VALUE"""),"0009-0007-9297-1988")</f>
        <v>0009-0007-9297-1988</v>
      </c>
    </row>
    <row r="1139">
      <c r="A1139" s="2" t="str">
        <f>IFERROR(__xludf.DUMMYFUNCTION("""COMPUTED_VALUE"""),"Sati")</f>
        <v>Sati</v>
      </c>
      <c r="B1139" s="2" t="str">
        <f>IFERROR(__xludf.DUMMYFUNCTION("""COMPUTED_VALUE"""),"Aisha")</f>
        <v>Aisha</v>
      </c>
      <c r="C1139" s="2" t="str">
        <f>IFERROR(__xludf.DUMMYFUNCTION("""COMPUTED_VALUE"""),"Key Personnel")</f>
        <v>Key Personnel</v>
      </c>
      <c r="D1139" s="2" t="str">
        <f>IFERROR(__xludf.DUMMYFUNCTION("""COMPUTED_VALUE"""),"Vangheluwe")</f>
        <v>Vangheluwe</v>
      </c>
      <c r="E1139" s="2" t="str">
        <f>IFERROR(__xludf.DUMMYFUNCTION("""COMPUTED_VALUE"""),"post doc")</f>
        <v>post doc</v>
      </c>
      <c r="F1139" s="2" t="str">
        <f>IFERROR(__xludf.DUMMYFUNCTION("""COMPUTED_VALUE"""),"aishaadelbashir.sati@kuleuven.be")</f>
        <v>aishaadelbashir.sati@kuleuven.be</v>
      </c>
      <c r="G1139" s="2" t="str">
        <f>IFERROR(__xludf.DUMMYFUNCTION("""COMPUTED_VALUE"""),"0009-0007-6270-6040")</f>
        <v>0009-0007-6270-6040</v>
      </c>
    </row>
    <row r="1140">
      <c r="A1140" s="2" t="str">
        <f>IFERROR(__xludf.DUMMYFUNCTION("""COMPUTED_VALUE"""),"Esmaeili")</f>
        <v>Esmaeili</v>
      </c>
      <c r="B1140" s="2" t="str">
        <f>IFERROR(__xludf.DUMMYFUNCTION("""COMPUTED_VALUE"""),"Hamid")</f>
        <v>Hamid</v>
      </c>
      <c r="C1140" s="2" t="str">
        <f>IFERROR(__xludf.DUMMYFUNCTION("""COMPUTED_VALUE"""),"Key Personnel")</f>
        <v>Key Personnel</v>
      </c>
      <c r="D1140" s="2" t="str">
        <f>IFERROR(__xludf.DUMMYFUNCTION("""COMPUTED_VALUE"""),"Sidransky")</f>
        <v>Sidransky</v>
      </c>
      <c r="E1140" s="2" t="str">
        <f>IFERROR(__xludf.DUMMYFUNCTION("""COMPUTED_VALUE"""),"post doc")</f>
        <v>post doc</v>
      </c>
      <c r="F1140" s="2" t="str">
        <f>IFERROR(__xludf.DUMMYFUNCTION("""COMPUTED_VALUE"""),"hesmaeil@asu.edu")</f>
        <v>hesmaeil@asu.edu</v>
      </c>
      <c r="G1140" s="2" t="str">
        <f>IFERROR(__xludf.DUMMYFUNCTION("""COMPUTED_VALUE"""),"0000-0001-8003-8153")</f>
        <v>0000-0001-8003-8153</v>
      </c>
    </row>
    <row r="1141">
      <c r="A1141" s="2" t="str">
        <f>IFERROR(__xludf.DUMMYFUNCTION("""COMPUTED_VALUE"""),"Saftig")</f>
        <v>Saftig</v>
      </c>
      <c r="B1141" s="2" t="str">
        <f>IFERROR(__xludf.DUMMYFUNCTION("""COMPUTED_VALUE"""),"Paul")</f>
        <v>Paul</v>
      </c>
      <c r="C1141" s="2" t="str">
        <f>IFERROR(__xludf.DUMMYFUNCTION("""COMPUTED_VALUE"""),"Collaborating PI")</f>
        <v>Collaborating PI</v>
      </c>
      <c r="D1141" s="2" t="str">
        <f>IFERROR(__xludf.DUMMYFUNCTION("""COMPUTED_VALUE"""),"Saftig")</f>
        <v>Saftig</v>
      </c>
      <c r="E1141" s="2" t="str">
        <f>IFERROR(__xludf.DUMMYFUNCTION("""COMPUTED_VALUE"""),"PI")</f>
        <v>PI</v>
      </c>
      <c r="F1141" s="2" t="str">
        <f>IFERROR(__xludf.DUMMYFUNCTION("""COMPUTED_VALUE"""),"psaftig@biochem.uni-kiel.de")</f>
        <v>psaftig@biochem.uni-kiel.de</v>
      </c>
      <c r="G1141" s="2" t="str">
        <f>IFERROR(__xludf.DUMMYFUNCTION("""COMPUTED_VALUE"""),"0000-0003-2637-7052")</f>
        <v>0000-0003-2637-7052</v>
      </c>
    </row>
    <row r="1142">
      <c r="A1142" s="2" t="str">
        <f>IFERROR(__xludf.DUMMYFUNCTION("""COMPUTED_VALUE"""),"Montpeyó Garcia-Moreno ")</f>
        <v>Montpeyó Garcia-Moreno </v>
      </c>
      <c r="B1142" s="2" t="str">
        <f>IFERROR(__xludf.DUMMYFUNCTION("""COMPUTED_VALUE"""),"Marta")</f>
        <v>Marta</v>
      </c>
      <c r="C1142" s="2" t="str">
        <f>IFERROR(__xludf.DUMMYFUNCTION("""COMPUTED_VALUE"""),"Key Personnel")</f>
        <v>Key Personnel</v>
      </c>
      <c r="D1142" s="2" t="str">
        <f>IFERROR(__xludf.DUMMYFUNCTION("""COMPUTED_VALUE"""),"Baekelandt")</f>
        <v>Baekelandt</v>
      </c>
      <c r="E1142" s="2" t="str">
        <f>IFERROR(__xludf.DUMMYFUNCTION("""COMPUTED_VALUE"""),"post doc")</f>
        <v>post doc</v>
      </c>
      <c r="F1142" s="2" t="str">
        <f>IFERROR(__xludf.DUMMYFUNCTION("""COMPUTED_VALUE"""),"marta.montpeyogarcia-moreno@kuleuven.be")</f>
        <v>marta.montpeyogarcia-moreno@kuleuven.be</v>
      </c>
      <c r="G1142" s="2" t="str">
        <f>IFERROR(__xludf.DUMMYFUNCTION("""COMPUTED_VALUE"""),"0000-0002-9241-1047")</f>
        <v>0000-0002-9241-1047</v>
      </c>
    </row>
    <row r="1143">
      <c r="A1143" s="2" t="str">
        <f>IFERROR(__xludf.DUMMYFUNCTION("""COMPUTED_VALUE"""),"Strick")</f>
        <v>Strick</v>
      </c>
      <c r="B1143" s="2" t="str">
        <f>IFERROR(__xludf.DUMMYFUNCTION("""COMPUTED_VALUE"""),"Peter")</f>
        <v>Peter</v>
      </c>
      <c r="C1143" s="2" t="str">
        <f>IFERROR(__xludf.DUMMYFUNCTION("""COMPUTED_VALUE"""),"Lead-PI")</f>
        <v>Lead-PI</v>
      </c>
      <c r="D1143" s="2" t="str">
        <f>IFERROR(__xludf.DUMMYFUNCTION("""COMPUTED_VALUE"""),"Strick")</f>
        <v>Strick</v>
      </c>
      <c r="E1143" s="2"/>
      <c r="F1143" s="2" t="str">
        <f>IFERROR(__xludf.DUMMYFUNCTION("""COMPUTED_VALUE"""),"strickp@pitt.edu")</f>
        <v>strickp@pitt.edu</v>
      </c>
      <c r="G1143" s="2" t="str">
        <f>IFERROR(__xludf.DUMMYFUNCTION("""COMPUTED_VALUE"""),"0000-0001-5794-8458")</f>
        <v>0000-0001-5794-8458</v>
      </c>
    </row>
    <row r="1144">
      <c r="A1144" s="2" t="str">
        <f>IFERROR(__xludf.DUMMYFUNCTION("""COMPUTED_VALUE"""),"Grafton")</f>
        <v>Grafton</v>
      </c>
      <c r="B1144" s="2" t="str">
        <f>IFERROR(__xludf.DUMMYFUNCTION("""COMPUTED_VALUE"""),"Scott")</f>
        <v>Scott</v>
      </c>
      <c r="C1144" s="2" t="str">
        <f>IFERROR(__xludf.DUMMYFUNCTION("""COMPUTED_VALUE"""),"Co-PI")</f>
        <v>Co-PI</v>
      </c>
      <c r="D1144" s="2" t="str">
        <f>IFERROR(__xludf.DUMMYFUNCTION("""COMPUTED_VALUE"""),"Grafton")</f>
        <v>Grafton</v>
      </c>
      <c r="E1144" s="2"/>
      <c r="F1144" s="2" t="str">
        <f>IFERROR(__xludf.DUMMYFUNCTION("""COMPUTED_VALUE"""),"scott.grafton@psych.ucsb.edu")</f>
        <v>scott.grafton@psych.ucsb.edu</v>
      </c>
      <c r="G1144" s="2" t="str">
        <f>IFERROR(__xludf.DUMMYFUNCTION("""COMPUTED_VALUE"""),"0000-0003-4015-3151")</f>
        <v>0000-0003-4015-3151</v>
      </c>
    </row>
    <row r="1145">
      <c r="A1145" s="2" t="str">
        <f>IFERROR(__xludf.DUMMYFUNCTION("""COMPUTED_VALUE"""),"Schwerdt")</f>
        <v>Schwerdt</v>
      </c>
      <c r="B1145" s="2" t="str">
        <f>IFERROR(__xludf.DUMMYFUNCTION("""COMPUTED_VALUE"""),"Helen")</f>
        <v>Helen</v>
      </c>
      <c r="C1145" s="2" t="str">
        <f>IFERROR(__xludf.DUMMYFUNCTION("""COMPUTED_VALUE"""),"Co-PI")</f>
        <v>Co-PI</v>
      </c>
      <c r="D1145" s="2" t="str">
        <f>IFERROR(__xludf.DUMMYFUNCTION("""COMPUTED_VALUE"""),"Schwerdt")</f>
        <v>Schwerdt</v>
      </c>
      <c r="E1145" s="2"/>
      <c r="F1145" s="2" t="str">
        <f>IFERROR(__xludf.DUMMYFUNCTION("""COMPUTED_VALUE"""),"hes100@pitt.edu")</f>
        <v>hes100@pitt.edu</v>
      </c>
      <c r="G1145" s="2" t="str">
        <f>IFERROR(__xludf.DUMMYFUNCTION("""COMPUTED_VALUE"""),"0000-0002-0389-982X")</f>
        <v>0000-0002-0389-982X</v>
      </c>
    </row>
    <row r="1146">
      <c r="A1146" s="2" t="str">
        <f>IFERROR(__xludf.DUMMYFUNCTION("""COMPUTED_VALUE"""),"Stauffer")</f>
        <v>Stauffer</v>
      </c>
      <c r="B1146" s="2" t="str">
        <f>IFERROR(__xludf.DUMMYFUNCTION("""COMPUTED_VALUE"""),"William")</f>
        <v>William</v>
      </c>
      <c r="C1146" s="2" t="str">
        <f>IFERROR(__xludf.DUMMYFUNCTION("""COMPUTED_VALUE"""),"Co-PI")</f>
        <v>Co-PI</v>
      </c>
      <c r="D1146" s="2" t="str">
        <f>IFERROR(__xludf.DUMMYFUNCTION("""COMPUTED_VALUE"""),"Stauffer")</f>
        <v>Stauffer</v>
      </c>
      <c r="E1146" s="2"/>
      <c r="F1146" s="2" t="str">
        <f>IFERROR(__xludf.DUMMYFUNCTION("""COMPUTED_VALUE"""),"wrs@pitt.edu")</f>
        <v>wrs@pitt.edu</v>
      </c>
      <c r="G1146" s="2" t="str">
        <f>IFERROR(__xludf.DUMMYFUNCTION("""COMPUTED_VALUE"""),"0000-0003-1031-8824")</f>
        <v>0000-0003-1031-8824</v>
      </c>
    </row>
    <row r="1147">
      <c r="A1147" s="2" t="str">
        <f>IFERROR(__xludf.DUMMYFUNCTION("""COMPUTED_VALUE"""),"Turner")</f>
        <v>Turner</v>
      </c>
      <c r="B1147" s="2" t="str">
        <f>IFERROR(__xludf.DUMMYFUNCTION("""COMPUTED_VALUE"""),"Robert")</f>
        <v>Robert</v>
      </c>
      <c r="C1147" s="2" t="str">
        <f>IFERROR(__xludf.DUMMYFUNCTION("""COMPUTED_VALUE"""),"Co-PI")</f>
        <v>Co-PI</v>
      </c>
      <c r="D1147" s="2" t="str">
        <f>IFERROR(__xludf.DUMMYFUNCTION("""COMPUTED_VALUE"""),"Turner")</f>
        <v>Turner</v>
      </c>
      <c r="E1147" s="2"/>
      <c r="F1147" s="2" t="str">
        <f>IFERROR(__xludf.DUMMYFUNCTION("""COMPUTED_VALUE"""),"rturner@pitt.edu")</f>
        <v>rturner@pitt.edu</v>
      </c>
      <c r="G1147" s="2" t="str">
        <f>IFERROR(__xludf.DUMMYFUNCTION("""COMPUTED_VALUE"""),"0000-0002-6074-4365")</f>
        <v>0000-0002-6074-4365</v>
      </c>
    </row>
    <row r="1148">
      <c r="A1148" s="2" t="str">
        <f>IFERROR(__xludf.DUMMYFUNCTION("""COMPUTED_VALUE"""),"Bostan")</f>
        <v>Bostan</v>
      </c>
      <c r="B1148" s="2" t="str">
        <f>IFERROR(__xludf.DUMMYFUNCTION("""COMPUTED_VALUE"""),"Andreea")</f>
        <v>Andreea</v>
      </c>
      <c r="C1148" s="2" t="str">
        <f>IFERROR(__xludf.DUMMYFUNCTION("""COMPUTED_VALUE"""),"Project Manager")</f>
        <v>Project Manager</v>
      </c>
      <c r="D1148" s="2" t="str">
        <f>IFERROR(__xludf.DUMMYFUNCTION("""COMPUTED_VALUE"""),"Strick")</f>
        <v>Strick</v>
      </c>
      <c r="E1148" s="2"/>
      <c r="F1148" s="2" t="str">
        <f>IFERROR(__xludf.DUMMYFUNCTION("""COMPUTED_VALUE"""),"acb42@pitt.edu")</f>
        <v>acb42@pitt.edu</v>
      </c>
      <c r="G1148" s="2" t="str">
        <f>IFERROR(__xludf.DUMMYFUNCTION("""COMPUTED_VALUE"""),"0000-0003-4376-3836")</f>
        <v>0000-0003-4376-3836</v>
      </c>
    </row>
    <row r="1149">
      <c r="A1149" s="2" t="str">
        <f>IFERROR(__xludf.DUMMYFUNCTION("""COMPUTED_VALUE"""),"Silva")</f>
        <v>Silva</v>
      </c>
      <c r="B1149" s="2" t="str">
        <f>IFERROR(__xludf.DUMMYFUNCTION("""COMPUTED_VALUE"""),"Afonso")</f>
        <v>Afonso</v>
      </c>
      <c r="C1149" s="2" t="str">
        <f>IFERROR(__xludf.DUMMYFUNCTION("""COMPUTED_VALUE"""),"Collaborating PI")</f>
        <v>Collaborating PI</v>
      </c>
      <c r="D1149" s="2" t="str">
        <f>IFERROR(__xludf.DUMMYFUNCTION("""COMPUTED_VALUE"""),"Silva")</f>
        <v>Silva</v>
      </c>
      <c r="E1149" s="2"/>
      <c r="F1149" s="2" t="str">
        <f>IFERROR(__xludf.DUMMYFUNCTION("""COMPUTED_VALUE"""),"afonso@pitt.edu")</f>
        <v>afonso@pitt.edu</v>
      </c>
      <c r="G1149" s="2" t="str">
        <f>IFERROR(__xludf.DUMMYFUNCTION("""COMPUTED_VALUE"""),"0000-0002-6105-7567")</f>
        <v>0000-0002-6105-7567</v>
      </c>
    </row>
    <row r="1150">
      <c r="A1150" s="2" t="str">
        <f>IFERROR(__xludf.DUMMYFUNCTION("""COMPUTED_VALUE"""),"Pfenning")</f>
        <v>Pfenning</v>
      </c>
      <c r="B1150" s="2" t="str">
        <f>IFERROR(__xludf.DUMMYFUNCTION("""COMPUTED_VALUE"""),"Andreas")</f>
        <v>Andreas</v>
      </c>
      <c r="C1150" s="2" t="str">
        <f>IFERROR(__xludf.DUMMYFUNCTION("""COMPUTED_VALUE"""),"Collaborating PI")</f>
        <v>Collaborating PI</v>
      </c>
      <c r="D1150" s="2" t="str">
        <f>IFERROR(__xludf.DUMMYFUNCTION("""COMPUTED_VALUE"""),"Pfenning")</f>
        <v>Pfenning</v>
      </c>
      <c r="E1150" s="2"/>
      <c r="F1150" s="2" t="str">
        <f>IFERROR(__xludf.DUMMYFUNCTION("""COMPUTED_VALUE"""),"apfenning@cmu.edu")</f>
        <v>apfenning@cmu.edu</v>
      </c>
      <c r="G1150" s="2" t="str">
        <f>IFERROR(__xludf.DUMMYFUNCTION("""COMPUTED_VALUE"""),"0000-0002-3447-9801")</f>
        <v>0000-0002-3447-9801</v>
      </c>
    </row>
    <row r="1151">
      <c r="A1151" s="2" t="str">
        <f>IFERROR(__xludf.DUMMYFUNCTION("""COMPUTED_VALUE"""),"Lapate")</f>
        <v>Lapate</v>
      </c>
      <c r="B1151" s="2" t="str">
        <f>IFERROR(__xludf.DUMMYFUNCTION("""COMPUTED_VALUE"""),"Regina")</f>
        <v>Regina</v>
      </c>
      <c r="C1151" s="2" t="str">
        <f>IFERROR(__xludf.DUMMYFUNCTION("""COMPUTED_VALUE"""),"Collaborating PI")</f>
        <v>Collaborating PI</v>
      </c>
      <c r="D1151" s="2" t="str">
        <f>IFERROR(__xludf.DUMMYFUNCTION("""COMPUTED_VALUE"""),"Lapate")</f>
        <v>Lapate</v>
      </c>
      <c r="E1151" s="2"/>
      <c r="F1151" s="2" t="str">
        <f>IFERROR(__xludf.DUMMYFUNCTION("""COMPUTED_VALUE"""),"lapate@ucsb.edu")</f>
        <v>lapate@ucsb.edu</v>
      </c>
      <c r="G1151" s="2" t="str">
        <f>IFERROR(__xludf.DUMMYFUNCTION("""COMPUTED_VALUE"""),"0000-0002-1835-2309")</f>
        <v>0000-0002-1835-2309</v>
      </c>
    </row>
    <row r="1152">
      <c r="A1152" s="2" t="str">
        <f>IFERROR(__xludf.DUMMYFUNCTION("""COMPUTED_VALUE"""),"Kase")</f>
        <v>Kase</v>
      </c>
      <c r="B1152" s="2" t="str">
        <f>IFERROR(__xludf.DUMMYFUNCTION("""COMPUTED_VALUE"""),"Daisuke ")</f>
        <v>Daisuke </v>
      </c>
      <c r="C1152" s="2" t="str">
        <f>IFERROR(__xludf.DUMMYFUNCTION("""COMPUTED_VALUE"""),"Key Personnel")</f>
        <v>Key Personnel</v>
      </c>
      <c r="D1152" s="2" t="str">
        <f>IFERROR(__xludf.DUMMYFUNCTION("""COMPUTED_VALUE"""),"Turner")</f>
        <v>Turner</v>
      </c>
      <c r="E1152" s="2"/>
      <c r="F1152" s="2" t="str">
        <f>IFERROR(__xludf.DUMMYFUNCTION("""COMPUTED_VALUE"""),"daisuke.kase@pitt.edu")</f>
        <v>daisuke.kase@pitt.edu</v>
      </c>
      <c r="G1152" s="2" t="str">
        <f>IFERROR(__xludf.DUMMYFUNCTION("""COMPUTED_VALUE"""),"0000-0001-6787-5862")</f>
        <v>0000-0001-6787-5862</v>
      </c>
    </row>
    <row r="1153">
      <c r="A1153" s="2" t="str">
        <f>IFERROR(__xludf.DUMMYFUNCTION("""COMPUTED_VALUE"""),"Schaeffer")</f>
        <v>Schaeffer</v>
      </c>
      <c r="B1153" s="2" t="str">
        <f>IFERROR(__xludf.DUMMYFUNCTION("""COMPUTED_VALUE"""),"David")</f>
        <v>David</v>
      </c>
      <c r="C1153" s="2" t="str">
        <f>IFERROR(__xludf.DUMMYFUNCTION("""COMPUTED_VALUE"""),"Collaborating PI")</f>
        <v>Collaborating PI</v>
      </c>
      <c r="D1153" s="2" t="str">
        <f>IFERROR(__xludf.DUMMYFUNCTION("""COMPUTED_VALUE"""),"Schaeffer")</f>
        <v>Schaeffer</v>
      </c>
      <c r="E1153" s="2"/>
      <c r="F1153" s="2" t="str">
        <f>IFERROR(__xludf.DUMMYFUNCTION("""COMPUTED_VALUE"""),"dschaeff@pitt.edu")</f>
        <v>dschaeff@pitt.edu</v>
      </c>
      <c r="G1153" s="2" t="str">
        <f>IFERROR(__xludf.DUMMYFUNCTION("""COMPUTED_VALUE"""),"0000-0003-2201-7092")</f>
        <v>0000-0003-2201-7092</v>
      </c>
    </row>
    <row r="1154">
      <c r="A1154" s="2" t="str">
        <f>IFERROR(__xludf.DUMMYFUNCTION("""COMPUTED_VALUE"""),"Lin")</f>
        <v>Lin</v>
      </c>
      <c r="B1154" s="2" t="str">
        <f>IFERROR(__xludf.DUMMYFUNCTION("""COMPUTED_VALUE"""),"Adam")</f>
        <v>Adam</v>
      </c>
      <c r="C1154" s="2" t="str">
        <f>IFERROR(__xludf.DUMMYFUNCTION("""COMPUTED_VALUE"""),"Key Personnel")</f>
        <v>Key Personnel</v>
      </c>
      <c r="D1154" s="2" t="str">
        <f>IFERROR(__xludf.DUMMYFUNCTION("""COMPUTED_VALUE"""),"Strick")</f>
        <v>Strick</v>
      </c>
      <c r="E1154" s="2"/>
      <c r="F1154" s="2" t="str">
        <f>IFERROR(__xludf.DUMMYFUNCTION("""COMPUTED_VALUE"""),"lin412@pitt.edu")</f>
        <v>lin412@pitt.edu</v>
      </c>
      <c r="G1154" s="2" t="str">
        <f>IFERROR(__xludf.DUMMYFUNCTION("""COMPUTED_VALUE"""),"0000-0002-8191-8563")</f>
        <v>0000-0002-8191-8563</v>
      </c>
    </row>
    <row r="1155">
      <c r="A1155" s="2" t="str">
        <f>IFERROR(__xludf.DUMMYFUNCTION("""COMPUTED_VALUE"""),"Hanada")</f>
        <v>Hanada</v>
      </c>
      <c r="B1155" s="2" t="str">
        <f>IFERROR(__xludf.DUMMYFUNCTION("""COMPUTED_VALUE"""),"Mitsutoshi")</f>
        <v>Mitsutoshi</v>
      </c>
      <c r="C1155" s="2" t="str">
        <f>IFERROR(__xludf.DUMMYFUNCTION("""COMPUTED_VALUE"""),"Key Personnel")</f>
        <v>Key Personnel</v>
      </c>
      <c r="D1155" s="2" t="str">
        <f>IFERROR(__xludf.DUMMYFUNCTION("""COMPUTED_VALUE"""),"Strick")</f>
        <v>Strick</v>
      </c>
      <c r="E1155" s="2"/>
      <c r="F1155" s="2" t="str">
        <f>IFERROR(__xludf.DUMMYFUNCTION("""COMPUTED_VALUE"""),"MIH137@pitt.edu")</f>
        <v>MIH137@pitt.edu</v>
      </c>
      <c r="G1155" s="2" t="str">
        <f>IFERROR(__xludf.DUMMYFUNCTION("""COMPUTED_VALUE"""),"0000-0002-2066-1151")</f>
        <v>0000-0002-2066-1151</v>
      </c>
    </row>
    <row r="1156">
      <c r="A1156" s="2" t="str">
        <f>IFERROR(__xludf.DUMMYFUNCTION("""COMPUTED_VALUE"""),"Rizor")</f>
        <v>Rizor</v>
      </c>
      <c r="B1156" s="2" t="str">
        <f>IFERROR(__xludf.DUMMYFUNCTION("""COMPUTED_VALUE"""),"Elizabeth")</f>
        <v>Elizabeth</v>
      </c>
      <c r="C1156" s="2" t="str">
        <f>IFERROR(__xludf.DUMMYFUNCTION("""COMPUTED_VALUE"""),"Key Personnel")</f>
        <v>Key Personnel</v>
      </c>
      <c r="D1156" s="2" t="str">
        <f>IFERROR(__xludf.DUMMYFUNCTION("""COMPUTED_VALUE"""),"Grafton")</f>
        <v>Grafton</v>
      </c>
      <c r="E1156" s="2"/>
      <c r="F1156" s="2" t="str">
        <f>IFERROR(__xludf.DUMMYFUNCTION("""COMPUTED_VALUE"""),"elizabeth.rizor@dyns.ucsb.edu")</f>
        <v>elizabeth.rizor@dyns.ucsb.edu</v>
      </c>
      <c r="G1156" s="2" t="str">
        <f>IFERROR(__xludf.DUMMYFUNCTION("""COMPUTED_VALUE"""),"0000-0002-5833-4471")</f>
        <v>0000-0002-5833-4471</v>
      </c>
    </row>
    <row r="1157">
      <c r="A1157" s="2" t="str">
        <f>IFERROR(__xludf.DUMMYFUNCTION("""COMPUTED_VALUE"""),"Dundon")</f>
        <v>Dundon</v>
      </c>
      <c r="B1157" s="2" t="str">
        <f>IFERROR(__xludf.DUMMYFUNCTION("""COMPUTED_VALUE"""),"Neil")</f>
        <v>Neil</v>
      </c>
      <c r="C1157" s="2" t="str">
        <f>IFERROR(__xludf.DUMMYFUNCTION("""COMPUTED_VALUE"""),"Key Personnel")</f>
        <v>Key Personnel</v>
      </c>
      <c r="D1157" s="2" t="str">
        <f>IFERROR(__xludf.DUMMYFUNCTION("""COMPUTED_VALUE"""),"Grafton")</f>
        <v>Grafton</v>
      </c>
      <c r="E1157" s="2"/>
      <c r="F1157" s="2" t="str">
        <f>IFERROR(__xludf.DUMMYFUNCTION("""COMPUTED_VALUE"""),"dundonnm@ucsb.edu")</f>
        <v>dundonnm@ucsb.edu</v>
      </c>
      <c r="G1157" s="2" t="str">
        <f>IFERROR(__xludf.DUMMYFUNCTION("""COMPUTED_VALUE"""),"0000-0001-6246-1775")</f>
        <v>0000-0001-6246-1775</v>
      </c>
    </row>
    <row r="1158">
      <c r="A1158" s="2" t="str">
        <f>IFERROR(__xludf.DUMMYFUNCTION("""COMPUTED_VALUE"""),"Wang")</f>
        <v>Wang</v>
      </c>
      <c r="B1158" s="2" t="str">
        <f>IFERROR(__xludf.DUMMYFUNCTION("""COMPUTED_VALUE"""),"Jingyi")</f>
        <v>Jingyi</v>
      </c>
      <c r="C1158" s="2" t="str">
        <f>IFERROR(__xludf.DUMMYFUNCTION("""COMPUTED_VALUE"""),"Key Personnel")</f>
        <v>Key Personnel</v>
      </c>
      <c r="D1158" s="2" t="str">
        <f>IFERROR(__xludf.DUMMYFUNCTION("""COMPUTED_VALUE"""),"Lapate")</f>
        <v>Lapate</v>
      </c>
      <c r="E1158" s="2"/>
      <c r="F1158" s="2" t="str">
        <f>IFERROR(__xludf.DUMMYFUNCTION("""COMPUTED_VALUE"""),"jy_wang@ucsb.edu")</f>
        <v>jy_wang@ucsb.edu</v>
      </c>
      <c r="G1158" s="2" t="str">
        <f>IFERROR(__xludf.DUMMYFUNCTION("""COMPUTED_VALUE"""),"0000-0002-7903-0952")</f>
        <v>0000-0002-7903-0952</v>
      </c>
    </row>
    <row r="1159">
      <c r="A1159" s="2" t="str">
        <f>IFERROR(__xludf.DUMMYFUNCTION("""COMPUTED_VALUE"""),"Stasiak")</f>
        <v>Stasiak</v>
      </c>
      <c r="B1159" s="2" t="str">
        <f>IFERROR(__xludf.DUMMYFUNCTION("""COMPUTED_VALUE"""),"Joanne")</f>
        <v>Joanne</v>
      </c>
      <c r="C1159" s="2" t="str">
        <f>IFERROR(__xludf.DUMMYFUNCTION("""COMPUTED_VALUE"""),"Key Personnel")</f>
        <v>Key Personnel</v>
      </c>
      <c r="D1159" s="2" t="str">
        <f>IFERROR(__xludf.DUMMYFUNCTION("""COMPUTED_VALUE"""),"Lapate")</f>
        <v>Lapate</v>
      </c>
      <c r="E1159" s="2"/>
      <c r="F1159" s="2" t="str">
        <f>IFERROR(__xludf.DUMMYFUNCTION("""COMPUTED_VALUE"""),"joannestasiak@ucsb.edu")</f>
        <v>joannestasiak@ucsb.edu</v>
      </c>
      <c r="G1159" s="2" t="str">
        <f>IFERROR(__xludf.DUMMYFUNCTION("""COMPUTED_VALUE"""),"0000-0003-3854-345X")</f>
        <v>0000-0003-3854-345X</v>
      </c>
    </row>
    <row r="1160">
      <c r="A1160" s="2" t="str">
        <f>IFERROR(__xludf.DUMMYFUNCTION("""COMPUTED_VALUE"""),"Amjad")</f>
        <v>Amjad</v>
      </c>
      <c r="B1160" s="2" t="str">
        <f>IFERROR(__xludf.DUMMYFUNCTION("""COMPUTED_VALUE"""),"Usamma")</f>
        <v>Usamma</v>
      </c>
      <c r="C1160" s="2" t="str">
        <f>IFERROR(__xludf.DUMMYFUNCTION("""COMPUTED_VALUE"""),"Key Personnel")</f>
        <v>Key Personnel</v>
      </c>
      <c r="D1160" s="2" t="str">
        <f>IFERROR(__xludf.DUMMYFUNCTION("""COMPUTED_VALUE"""),"Schwerdt")</f>
        <v>Schwerdt</v>
      </c>
      <c r="E1160" s="2"/>
      <c r="F1160" s="2" t="str">
        <f>IFERROR(__xludf.DUMMYFUNCTION("""COMPUTED_VALUE"""),"usa5@pitt.edu")</f>
        <v>usa5@pitt.edu</v>
      </c>
      <c r="G1160" s="2" t="str">
        <f>IFERROR(__xludf.DUMMYFUNCTION("""COMPUTED_VALUE"""),"0000-0001-5455-3207")</f>
        <v>0000-0001-5455-3207</v>
      </c>
    </row>
    <row r="1161">
      <c r="A1161" s="2" t="str">
        <f>IFERROR(__xludf.DUMMYFUNCTION("""COMPUTED_VALUE"""),"Stump")</f>
        <v>Stump</v>
      </c>
      <c r="B1161" s="2" t="str">
        <f>IFERROR(__xludf.DUMMYFUNCTION("""COMPUTED_VALUE"""),"Alexandra")</f>
        <v>Alexandra</v>
      </c>
      <c r="C1161" s="2" t="str">
        <f>IFERROR(__xludf.DUMMYFUNCTION("""COMPUTED_VALUE"""),"Key Personnel")</f>
        <v>Key Personnel</v>
      </c>
      <c r="D1161" s="2" t="str">
        <f>IFERROR(__xludf.DUMMYFUNCTION("""COMPUTED_VALUE"""),"Grafton")</f>
        <v>Grafton</v>
      </c>
      <c r="E1161" s="2"/>
      <c r="F1161" s="2" t="str">
        <f>IFERROR(__xludf.DUMMYFUNCTION("""COMPUTED_VALUE"""),"alexandra_stump@ucsb.edu")</f>
        <v>alexandra_stump@ucsb.edu</v>
      </c>
      <c r="G1161" s="2" t="str">
        <f>IFERROR(__xludf.DUMMYFUNCTION("""COMPUTED_VALUE"""),"0000-0003-4361-0610")</f>
        <v>0000-0003-4361-0610</v>
      </c>
    </row>
    <row r="1162">
      <c r="A1162" s="2" t="str">
        <f>IFERROR(__xludf.DUMMYFUNCTION("""COMPUTED_VALUE"""),"Phan")</f>
        <v>Phan</v>
      </c>
      <c r="B1162" s="2" t="str">
        <f>IFERROR(__xludf.DUMMYFUNCTION("""COMPUTED_VALUE"""),"BaDoi")</f>
        <v>BaDoi</v>
      </c>
      <c r="C1162" s="2" t="str">
        <f>IFERROR(__xludf.DUMMYFUNCTION("""COMPUTED_VALUE"""),"Key Personnel")</f>
        <v>Key Personnel</v>
      </c>
      <c r="D1162" s="2" t="str">
        <f>IFERROR(__xludf.DUMMYFUNCTION("""COMPUTED_VALUE"""),"Pfenning")</f>
        <v>Pfenning</v>
      </c>
      <c r="E1162" s="2" t="str">
        <f>IFERROR(__xludf.DUMMYFUNCTION("""COMPUTED_VALUE"""),"Graduate Student")</f>
        <v>Graduate Student</v>
      </c>
      <c r="F1162" s="2" t="str">
        <f>IFERROR(__xludf.DUMMYFUNCTION("""COMPUTED_VALUE"""),"badoi.phan@pitt.edu")</f>
        <v>badoi.phan@pitt.edu</v>
      </c>
      <c r="G1162" s="2" t="str">
        <f>IFERROR(__xludf.DUMMYFUNCTION("""COMPUTED_VALUE"""),"0000-0001-6331-5980")</f>
        <v>0000-0001-6331-5980</v>
      </c>
    </row>
    <row r="1163">
      <c r="A1163" s="2" t="str">
        <f>IFERROR(__xludf.DUMMYFUNCTION("""COMPUTED_VALUE"""),"Frum")</f>
        <v>Frum</v>
      </c>
      <c r="B1163" s="2" t="str">
        <f>IFERROR(__xludf.DUMMYFUNCTION("""COMPUTED_VALUE"""),"Mara")</f>
        <v>Mara</v>
      </c>
      <c r="C1163" s="2" t="str">
        <f>IFERROR(__xludf.DUMMYFUNCTION("""COMPUTED_VALUE"""),"Key Personnel")</f>
        <v>Key Personnel</v>
      </c>
      <c r="D1163" s="2" t="str">
        <f>IFERROR(__xludf.DUMMYFUNCTION("""COMPUTED_VALUE"""),"Strick")</f>
        <v>Strick</v>
      </c>
      <c r="E1163" s="2" t="str">
        <f>IFERROR(__xludf.DUMMYFUNCTION("""COMPUTED_VALUE"""),"Research Technician")</f>
        <v>Research Technician</v>
      </c>
      <c r="F1163" s="2" t="str">
        <f>IFERROR(__xludf.DUMMYFUNCTION("""COMPUTED_VALUE"""),"KGF9@pitt.edu")</f>
        <v>KGF9@pitt.edu</v>
      </c>
      <c r="G1163" s="2" t="str">
        <f>IFERROR(__xludf.DUMMYFUNCTION("""COMPUTED_VALUE"""),"0000-0002-3422-987X")</f>
        <v>0000-0002-3422-987X</v>
      </c>
    </row>
    <row r="1164">
      <c r="A1164" s="2" t="str">
        <f>IFERROR(__xludf.DUMMYFUNCTION("""COMPUTED_VALUE"""),"Brull")</f>
        <v>Brull</v>
      </c>
      <c r="B1164" s="2" t="str">
        <f>IFERROR(__xludf.DUMMYFUNCTION("""COMPUTED_VALUE"""),"Olivia")</f>
        <v>Olivia</v>
      </c>
      <c r="C1164" s="2" t="str">
        <f>IFERROR(__xludf.DUMMYFUNCTION("""COMPUTED_VALUE"""),"Key Personnel")</f>
        <v>Key Personnel</v>
      </c>
      <c r="D1164" s="2" t="str">
        <f>IFERROR(__xludf.DUMMYFUNCTION("""COMPUTED_VALUE"""),"Stauffer")</f>
        <v>Stauffer</v>
      </c>
      <c r="E1164" s="2" t="str">
        <f>IFERROR(__xludf.DUMMYFUNCTION("""COMPUTED_VALUE"""),"Research Technician")</f>
        <v>Research Technician</v>
      </c>
      <c r="F1164" s="2" t="str">
        <f>IFERROR(__xludf.DUMMYFUNCTION("""COMPUTED_VALUE"""),"orb6@pitt.edu")</f>
        <v>orb6@pitt.edu</v>
      </c>
      <c r="G1164" s="2" t="str">
        <f>IFERROR(__xludf.DUMMYFUNCTION("""COMPUTED_VALUE"""),"0000-0001-7721-8989")</f>
        <v>0000-0001-7721-8989</v>
      </c>
    </row>
    <row r="1165">
      <c r="A1165" s="2" t="str">
        <f>IFERROR(__xludf.DUMMYFUNCTION("""COMPUTED_VALUE"""),"Abdelhady")</f>
        <v>Abdelhady</v>
      </c>
      <c r="B1165" s="2" t="str">
        <f>IFERROR(__xludf.DUMMYFUNCTION("""COMPUTED_VALUE"""),"Ghada")</f>
        <v>Ghada</v>
      </c>
      <c r="C1165" s="2" t="str">
        <f>IFERROR(__xludf.DUMMYFUNCTION("""COMPUTED_VALUE"""),"Key Personnel")</f>
        <v>Key Personnel</v>
      </c>
      <c r="D1165" s="2" t="str">
        <f>IFERROR(__xludf.DUMMYFUNCTION("""COMPUTED_VALUE"""),"Pfenning")</f>
        <v>Pfenning</v>
      </c>
      <c r="E1165" s="2" t="str">
        <f>IFERROR(__xludf.DUMMYFUNCTION("""COMPUTED_VALUE"""),"Graduate Student")</f>
        <v>Graduate Student</v>
      </c>
      <c r="F1165" s="2" t="str">
        <f>IFERROR(__xludf.DUMMYFUNCTION("""COMPUTED_VALUE"""),"gar75@pitt.edu")</f>
        <v>gar75@pitt.edu</v>
      </c>
      <c r="G1165" s="2" t="str">
        <f>IFERROR(__xludf.DUMMYFUNCTION("""COMPUTED_VALUE"""),"0000-0002-7114-893X")</f>
        <v>0000-0002-7114-893X</v>
      </c>
    </row>
    <row r="1166">
      <c r="A1166" s="2" t="str">
        <f>IFERROR(__xludf.DUMMYFUNCTION("""COMPUTED_VALUE"""),"Hakim")</f>
        <v>Hakim</v>
      </c>
      <c r="B1166" s="2" t="str">
        <f>IFERROR(__xludf.DUMMYFUNCTION("""COMPUTED_VALUE"""),"Macie")</f>
        <v>Macie</v>
      </c>
      <c r="C1166" s="2" t="str">
        <f>IFERROR(__xludf.DUMMYFUNCTION("""COMPUTED_VALUE"""),"Key Personnel")</f>
        <v>Key Personnel</v>
      </c>
      <c r="D1166" s="2" t="str">
        <f>IFERROR(__xludf.DUMMYFUNCTION("""COMPUTED_VALUE"""),"Strick")</f>
        <v>Strick</v>
      </c>
      <c r="E1166" s="2" t="str">
        <f>IFERROR(__xludf.DUMMYFUNCTION("""COMPUTED_VALUE"""),"Undergraduate Student")</f>
        <v>Undergraduate Student</v>
      </c>
      <c r="F1166" s="2" t="str">
        <f>IFERROR(__xludf.DUMMYFUNCTION("""COMPUTED_VALUE"""),"MRH154@pitt.edu")</f>
        <v>MRH154@pitt.edu</v>
      </c>
      <c r="G1166" s="2" t="str">
        <f>IFERROR(__xludf.DUMMYFUNCTION("""COMPUTED_VALUE"""),"0000-0002-8098-7532")</f>
        <v>0000-0002-8098-7532</v>
      </c>
    </row>
    <row r="1167">
      <c r="A1167" s="2" t="str">
        <f>IFERROR(__xludf.DUMMYFUNCTION("""COMPUTED_VALUE"""),"Cox")</f>
        <v>Cox</v>
      </c>
      <c r="B1167" s="2" t="str">
        <f>IFERROR(__xludf.DUMMYFUNCTION("""COMPUTED_VALUE"""),"Karin")</f>
        <v>Karin</v>
      </c>
      <c r="C1167" s="2" t="str">
        <f>IFERROR(__xludf.DUMMYFUNCTION("""COMPUTED_VALUE"""),"Key Personnel")</f>
        <v>Key Personnel</v>
      </c>
      <c r="D1167" s="2" t="str">
        <f>IFERROR(__xludf.DUMMYFUNCTION("""COMPUTED_VALUE"""),"Turner")</f>
        <v>Turner</v>
      </c>
      <c r="E1167" s="2" t="str">
        <f>IFERROR(__xludf.DUMMYFUNCTION("""COMPUTED_VALUE"""),"Graduate Student")</f>
        <v>Graduate Student</v>
      </c>
      <c r="F1167" s="2" t="str">
        <f>IFERROR(__xludf.DUMMYFUNCTION("""COMPUTED_VALUE"""),"kmc51@pitt.edu")</f>
        <v>kmc51@pitt.edu</v>
      </c>
      <c r="G1167" s="2" t="str">
        <f>IFERROR(__xludf.DUMMYFUNCTION("""COMPUTED_VALUE"""),"0000-0002-5418-0508")</f>
        <v>0000-0002-5418-0508</v>
      </c>
    </row>
    <row r="1168">
      <c r="A1168" s="2" t="str">
        <f>IFERROR(__xludf.DUMMYFUNCTION("""COMPUTED_VALUE"""),"Leveto")</f>
        <v>Leveto</v>
      </c>
      <c r="B1168" s="2" t="str">
        <f>IFERROR(__xludf.DUMMYFUNCTION("""COMPUTED_VALUE"""),"Baylie")</f>
        <v>Baylie</v>
      </c>
      <c r="C1168" s="2" t="str">
        <f>IFERROR(__xludf.DUMMYFUNCTION("""COMPUTED_VALUE"""),"Key Personnel")</f>
        <v>Key Personnel</v>
      </c>
      <c r="D1168" s="2" t="str">
        <f>IFERROR(__xludf.DUMMYFUNCTION("""COMPUTED_VALUE"""),"Strick")</f>
        <v>Strick</v>
      </c>
      <c r="E1168" s="2" t="str">
        <f>IFERROR(__xludf.DUMMYFUNCTION("""COMPUTED_VALUE"""),"Undergraduate Student")</f>
        <v>Undergraduate Student</v>
      </c>
      <c r="F1168" s="2" t="str">
        <f>IFERROR(__xludf.DUMMYFUNCTION("""COMPUTED_VALUE"""),"Baylieleveto@pitt.edu ")</f>
        <v>Baylieleveto@pitt.edu </v>
      </c>
      <c r="G1168" s="2" t="str">
        <f>IFERROR(__xludf.DUMMYFUNCTION("""COMPUTED_VALUE"""),"0009-0004-5400-2105")</f>
        <v>0009-0004-5400-2105</v>
      </c>
    </row>
    <row r="1169">
      <c r="A1169" s="2" t="str">
        <f>IFERROR(__xludf.DUMMYFUNCTION("""COMPUTED_VALUE"""),"Fredericks")</f>
        <v>Fredericks</v>
      </c>
      <c r="B1169" s="2" t="str">
        <f>IFERROR(__xludf.DUMMYFUNCTION("""COMPUTED_VALUE"""),"Megan")</f>
        <v>Megan</v>
      </c>
      <c r="C1169" s="2" t="str">
        <f>IFERROR(__xludf.DUMMYFUNCTION("""COMPUTED_VALUE"""),"Key Personnel")</f>
        <v>Key Personnel</v>
      </c>
      <c r="D1169" s="2" t="str">
        <f>IFERROR(__xludf.DUMMYFUNCTION("""COMPUTED_VALUE"""),"Stauffer")</f>
        <v>Stauffer</v>
      </c>
      <c r="E1169" s="2" t="str">
        <f>IFERROR(__xludf.DUMMYFUNCTION("""COMPUTED_VALUE"""),"Staff Scientist")</f>
        <v>Staff Scientist</v>
      </c>
      <c r="F1169" s="2" t="str">
        <f>IFERROR(__xludf.DUMMYFUNCTION("""COMPUTED_VALUE"""),"MMF119@pitt.edu")</f>
        <v>MMF119@pitt.edu</v>
      </c>
      <c r="G1169" s="2" t="str">
        <f>IFERROR(__xludf.DUMMYFUNCTION("""COMPUTED_VALUE"""),"0000-0003-0385-1540")</f>
        <v>0000-0003-0385-1540</v>
      </c>
    </row>
    <row r="1170">
      <c r="A1170" s="2" t="str">
        <f>IFERROR(__xludf.DUMMYFUNCTION("""COMPUTED_VALUE"""),"Tittle")</f>
        <v>Tittle</v>
      </c>
      <c r="B1170" s="2" t="str">
        <f>IFERROR(__xludf.DUMMYFUNCTION("""COMPUTED_VALUE"""),"Rachel")</f>
        <v>Rachel</v>
      </c>
      <c r="C1170" s="2" t="str">
        <f>IFERROR(__xludf.DUMMYFUNCTION("""COMPUTED_VALUE"""),"Key Personnel")</f>
        <v>Key Personnel</v>
      </c>
      <c r="D1170" s="2" t="str">
        <f>IFERROR(__xludf.DUMMYFUNCTION("""COMPUTED_VALUE"""),"Stauffer")</f>
        <v>Stauffer</v>
      </c>
      <c r="E1170" s="2" t="str">
        <f>IFERROR(__xludf.DUMMYFUNCTION("""COMPUTED_VALUE"""),"Staff Scientist")</f>
        <v>Staff Scientist</v>
      </c>
      <c r="F1170" s="2" t="str">
        <f>IFERROR(__xludf.DUMMYFUNCTION("""COMPUTED_VALUE"""),"RKT@pitt.edu")</f>
        <v>RKT@pitt.edu</v>
      </c>
      <c r="G1170" s="2" t="str">
        <f>IFERROR(__xludf.DUMMYFUNCTION("""COMPUTED_VALUE"""),"0000-0003-2309-8111")</f>
        <v>0000-0003-2309-8111</v>
      </c>
    </row>
    <row r="1171">
      <c r="A1171" s="2" t="str">
        <f>IFERROR(__xludf.DUMMYFUNCTION("""COMPUTED_VALUE"""),"Lin")</f>
        <v>Lin</v>
      </c>
      <c r="B1171" s="2" t="str">
        <f>IFERROR(__xludf.DUMMYFUNCTION("""COMPUTED_VALUE"""),"Meng Kuang")</f>
        <v>Meng Kuang</v>
      </c>
      <c r="C1171" s="2" t="str">
        <f>IFERROR(__xludf.DUMMYFUNCTION("""COMPUTED_VALUE"""),"Key Personnel")</f>
        <v>Key Personnel</v>
      </c>
      <c r="D1171" s="2" t="str">
        <f>IFERROR(__xludf.DUMMYFUNCTION("""COMPUTED_VALUE"""),"Strick")</f>
        <v>Strick</v>
      </c>
      <c r="E1171" s="2" t="str">
        <f>IFERROR(__xludf.DUMMYFUNCTION("""COMPUTED_VALUE"""),"Research Assistant Professor")</f>
        <v>Research Assistant Professor</v>
      </c>
      <c r="F1171" s="2" t="str">
        <f>IFERROR(__xludf.DUMMYFUNCTION("""COMPUTED_VALUE"""),"mengkuan.lin@pitt.edu")</f>
        <v>mengkuan.lin@pitt.edu</v>
      </c>
      <c r="G1171" s="2" t="str">
        <f>IFERROR(__xludf.DUMMYFUNCTION("""COMPUTED_VALUE"""),"0000-0002-8191-8563")</f>
        <v>0000-0002-8191-8563</v>
      </c>
    </row>
    <row r="1172">
      <c r="A1172" s="2" t="str">
        <f>IFERROR(__xludf.DUMMYFUNCTION("""COMPUTED_VALUE"""),"Harsch ")</f>
        <v>Harsch </v>
      </c>
      <c r="B1172" s="2" t="str">
        <f>IFERROR(__xludf.DUMMYFUNCTION("""COMPUTED_VALUE"""),"Devin")</f>
        <v>Devin</v>
      </c>
      <c r="C1172" s="2" t="str">
        <f>IFERROR(__xludf.DUMMYFUNCTION("""COMPUTED_VALUE"""),"Key Personnel")</f>
        <v>Key Personnel</v>
      </c>
      <c r="D1172" s="2" t="str">
        <f>IFERROR(__xludf.DUMMYFUNCTION("""COMPUTED_VALUE"""),"Turner")</f>
        <v>Turner</v>
      </c>
      <c r="E1172" s="2" t="str">
        <f>IFERROR(__xludf.DUMMYFUNCTION("""COMPUTED_VALUE"""),"Graduate Student")</f>
        <v>Graduate Student</v>
      </c>
      <c r="F1172" s="2" t="str">
        <f>IFERROR(__xludf.DUMMYFUNCTION("""COMPUTED_VALUE"""),"drh101@pitt.edu ")</f>
        <v>drh101@pitt.edu </v>
      </c>
      <c r="G1172" s="2" t="str">
        <f>IFERROR(__xludf.DUMMYFUNCTION("""COMPUTED_VALUE"""),"0000-0001-6267-2871")</f>
        <v>0000-0001-6267-2871</v>
      </c>
    </row>
    <row r="1173">
      <c r="A1173" s="2" t="str">
        <f>IFERROR(__xludf.DUMMYFUNCTION("""COMPUTED_VALUE"""),"Mahajan")</f>
        <v>Mahajan</v>
      </c>
      <c r="B1173" s="2" t="str">
        <f>IFERROR(__xludf.DUMMYFUNCTION("""COMPUTED_VALUE"""),"Shreya")</f>
        <v>Shreya</v>
      </c>
      <c r="C1173" s="2" t="str">
        <f>IFERROR(__xludf.DUMMYFUNCTION("""COMPUTED_VALUE"""),"Key Personnel")</f>
        <v>Key Personnel</v>
      </c>
      <c r="D1173" s="2" t="str">
        <f>IFERROR(__xludf.DUMMYFUNCTION("""COMPUTED_VALUE"""),"Schwerdt")</f>
        <v>Schwerdt</v>
      </c>
      <c r="E1173" s="2" t="str">
        <f>IFERROR(__xludf.DUMMYFUNCTION("""COMPUTED_VALUE"""),"Graduate Student ")</f>
        <v>Graduate Student </v>
      </c>
      <c r="F1173" s="2" t="str">
        <f>IFERROR(__xludf.DUMMYFUNCTION("""COMPUTED_VALUE"""),"SHM310@pitt.edu")</f>
        <v>SHM310@pitt.edu</v>
      </c>
      <c r="G1173" s="2" t="str">
        <f>IFERROR(__xludf.DUMMYFUNCTION("""COMPUTED_VALUE"""),"0009-0008-9832-1190")</f>
        <v>0009-0008-9832-1190</v>
      </c>
    </row>
    <row r="1174">
      <c r="A1174" s="2" t="str">
        <f>IFERROR(__xludf.DUMMYFUNCTION("""COMPUTED_VALUE"""),"Zambre")</f>
        <v>Zambre</v>
      </c>
      <c r="B1174" s="2" t="str">
        <f>IFERROR(__xludf.DUMMYFUNCTION("""COMPUTED_VALUE"""),"Mrunal")</f>
        <v>Mrunal</v>
      </c>
      <c r="C1174" s="2" t="str">
        <f>IFERROR(__xludf.DUMMYFUNCTION("""COMPUTED_VALUE"""),"Key Personnel")</f>
        <v>Key Personnel</v>
      </c>
      <c r="D1174" s="2" t="str">
        <f>IFERROR(__xludf.DUMMYFUNCTION("""COMPUTED_VALUE"""),"Schwerdt")</f>
        <v>Schwerdt</v>
      </c>
      <c r="E1174" s="2" t="str">
        <f>IFERROR(__xludf.DUMMYFUNCTION("""COMPUTED_VALUE"""),"Graduate Student ")</f>
        <v>Graduate Student </v>
      </c>
      <c r="F1174" s="2" t="str">
        <f>IFERROR(__xludf.DUMMYFUNCTION("""COMPUTED_VALUE"""),"MRZ30@pitt.edu")</f>
        <v>MRZ30@pitt.edu</v>
      </c>
      <c r="G1174" s="2" t="str">
        <f>IFERROR(__xludf.DUMMYFUNCTION("""COMPUTED_VALUE"""),"0009-0002-7415-7935")</f>
        <v>0009-0002-7415-7935</v>
      </c>
    </row>
    <row r="1175">
      <c r="A1175" s="2" t="str">
        <f>IFERROR(__xludf.DUMMYFUNCTION("""COMPUTED_VALUE"""),"Marflak")</f>
        <v>Marflak</v>
      </c>
      <c r="B1175" s="2" t="str">
        <f>IFERROR(__xludf.DUMMYFUNCTION("""COMPUTED_VALUE"""),"Rebecca")</f>
        <v>Rebecca</v>
      </c>
      <c r="C1175" s="2" t="str">
        <f>IFERROR(__xludf.DUMMYFUNCTION("""COMPUTED_VALUE"""),"Key Personnel")</f>
        <v>Key Personnel</v>
      </c>
      <c r="D1175" s="2" t="str">
        <f>IFERROR(__xludf.DUMMYFUNCTION("""COMPUTED_VALUE"""),"Schwerdt")</f>
        <v>Schwerdt</v>
      </c>
      <c r="E1175" s="2" t="str">
        <f>IFERROR(__xludf.DUMMYFUNCTION("""COMPUTED_VALUE"""),"Lab Manager and Research Technician ")</f>
        <v>Lab Manager and Research Technician </v>
      </c>
      <c r="F1175" s="2" t="str">
        <f>IFERROR(__xludf.DUMMYFUNCTION("""COMPUTED_VALUE"""),"RCM54@pitt.edu")</f>
        <v>RCM54@pitt.edu</v>
      </c>
      <c r="G1175" s="2" t="str">
        <f>IFERROR(__xludf.DUMMYFUNCTION("""COMPUTED_VALUE"""),"0009-0002-3454-8210")</f>
        <v>0009-0002-3454-8210</v>
      </c>
    </row>
    <row r="1176">
      <c r="A1176" s="2" t="str">
        <f>IFERROR(__xludf.DUMMYFUNCTION("""COMPUTED_VALUE"""),"Alikaya")</f>
        <v>Alikaya</v>
      </c>
      <c r="B1176" s="2" t="str">
        <f>IFERROR(__xludf.DUMMYFUNCTION("""COMPUTED_VALUE"""),"Aydin")</f>
        <v>Aydin</v>
      </c>
      <c r="C1176" s="2" t="str">
        <f>IFERROR(__xludf.DUMMYFUNCTION("""COMPUTED_VALUE"""),"Key Personnel")</f>
        <v>Key Personnel</v>
      </c>
      <c r="D1176" s="2" t="str">
        <f>IFERROR(__xludf.DUMMYFUNCTION("""COMPUTED_VALUE"""),"Stauffer")</f>
        <v>Stauffer</v>
      </c>
      <c r="E1176" s="2" t="str">
        <f>IFERROR(__xludf.DUMMYFUNCTION("""COMPUTED_VALUE"""),"Graduate Student")</f>
        <v>Graduate Student</v>
      </c>
      <c r="F1176" s="2" t="str">
        <f>IFERROR(__xludf.DUMMYFUNCTION("""COMPUTED_VALUE"""),"aya25@pitt.edu")</f>
        <v>aya25@pitt.edu</v>
      </c>
      <c r="G1176" s="2" t="str">
        <f>IFERROR(__xludf.DUMMYFUNCTION("""COMPUTED_VALUE"""),"0009-0003-8876-5103")</f>
        <v>0009-0003-8876-5103</v>
      </c>
    </row>
    <row r="1177">
      <c r="A1177" s="2" t="str">
        <f>IFERROR(__xludf.DUMMYFUNCTION("""COMPUTED_VALUE"""),"Murray")</f>
        <v>Murray</v>
      </c>
      <c r="B1177" s="2" t="str">
        <f>IFERROR(__xludf.DUMMYFUNCTION("""COMPUTED_VALUE"""),"Raymond")</f>
        <v>Raymond</v>
      </c>
      <c r="C1177" s="2" t="str">
        <f>IFERROR(__xludf.DUMMYFUNCTION("""COMPUTED_VALUE"""),"Key Personnel")</f>
        <v>Key Personnel</v>
      </c>
      <c r="D1177" s="2" t="str">
        <f>IFERROR(__xludf.DUMMYFUNCTION("""COMPUTED_VALUE"""),"Schwerdt")</f>
        <v>Schwerdt</v>
      </c>
      <c r="E1177" s="2" t="str">
        <f>IFERROR(__xludf.DUMMYFUNCTION("""COMPUTED_VALUE"""),"Research Technician")</f>
        <v>Research Technician</v>
      </c>
      <c r="F1177" s="2" t="str">
        <f>IFERROR(__xludf.DUMMYFUNCTION("""COMPUTED_VALUE"""),"RDM80@pitt.edu")</f>
        <v>RDM80@pitt.edu</v>
      </c>
      <c r="G1177" s="2" t="str">
        <f>IFERROR(__xludf.DUMMYFUNCTION("""COMPUTED_VALUE"""),"0009-0007-1529-9243")</f>
        <v>0009-0007-1529-9243</v>
      </c>
    </row>
    <row r="1178">
      <c r="A1178" s="2" t="str">
        <f>IFERROR(__xludf.DUMMYFUNCTION("""COMPUTED_VALUE"""),"Cornmesser ")</f>
        <v>Cornmesser </v>
      </c>
      <c r="B1178" s="2" t="str">
        <f>IFERROR(__xludf.DUMMYFUNCTION("""COMPUTED_VALUE"""),"Cherie ")</f>
        <v>Cherie </v>
      </c>
      <c r="C1178" s="2" t="str">
        <f>IFERROR(__xludf.DUMMYFUNCTION("""COMPUTED_VALUE"""),"Key Personnel")</f>
        <v>Key Personnel</v>
      </c>
      <c r="D1178" s="2" t="str">
        <f>IFERROR(__xludf.DUMMYFUNCTION("""COMPUTED_VALUE"""),"Turner")</f>
        <v>Turner</v>
      </c>
      <c r="E1178" s="2" t="str">
        <f>IFERROR(__xludf.DUMMYFUNCTION("""COMPUTED_VALUE"""),"Research Technician")</f>
        <v>Research Technician</v>
      </c>
      <c r="F1178" s="2" t="str">
        <f>IFERROR(__xludf.DUMMYFUNCTION("""COMPUTED_VALUE"""),"chc207@pitt.edu")</f>
        <v>chc207@pitt.edu</v>
      </c>
      <c r="G1178" s="2" t="str">
        <f>IFERROR(__xludf.DUMMYFUNCTION("""COMPUTED_VALUE"""),"0009-0007-3576-7104")</f>
        <v>0009-0007-3576-7104</v>
      </c>
    </row>
    <row r="1179">
      <c r="A1179" s="2" t="str">
        <f>IFERROR(__xludf.DUMMYFUNCTION("""COMPUTED_VALUE"""),"Breter")</f>
        <v>Breter</v>
      </c>
      <c r="B1179" s="2" t="str">
        <f>IFERROR(__xludf.DUMMYFUNCTION("""COMPUTED_VALUE"""),"Jackie")</f>
        <v>Jackie</v>
      </c>
      <c r="C1179" s="2" t="str">
        <f>IFERROR(__xludf.DUMMYFUNCTION("""COMPUTED_VALUE"""),"Key Personnel")</f>
        <v>Key Personnel</v>
      </c>
      <c r="D1179" s="2" t="str">
        <f>IFERROR(__xludf.DUMMYFUNCTION("""COMPUTED_VALUE"""),"Stauffer")</f>
        <v>Stauffer</v>
      </c>
      <c r="E1179" s="2" t="str">
        <f>IFERROR(__xludf.DUMMYFUNCTION("""COMPUTED_VALUE"""),"Lab Manager and Research Technician ")</f>
        <v>Lab Manager and Research Technician </v>
      </c>
      <c r="F1179" s="2" t="str">
        <f>IFERROR(__xludf.DUMMYFUNCTION("""COMPUTED_VALUE"""),"jab463@pitt.edu")</f>
        <v>jab463@pitt.edu</v>
      </c>
      <c r="G1179" s="2" t="str">
        <f>IFERROR(__xludf.DUMMYFUNCTION("""COMPUTED_VALUE"""),"0009-0006-3475-9631")</f>
        <v>0009-0006-3475-9631</v>
      </c>
    </row>
    <row r="1180">
      <c r="A1180" s="2" t="str">
        <f>IFERROR(__xludf.DUMMYFUNCTION("""COMPUTED_VALUE"""),"Somich")</f>
        <v>Somich</v>
      </c>
      <c r="B1180" s="2" t="str">
        <f>IFERROR(__xludf.DUMMYFUNCTION("""COMPUTED_VALUE"""),"Abby")</f>
        <v>Abby</v>
      </c>
      <c r="C1180" s="2" t="str">
        <f>IFERROR(__xludf.DUMMYFUNCTION("""COMPUTED_VALUE"""),"Key Personnel")</f>
        <v>Key Personnel</v>
      </c>
      <c r="D1180" s="2" t="str">
        <f>IFERROR(__xludf.DUMMYFUNCTION("""COMPUTED_VALUE"""),"Schwerdt")</f>
        <v>Schwerdt</v>
      </c>
      <c r="E1180" s="2" t="str">
        <f>IFERROR(__xludf.DUMMYFUNCTION("""COMPUTED_VALUE"""),"Graduate Student")</f>
        <v>Graduate Student</v>
      </c>
      <c r="F1180" s="2" t="str">
        <f>IFERROR(__xludf.DUMMYFUNCTION("""COMPUTED_VALUE"""),"abby.somich@pitt.edu")</f>
        <v>abby.somich@pitt.edu</v>
      </c>
      <c r="G1180" s="2" t="str">
        <f>IFERROR(__xludf.DUMMYFUNCTION("""COMPUTED_VALUE"""),"0009-0002-9833-4166")</f>
        <v>0009-0002-9833-4166</v>
      </c>
    </row>
    <row r="1181">
      <c r="A1181" s="2" t="str">
        <f>IFERROR(__xludf.DUMMYFUNCTION("""COMPUTED_VALUE"""),"Shah")</f>
        <v>Shah</v>
      </c>
      <c r="B1181" s="2" t="str">
        <f>IFERROR(__xludf.DUMMYFUNCTION("""COMPUTED_VALUE"""),"Nili")</f>
        <v>Nili</v>
      </c>
      <c r="C1181" s="2" t="str">
        <f>IFERROR(__xludf.DUMMYFUNCTION("""COMPUTED_VALUE"""),"Key Personnel")</f>
        <v>Key Personnel</v>
      </c>
      <c r="D1181" s="2" t="str">
        <f>IFERROR(__xludf.DUMMYFUNCTION("""COMPUTED_VALUE"""),"Stauffer")</f>
        <v>Stauffer</v>
      </c>
      <c r="E1181" s="2" t="str">
        <f>IFERROR(__xludf.DUMMYFUNCTION("""COMPUTED_VALUE"""),"Research Technician")</f>
        <v>Research Technician</v>
      </c>
      <c r="F1181" s="2" t="str">
        <f>IFERROR(__xludf.DUMMYFUNCTION("""COMPUTED_VALUE"""),"nis370@pitt.edu")</f>
        <v>nis370@pitt.edu</v>
      </c>
      <c r="G1181" s="2" t="str">
        <f>IFERROR(__xludf.DUMMYFUNCTION("""COMPUTED_VALUE"""),"0009-0006-2336-065X")</f>
        <v>0009-0006-2336-065X</v>
      </c>
    </row>
    <row r="1182">
      <c r="A1182" s="2" t="str">
        <f>IFERROR(__xludf.DUMMYFUNCTION("""COMPUTED_VALUE"""),"Towler")</f>
        <v>Towler</v>
      </c>
      <c r="B1182" s="2" t="str">
        <f>IFERROR(__xludf.DUMMYFUNCTION("""COMPUTED_VALUE"""),"Ny")</f>
        <v>Ny</v>
      </c>
      <c r="C1182" s="2" t="str">
        <f>IFERROR(__xludf.DUMMYFUNCTION("""COMPUTED_VALUE"""),"Key Personnel")</f>
        <v>Key Personnel</v>
      </c>
      <c r="D1182" s="2" t="str">
        <f>IFERROR(__xludf.DUMMYFUNCTION("""COMPUTED_VALUE"""),"Stauffer")</f>
        <v>Stauffer</v>
      </c>
      <c r="E1182" s="2" t="str">
        <f>IFERROR(__xludf.DUMMYFUNCTION("""COMPUTED_VALUE"""),"Research Technician")</f>
        <v>Research Technician</v>
      </c>
      <c r="F1182" s="2" t="str">
        <f>IFERROR(__xludf.DUMMYFUNCTION("""COMPUTED_VALUE"""),"nyt7@pitt.edu")</f>
        <v>nyt7@pitt.edu</v>
      </c>
      <c r="G1182" s="2" t="str">
        <f>IFERROR(__xludf.DUMMYFUNCTION("""COMPUTED_VALUE"""),"0009-0002-4571-6697")</f>
        <v>0009-0002-4571-6697</v>
      </c>
    </row>
    <row r="1183">
      <c r="A1183" s="2" t="str">
        <f>IFERROR(__xludf.DUMMYFUNCTION("""COMPUTED_VALUE"""),"Carrier")</f>
        <v>Carrier</v>
      </c>
      <c r="B1183" s="2" t="str">
        <f>IFERROR(__xludf.DUMMYFUNCTION("""COMPUTED_VALUE"""),"Moya")</f>
        <v>Moya</v>
      </c>
      <c r="C1183" s="2" t="str">
        <f>IFERROR(__xludf.DUMMYFUNCTION("""COMPUTED_VALUE"""),"Key Personnel")</f>
        <v>Key Personnel</v>
      </c>
      <c r="D1183" s="2" t="str">
        <f>IFERROR(__xludf.DUMMYFUNCTION("""COMPUTED_VALUE"""),"Strick")</f>
        <v>Strick</v>
      </c>
      <c r="E1183" s="2" t="str">
        <f>IFERROR(__xludf.DUMMYFUNCTION("""COMPUTED_VALUE"""),"Lab Manager and Research Technician ")</f>
        <v>Lab Manager and Research Technician </v>
      </c>
      <c r="F1183" s="2" t="str">
        <f>IFERROR(__xludf.DUMMYFUNCTION("""COMPUTED_VALUE"""),"moc8@pitt.edu")</f>
        <v>moc8@pitt.edu</v>
      </c>
      <c r="G1183" s="2" t="str">
        <f>IFERROR(__xludf.DUMMYFUNCTION("""COMPUTED_VALUE"""),"0009-0009-8206-1125")</f>
        <v>0009-0009-8206-1125</v>
      </c>
    </row>
    <row r="1184">
      <c r="A1184" s="2" t="str">
        <f>IFERROR(__xludf.DUMMYFUNCTION("""COMPUTED_VALUE"""),"Vila")</f>
        <v>Vila</v>
      </c>
      <c r="B1184" s="2" t="str">
        <f>IFERROR(__xludf.DUMMYFUNCTION("""COMPUTED_VALUE"""),"Miquel")</f>
        <v>Miquel</v>
      </c>
      <c r="C1184" s="2" t="str">
        <f>IFERROR(__xludf.DUMMYFUNCTION("""COMPUTED_VALUE"""),"Lead-PI")</f>
        <v>Lead-PI</v>
      </c>
      <c r="D1184" s="2" t="str">
        <f>IFERROR(__xludf.DUMMYFUNCTION("""COMPUTED_VALUE"""),"Vila")</f>
        <v>Vila</v>
      </c>
      <c r="E1184" s="2" t="str">
        <f>IFERROR(__xludf.DUMMYFUNCTION("""COMPUTED_VALUE"""),"Member's Lab Role")</f>
        <v>Member's Lab Role</v>
      </c>
      <c r="F1184" s="2" t="str">
        <f>IFERROR(__xludf.DUMMYFUNCTION("""COMPUTED_VALUE"""),"miquel.vila@vhir.org")</f>
        <v>miquel.vila@vhir.org</v>
      </c>
      <c r="G1184" s="2" t="str">
        <f>IFERROR(__xludf.DUMMYFUNCTION("""COMPUTED_VALUE"""),"0000-0002-1352-989X")</f>
        <v>0000-0002-1352-989X</v>
      </c>
    </row>
    <row r="1185">
      <c r="A1185" s="2" t="str">
        <f>IFERROR(__xludf.DUMMYFUNCTION("""COMPUTED_VALUE"""),"Halliday")</f>
        <v>Halliday</v>
      </c>
      <c r="B1185" s="2" t="str">
        <f>IFERROR(__xludf.DUMMYFUNCTION("""COMPUTED_VALUE"""),"Glenda")</f>
        <v>Glenda</v>
      </c>
      <c r="C1185" s="2" t="str">
        <f>IFERROR(__xludf.DUMMYFUNCTION("""COMPUTED_VALUE"""),"Co-PI")</f>
        <v>Co-PI</v>
      </c>
      <c r="D1185" s="2" t="str">
        <f>IFERROR(__xludf.DUMMYFUNCTION("""COMPUTED_VALUE"""),"Halliday")</f>
        <v>Halliday</v>
      </c>
      <c r="E1185" s="2" t="str">
        <f>IFERROR(__xludf.DUMMYFUNCTION("""COMPUTED_VALUE"""),"Lab head")</f>
        <v>Lab head</v>
      </c>
      <c r="F1185" s="2" t="str">
        <f>IFERROR(__xludf.DUMMYFUNCTION("""COMPUTED_VALUE"""),"glenda.halliday@sydney.edu.au ")</f>
        <v>glenda.halliday@sydney.edu.au </v>
      </c>
      <c r="G1185" s="2" t="str">
        <f>IFERROR(__xludf.DUMMYFUNCTION("""COMPUTED_VALUE"""),"0000-0003-0422-8398")</f>
        <v>0000-0003-0422-8398</v>
      </c>
    </row>
    <row r="1186">
      <c r="A1186" s="2" t="str">
        <f>IFERROR(__xludf.DUMMYFUNCTION("""COMPUTED_VALUE"""),"Mercuri")</f>
        <v>Mercuri</v>
      </c>
      <c r="B1186" s="2" t="str">
        <f>IFERROR(__xludf.DUMMYFUNCTION("""COMPUTED_VALUE"""),"Nicola")</f>
        <v>Nicola</v>
      </c>
      <c r="C1186" s="2" t="str">
        <f>IFERROR(__xludf.DUMMYFUNCTION("""COMPUTED_VALUE"""),"Co-PI")</f>
        <v>Co-PI</v>
      </c>
      <c r="D1186" s="2" t="str">
        <f>IFERROR(__xludf.DUMMYFUNCTION("""COMPUTED_VALUE"""),"Mercuri")</f>
        <v>Mercuri</v>
      </c>
      <c r="E1186" s="2"/>
      <c r="F1186" s="2" t="str">
        <f>IFERROR(__xludf.DUMMYFUNCTION("""COMPUTED_VALUE"""),"mercurin@med.uniroma2.it")</f>
        <v>mercurin@med.uniroma2.it</v>
      </c>
      <c r="G1186" s="2" t="str">
        <f>IFERROR(__xludf.DUMMYFUNCTION("""COMPUTED_VALUE"""),"0000-0001-6700-7491")</f>
        <v>0000-0001-6700-7491</v>
      </c>
    </row>
    <row r="1187">
      <c r="A1187" s="2" t="str">
        <f>IFERROR(__xludf.DUMMYFUNCTION("""COMPUTED_VALUE"""),"Obeso")</f>
        <v>Obeso</v>
      </c>
      <c r="B1187" s="2" t="str">
        <f>IFERROR(__xludf.DUMMYFUNCTION("""COMPUTED_VALUE"""),"Jose")</f>
        <v>Jose</v>
      </c>
      <c r="C1187" s="2" t="str">
        <f>IFERROR(__xludf.DUMMYFUNCTION("""COMPUTED_VALUE"""),"Co-PI")</f>
        <v>Co-PI</v>
      </c>
      <c r="D1187" s="2" t="str">
        <f>IFERROR(__xludf.DUMMYFUNCTION("""COMPUTED_VALUE"""),"Obeso")</f>
        <v>Obeso</v>
      </c>
      <c r="E1187" s="2"/>
      <c r="F1187" s="2" t="str">
        <f>IFERROR(__xludf.DUMMYFUNCTION("""COMPUTED_VALUE"""),"jobeso52@gmail.com")</f>
        <v>jobeso52@gmail.com</v>
      </c>
      <c r="G1187" s="2" t="str">
        <f>IFERROR(__xludf.DUMMYFUNCTION("""COMPUTED_VALUE"""),"0000-0002-6996-8613")</f>
        <v>0000-0002-6996-8613</v>
      </c>
    </row>
    <row r="1188">
      <c r="A1188" s="2" t="str">
        <f>IFERROR(__xludf.DUMMYFUNCTION("""COMPUTED_VALUE"""),"Prigge")</f>
        <v>Prigge</v>
      </c>
      <c r="B1188" s="2" t="str">
        <f>IFERROR(__xludf.DUMMYFUNCTION("""COMPUTED_VALUE"""),"Matthias")</f>
        <v>Matthias</v>
      </c>
      <c r="C1188" s="2" t="str">
        <f>IFERROR(__xludf.DUMMYFUNCTION("""COMPUTED_VALUE"""),"Co-PI")</f>
        <v>Co-PI</v>
      </c>
      <c r="D1188" s="2" t="str">
        <f>IFERROR(__xludf.DUMMYFUNCTION("""COMPUTED_VALUE"""),"Prigge")</f>
        <v>Prigge</v>
      </c>
      <c r="E1188" s="2"/>
      <c r="F1188" s="2" t="str">
        <f>IFERROR(__xludf.DUMMYFUNCTION("""COMPUTED_VALUE"""),"prigge.matthias@gmail.com")</f>
        <v>prigge.matthias@gmail.com</v>
      </c>
      <c r="G1188" s="2" t="str">
        <f>IFERROR(__xludf.DUMMYFUNCTION("""COMPUTED_VALUE"""),"0000-0002-4923-0056")</f>
        <v>0000-0002-4923-0056</v>
      </c>
    </row>
    <row r="1189">
      <c r="A1189" s="2" t="str">
        <f>IFERROR(__xludf.DUMMYFUNCTION("""COMPUTED_VALUE"""),"Hoyo Pérez")</f>
        <v>Hoyo Pérez</v>
      </c>
      <c r="B1189" s="2" t="str">
        <f>IFERROR(__xludf.DUMMYFUNCTION("""COMPUTED_VALUE"""),"Javier")</f>
        <v>Javier</v>
      </c>
      <c r="C1189" s="2" t="str">
        <f>IFERROR(__xludf.DUMMYFUNCTION("""COMPUTED_VALUE"""),"Project Manager")</f>
        <v>Project Manager</v>
      </c>
      <c r="D1189" s="2" t="str">
        <f>IFERROR(__xludf.DUMMYFUNCTION("""COMPUTED_VALUE"""),"Vila")</f>
        <v>Vila</v>
      </c>
      <c r="E1189" s="2"/>
      <c r="F1189" s="2" t="str">
        <f>IFERROR(__xludf.DUMMYFUNCTION("""COMPUTED_VALUE"""),"v.nesci@hsantalucia.it")</f>
        <v>v.nesci@hsantalucia.it</v>
      </c>
      <c r="G1189" s="2" t="str">
        <f>IFERROR(__xludf.DUMMYFUNCTION("""COMPUTED_VALUE"""),"0000-0002-9927-2465")</f>
        <v>0000-0002-9927-2465</v>
      </c>
    </row>
    <row r="1190">
      <c r="A1190" s="2" t="str">
        <f>IFERROR(__xludf.DUMMYFUNCTION("""COMPUTED_VALUE"""),"Arenas")</f>
        <v>Arenas</v>
      </c>
      <c r="B1190" s="2" t="str">
        <f>IFERROR(__xludf.DUMMYFUNCTION("""COMPUTED_VALUE"""),"Ernest")</f>
        <v>Ernest</v>
      </c>
      <c r="C1190" s="2" t="str">
        <f>IFERROR(__xludf.DUMMYFUNCTION("""COMPUTED_VALUE"""),"Collaborator, PI")</f>
        <v>Collaborator, PI</v>
      </c>
      <c r="D1190" s="2" t="str">
        <f>IFERROR(__xludf.DUMMYFUNCTION("""COMPUTED_VALUE"""),"Arenas")</f>
        <v>Arenas</v>
      </c>
      <c r="E1190" s="2" t="str">
        <f>IFERROR(__xludf.DUMMYFUNCTION("""COMPUTED_VALUE"""),"Lab head, Full Professor")</f>
        <v>Lab head, Full Professor</v>
      </c>
      <c r="F1190" s="2" t="str">
        <f>IFERROR(__xludf.DUMMYFUNCTION("""COMPUTED_VALUE"""),"ernest.arenas@ki.se")</f>
        <v>ernest.arenas@ki.se</v>
      </c>
      <c r="G1190" s="2" t="str">
        <f>IFERROR(__xludf.DUMMYFUNCTION("""COMPUTED_VALUE"""),"0000-0003-0197-6577")</f>
        <v>0000-0003-0197-6577</v>
      </c>
    </row>
    <row r="1191">
      <c r="A1191" s="2" t="str">
        <f>IFERROR(__xludf.DUMMYFUNCTION("""COMPUTED_VALUE"""),"Lanciego")</f>
        <v>Lanciego</v>
      </c>
      <c r="B1191" s="2" t="str">
        <f>IFERROR(__xludf.DUMMYFUNCTION("""COMPUTED_VALUE"""),"José Luis")</f>
        <v>José Luis</v>
      </c>
      <c r="C1191" s="2" t="str">
        <f>IFERROR(__xludf.DUMMYFUNCTION("""COMPUTED_VALUE"""),"Collaborator")</f>
        <v>Collaborator</v>
      </c>
      <c r="D1191" s="2" t="str">
        <f>IFERROR(__xludf.DUMMYFUNCTION("""COMPUTED_VALUE"""),"Lanciego")</f>
        <v>Lanciego</v>
      </c>
      <c r="E1191" s="2"/>
      <c r="F1191" s="2" t="str">
        <f>IFERROR(__xludf.DUMMYFUNCTION("""COMPUTED_VALUE"""),"jlanciego@unav.es")</f>
        <v>jlanciego@unav.es</v>
      </c>
      <c r="G1191" s="2" t="str">
        <f>IFERROR(__xludf.DUMMYFUNCTION("""COMPUTED_VALUE"""),"0000-0003-2301-5419")</f>
        <v>0000-0003-2301-5419</v>
      </c>
    </row>
    <row r="1192">
      <c r="A1192" s="2" t="str">
        <f>IFERROR(__xludf.DUMMYFUNCTION("""COMPUTED_VALUE"""),"Soria")</f>
        <v>Soria</v>
      </c>
      <c r="B1192" s="2" t="str">
        <f>IFERROR(__xludf.DUMMYFUNCTION("""COMPUTED_VALUE"""),"Federico")</f>
        <v>Federico</v>
      </c>
      <c r="C1192" s="2" t="str">
        <f>IFERROR(__xludf.DUMMYFUNCTION("""COMPUTED_VALUE"""),"Collaborator")</f>
        <v>Collaborator</v>
      </c>
      <c r="D1192" s="2" t="str">
        <f>IFERROR(__xludf.DUMMYFUNCTION("""COMPUTED_VALUE"""),"Soria")</f>
        <v>Soria</v>
      </c>
      <c r="E1192" s="2"/>
      <c r="F1192" s="2" t="str">
        <f>IFERROR(__xludf.DUMMYFUNCTION("""COMPUTED_VALUE"""),"federico.soria@achucarro.org")</f>
        <v>federico.soria@achucarro.org</v>
      </c>
      <c r="G1192" s="2" t="str">
        <f>IFERROR(__xludf.DUMMYFUNCTION("""COMPUTED_VALUE"""),"0000-0003-1229-9663")</f>
        <v>0000-0003-1229-9663</v>
      </c>
    </row>
    <row r="1193">
      <c r="A1193" s="2" t="str">
        <f>IFERROR(__xludf.DUMMYFUNCTION("""COMPUTED_VALUE"""),"Tonnesen")</f>
        <v>Tonnesen</v>
      </c>
      <c r="B1193" s="2" t="str">
        <f>IFERROR(__xludf.DUMMYFUNCTION("""COMPUTED_VALUE"""),"Jan")</f>
        <v>Jan</v>
      </c>
      <c r="C1193" s="2" t="str">
        <f>IFERROR(__xludf.DUMMYFUNCTION("""COMPUTED_VALUE"""),"Collaborator")</f>
        <v>Collaborator</v>
      </c>
      <c r="D1193" s="2" t="str">
        <f>IFERROR(__xludf.DUMMYFUNCTION("""COMPUTED_VALUE"""),"Tonnesen")</f>
        <v>Tonnesen</v>
      </c>
      <c r="E1193" s="2"/>
      <c r="F1193" s="2" t="str">
        <f>IFERROR(__xludf.DUMMYFUNCTION("""COMPUTED_VALUE"""),"jan.tonnesen@ehu.eus")</f>
        <v>jan.tonnesen@ehu.eus</v>
      </c>
      <c r="G1193" s="2" t="str">
        <f>IFERROR(__xludf.DUMMYFUNCTION("""COMPUTED_VALUE"""),"0000-0003-3663-8463")</f>
        <v>0000-0003-3663-8463</v>
      </c>
    </row>
    <row r="1194">
      <c r="A1194" s="2" t="str">
        <f>IFERROR(__xludf.DUMMYFUNCTION("""COMPUTED_VALUE"""),"Berretta")</f>
        <v>Berretta</v>
      </c>
      <c r="B1194" s="2" t="str">
        <f>IFERROR(__xludf.DUMMYFUNCTION("""COMPUTED_VALUE"""),"Nicola")</f>
        <v>Nicola</v>
      </c>
      <c r="C1194" s="2" t="str">
        <f>IFERROR(__xludf.DUMMYFUNCTION("""COMPUTED_VALUE"""),"Collaborator")</f>
        <v>Collaborator</v>
      </c>
      <c r="D1194" s="2" t="str">
        <f>IFERROR(__xludf.DUMMYFUNCTION("""COMPUTED_VALUE"""),"Mercuri")</f>
        <v>Mercuri</v>
      </c>
      <c r="E1194" s="2"/>
      <c r="F1194" s="2" t="str">
        <f>IFERROR(__xludf.DUMMYFUNCTION("""COMPUTED_VALUE"""),"n.berretta@hsantalucia.it")</f>
        <v>n.berretta@hsantalucia.it</v>
      </c>
      <c r="G1194" s="2" t="str">
        <f>IFERROR(__xludf.DUMMYFUNCTION("""COMPUTED_VALUE"""),"0000-0001-8097-6238")</f>
        <v>0000-0001-8097-6238</v>
      </c>
    </row>
    <row r="1195">
      <c r="A1195" s="2" t="str">
        <f>IFERROR(__xludf.DUMMYFUNCTION("""COMPUTED_VALUE"""),"Draffin")</f>
        <v>Draffin</v>
      </c>
      <c r="B1195" s="2" t="str">
        <f>IFERROR(__xludf.DUMMYFUNCTION("""COMPUTED_VALUE"""),"Jonathan Evan")</f>
        <v>Jonathan Evan</v>
      </c>
      <c r="C1195" s="2" t="str">
        <f>IFERROR(__xludf.DUMMYFUNCTION("""COMPUTED_VALUE"""),"Key personnel")</f>
        <v>Key personnel</v>
      </c>
      <c r="D1195" s="2" t="str">
        <f>IFERROR(__xludf.DUMMYFUNCTION("""COMPUTED_VALUE"""),"Tonnesen")</f>
        <v>Tonnesen</v>
      </c>
      <c r="E1195" s="2"/>
      <c r="F1195" s="2" t="str">
        <f>IFERROR(__xludf.DUMMYFUNCTION("""COMPUTED_VALUE"""),"jonathan.draffin@achucarro.org")</f>
        <v>jonathan.draffin@achucarro.org</v>
      </c>
      <c r="G1195" s="2" t="str">
        <f>IFERROR(__xludf.DUMMYFUNCTION("""COMPUTED_VALUE"""),"0000-0002-1686-8504")</f>
        <v>0000-0002-1686-8504</v>
      </c>
    </row>
    <row r="1196">
      <c r="A1196" s="2" t="str">
        <f>IFERROR(__xludf.DUMMYFUNCTION("""COMPUTED_VALUE"""),"Guatteo")</f>
        <v>Guatteo</v>
      </c>
      <c r="B1196" s="2" t="str">
        <f>IFERROR(__xludf.DUMMYFUNCTION("""COMPUTED_VALUE"""),"Ezia")</f>
        <v>Ezia</v>
      </c>
      <c r="C1196" s="2" t="str">
        <f>IFERROR(__xludf.DUMMYFUNCTION("""COMPUTED_VALUE"""),"Collaborator")</f>
        <v>Collaborator</v>
      </c>
      <c r="D1196" s="2" t="str">
        <f>IFERROR(__xludf.DUMMYFUNCTION("""COMPUTED_VALUE"""),"Mercuri")</f>
        <v>Mercuri</v>
      </c>
      <c r="E1196" s="2"/>
      <c r="F1196" s="2" t="str">
        <f>IFERROR(__xludf.DUMMYFUNCTION("""COMPUTED_VALUE"""),"e.guatteo@hsantalucia.it")</f>
        <v>e.guatteo@hsantalucia.it</v>
      </c>
      <c r="G1196" s="2" t="str">
        <f>IFERROR(__xludf.DUMMYFUNCTION("""COMPUTED_VALUE"""),"0000-0001-6338-1793")</f>
        <v>0000-0001-6338-1793</v>
      </c>
    </row>
    <row r="1197">
      <c r="A1197" s="2" t="str">
        <f>IFERROR(__xludf.DUMMYFUNCTION("""COMPUTED_VALUE"""),"Fu")</f>
        <v>Fu</v>
      </c>
      <c r="B1197" s="2" t="str">
        <f>IFERROR(__xludf.DUMMYFUNCTION("""COMPUTED_VALUE"""),"Yuhong")</f>
        <v>Yuhong</v>
      </c>
      <c r="C1197" s="2" t="str">
        <f>IFERROR(__xludf.DUMMYFUNCTION("""COMPUTED_VALUE"""),"Key personnel")</f>
        <v>Key personnel</v>
      </c>
      <c r="D1197" s="2" t="str">
        <f>IFERROR(__xludf.DUMMYFUNCTION("""COMPUTED_VALUE"""),"Halliday")</f>
        <v>Halliday</v>
      </c>
      <c r="E1197" s="2" t="str">
        <f>IFERROR(__xludf.DUMMYFUNCTION("""COMPUTED_VALUE"""),"senior academic researcher")</f>
        <v>senior academic researcher</v>
      </c>
      <c r="F1197" s="2" t="str">
        <f>IFERROR(__xludf.DUMMYFUNCTION("""COMPUTED_VALUE"""),"yuhong.fu@sydney.edu.au")</f>
        <v>yuhong.fu@sydney.edu.au</v>
      </c>
      <c r="G1197" s="2" t="str">
        <f>IFERROR(__xludf.DUMMYFUNCTION("""COMPUTED_VALUE"""),"0000-0003-4539-2039")</f>
        <v>0000-0003-4539-2039</v>
      </c>
    </row>
    <row r="1198">
      <c r="A1198" s="2" t="str">
        <f>IFERROR(__xludf.DUMMYFUNCTION("""COMPUTED_VALUE"""),"Li")</f>
        <v>Li</v>
      </c>
      <c r="B1198" s="2" t="str">
        <f>IFERROR(__xludf.DUMMYFUNCTION("""COMPUTED_VALUE"""),"Hongyun")</f>
        <v>Hongyun</v>
      </c>
      <c r="C1198" s="2" t="str">
        <f>IFERROR(__xludf.DUMMYFUNCTION("""COMPUTED_VALUE"""),"Key personnel")</f>
        <v>Key personnel</v>
      </c>
      <c r="D1198" s="2" t="str">
        <f>IFERROR(__xludf.DUMMYFUNCTION("""COMPUTED_VALUE"""),"Halliday")</f>
        <v>Halliday</v>
      </c>
      <c r="E1198" s="2" t="str">
        <f>IFERROR(__xludf.DUMMYFUNCTION("""COMPUTED_VALUE"""),"senior research assistant")</f>
        <v>senior research assistant</v>
      </c>
      <c r="F1198" s="2" t="str">
        <f>IFERROR(__xludf.DUMMYFUNCTION("""COMPUTED_VALUE"""),"hongyun.li@sydney.edu.au")</f>
        <v>hongyun.li@sydney.edu.au</v>
      </c>
      <c r="G1198" s="2" t="str">
        <f>IFERROR(__xludf.DUMMYFUNCTION("""COMPUTED_VALUE"""),"0000-0003-3332-3132")</f>
        <v>0000-0003-3332-3132</v>
      </c>
    </row>
    <row r="1199">
      <c r="A1199" s="2" t="str">
        <f>IFERROR(__xludf.DUMMYFUNCTION("""COMPUTED_VALUE"""),"Wu")</f>
        <v>Wu</v>
      </c>
      <c r="B1199" s="2" t="str">
        <f>IFERROR(__xludf.DUMMYFUNCTION("""COMPUTED_VALUE"""),"Ping")</f>
        <v>Ping</v>
      </c>
      <c r="C1199" s="2" t="str">
        <f>IFERROR(__xludf.DUMMYFUNCTION("""COMPUTED_VALUE"""),"Key personnel")</f>
        <v>Key personnel</v>
      </c>
      <c r="D1199" s="2" t="str">
        <f>IFERROR(__xludf.DUMMYFUNCTION("""COMPUTED_VALUE"""),"Halliday")</f>
        <v>Halliday</v>
      </c>
      <c r="E1199" s="2" t="str">
        <f>IFERROR(__xludf.DUMMYFUNCTION("""COMPUTED_VALUE"""),"research assistant")</f>
        <v>research assistant</v>
      </c>
      <c r="F1199" s="2" t="str">
        <f>IFERROR(__xludf.DUMMYFUNCTION("""COMPUTED_VALUE"""),"ping.wu2@sydney.edu.au")</f>
        <v>ping.wu2@sydney.edu.au</v>
      </c>
      <c r="G1199" s="2" t="str">
        <f>IFERROR(__xludf.DUMMYFUNCTION("""COMPUTED_VALUE"""),"0000-0002-9583-5451")</f>
        <v>0000-0002-9583-5451</v>
      </c>
    </row>
    <row r="1200">
      <c r="A1200" s="2" t="str">
        <f>IFERROR(__xludf.DUMMYFUNCTION("""COMPUTED_VALUE"""),"Alessandra ")</f>
        <v>Alessandra </v>
      </c>
      <c r="B1200" s="2" t="str">
        <f>IFERROR(__xludf.DUMMYFUNCTION("""COMPUTED_VALUE"""),"Rigamonti")</f>
        <v>Rigamonti</v>
      </c>
      <c r="C1200" s="2" t="str">
        <f>IFERROR(__xludf.DUMMYFUNCTION("""COMPUTED_VALUE"""),"Key personnel")</f>
        <v>Key personnel</v>
      </c>
      <c r="D1200" s="2" t="str">
        <f>IFERROR(__xludf.DUMMYFUNCTION("""COMPUTED_VALUE"""),"Arenas")</f>
        <v>Arenas</v>
      </c>
      <c r="E1200" s="2" t="str">
        <f>IFERROR(__xludf.DUMMYFUNCTION("""COMPUTED_VALUE"""),"Postdoctoral")</f>
        <v>Postdoctoral</v>
      </c>
      <c r="F1200" s="2" t="str">
        <f>IFERROR(__xludf.DUMMYFUNCTION("""COMPUTED_VALUE"""),"alessandra.rigamonti@ki.se")</f>
        <v>alessandra.rigamonti@ki.se</v>
      </c>
      <c r="G1200" s="2"/>
    </row>
    <row r="1201">
      <c r="A1201" s="2" t="str">
        <f>IFERROR(__xludf.DUMMYFUNCTION("""COMPUTED_VALUE"""),"Natalie")</f>
        <v>Natalie</v>
      </c>
      <c r="B1201" s="2" t="str">
        <f>IFERROR(__xludf.DUMMYFUNCTION("""COMPUTED_VALUE"""),"Welsh")</f>
        <v>Welsh</v>
      </c>
      <c r="C1201" s="2" t="str">
        <f>IFERROR(__xludf.DUMMYFUNCTION("""COMPUTED_VALUE"""),"Key personnel")</f>
        <v>Key personnel</v>
      </c>
      <c r="D1201" s="2" t="str">
        <f>IFERROR(__xludf.DUMMYFUNCTION("""COMPUTED_VALUE"""),"Arenas")</f>
        <v>Arenas</v>
      </c>
      <c r="E1201" s="2" t="str">
        <f>IFERROR(__xludf.DUMMYFUNCTION("""COMPUTED_VALUE"""),"Postdoctoral")</f>
        <v>Postdoctoral</v>
      </c>
      <c r="F1201" s="2" t="str">
        <f>IFERROR(__xludf.DUMMYFUNCTION("""COMPUTED_VALUE"""),"natalie.welsh@ki.se")</f>
        <v>natalie.welsh@ki.se</v>
      </c>
      <c r="G1201" s="2" t="str">
        <f>IFERROR(__xludf.DUMMYFUNCTION("""COMPUTED_VALUE"""),"0000-0002-2714-0367")</f>
        <v>0000-0002-2714-0367</v>
      </c>
    </row>
    <row r="1202">
      <c r="A1202" s="2" t="str">
        <f>IFERROR(__xludf.DUMMYFUNCTION("""COMPUTED_VALUE"""),"Kawai")</f>
        <v>Kawai</v>
      </c>
      <c r="B1202" s="2" t="str">
        <f>IFERROR(__xludf.DUMMYFUNCTION("""COMPUTED_VALUE"""),"Lee")</f>
        <v>Lee</v>
      </c>
      <c r="C1202" s="2" t="str">
        <f>IFERROR(__xludf.DUMMYFUNCTION("""COMPUTED_VALUE"""),"Key personnel")</f>
        <v>Key personnel</v>
      </c>
      <c r="D1202" s="2" t="str">
        <f>IFERROR(__xludf.DUMMYFUNCTION("""COMPUTED_VALUE"""),"Arenas")</f>
        <v>Arenas</v>
      </c>
      <c r="E1202" s="2" t="str">
        <f>IFERROR(__xludf.DUMMYFUNCTION("""COMPUTED_VALUE"""),"PhD student")</f>
        <v>PhD student</v>
      </c>
      <c r="F1202" s="2" t="str">
        <f>IFERROR(__xludf.DUMMYFUNCTION("""COMPUTED_VALUE"""),"ka.lee@ki.se")</f>
        <v>ka.lee@ki.se</v>
      </c>
      <c r="G1202" s="2"/>
    </row>
    <row r="1203">
      <c r="A1203" s="2" t="str">
        <f>IFERROR(__xludf.DUMMYFUNCTION("""COMPUTED_VALUE"""),"Carmen")</f>
        <v>Carmen</v>
      </c>
      <c r="B1203" s="2" t="str">
        <f>IFERROR(__xludf.DUMMYFUNCTION("""COMPUTED_VALUE"""),"Abaurre")</f>
        <v>Abaurre</v>
      </c>
      <c r="C1203" s="2" t="str">
        <f>IFERROR(__xludf.DUMMYFUNCTION("""COMPUTED_VALUE"""),"Key personnel")</f>
        <v>Key personnel</v>
      </c>
      <c r="D1203" s="2" t="str">
        <f>IFERROR(__xludf.DUMMYFUNCTION("""COMPUTED_VALUE"""),"Arenas")</f>
        <v>Arenas</v>
      </c>
      <c r="E1203" s="2" t="str">
        <f>IFERROR(__xludf.DUMMYFUNCTION("""COMPUTED_VALUE"""),"Research assistant")</f>
        <v>Research assistant</v>
      </c>
      <c r="F1203" s="2" t="str">
        <f>IFERROR(__xludf.DUMMYFUNCTION("""COMPUTED_VALUE"""),"carmen.abaurre@ki.se")</f>
        <v>carmen.abaurre@ki.se</v>
      </c>
      <c r="G1203" s="2" t="str">
        <f>IFERROR(__xludf.DUMMYFUNCTION("""COMPUTED_VALUE"""),"0000-0002-7800-2829")</f>
        <v>0000-0002-7800-2829</v>
      </c>
    </row>
    <row r="1204">
      <c r="A1204" s="2" t="str">
        <f>IFERROR(__xludf.DUMMYFUNCTION("""COMPUTED_VALUE"""),"Fernandez")</f>
        <v>Fernandez</v>
      </c>
      <c r="B1204" s="2" t="str">
        <f>IFERROR(__xludf.DUMMYFUNCTION("""COMPUTED_VALUE"""),"Mario")</f>
        <v>Mario</v>
      </c>
      <c r="C1204" s="2" t="str">
        <f>IFERROR(__xludf.DUMMYFUNCTION("""COMPUTED_VALUE"""),"Collaborator")</f>
        <v>Collaborator</v>
      </c>
      <c r="D1204" s="2" t="str">
        <f>IFERROR(__xludf.DUMMYFUNCTION("""COMPUTED_VALUE"""),"Soria")</f>
        <v>Soria</v>
      </c>
      <c r="E1204" s="2" t="str">
        <f>IFERROR(__xludf.DUMMYFUNCTION("""COMPUTED_VALUE"""),"PhD student")</f>
        <v>PhD student</v>
      </c>
      <c r="F1204" s="2" t="str">
        <f>IFERROR(__xludf.DUMMYFUNCTION("""COMPUTED_VALUE"""),"mario.fernandez@achucarro.org")</f>
        <v>mario.fernandez@achucarro.org</v>
      </c>
      <c r="G1204" s="2" t="str">
        <f>IFERROR(__xludf.DUMMYFUNCTION("""COMPUTED_VALUE"""),"0000-0002-6118-6940")</f>
        <v>0000-0002-6118-6940</v>
      </c>
    </row>
    <row r="1205">
      <c r="A1205" s="2" t="str">
        <f>IFERROR(__xludf.DUMMYFUNCTION("""COMPUTED_VALUE"""),"Laguna")</f>
        <v>Laguna</v>
      </c>
      <c r="B1205" s="2" t="str">
        <f>IFERROR(__xludf.DUMMYFUNCTION("""COMPUTED_VALUE"""),"Ariadna")</f>
        <v>Ariadna</v>
      </c>
      <c r="C1205" s="2" t="str">
        <f>IFERROR(__xludf.DUMMYFUNCTION("""COMPUTED_VALUE"""),"Key personnel")</f>
        <v>Key personnel</v>
      </c>
      <c r="D1205" s="2" t="str">
        <f>IFERROR(__xludf.DUMMYFUNCTION("""COMPUTED_VALUE"""),"Vila")</f>
        <v>Vila</v>
      </c>
      <c r="E1205" s="2" t="str">
        <f>IFERROR(__xludf.DUMMYFUNCTION("""COMPUTED_VALUE"""),"Senior academic researcher")</f>
        <v>Senior academic researcher</v>
      </c>
      <c r="F1205" s="2" t="str">
        <f>IFERROR(__xludf.DUMMYFUNCTION("""COMPUTED_VALUE"""),"ariadna.laguna@vhir.org")</f>
        <v>ariadna.laguna@vhir.org</v>
      </c>
      <c r="G1205" s="2" t="str">
        <f>IFERROR(__xludf.DUMMYFUNCTION("""COMPUTED_VALUE"""),"0000-0002-9732-6677")</f>
        <v>0000-0002-9732-6677</v>
      </c>
    </row>
    <row r="1206">
      <c r="A1206" s="2" t="str">
        <f>IFERROR(__xludf.DUMMYFUNCTION("""COMPUTED_VALUE"""),"Gonzalez-Sepulveda")</f>
        <v>Gonzalez-Sepulveda</v>
      </c>
      <c r="B1206" s="2" t="str">
        <f>IFERROR(__xludf.DUMMYFUNCTION("""COMPUTED_VALUE"""),"Marta")</f>
        <v>Marta</v>
      </c>
      <c r="C1206" s="2" t="str">
        <f>IFERROR(__xludf.DUMMYFUNCTION("""COMPUTED_VALUE"""),"Key personnel")</f>
        <v>Key personnel</v>
      </c>
      <c r="D1206" s="2" t="str">
        <f>IFERROR(__xludf.DUMMYFUNCTION("""COMPUTED_VALUE"""),"Vila")</f>
        <v>Vila</v>
      </c>
      <c r="E1206" s="2" t="str">
        <f>IFERROR(__xludf.DUMMYFUNCTION("""COMPUTED_VALUE"""),"Postdoctoral")</f>
        <v>Postdoctoral</v>
      </c>
      <c r="F1206" s="2" t="str">
        <f>IFERROR(__xludf.DUMMYFUNCTION("""COMPUTED_VALUE"""),"marta.gonzalez.sepulveda@vhir.org")</f>
        <v>marta.gonzalez.sepulveda@vhir.org</v>
      </c>
      <c r="G1206" s="2" t="str">
        <f>IFERROR(__xludf.DUMMYFUNCTION("""COMPUTED_VALUE"""),"0000-0002-5627-847X")</f>
        <v>0000-0002-5627-847X</v>
      </c>
    </row>
    <row r="1207">
      <c r="A1207" s="2" t="str">
        <f>IFERROR(__xludf.DUMMYFUNCTION("""COMPUTED_VALUE"""),"Nicolau")</f>
        <v>Nicolau</v>
      </c>
      <c r="B1207" s="2" t="str">
        <f>IFERROR(__xludf.DUMMYFUNCTION("""COMPUTED_VALUE"""),"Alba")</f>
        <v>Alba</v>
      </c>
      <c r="C1207" s="2" t="str">
        <f>IFERROR(__xludf.DUMMYFUNCTION("""COMPUTED_VALUE"""),"Key personnel")</f>
        <v>Key personnel</v>
      </c>
      <c r="D1207" s="2" t="str">
        <f>IFERROR(__xludf.DUMMYFUNCTION("""COMPUTED_VALUE"""),"Vila")</f>
        <v>Vila</v>
      </c>
      <c r="E1207" s="2" t="str">
        <f>IFERROR(__xludf.DUMMYFUNCTION("""COMPUTED_VALUE"""),"PhD student")</f>
        <v>PhD student</v>
      </c>
      <c r="F1207" s="2" t="str">
        <f>IFERROR(__xludf.DUMMYFUNCTION("""COMPUTED_VALUE"""),"alba.nicolau@vhir.org")</f>
        <v>alba.nicolau@vhir.org</v>
      </c>
      <c r="G1207" s="2" t="str">
        <f>IFERROR(__xludf.DUMMYFUNCTION("""COMPUTED_VALUE"""),"0000-0002-0836-2802")</f>
        <v>0000-0002-0836-2802</v>
      </c>
    </row>
    <row r="1208">
      <c r="A1208" s="2" t="str">
        <f>IFERROR(__xludf.DUMMYFUNCTION("""COMPUTED_VALUE"""),"Guillard-Sirieix")</f>
        <v>Guillard-Sirieix</v>
      </c>
      <c r="B1208" s="2" t="str">
        <f>IFERROR(__xludf.DUMMYFUNCTION("""COMPUTED_VALUE"""),"Camille")</f>
        <v>Camille</v>
      </c>
      <c r="C1208" s="2" t="str">
        <f>IFERROR(__xludf.DUMMYFUNCTION("""COMPUTED_VALUE"""),"Key personnel")</f>
        <v>Key personnel</v>
      </c>
      <c r="D1208" s="2" t="str">
        <f>IFERROR(__xludf.DUMMYFUNCTION("""COMPUTED_VALUE"""),"Vila")</f>
        <v>Vila</v>
      </c>
      <c r="E1208" s="2" t="str">
        <f>IFERROR(__xludf.DUMMYFUNCTION("""COMPUTED_VALUE"""),"PhD student")</f>
        <v>PhD student</v>
      </c>
      <c r="F1208" s="2" t="str">
        <f>IFERROR(__xludf.DUMMYFUNCTION("""COMPUTED_VALUE"""),"camille.guillard@vhir.org")</f>
        <v>camille.guillard@vhir.org</v>
      </c>
      <c r="G1208" s="2" t="str">
        <f>IFERROR(__xludf.DUMMYFUNCTION("""COMPUTED_VALUE"""),"0000-0002-2645-1892")</f>
        <v>0000-0002-2645-1892</v>
      </c>
    </row>
    <row r="1209">
      <c r="A1209" s="2" t="str">
        <f>IFERROR(__xludf.DUMMYFUNCTION("""COMPUTED_VALUE"""),"Lorente-Picón")</f>
        <v>Lorente-Picón</v>
      </c>
      <c r="B1209" s="2" t="str">
        <f>IFERROR(__xludf.DUMMYFUNCTION("""COMPUTED_VALUE"""),"Marina")</f>
        <v>Marina</v>
      </c>
      <c r="C1209" s="2" t="str">
        <f>IFERROR(__xludf.DUMMYFUNCTION("""COMPUTED_VALUE"""),"Key personnel")</f>
        <v>Key personnel</v>
      </c>
      <c r="D1209" s="2" t="str">
        <f>IFERROR(__xludf.DUMMYFUNCTION("""COMPUTED_VALUE"""),"Vila")</f>
        <v>Vila</v>
      </c>
      <c r="E1209" s="2" t="str">
        <f>IFERROR(__xludf.DUMMYFUNCTION("""COMPUTED_VALUE"""),"PhD student")</f>
        <v>PhD student</v>
      </c>
      <c r="F1209" s="2" t="str">
        <f>IFERROR(__xludf.DUMMYFUNCTION("""COMPUTED_VALUE"""),"marina.lorente@vhir.org")</f>
        <v>marina.lorente@vhir.org</v>
      </c>
      <c r="G1209" s="2" t="str">
        <f>IFERROR(__xludf.DUMMYFUNCTION("""COMPUTED_VALUE"""),"0000-0002-3629-9804")</f>
        <v>0000-0002-3629-9804</v>
      </c>
    </row>
    <row r="1210">
      <c r="A1210" s="2" t="str">
        <f>IFERROR(__xludf.DUMMYFUNCTION("""COMPUTED_VALUE"""),"Roch")</f>
        <v>Roch</v>
      </c>
      <c r="B1210" s="2" t="str">
        <f>IFERROR(__xludf.DUMMYFUNCTION("""COMPUTED_VALUE"""),"Gerard")</f>
        <v>Gerard</v>
      </c>
      <c r="C1210" s="2" t="str">
        <f>IFERROR(__xludf.DUMMYFUNCTION("""COMPUTED_VALUE"""),"Key personnel")</f>
        <v>Key personnel</v>
      </c>
      <c r="D1210" s="2" t="str">
        <f>IFERROR(__xludf.DUMMYFUNCTION("""COMPUTED_VALUE"""),"Vila")</f>
        <v>Vila</v>
      </c>
      <c r="E1210" s="2" t="str">
        <f>IFERROR(__xludf.DUMMYFUNCTION("""COMPUTED_VALUE"""),"PhD student")</f>
        <v>PhD student</v>
      </c>
      <c r="F1210" s="2" t="str">
        <f>IFERROR(__xludf.DUMMYFUNCTION("""COMPUTED_VALUE"""),"gerard.roch@vhir.org")</f>
        <v>gerard.roch@vhir.org</v>
      </c>
      <c r="G1210" s="2" t="str">
        <f>IFERROR(__xludf.DUMMYFUNCTION("""COMPUTED_VALUE"""),"0000-0002-9045-0579")</f>
        <v>0000-0002-9045-0579</v>
      </c>
    </row>
    <row r="1211">
      <c r="A1211" s="2" t="str">
        <f>IFERROR(__xludf.DUMMYFUNCTION("""COMPUTED_VALUE"""),"Parent")</f>
        <v>Parent</v>
      </c>
      <c r="B1211" s="2" t="str">
        <f>IFERROR(__xludf.DUMMYFUNCTION("""COMPUTED_VALUE"""),"Annabelle")</f>
        <v>Annabelle</v>
      </c>
      <c r="C1211" s="2" t="str">
        <f>IFERROR(__xludf.DUMMYFUNCTION("""COMPUTED_VALUE"""),"Key personnel")</f>
        <v>Key personnel</v>
      </c>
      <c r="D1211" s="2" t="str">
        <f>IFERROR(__xludf.DUMMYFUNCTION("""COMPUTED_VALUE"""),"Vila")</f>
        <v>Vila</v>
      </c>
      <c r="E1211" s="2" t="str">
        <f>IFERROR(__xludf.DUMMYFUNCTION("""COMPUTED_VALUE"""),"Senior research assistant")</f>
        <v>Senior research assistant</v>
      </c>
      <c r="F1211" s="2" t="str">
        <f>IFERROR(__xludf.DUMMYFUNCTION("""COMPUTED_VALUE"""),"annabelle.parent@vhir.org")</f>
        <v>annabelle.parent@vhir.org</v>
      </c>
      <c r="G1211" s="2" t="str">
        <f>IFERROR(__xludf.DUMMYFUNCTION("""COMPUTED_VALUE"""),"0000-0002-6195-812X")</f>
        <v>0000-0002-6195-812X</v>
      </c>
    </row>
    <row r="1212">
      <c r="A1212" s="2" t="str">
        <f>IFERROR(__xludf.DUMMYFUNCTION("""COMPUTED_VALUE"""),"Cuadros")</f>
        <v>Cuadros</v>
      </c>
      <c r="B1212" s="2" t="str">
        <f>IFERROR(__xludf.DUMMYFUNCTION("""COMPUTED_VALUE"""),"Thais")</f>
        <v>Thais</v>
      </c>
      <c r="C1212" s="2" t="str">
        <f>IFERROR(__xludf.DUMMYFUNCTION("""COMPUTED_VALUE"""),"Key personnel")</f>
        <v>Key personnel</v>
      </c>
      <c r="D1212" s="2" t="str">
        <f>IFERROR(__xludf.DUMMYFUNCTION("""COMPUTED_VALUE"""),"Vila")</f>
        <v>Vila</v>
      </c>
      <c r="E1212" s="2" t="str">
        <f>IFERROR(__xludf.DUMMYFUNCTION("""COMPUTED_VALUE"""),"Senior research assistant")</f>
        <v>Senior research assistant</v>
      </c>
      <c r="F1212" s="2" t="str">
        <f>IFERROR(__xludf.DUMMYFUNCTION("""COMPUTED_VALUE"""),"thais.cuadros@vhir.org")</f>
        <v>thais.cuadros@vhir.org</v>
      </c>
      <c r="G1212" s="2" t="str">
        <f>IFERROR(__xludf.DUMMYFUNCTION("""COMPUTED_VALUE"""),"0000-0001-7376-7470")</f>
        <v>0000-0001-7376-7470</v>
      </c>
    </row>
    <row r="1213">
      <c r="A1213" s="2" t="str">
        <f>IFERROR(__xludf.DUMMYFUNCTION("""COMPUTED_VALUE"""),"Cladera")</f>
        <v>Cladera</v>
      </c>
      <c r="B1213" s="2" t="str">
        <f>IFERROR(__xludf.DUMMYFUNCTION("""COMPUTED_VALUE"""),"Joana M.")</f>
        <v>Joana M.</v>
      </c>
      <c r="C1213" s="2" t="str">
        <f>IFERROR(__xludf.DUMMYFUNCTION("""COMPUTED_VALUE"""),"Key personnel")</f>
        <v>Key personnel</v>
      </c>
      <c r="D1213" s="2" t="str">
        <f>IFERROR(__xludf.DUMMYFUNCTION("""COMPUTED_VALUE"""),"Vila")</f>
        <v>Vila</v>
      </c>
      <c r="E1213" s="2" t="str">
        <f>IFERROR(__xludf.DUMMYFUNCTION("""COMPUTED_VALUE"""),"Research assistant")</f>
        <v>Research assistant</v>
      </c>
      <c r="F1213" s="2" t="str">
        <f>IFERROR(__xludf.DUMMYFUNCTION("""COMPUTED_VALUE"""),"joana.cladera@vhir.org")</f>
        <v>joana.cladera@vhir.org</v>
      </c>
      <c r="G1213" s="2" t="str">
        <f>IFERROR(__xludf.DUMMYFUNCTION("""COMPUTED_VALUE"""),"0000-0002-5680-5057")</f>
        <v>0000-0002-5680-5057</v>
      </c>
    </row>
    <row r="1214">
      <c r="A1214" s="2" t="str">
        <f>IFERROR(__xludf.DUMMYFUNCTION("""COMPUTED_VALUE"""),"Gonzalez-Cabrera")</f>
        <v>Gonzalez-Cabrera</v>
      </c>
      <c r="B1214" s="2" t="str">
        <f>IFERROR(__xludf.DUMMYFUNCTION("""COMPUTED_VALUE"""),"Cristian")</f>
        <v>Cristian</v>
      </c>
      <c r="C1214" s="2" t="str">
        <f>IFERROR(__xludf.DUMMYFUNCTION("""COMPUTED_VALUE"""),"Key personnel")</f>
        <v>Key personnel</v>
      </c>
      <c r="D1214" s="2" t="str">
        <f>IFERROR(__xludf.DUMMYFUNCTION("""COMPUTED_VALUE"""),"Prigge")</f>
        <v>Prigge</v>
      </c>
      <c r="E1214" s="2" t="str">
        <f>IFERROR(__xludf.DUMMYFUNCTION("""COMPUTED_VALUE"""),"Postdoctoral")</f>
        <v>Postdoctoral</v>
      </c>
      <c r="F1214" s="2" t="str">
        <f>IFERROR(__xludf.DUMMYFUNCTION("""COMPUTED_VALUE"""),"Cristian.Gonzalez@lin-magdeburg.de")</f>
        <v>Cristian.Gonzalez@lin-magdeburg.de</v>
      </c>
      <c r="G1214" s="2" t="str">
        <f>IFERROR(__xludf.DUMMYFUNCTION("""COMPUTED_VALUE"""),"0000-0003-0515-0254")</f>
        <v>0000-0003-0515-0254</v>
      </c>
    </row>
    <row r="1215">
      <c r="A1215" s="2" t="str">
        <f>IFERROR(__xludf.DUMMYFUNCTION("""COMPUTED_VALUE"""),"Ledonne")</f>
        <v>Ledonne</v>
      </c>
      <c r="B1215" s="2" t="str">
        <f>IFERROR(__xludf.DUMMYFUNCTION("""COMPUTED_VALUE"""),"Ada")</f>
        <v>Ada</v>
      </c>
      <c r="C1215" s="2" t="str">
        <f>IFERROR(__xludf.DUMMYFUNCTION("""COMPUTED_VALUE"""),"Key personnel")</f>
        <v>Key personnel</v>
      </c>
      <c r="D1215" s="2" t="str">
        <f>IFERROR(__xludf.DUMMYFUNCTION("""COMPUTED_VALUE"""),"Mercuri")</f>
        <v>Mercuri</v>
      </c>
      <c r="E1215" s="2" t="str">
        <f>IFERROR(__xludf.DUMMYFUNCTION("""COMPUTED_VALUE"""),"Senior researcher")</f>
        <v>Senior researcher</v>
      </c>
      <c r="F1215" s="2" t="str">
        <f>IFERROR(__xludf.DUMMYFUNCTION("""COMPUTED_VALUE"""),"adaledonne@gmail.com ")</f>
        <v>adaledonne@gmail.com </v>
      </c>
      <c r="G1215" s="2" t="str">
        <f>IFERROR(__xludf.DUMMYFUNCTION("""COMPUTED_VALUE"""),"0000-0001-6302-207X")</f>
        <v>0000-0001-6302-207X</v>
      </c>
    </row>
    <row r="1216">
      <c r="A1216" s="2" t="str">
        <f>IFERROR(__xludf.DUMMYFUNCTION("""COMPUTED_VALUE"""),"Blesa")</f>
        <v>Blesa</v>
      </c>
      <c r="B1216" s="2" t="str">
        <f>IFERROR(__xludf.DUMMYFUNCTION("""COMPUTED_VALUE"""),"Javier")</f>
        <v>Javier</v>
      </c>
      <c r="C1216" s="2" t="str">
        <f>IFERROR(__xludf.DUMMYFUNCTION("""COMPUTED_VALUE"""),"Collaborator")</f>
        <v>Collaborator</v>
      </c>
      <c r="D1216" s="2" t="str">
        <f>IFERROR(__xludf.DUMMYFUNCTION("""COMPUTED_VALUE"""),"Obeso")</f>
        <v>Obeso</v>
      </c>
      <c r="E1216" s="2" t="str">
        <f>IFERROR(__xludf.DUMMYFUNCTION("""COMPUTED_VALUE"""),"Researcher")</f>
        <v>Researcher</v>
      </c>
      <c r="F1216" s="2" t="str">
        <f>IFERROR(__xludf.DUMMYFUNCTION("""COMPUTED_VALUE"""),"jblesa.hmcinac@hmhospitales.com")</f>
        <v>jblesa.hmcinac@hmhospitales.com</v>
      </c>
      <c r="G1216" s="2" t="str">
        <f>IFERROR(__xludf.DUMMYFUNCTION("""COMPUTED_VALUE"""),"0000-0002-4257-1325")</f>
        <v>0000-0002-4257-1325</v>
      </c>
    </row>
    <row r="1217">
      <c r="A1217" s="2" t="str">
        <f>IFERROR(__xludf.DUMMYFUNCTION("""COMPUTED_VALUE"""),"Trigo")</f>
        <v>Trigo</v>
      </c>
      <c r="B1217" s="2" t="str">
        <f>IFERROR(__xludf.DUMMYFUNCTION("""COMPUTED_VALUE"""),"Inés")</f>
        <v>Inés</v>
      </c>
      <c r="C1217" s="2" t="str">
        <f>IFERROR(__xludf.DUMMYFUNCTION("""COMPUTED_VALUE"""),"Key personnel")</f>
        <v>Key personnel</v>
      </c>
      <c r="D1217" s="2" t="str">
        <f>IFERROR(__xludf.DUMMYFUNCTION("""COMPUTED_VALUE"""),"Obeso")</f>
        <v>Obeso</v>
      </c>
      <c r="E1217" s="2" t="str">
        <f>IFERROR(__xludf.DUMMYFUNCTION("""COMPUTED_VALUE"""),"Postdoctoral")</f>
        <v>Postdoctoral</v>
      </c>
      <c r="F1217" s="2" t="str">
        <f>IFERROR(__xludf.DUMMYFUNCTION("""COMPUTED_VALUE"""),"itrigo.hmcinac@hmhospitales.com")</f>
        <v>itrigo.hmcinac@hmhospitales.com</v>
      </c>
      <c r="G1217" s="2" t="str">
        <f>IFERROR(__xludf.DUMMYFUNCTION("""COMPUTED_VALUE"""),"0000-0002-7821-2973")</f>
        <v>0000-0002-7821-2973</v>
      </c>
    </row>
    <row r="1218">
      <c r="A1218" s="2" t="str">
        <f>IFERROR(__xludf.DUMMYFUNCTION("""COMPUTED_VALUE"""),"D'Addario")</f>
        <v>D'Addario</v>
      </c>
      <c r="B1218" s="2" t="str">
        <f>IFERROR(__xludf.DUMMYFUNCTION("""COMPUTED_VALUE"""),"Sebastian Luca")</f>
        <v>Sebastian Luca</v>
      </c>
      <c r="C1218" s="2" t="str">
        <f>IFERROR(__xludf.DUMMYFUNCTION("""COMPUTED_VALUE"""),"Key personnel")</f>
        <v>Key personnel</v>
      </c>
      <c r="D1218" s="2" t="str">
        <f>IFERROR(__xludf.DUMMYFUNCTION("""COMPUTED_VALUE"""),"Mercuri")</f>
        <v>Mercuri</v>
      </c>
      <c r="E1218" s="2" t="str">
        <f>IFERROR(__xludf.DUMMYFUNCTION("""COMPUTED_VALUE"""),"Postdoctoral")</f>
        <v>Postdoctoral</v>
      </c>
      <c r="F1218" s="2" t="str">
        <f>IFERROR(__xludf.DUMMYFUNCTION("""COMPUTED_VALUE"""),"sebastian.daddario@uniroma1.it")</f>
        <v>sebastian.daddario@uniroma1.it</v>
      </c>
      <c r="G1218" s="2" t="str">
        <f>IFERROR(__xludf.DUMMYFUNCTION("""COMPUTED_VALUE"""),"0000-0001-9467-9584")</f>
        <v>0000-0001-9467-9584</v>
      </c>
    </row>
    <row r="1219">
      <c r="A1219" s="2" t="str">
        <f>IFERROR(__xludf.DUMMYFUNCTION("""COMPUTED_VALUE"""),"Rico")</f>
        <v>Rico</v>
      </c>
      <c r="B1219" s="2" t="str">
        <f>IFERROR(__xludf.DUMMYFUNCTION("""COMPUTED_VALUE"""),"Alberto J")</f>
        <v>Alberto J</v>
      </c>
      <c r="C1219" s="2" t="str">
        <f>IFERROR(__xludf.DUMMYFUNCTION("""COMPUTED_VALUE"""),"Key personnel Lanciego")</f>
        <v>Key personnel Lanciego</v>
      </c>
      <c r="D1219" s="2" t="str">
        <f>IFERROR(__xludf.DUMMYFUNCTION("""COMPUTED_VALUE"""),"Lanciego")</f>
        <v>Lanciego</v>
      </c>
      <c r="E1219" s="2" t="str">
        <f>IFERROR(__xludf.DUMMYFUNCTION("""COMPUTED_VALUE"""),"Lab Manager")</f>
        <v>Lab Manager</v>
      </c>
      <c r="F1219" s="2" t="str">
        <f>IFERROR(__xludf.DUMMYFUNCTION("""COMPUTED_VALUE"""),"ajrico@unav.es")</f>
        <v>ajrico@unav.es</v>
      </c>
      <c r="G1219" s="2" t="str">
        <f>IFERROR(__xludf.DUMMYFUNCTION("""COMPUTED_VALUE"""),"0000-0002-9067-5444")</f>
        <v>0000-0002-9067-5444</v>
      </c>
    </row>
    <row r="1220">
      <c r="A1220" s="2" t="str">
        <f>IFERROR(__xludf.DUMMYFUNCTION("""COMPUTED_VALUE"""),"Ariznabarreta")</f>
        <v>Ariznabarreta</v>
      </c>
      <c r="B1220" s="2" t="str">
        <f>IFERROR(__xludf.DUMMYFUNCTION("""COMPUTED_VALUE"""),"Goiaz")</f>
        <v>Goiaz</v>
      </c>
      <c r="C1220" s="2" t="str">
        <f>IFERROR(__xludf.DUMMYFUNCTION("""COMPUTED_VALUE"""),"Key personnel Lanciego")</f>
        <v>Key personnel Lanciego</v>
      </c>
      <c r="D1220" s="2" t="str">
        <f>IFERROR(__xludf.DUMMYFUNCTION("""COMPUTED_VALUE"""),"Lanciego")</f>
        <v>Lanciego</v>
      </c>
      <c r="E1220" s="2" t="str">
        <f>IFERROR(__xludf.DUMMYFUNCTION("""COMPUTED_VALUE"""),"Veterniary")</f>
        <v>Veterniary</v>
      </c>
      <c r="F1220" s="2" t="str">
        <f>IFERROR(__xludf.DUMMYFUNCTION("""COMPUTED_VALUE"""),"garizna@external.unav.es")</f>
        <v>garizna@external.unav.es</v>
      </c>
      <c r="G1220" s="2" t="str">
        <f>IFERROR(__xludf.DUMMYFUNCTION("""COMPUTED_VALUE"""),"0000-0002-8975-8971")</f>
        <v>0000-0002-8975-8971</v>
      </c>
    </row>
    <row r="1221">
      <c r="A1221" s="2" t="str">
        <f>IFERROR(__xludf.DUMMYFUNCTION("""COMPUTED_VALUE"""),"Roda")</f>
        <v>Roda</v>
      </c>
      <c r="B1221" s="2" t="str">
        <f>IFERROR(__xludf.DUMMYFUNCTION("""COMPUTED_VALUE"""),"Elvira")</f>
        <v>Elvira</v>
      </c>
      <c r="C1221" s="2" t="str">
        <f>IFERROR(__xludf.DUMMYFUNCTION("""COMPUTED_VALUE"""),"Key personnel Lanciego")</f>
        <v>Key personnel Lanciego</v>
      </c>
      <c r="D1221" s="2" t="str">
        <f>IFERROR(__xludf.DUMMYFUNCTION("""COMPUTED_VALUE"""),"Lanciego")</f>
        <v>Lanciego</v>
      </c>
      <c r="E1221" s="2" t="str">
        <f>IFERROR(__xludf.DUMMYFUNCTION("""COMPUTED_VALUE"""),"Senior technician")</f>
        <v>Senior technician</v>
      </c>
      <c r="F1221" s="2" t="str">
        <f>IFERROR(__xludf.DUMMYFUNCTION("""COMPUTED_VALUE"""),"eroda@unav.es")</f>
        <v>eroda@unav.es</v>
      </c>
      <c r="G1221" s="2" t="str">
        <f>IFERROR(__xludf.DUMMYFUNCTION("""COMPUTED_VALUE"""),"0000-0002-2229-3639")</f>
        <v>0000-0002-2229-3639</v>
      </c>
    </row>
    <row r="1222">
      <c r="A1222" s="2" t="str">
        <f>IFERROR(__xludf.DUMMYFUNCTION("""COMPUTED_VALUE"""),"Honrubia")</f>
        <v>Honrubia</v>
      </c>
      <c r="B1222" s="2" t="str">
        <f>IFERROR(__xludf.DUMMYFUNCTION("""COMPUTED_VALUE"""),"Adriana")</f>
        <v>Adriana</v>
      </c>
      <c r="C1222" s="2" t="str">
        <f>IFERROR(__xludf.DUMMYFUNCTION("""COMPUTED_VALUE"""),"Key personnel Lanciego")</f>
        <v>Key personnel Lanciego</v>
      </c>
      <c r="D1222" s="2" t="str">
        <f>IFERROR(__xludf.DUMMYFUNCTION("""COMPUTED_VALUE"""),"Lanciego")</f>
        <v>Lanciego</v>
      </c>
      <c r="E1222" s="2" t="str">
        <f>IFERROR(__xludf.DUMMYFUNCTION("""COMPUTED_VALUE"""),"Junior technician")</f>
        <v>Junior technician</v>
      </c>
      <c r="F1222" s="2" t="str">
        <f>IFERROR(__xludf.DUMMYFUNCTION("""COMPUTED_VALUE"""),"ahonrubia@unav.es")</f>
        <v>ahonrubia@unav.es</v>
      </c>
      <c r="G1222" s="2" t="str">
        <f>IFERROR(__xludf.DUMMYFUNCTION("""COMPUTED_VALUE"""),"0000-0001-7850-5234")</f>
        <v>0000-0001-7850-5234</v>
      </c>
    </row>
    <row r="1223">
      <c r="A1223" s="2" t="str">
        <f>IFERROR(__xludf.DUMMYFUNCTION("""COMPUTED_VALUE"""),"Chocarro")</f>
        <v>Chocarro</v>
      </c>
      <c r="B1223" s="2" t="str">
        <f>IFERROR(__xludf.DUMMYFUNCTION("""COMPUTED_VALUE"""),"Julia")</f>
        <v>Julia</v>
      </c>
      <c r="C1223" s="2" t="str">
        <f>IFERROR(__xludf.DUMMYFUNCTION("""COMPUTED_VALUE"""),"Key personnel Lanciego")</f>
        <v>Key personnel Lanciego</v>
      </c>
      <c r="D1223" s="2" t="str">
        <f>IFERROR(__xludf.DUMMYFUNCTION("""COMPUTED_VALUE"""),"Lanciego")</f>
        <v>Lanciego</v>
      </c>
      <c r="E1223" s="2" t="str">
        <f>IFERROR(__xludf.DUMMYFUNCTION("""COMPUTED_VALUE"""),"PhD student")</f>
        <v>PhD student</v>
      </c>
      <c r="F1223" s="2" t="str">
        <f>IFERROR(__xludf.DUMMYFUNCTION("""COMPUTED_VALUE"""),"jchocarrog@external.unav.es")</f>
        <v>jchocarrog@external.unav.es</v>
      </c>
      <c r="G1223" s="2" t="str">
        <f>IFERROR(__xludf.DUMMYFUNCTION("""COMPUTED_VALUE"""),"0000-0002-3670-3459")</f>
        <v>0000-0002-3670-3459</v>
      </c>
    </row>
    <row r="1224">
      <c r="A1224" s="2" t="str">
        <f>IFERROR(__xludf.DUMMYFUNCTION("""COMPUTED_VALUE"""),"Jakobs")</f>
        <v>Jakobs</v>
      </c>
      <c r="B1224" s="2" t="str">
        <f>IFERROR(__xludf.DUMMYFUNCTION("""COMPUTED_VALUE"""),"Pauline")</f>
        <v>Pauline</v>
      </c>
      <c r="C1224" s="2" t="str">
        <f>IFERROR(__xludf.DUMMYFUNCTION("""COMPUTED_VALUE"""),"Key personnel")</f>
        <v>Key personnel</v>
      </c>
      <c r="D1224" s="2" t="str">
        <f>IFERROR(__xludf.DUMMYFUNCTION("""COMPUTED_VALUE"""),"Prigge")</f>
        <v>Prigge</v>
      </c>
      <c r="E1224" s="2" t="str">
        <f>IFERROR(__xludf.DUMMYFUNCTION("""COMPUTED_VALUE"""),"Master student")</f>
        <v>Master student</v>
      </c>
      <c r="F1224" s="2" t="str">
        <f>IFERROR(__xludf.DUMMYFUNCTION("""COMPUTED_VALUE"""),"paulinejakobs@gmail.com")</f>
        <v>paulinejakobs@gmail.com</v>
      </c>
      <c r="G1224" s="2" t="str">
        <f>IFERROR(__xludf.DUMMYFUNCTION("""COMPUTED_VALUE"""),"0000-0003-4631-9562")</f>
        <v>0000-0003-4631-9562</v>
      </c>
    </row>
    <row r="1225">
      <c r="A1225" s="2" t="str">
        <f>IFERROR(__xludf.DUMMYFUNCTION("""COMPUTED_VALUE"""),"Cossa")</f>
        <v>Cossa</v>
      </c>
      <c r="B1225" s="2" t="str">
        <f>IFERROR(__xludf.DUMMYFUNCTION("""COMPUTED_VALUE"""),"Francesca")</f>
        <v>Francesca</v>
      </c>
      <c r="C1225" s="2" t="str">
        <f>IFERROR(__xludf.DUMMYFUNCTION("""COMPUTED_VALUE"""),"Key personnel Lanciego")</f>
        <v>Key personnel Lanciego</v>
      </c>
      <c r="D1225" s="2" t="str">
        <f>IFERROR(__xludf.DUMMYFUNCTION("""COMPUTED_VALUE"""),"Mercuri")</f>
        <v>Mercuri</v>
      </c>
      <c r="E1225" s="2" t="str">
        <f>IFERROR(__xludf.DUMMYFUNCTION("""COMPUTED_VALUE"""),"PhD student")</f>
        <v>PhD student</v>
      </c>
      <c r="F1225" s="2" t="str">
        <f>IFERROR(__xludf.DUMMYFUNCTION("""COMPUTED_VALUE"""),"f.cossa@fastwebnet.it")</f>
        <v>f.cossa@fastwebnet.it</v>
      </c>
      <c r="G1225" s="2" t="str">
        <f>IFERROR(__xludf.DUMMYFUNCTION("""COMPUTED_VALUE"""),"0000-0002-8072-1910")</f>
        <v>0000-0002-8072-1910</v>
      </c>
    </row>
    <row r="1226">
      <c r="A1226" s="2" t="str">
        <f>IFERROR(__xludf.DUMMYFUNCTION("""COMPUTED_VALUE"""),"Zarrilli")</f>
        <v>Zarrilli</v>
      </c>
      <c r="B1226" s="2" t="str">
        <f>IFERROR(__xludf.DUMMYFUNCTION("""COMPUTED_VALUE"""),"Beatrice")</f>
        <v>Beatrice</v>
      </c>
      <c r="C1226" s="2" t="str">
        <f>IFERROR(__xludf.DUMMYFUNCTION("""COMPUTED_VALUE"""),"Key personnel Lanciego")</f>
        <v>Key personnel Lanciego</v>
      </c>
      <c r="D1226" s="2" t="str">
        <f>IFERROR(__xludf.DUMMYFUNCTION("""COMPUTED_VALUE"""),"Mercuri")</f>
        <v>Mercuri</v>
      </c>
      <c r="E1226" s="2" t="str">
        <f>IFERROR(__xludf.DUMMYFUNCTION("""COMPUTED_VALUE"""),"PhD student")</f>
        <v>PhD student</v>
      </c>
      <c r="F1226" s="2" t="str">
        <f>IFERROR(__xludf.DUMMYFUNCTION("""COMPUTED_VALUE"""),"b.zarrilli@outlook.it")</f>
        <v>b.zarrilli@outlook.it</v>
      </c>
      <c r="G1226" s="2" t="str">
        <f>IFERROR(__xludf.DUMMYFUNCTION("""COMPUTED_VALUE"""),"0000-0002-4704-5834")</f>
        <v>0000-0002-4704-5834</v>
      </c>
    </row>
    <row r="1227">
      <c r="A1227" s="2" t="str">
        <f>IFERROR(__xludf.DUMMYFUNCTION("""COMPUTED_VALUE"""),"Massaro")</f>
        <v>Massaro</v>
      </c>
      <c r="B1227" s="2" t="str">
        <f>IFERROR(__xludf.DUMMYFUNCTION("""COMPUTED_VALUE"""),"Mariangela")</f>
        <v>Mariangela</v>
      </c>
      <c r="C1227" s="2" t="str">
        <f>IFERROR(__xludf.DUMMYFUNCTION("""COMPUTED_VALUE"""),"Key personnel Lanciego")</f>
        <v>Key personnel Lanciego</v>
      </c>
      <c r="D1227" s="2" t="str">
        <f>IFERROR(__xludf.DUMMYFUNCTION("""COMPUTED_VALUE"""),"Mercuri")</f>
        <v>Mercuri</v>
      </c>
      <c r="E1227" s="2" t="str">
        <f>IFERROR(__xludf.DUMMYFUNCTION("""COMPUTED_VALUE"""),"PhD student")</f>
        <v>PhD student</v>
      </c>
      <c r="F1227" s="2" t="str">
        <f>IFERROR(__xludf.DUMMYFUNCTION("""COMPUTED_VALUE"""),"mariangela.massarocenere@gmail.com")</f>
        <v>mariangela.massarocenere@gmail.com</v>
      </c>
      <c r="G1227" s="2" t="str">
        <f>IFERROR(__xludf.DUMMYFUNCTION("""COMPUTED_VALUE"""),"0000-0001-7758-8082")</f>
        <v>0000-0001-7758-8082</v>
      </c>
    </row>
    <row r="1228">
      <c r="A1228" s="2" t="str">
        <f>IFERROR(__xludf.DUMMYFUNCTION("""COMPUTED_VALUE"""),"Giacomet")</f>
        <v>Giacomet</v>
      </c>
      <c r="B1228" s="2" t="str">
        <f>IFERROR(__xludf.DUMMYFUNCTION("""COMPUTED_VALUE"""),"Cecilia")</f>
        <v>Cecilia</v>
      </c>
      <c r="C1228" s="2" t="str">
        <f>IFERROR(__xludf.DUMMYFUNCTION("""COMPUTED_VALUE"""),"Key personnel Lanciego")</f>
        <v>Key personnel Lanciego</v>
      </c>
      <c r="D1228" s="2" t="str">
        <f>IFERROR(__xludf.DUMMYFUNCTION("""COMPUTED_VALUE"""),"Mercuri")</f>
        <v>Mercuri</v>
      </c>
      <c r="E1228" s="2" t="str">
        <f>IFERROR(__xludf.DUMMYFUNCTION("""COMPUTED_VALUE"""),"PhD student")</f>
        <v>PhD student</v>
      </c>
      <c r="F1228" s="2" t="str">
        <f>IFERROR(__xludf.DUMMYFUNCTION("""COMPUTED_VALUE"""),"cecilia.giacomet@libero.it")</f>
        <v>cecilia.giacomet@libero.it</v>
      </c>
      <c r="G1228" s="2" t="str">
        <f>IFERROR(__xludf.DUMMYFUNCTION("""COMPUTED_VALUE"""),"0000-0001-7210-5619")</f>
        <v>0000-0001-7210-5619</v>
      </c>
    </row>
    <row r="1229">
      <c r="A1229" s="2" t="str">
        <f>IFERROR(__xludf.DUMMYFUNCTION("""COMPUTED_VALUE"""),"Gonzalez")</f>
        <v>Gonzalez</v>
      </c>
      <c r="B1229" s="2" t="str">
        <f>IFERROR(__xludf.DUMMYFUNCTION("""COMPUTED_VALUE"""),"Sandy")</f>
        <v>Sandy</v>
      </c>
      <c r="C1229" s="2" t="str">
        <f>IFERROR(__xludf.DUMMYFUNCTION("""COMPUTED_VALUE"""),"Key personnel")</f>
        <v>Key personnel</v>
      </c>
      <c r="D1229" s="2" t="str">
        <f>IFERROR(__xludf.DUMMYFUNCTION("""COMPUTED_VALUE"""),"Halliday")</f>
        <v>Halliday</v>
      </c>
      <c r="E1229" s="2" t="str">
        <f>IFERROR(__xludf.DUMMYFUNCTION("""COMPUTED_VALUE"""),"senior academic researcher")</f>
        <v>senior academic researcher</v>
      </c>
      <c r="F1229" s="2" t="str">
        <f>IFERROR(__xludf.DUMMYFUNCTION("""COMPUTED_VALUE"""),"sandy.pineda@sydney.edu.au")</f>
        <v>sandy.pineda@sydney.edu.au</v>
      </c>
      <c r="G1229" s="2" t="str">
        <f>IFERROR(__xludf.DUMMYFUNCTION("""COMPUTED_VALUE"""),"0000-0002-9003-0101")</f>
        <v>0000-0002-9003-0101</v>
      </c>
    </row>
    <row r="1230">
      <c r="A1230" s="2" t="str">
        <f>IFERROR(__xludf.DUMMYFUNCTION("""COMPUTED_VALUE"""),"Filimontseva")</f>
        <v>Filimontseva</v>
      </c>
      <c r="B1230" s="2" t="str">
        <f>IFERROR(__xludf.DUMMYFUNCTION("""COMPUTED_VALUE"""),"Anastasia")</f>
        <v>Anastasia</v>
      </c>
      <c r="C1230" s="2" t="str">
        <f>IFERROR(__xludf.DUMMYFUNCTION("""COMPUTED_VALUE"""),"PhD student")</f>
        <v>PhD student</v>
      </c>
      <c r="D1230" s="2" t="str">
        <f>IFERROR(__xludf.DUMMYFUNCTION("""COMPUTED_VALUE"""),"Halliday")</f>
        <v>Halliday</v>
      </c>
      <c r="E1230" s="2" t="str">
        <f>IFERROR(__xludf.DUMMYFUNCTION("""COMPUTED_VALUE"""),"grad student")</f>
        <v>grad student</v>
      </c>
      <c r="F1230" s="2" t="str">
        <f>IFERROR(__xludf.DUMMYFUNCTION("""COMPUTED_VALUE"""),"afil9180@uni.sydney.edu.au")</f>
        <v>afil9180@uni.sydney.edu.au</v>
      </c>
      <c r="G1230" s="2" t="str">
        <f>IFERROR(__xludf.DUMMYFUNCTION("""COMPUTED_VALUE"""),"0000-0002-3316-9035")</f>
        <v>0000-0002-3316-9035</v>
      </c>
    </row>
    <row r="1231">
      <c r="A1231" s="2" t="str">
        <f>IFERROR(__xludf.DUMMYFUNCTION("""COMPUTED_VALUE"""),"Pineda-Pardo")</f>
        <v>Pineda-Pardo</v>
      </c>
      <c r="B1231" s="2" t="str">
        <f>IFERROR(__xludf.DUMMYFUNCTION("""COMPUTED_VALUE"""),"Jose Angel")</f>
        <v>Jose Angel</v>
      </c>
      <c r="C1231" s="2" t="str">
        <f>IFERROR(__xludf.DUMMYFUNCTION("""COMPUTED_VALUE"""),"Collaborator")</f>
        <v>Collaborator</v>
      </c>
      <c r="D1231" s="2" t="str">
        <f>IFERROR(__xludf.DUMMYFUNCTION("""COMPUTED_VALUE"""),"Obeso")</f>
        <v>Obeso</v>
      </c>
      <c r="E1231" s="2" t="str">
        <f>IFERROR(__xludf.DUMMYFUNCTION("""COMPUTED_VALUE"""),"Researcher")</f>
        <v>Researcher</v>
      </c>
      <c r="F1231" s="2" t="str">
        <f>IFERROR(__xludf.DUMMYFUNCTION("""COMPUTED_VALUE"""),"jpineda.hmcinac@hmhospitales.com")</f>
        <v>jpineda.hmcinac@hmhospitales.com</v>
      </c>
      <c r="G1231" s="2" t="str">
        <f>IFERROR(__xludf.DUMMYFUNCTION("""COMPUTED_VALUE"""),"0000-0002-8776-0031")</f>
        <v>0000-0002-8776-0031</v>
      </c>
    </row>
    <row r="1232">
      <c r="A1232" s="2" t="str">
        <f>IFERROR(__xludf.DUMMYFUNCTION("""COMPUTED_VALUE"""),"Lopez-Aguirre")</f>
        <v>Lopez-Aguirre</v>
      </c>
      <c r="B1232" s="2" t="str">
        <f>IFERROR(__xludf.DUMMYFUNCTION("""COMPUTED_VALUE"""),"Miguel")</f>
        <v>Miguel</v>
      </c>
      <c r="C1232" s="2" t="str">
        <f>IFERROR(__xludf.DUMMYFUNCTION("""COMPUTED_VALUE"""),"Collaborator")</f>
        <v>Collaborator</v>
      </c>
      <c r="D1232" s="2" t="str">
        <f>IFERROR(__xludf.DUMMYFUNCTION("""COMPUTED_VALUE"""),"Obeso")</f>
        <v>Obeso</v>
      </c>
      <c r="E1232" s="2" t="str">
        <f>IFERROR(__xludf.DUMMYFUNCTION("""COMPUTED_VALUE"""),"Student")</f>
        <v>Student</v>
      </c>
      <c r="F1232" s="2" t="str">
        <f>IFERROR(__xludf.DUMMYFUNCTION("""COMPUTED_VALUE"""),"mlopezaguirre.hmcinac@hmhospitales.com")</f>
        <v>mlopezaguirre.hmcinac@hmhospitales.com</v>
      </c>
      <c r="G1232" s="2" t="str">
        <f>IFERROR(__xludf.DUMMYFUNCTION("""COMPUTED_VALUE"""),"0000-0002-7788-3660")</f>
        <v>0000-0002-7788-3660</v>
      </c>
    </row>
    <row r="1233">
      <c r="A1233" s="2" t="str">
        <f>IFERROR(__xludf.DUMMYFUNCTION("""COMPUTED_VALUE"""),"Reinares-Sebastian")</f>
        <v>Reinares-Sebastian</v>
      </c>
      <c r="B1233" s="2" t="str">
        <f>IFERROR(__xludf.DUMMYFUNCTION("""COMPUTED_VALUE"""),"Alejandro")</f>
        <v>Alejandro</v>
      </c>
      <c r="C1233" s="2" t="str">
        <f>IFERROR(__xludf.DUMMYFUNCTION("""COMPUTED_VALUE"""),"Collaborator")</f>
        <v>Collaborator</v>
      </c>
      <c r="D1233" s="2" t="str">
        <f>IFERROR(__xludf.DUMMYFUNCTION("""COMPUTED_VALUE"""),"Obeso")</f>
        <v>Obeso</v>
      </c>
      <c r="E1233" s="2" t="str">
        <f>IFERROR(__xludf.DUMMYFUNCTION("""COMPUTED_VALUE"""),"PhD Student")</f>
        <v>PhD Student</v>
      </c>
      <c r="F1233" s="2" t="str">
        <f>IFERROR(__xludf.DUMMYFUNCTION("""COMPUTED_VALUE"""),"areinares.hmcinac@hmhospitales.com")</f>
        <v>areinares.hmcinac@hmhospitales.com</v>
      </c>
      <c r="G1233" s="2" t="str">
        <f>IFERROR(__xludf.DUMMYFUNCTION("""COMPUTED_VALUE"""),"0000-0003-1632-4432")</f>
        <v>0000-0003-1632-4432</v>
      </c>
    </row>
    <row r="1234">
      <c r="A1234" s="2" t="str">
        <f>IFERROR(__xludf.DUMMYFUNCTION("""COMPUTED_VALUE"""),"Carrillo- Díaz de Argandoña")</f>
        <v>Carrillo- Díaz de Argandoña</v>
      </c>
      <c r="B1234" s="2" t="str">
        <f>IFERROR(__xludf.DUMMYFUNCTION("""COMPUTED_VALUE"""),"Megan")</f>
        <v>Megan</v>
      </c>
      <c r="C1234" s="2" t="str">
        <f>IFERROR(__xludf.DUMMYFUNCTION("""COMPUTED_VALUE"""),"Collaborator")</f>
        <v>Collaborator</v>
      </c>
      <c r="D1234" s="2" t="str">
        <f>IFERROR(__xludf.DUMMYFUNCTION("""COMPUTED_VALUE"""),"Obeso")</f>
        <v>Obeso</v>
      </c>
      <c r="E1234" s="2" t="str">
        <f>IFERROR(__xludf.DUMMYFUNCTION("""COMPUTED_VALUE"""),"Research assistant")</f>
        <v>Research assistant</v>
      </c>
      <c r="F1234" s="2" t="str">
        <f>IFERROR(__xludf.DUMMYFUNCTION("""COMPUTED_VALUE"""),"meca41@gmail.com")</f>
        <v>meca41@gmail.com</v>
      </c>
      <c r="G1234" s="2" t="str">
        <f>IFERROR(__xludf.DUMMYFUNCTION("""COMPUTED_VALUE"""),"0009-0006-6864-1551")</f>
        <v>0009-0006-6864-1551</v>
      </c>
    </row>
    <row r="1235">
      <c r="A1235" s="2" t="str">
        <f>IFERROR(__xludf.DUMMYFUNCTION("""COMPUTED_VALUE"""),"Hernández Pinedo")</f>
        <v>Hernández Pinedo</v>
      </c>
      <c r="B1235" s="2" t="str">
        <f>IFERROR(__xludf.DUMMYFUNCTION("""COMPUTED_VALUE"""),"Nagore")</f>
        <v>Nagore</v>
      </c>
      <c r="C1235" s="2" t="str">
        <f>IFERROR(__xludf.DUMMYFUNCTION("""COMPUTED_VALUE"""),"Collaborator")</f>
        <v>Collaborator</v>
      </c>
      <c r="D1235" s="2" t="str">
        <f>IFERROR(__xludf.DUMMYFUNCTION("""COMPUTED_VALUE"""),"Obeso")</f>
        <v>Obeso</v>
      </c>
      <c r="E1235" s="2" t="str">
        <f>IFERROR(__xludf.DUMMYFUNCTION("""COMPUTED_VALUE"""),"Research assistant")</f>
        <v>Research assistant</v>
      </c>
      <c r="F1235" s="2" t="str">
        <f>IFERROR(__xludf.DUMMYFUNCTION("""COMPUTED_VALUE"""),"nagore280799@gmail.com")</f>
        <v>nagore280799@gmail.com</v>
      </c>
      <c r="G1235" s="2" t="str">
        <f>IFERROR(__xludf.DUMMYFUNCTION("""COMPUTED_VALUE"""),"0009-0003-4915-1598")</f>
        <v>0009-0003-4915-1598</v>
      </c>
    </row>
    <row r="1236">
      <c r="A1236" s="2" t="str">
        <f>IFERROR(__xludf.DUMMYFUNCTION("""COMPUTED_VALUE"""),"Esteban García")</f>
        <v>Esteban García</v>
      </c>
      <c r="B1236" s="2" t="str">
        <f>IFERROR(__xludf.DUMMYFUNCTION("""COMPUTED_VALUE"""),"Noelia")</f>
        <v>Noelia</v>
      </c>
      <c r="C1236" s="2" t="str">
        <f>IFERROR(__xludf.DUMMYFUNCTION("""COMPUTED_VALUE"""),"Collaborator")</f>
        <v>Collaborator</v>
      </c>
      <c r="D1236" s="2" t="str">
        <f>IFERROR(__xludf.DUMMYFUNCTION("""COMPUTED_VALUE"""),"Obeso")</f>
        <v>Obeso</v>
      </c>
      <c r="E1236" s="2" t="str">
        <f>IFERROR(__xludf.DUMMYFUNCTION("""COMPUTED_VALUE"""),"PhD Student")</f>
        <v>PhD Student</v>
      </c>
      <c r="F1236" s="2" t="str">
        <f>IFERROR(__xludf.DUMMYFUNCTION("""COMPUTED_VALUE"""),"nestebangarcia@hmhospitales.com")</f>
        <v>nestebangarcia@hmhospitales.com</v>
      </c>
      <c r="G1236" s="2" t="str">
        <f>IFERROR(__xludf.DUMMYFUNCTION("""COMPUTED_VALUE"""),"0000-0002-2741-3054")</f>
        <v>0000-0002-2741-3054</v>
      </c>
    </row>
    <row r="1237">
      <c r="A1237" s="2" t="str">
        <f>IFERROR(__xludf.DUMMYFUNCTION("""COMPUTED_VALUE"""),"Gimenez")</f>
        <v>Gimenez</v>
      </c>
      <c r="B1237" s="2" t="str">
        <f>IFERROR(__xludf.DUMMYFUNCTION("""COMPUTED_VALUE"""),"Paula")</f>
        <v>Paula</v>
      </c>
      <c r="C1237" s="2" t="str">
        <f>IFERROR(__xludf.DUMMYFUNCTION("""COMPUTED_VALUE"""),"Key personnel")</f>
        <v>Key personnel</v>
      </c>
      <c r="D1237" s="2" t="str">
        <f>IFERROR(__xludf.DUMMYFUNCTION("""COMPUTED_VALUE"""),"Tonnesen")</f>
        <v>Tonnesen</v>
      </c>
      <c r="E1237" s="2" t="str">
        <f>IFERROR(__xludf.DUMMYFUNCTION("""COMPUTED_VALUE"""),"PhD student")</f>
        <v>PhD student</v>
      </c>
      <c r="F1237" s="2" t="str">
        <f>IFERROR(__xludf.DUMMYFUNCTION("""COMPUTED_VALUE"""),"paula.gimenez@achucarro.org")</f>
        <v>paula.gimenez@achucarro.org</v>
      </c>
      <c r="G1237" s="2" t="str">
        <f>IFERROR(__xludf.DUMMYFUNCTION("""COMPUTED_VALUE"""),"0000-0002-9949-0155")</f>
        <v>0000-0002-9949-0155</v>
      </c>
    </row>
    <row r="1238">
      <c r="A1238" s="2" t="str">
        <f>IFERROR(__xludf.DUMMYFUNCTION("""COMPUTED_VALUE"""),"Novák")</f>
        <v>Novák</v>
      </c>
      <c r="B1238" s="2" t="str">
        <f>IFERROR(__xludf.DUMMYFUNCTION("""COMPUTED_VALUE"""),"Csilla")</f>
        <v>Csilla</v>
      </c>
      <c r="C1238" s="2" t="str">
        <f>IFERROR(__xludf.DUMMYFUNCTION("""COMPUTED_VALUE"""),"Key personnel")</f>
        <v>Key personnel</v>
      </c>
      <c r="D1238" s="2" t="str">
        <f>IFERROR(__xludf.DUMMYFUNCTION("""COMPUTED_VALUE"""),"Prigge")</f>
        <v>Prigge</v>
      </c>
      <c r="E1238" s="2" t="str">
        <f>IFERROR(__xludf.DUMMYFUNCTION("""COMPUTED_VALUE"""),"technical assistant")</f>
        <v>technical assistant</v>
      </c>
      <c r="F1238" s="2" t="str">
        <f>IFERROR(__xludf.DUMMYFUNCTION("""COMPUTED_VALUE"""),"ncsilla2@gmail.com")</f>
        <v>ncsilla2@gmail.com</v>
      </c>
      <c r="G1238" s="2" t="str">
        <f>IFERROR(__xludf.DUMMYFUNCTION("""COMPUTED_VALUE"""),"0009-0008-6173-5365")</f>
        <v>0009-0008-6173-5365</v>
      </c>
    </row>
    <row r="1239">
      <c r="A1239" s="2" t="str">
        <f>IFERROR(__xludf.DUMMYFUNCTION("""COMPUTED_VALUE"""),"Nesci")</f>
        <v>Nesci</v>
      </c>
      <c r="B1239" s="2" t="str">
        <f>IFERROR(__xludf.DUMMYFUNCTION("""COMPUTED_VALUE"""),"Valentina")</f>
        <v>Valentina</v>
      </c>
      <c r="C1239" s="2" t="str">
        <f>IFERROR(__xludf.DUMMYFUNCTION("""COMPUTED_VALUE"""),"Key Personnel")</f>
        <v>Key Personnel</v>
      </c>
      <c r="D1239" s="2" t="str">
        <f>IFERROR(__xludf.DUMMYFUNCTION("""COMPUTED_VALUE"""),"Mercuri")</f>
        <v>Mercuri</v>
      </c>
      <c r="E1239" s="2" t="str">
        <f>IFERROR(__xludf.DUMMYFUNCTION("""COMPUTED_VALUE"""),"PhD student")</f>
        <v>PhD student</v>
      </c>
      <c r="F1239" s="2" t="str">
        <f>IFERROR(__xludf.DUMMYFUNCTION("""COMPUTED_VALUE"""),"v.nesci@hsantalucia.it")</f>
        <v>v.nesci@hsantalucia.it</v>
      </c>
      <c r="G1239" s="2" t="str">
        <f>IFERROR(__xludf.DUMMYFUNCTION("""COMPUTED_VALUE"""),"0009-0003-3702-9608")</f>
        <v>0009-0003-3702-9608</v>
      </c>
    </row>
    <row r="1240">
      <c r="A1240" s="2" t="str">
        <f>IFERROR(__xludf.DUMMYFUNCTION("""COMPUTED_VALUE"""),"Gellhaar")</f>
        <v>Gellhaar</v>
      </c>
      <c r="B1240" s="2" t="str">
        <f>IFERROR(__xludf.DUMMYFUNCTION("""COMPUTED_VALUE"""),"Sandra")</f>
        <v>Sandra</v>
      </c>
      <c r="C1240" s="2" t="str">
        <f>IFERROR(__xludf.DUMMYFUNCTION("""COMPUTED_VALUE"""),"Key personnel")</f>
        <v>Key personnel</v>
      </c>
      <c r="D1240" s="2" t="str">
        <f>IFERROR(__xludf.DUMMYFUNCTION("""COMPUTED_VALUE"""),"Arenas")</f>
        <v>Arenas</v>
      </c>
      <c r="E1240" s="2" t="str">
        <f>IFERROR(__xludf.DUMMYFUNCTION("""COMPUTED_VALUE"""),"lab manager")</f>
        <v>lab manager</v>
      </c>
      <c r="F1240" s="2" t="str">
        <f>IFERROR(__xludf.DUMMYFUNCTION("""COMPUTED_VALUE"""),"sandra.gellhaar@ki.se")</f>
        <v>sandra.gellhaar@ki.se</v>
      </c>
      <c r="G1240" s="2" t="str">
        <f>IFERROR(__xludf.DUMMYFUNCTION("""COMPUTED_VALUE"""),"0000-0002-6337-9797")</f>
        <v>0000-0002-6337-9797</v>
      </c>
    </row>
    <row r="1241">
      <c r="A1241" s="2" t="str">
        <f>IFERROR(__xludf.DUMMYFUNCTION("""COMPUTED_VALUE"""),"Mohammed")</f>
        <v>Mohammed</v>
      </c>
      <c r="B1241" s="2" t="str">
        <f>IFERROR(__xludf.DUMMYFUNCTION("""COMPUTED_VALUE"""),"Mubasher")</f>
        <v>Mubasher</v>
      </c>
      <c r="C1241" s="2" t="str">
        <f>IFERROR(__xludf.DUMMYFUNCTION("""COMPUTED_VALUE"""),"Key personnel")</f>
        <v>Key personnel</v>
      </c>
      <c r="D1241" s="2" t="str">
        <f>IFERROR(__xludf.DUMMYFUNCTION("""COMPUTED_VALUE"""),"Arenas")</f>
        <v>Arenas</v>
      </c>
      <c r="E1241" s="2" t="str">
        <f>IFERROR(__xludf.DUMMYFUNCTION("""COMPUTED_VALUE"""),"Postdoctoral")</f>
        <v>Postdoctoral</v>
      </c>
      <c r="F1241" s="2" t="str">
        <f>IFERROR(__xludf.DUMMYFUNCTION("""COMPUTED_VALUE"""),"mubasher.mohammed@ki.se")</f>
        <v>mubasher.mohammed@ki.se</v>
      </c>
      <c r="G1241" s="2" t="str">
        <f>IFERROR(__xludf.DUMMYFUNCTION("""COMPUTED_VALUE"""),"0000-0002-2352-7337")</f>
        <v>0000-0002-2352-7337</v>
      </c>
    </row>
    <row r="1242">
      <c r="A1242" s="2" t="str">
        <f>IFERROR(__xludf.DUMMYFUNCTION("""COMPUTED_VALUE"""),"Lyu")</f>
        <v>Lyu</v>
      </c>
      <c r="B1242" s="2" t="str">
        <f>IFERROR(__xludf.DUMMYFUNCTION("""COMPUTED_VALUE"""),"Guochang")</f>
        <v>Guochang</v>
      </c>
      <c r="C1242" s="2" t="str">
        <f>IFERROR(__xludf.DUMMYFUNCTION("""COMPUTED_VALUE"""),"Key personnel")</f>
        <v>Key personnel</v>
      </c>
      <c r="D1242" s="2" t="str">
        <f>IFERROR(__xludf.DUMMYFUNCTION("""COMPUTED_VALUE"""),"Arenas")</f>
        <v>Arenas</v>
      </c>
      <c r="E1242" s="2" t="str">
        <f>IFERROR(__xludf.DUMMYFUNCTION("""COMPUTED_VALUE"""),"PhD student")</f>
        <v>PhD student</v>
      </c>
      <c r="F1242" s="2" t="str">
        <f>IFERROR(__xludf.DUMMYFUNCTION("""COMPUTED_VALUE"""),"guochang.lyu@ki.se")</f>
        <v>guochang.lyu@ki.se</v>
      </c>
      <c r="G1242" s="2" t="str">
        <f>IFERROR(__xludf.DUMMYFUNCTION("""COMPUTED_VALUE"""),"0000-0001-7732-6103")</f>
        <v>0000-0001-7732-6103</v>
      </c>
    </row>
    <row r="1243">
      <c r="A1243" s="2" t="str">
        <f>IFERROR(__xludf.DUMMYFUNCTION("""COMPUTED_VALUE"""),"Noguchi")</f>
        <v>Noguchi</v>
      </c>
      <c r="B1243" s="2" t="str">
        <f>IFERROR(__xludf.DUMMYFUNCTION("""COMPUTED_VALUE"""),"Hirofumi")</f>
        <v>Hirofumi</v>
      </c>
      <c r="C1243" s="2" t="str">
        <f>IFERROR(__xludf.DUMMYFUNCTION("""COMPUTED_VALUE"""),"Key personnel")</f>
        <v>Key personnel</v>
      </c>
      <c r="D1243" s="2" t="str">
        <f>IFERROR(__xludf.DUMMYFUNCTION("""COMPUTED_VALUE"""),"Arenas")</f>
        <v>Arenas</v>
      </c>
      <c r="E1243" s="2" t="str">
        <f>IFERROR(__xludf.DUMMYFUNCTION("""COMPUTED_VALUE"""),"Postdoctoral")</f>
        <v>Postdoctoral</v>
      </c>
      <c r="F1243" s="2" t="str">
        <f>IFERROR(__xludf.DUMMYFUNCTION("""COMPUTED_VALUE"""),"hirofumi.noguchi@ki.se")</f>
        <v>hirofumi.noguchi@ki.se</v>
      </c>
      <c r="G1243" s="2" t="str">
        <f>IFERROR(__xludf.DUMMYFUNCTION("""COMPUTED_VALUE"""),"0000-0002-9779-4956")</f>
        <v>0000-0002-9779-4956</v>
      </c>
    </row>
    <row r="1244">
      <c r="A1244" s="2" t="str">
        <f>IFERROR(__xludf.DUMMYFUNCTION("""COMPUTED_VALUE"""),"Arnaiz")</f>
        <v>Arnaiz</v>
      </c>
      <c r="B1244" s="2" t="str">
        <f>IFERROR(__xludf.DUMMYFUNCTION("""COMPUTED_VALUE"""),"Patricia")</f>
        <v>Patricia</v>
      </c>
      <c r="C1244" s="2" t="str">
        <f>IFERROR(__xludf.DUMMYFUNCTION("""COMPUTED_VALUE"""),"Key personnel Lanciego")</f>
        <v>Key personnel Lanciego</v>
      </c>
      <c r="D1244" s="2" t="str">
        <f>IFERROR(__xludf.DUMMYFUNCTION("""COMPUTED_VALUE"""),"Lanciego")</f>
        <v>Lanciego</v>
      </c>
      <c r="E1244" s="2" t="str">
        <f>IFERROR(__xludf.DUMMYFUNCTION("""COMPUTED_VALUE"""),"Technician")</f>
        <v>Technician</v>
      </c>
      <c r="F1244" s="2" t="str">
        <f>IFERROR(__xludf.DUMMYFUNCTION("""COMPUTED_VALUE"""),"parnest@unav.es")</f>
        <v>parnest@unav.es</v>
      </c>
      <c r="G1244" s="2" t="str">
        <f>IFERROR(__xludf.DUMMYFUNCTION("""COMPUTED_VALUE"""),"0009-0007-4668-0186")</f>
        <v>0009-0007-4668-0186</v>
      </c>
    </row>
    <row r="1245">
      <c r="A1245" s="2" t="str">
        <f>IFERROR(__xludf.DUMMYFUNCTION("""COMPUTED_VALUE"""),"Ansari Mahabadian")</f>
        <v>Ansari Mahabadian</v>
      </c>
      <c r="B1245" s="2" t="str">
        <f>IFERROR(__xludf.DUMMYFUNCTION("""COMPUTED_VALUE"""),"Anahid")</f>
        <v>Anahid</v>
      </c>
      <c r="C1245" s="2" t="str">
        <f>IFERROR(__xludf.DUMMYFUNCTION("""COMPUTED_VALUE"""),"Key personnel")</f>
        <v>Key personnel</v>
      </c>
      <c r="D1245" s="2" t="str">
        <f>IFERROR(__xludf.DUMMYFUNCTION("""COMPUTED_VALUE"""),"Halliday")</f>
        <v>Halliday</v>
      </c>
      <c r="E1245" s="2" t="str">
        <f>IFERROR(__xludf.DUMMYFUNCTION("""COMPUTED_VALUE"""),"Research Assistant")</f>
        <v>Research Assistant</v>
      </c>
      <c r="F1245" s="2" t="str">
        <f>IFERROR(__xludf.DUMMYFUNCTION("""COMPUTED_VALUE"""),"anahid.ansari@sydney.edu.au")</f>
        <v>anahid.ansari@sydney.edu.au</v>
      </c>
      <c r="G1245" s="2" t="str">
        <f>IFERROR(__xludf.DUMMYFUNCTION("""COMPUTED_VALUE"""),"0009-0000-0088-0544")</f>
        <v>0009-0000-0088-0544</v>
      </c>
    </row>
    <row r="1246">
      <c r="A1246" s="2" t="str">
        <f>IFERROR(__xludf.DUMMYFUNCTION("""COMPUTED_VALUE"""),"Gatti Quaranta")</f>
        <v>Gatti Quaranta</v>
      </c>
      <c r="B1246" s="2" t="str">
        <f>IFERROR(__xludf.DUMMYFUNCTION("""COMPUTED_VALUE"""),"Sabrina-Ayelén")</f>
        <v>Sabrina-Ayelén</v>
      </c>
      <c r="C1246" s="2" t="str">
        <f>IFERROR(__xludf.DUMMYFUNCTION("""COMPUTED_VALUE"""),"Key personnel")</f>
        <v>Key personnel</v>
      </c>
      <c r="D1246" s="2" t="str">
        <f>IFERROR(__xludf.DUMMYFUNCTION("""COMPUTED_VALUE"""),"Vila")</f>
        <v>Vila</v>
      </c>
      <c r="E1246" s="2" t="str">
        <f>IFERROR(__xludf.DUMMYFUNCTION("""COMPUTED_VALUE"""),"PhD student")</f>
        <v>PhD student</v>
      </c>
      <c r="F1246" s="2" t="str">
        <f>IFERROR(__xludf.DUMMYFUNCTION("""COMPUTED_VALUE"""),"Sabrina.gatti@vhir.org")</f>
        <v>Sabrina.gatti@vhir.org</v>
      </c>
      <c r="G1246" s="2" t="str">
        <f>IFERROR(__xludf.DUMMYFUNCTION("""COMPUTED_VALUE"""),"0009-0003-8416-0369")</f>
        <v>0009-0003-8416-0369</v>
      </c>
    </row>
    <row r="1247">
      <c r="A1247" s="2" t="str">
        <f>IFERROR(__xludf.DUMMYFUNCTION("""COMPUTED_VALUE"""),"Municchi ")</f>
        <v>Municchi </v>
      </c>
      <c r="B1247" s="2" t="str">
        <f>IFERROR(__xludf.DUMMYFUNCTION("""COMPUTED_VALUE"""),"Diana")</f>
        <v>Diana</v>
      </c>
      <c r="C1247" s="2" t="str">
        <f>IFERROR(__xludf.DUMMYFUNCTION("""COMPUTED_VALUE"""),"Key personnel")</f>
        <v>Key personnel</v>
      </c>
      <c r="D1247" s="2" t="str">
        <f>IFERROR(__xludf.DUMMYFUNCTION("""COMPUTED_VALUE"""),"Prigge")</f>
        <v>Prigge</v>
      </c>
      <c r="E1247" s="2" t="str">
        <f>IFERROR(__xludf.DUMMYFUNCTION("""COMPUTED_VALUE"""),"PostDoc")</f>
        <v>PostDoc</v>
      </c>
      <c r="F1247" s="2" t="str">
        <f>IFERROR(__xludf.DUMMYFUNCTION("""COMPUTED_VALUE"""),"diana.municchi@uniroma1.it")</f>
        <v>diana.municchi@uniroma1.it</v>
      </c>
      <c r="G1247" s="2" t="str">
        <f>IFERROR(__xludf.DUMMYFUNCTION("""COMPUTED_VALUE"""),"0009-0002-8841-5368")</f>
        <v>0009-0002-8841-5368</v>
      </c>
    </row>
    <row r="1248">
      <c r="A1248" s="2" t="str">
        <f>IFERROR(__xludf.DUMMYFUNCTION("""COMPUTED_VALUE"""),"Kayumova")</f>
        <v>Kayumova</v>
      </c>
      <c r="B1248" s="2" t="str">
        <f>IFERROR(__xludf.DUMMYFUNCTION("""COMPUTED_VALUE"""),"Rukhshona")</f>
        <v>Rukhshona</v>
      </c>
      <c r="C1248" s="2" t="str">
        <f>IFERROR(__xludf.DUMMYFUNCTION("""COMPUTED_VALUE"""),"Key personnel")</f>
        <v>Key personnel</v>
      </c>
      <c r="D1248" s="2" t="str">
        <f>IFERROR(__xludf.DUMMYFUNCTION("""COMPUTED_VALUE"""),"Prigge")</f>
        <v>Prigge</v>
      </c>
      <c r="E1248" s="2" t="str">
        <f>IFERROR(__xludf.DUMMYFUNCTION("""COMPUTED_VALUE"""),"PostDoc")</f>
        <v>PostDoc</v>
      </c>
      <c r="F1248" s="2" t="str">
        <f>IFERROR(__xludf.DUMMYFUNCTION("""COMPUTED_VALUE"""),"rukhshona.k@gmail.com")</f>
        <v>rukhshona.k@gmail.com</v>
      </c>
      <c r="G1248" s="2" t="str">
        <f>IFERROR(__xludf.DUMMYFUNCTION("""COMPUTED_VALUE"""),"0009-0002-0518-1333")</f>
        <v>0009-0002-0518-1333</v>
      </c>
    </row>
    <row r="1249">
      <c r="A1249" s="2" t="str">
        <f>IFERROR(__xludf.DUMMYFUNCTION("""COMPUTED_VALUE"""),"Gritskova")</f>
        <v>Gritskova</v>
      </c>
      <c r="B1249" s="2" t="str">
        <f>IFERROR(__xludf.DUMMYFUNCTION("""COMPUTED_VALUE"""),"Aleksandra")</f>
        <v>Aleksandra</v>
      </c>
      <c r="C1249" s="2" t="str">
        <f>IFERROR(__xludf.DUMMYFUNCTION("""COMPUTED_VALUE"""),"Key personnel")</f>
        <v>Key personnel</v>
      </c>
      <c r="D1249" s="2" t="str">
        <f>IFERROR(__xludf.DUMMYFUNCTION("""COMPUTED_VALUE"""),"Prigge")</f>
        <v>Prigge</v>
      </c>
      <c r="E1249" s="2" t="str">
        <f>IFERROR(__xludf.DUMMYFUNCTION("""COMPUTED_VALUE"""),"PostDoc")</f>
        <v>PostDoc</v>
      </c>
      <c r="F1249" s="2" t="str">
        <f>IFERROR(__xludf.DUMMYFUNCTION("""COMPUTED_VALUE"""),"aleksandra.gritskova@gmail.com")</f>
        <v>aleksandra.gritskova@gmail.com</v>
      </c>
      <c r="G1249" s="2" t="str">
        <f>IFERROR(__xludf.DUMMYFUNCTION("""COMPUTED_VALUE"""),"0009-0007-8353-4049")</f>
        <v>0009-0007-8353-4049</v>
      </c>
    </row>
    <row r="1250">
      <c r="A1250" s="2" t="str">
        <f>IFERROR(__xludf.DUMMYFUNCTION("""COMPUTED_VALUE"""),"Ilarduya")</f>
        <v>Ilarduya</v>
      </c>
      <c r="B1250" s="2" t="str">
        <f>IFERROR(__xludf.DUMMYFUNCTION("""COMPUTED_VALUE"""),"Mario M.")</f>
        <v>Mario M.</v>
      </c>
      <c r="C1250" s="2" t="str">
        <f>IFERROR(__xludf.DUMMYFUNCTION("""COMPUTED_VALUE"""),"Key personnel Lanciego")</f>
        <v>Key personnel Lanciego</v>
      </c>
      <c r="D1250" s="2" t="str">
        <f>IFERROR(__xludf.DUMMYFUNCTION("""COMPUTED_VALUE"""),"Lanciego")</f>
        <v>Lanciego</v>
      </c>
      <c r="E1250" s="2" t="str">
        <f>IFERROR(__xludf.DUMMYFUNCTION("""COMPUTED_VALUE"""),"PhD student")</f>
        <v>PhD student</v>
      </c>
      <c r="F1250" s="2" t="str">
        <f>IFERROR(__xludf.DUMMYFUNCTION("""COMPUTED_VALUE"""),"mmartinezih@unav.es")</f>
        <v>mmartinezih@unav.es</v>
      </c>
      <c r="G1250" s="2" t="str">
        <f>IFERROR(__xludf.DUMMYFUNCTION("""COMPUTED_VALUE"""),"0009-0000-7421-9003")</f>
        <v>0009-0000-7421-9003</v>
      </c>
    </row>
    <row r="1251">
      <c r="A1251" s="2" t="str">
        <f>IFERROR(__xludf.DUMMYFUNCTION("""COMPUTED_VALUE"""),"Voet")</f>
        <v>Voet</v>
      </c>
      <c r="B1251" s="2" t="str">
        <f>IFERROR(__xludf.DUMMYFUNCTION("""COMPUTED_VALUE"""),"Thierry")</f>
        <v>Thierry</v>
      </c>
      <c r="C1251" s="2" t="str">
        <f>IFERROR(__xludf.DUMMYFUNCTION("""COMPUTED_VALUE"""),"Lead-PI")</f>
        <v>Lead-PI</v>
      </c>
      <c r="D1251" s="2" t="str">
        <f>IFERROR(__xludf.DUMMYFUNCTION("""COMPUTED_VALUE"""),"Voet")</f>
        <v>Voet</v>
      </c>
      <c r="E1251" s="2" t="str">
        <f>IFERROR(__xludf.DUMMYFUNCTION("""COMPUTED_VALUE"""),"Professor")</f>
        <v>Professor</v>
      </c>
      <c r="F1251" s="2" t="str">
        <f>IFERROR(__xludf.DUMMYFUNCTION("""COMPUTED_VALUE"""),"thierry.voet@kuleuven.be")</f>
        <v>thierry.voet@kuleuven.be</v>
      </c>
      <c r="G1251" s="2" t="str">
        <f>IFERROR(__xludf.DUMMYFUNCTION("""COMPUTED_VALUE"""),"000-0003-1204-9963")</f>
        <v>000-0003-1204-9963</v>
      </c>
    </row>
    <row r="1252">
      <c r="A1252" s="2" t="str">
        <f>IFERROR(__xludf.DUMMYFUNCTION("""COMPUTED_VALUE"""),"Aerts")</f>
        <v>Aerts</v>
      </c>
      <c r="B1252" s="2" t="str">
        <f>IFERROR(__xludf.DUMMYFUNCTION("""COMPUTED_VALUE"""),"Stein ")</f>
        <v>Stein </v>
      </c>
      <c r="C1252" s="2" t="str">
        <f>IFERROR(__xludf.DUMMYFUNCTION("""COMPUTED_VALUE"""),"Co-PI")</f>
        <v>Co-PI</v>
      </c>
      <c r="D1252" s="2" t="str">
        <f>IFERROR(__xludf.DUMMYFUNCTION("""COMPUTED_VALUE"""),"Aerts")</f>
        <v>Aerts</v>
      </c>
      <c r="E1252" s="2" t="str">
        <f>IFERROR(__xludf.DUMMYFUNCTION("""COMPUTED_VALUE"""),"Professor")</f>
        <v>Professor</v>
      </c>
      <c r="F1252" s="2" t="str">
        <f>IFERROR(__xludf.DUMMYFUNCTION("""COMPUTED_VALUE"""),"stein.aerts@kuleuven.be")</f>
        <v>stein.aerts@kuleuven.be</v>
      </c>
      <c r="G1252" s="2" t="str">
        <f>IFERROR(__xludf.DUMMYFUNCTION("""COMPUTED_VALUE"""),"0000-0002-8006-0315")</f>
        <v>0000-0002-8006-0315</v>
      </c>
    </row>
    <row r="1253">
      <c r="A1253" s="2" t="str">
        <f>IFERROR(__xludf.DUMMYFUNCTION("""COMPUTED_VALUE"""),"Boeckxstaens")</f>
        <v>Boeckxstaens</v>
      </c>
      <c r="B1253" s="2" t="str">
        <f>IFERROR(__xludf.DUMMYFUNCTION("""COMPUTED_VALUE"""),"Guy ")</f>
        <v>Guy </v>
      </c>
      <c r="C1253" s="2" t="str">
        <f>IFERROR(__xludf.DUMMYFUNCTION("""COMPUTED_VALUE"""),"Co-PI")</f>
        <v>Co-PI</v>
      </c>
      <c r="D1253" s="2" t="str">
        <f>IFERROR(__xludf.DUMMYFUNCTION("""COMPUTED_VALUE"""),"Boeckxstaens")</f>
        <v>Boeckxstaens</v>
      </c>
      <c r="E1253" s="2" t="str">
        <f>IFERROR(__xludf.DUMMYFUNCTION("""COMPUTED_VALUE"""),"Professor")</f>
        <v>Professor</v>
      </c>
      <c r="F1253" s="2" t="str">
        <f>IFERROR(__xludf.DUMMYFUNCTION("""COMPUTED_VALUE"""),"guy.boeckxstaens@kuleuven.be")</f>
        <v>guy.boeckxstaens@kuleuven.be</v>
      </c>
      <c r="G1253" s="2" t="str">
        <f>IFERROR(__xludf.DUMMYFUNCTION("""COMPUTED_VALUE"""),"0000-0001-8267-5797")</f>
        <v>0000-0001-8267-5797</v>
      </c>
    </row>
    <row r="1254">
      <c r="A1254" s="2" t="str">
        <f>IFERROR(__xludf.DUMMYFUNCTION("""COMPUTED_VALUE"""),"Proukakis")</f>
        <v>Proukakis</v>
      </c>
      <c r="B1254" s="2" t="str">
        <f>IFERROR(__xludf.DUMMYFUNCTION("""COMPUTED_VALUE"""),"Christos ")</f>
        <v>Christos </v>
      </c>
      <c r="C1254" s="2" t="str">
        <f>IFERROR(__xludf.DUMMYFUNCTION("""COMPUTED_VALUE"""),"Co-PI")</f>
        <v>Co-PI</v>
      </c>
      <c r="D1254" s="2" t="str">
        <f>IFERROR(__xludf.DUMMYFUNCTION("""COMPUTED_VALUE"""),"Proukakis")</f>
        <v>Proukakis</v>
      </c>
      <c r="E1254" s="2" t="str">
        <f>IFERROR(__xludf.DUMMYFUNCTION("""COMPUTED_VALUE"""),"Professor")</f>
        <v>Professor</v>
      </c>
      <c r="F1254" s="2" t="str">
        <f>IFERROR(__xludf.DUMMYFUNCTION("""COMPUTED_VALUE"""),"c.proukakis@ucl.ac.uk")</f>
        <v>c.proukakis@ucl.ac.uk</v>
      </c>
      <c r="G1254" s="2" t="str">
        <f>IFERROR(__xludf.DUMMYFUNCTION("""COMPUTED_VALUE"""),"0000-0001-6423-6539")</f>
        <v>0000-0001-6423-6539</v>
      </c>
    </row>
    <row r="1255">
      <c r="A1255" s="2" t="str">
        <f>IFERROR(__xludf.DUMMYFUNCTION("""COMPUTED_VALUE"""),"Thienpont")</f>
        <v>Thienpont</v>
      </c>
      <c r="B1255" s="2" t="str">
        <f>IFERROR(__xludf.DUMMYFUNCTION("""COMPUTED_VALUE"""),"Bernard ")</f>
        <v>Bernard </v>
      </c>
      <c r="C1255" s="2" t="str">
        <f>IFERROR(__xludf.DUMMYFUNCTION("""COMPUTED_VALUE"""),"Co-PI")</f>
        <v>Co-PI</v>
      </c>
      <c r="D1255" s="2" t="str">
        <f>IFERROR(__xludf.DUMMYFUNCTION("""COMPUTED_VALUE"""),"Thienpont")</f>
        <v>Thienpont</v>
      </c>
      <c r="E1255" s="2" t="str">
        <f>IFERROR(__xludf.DUMMYFUNCTION("""COMPUTED_VALUE"""),"Professor")</f>
        <v>Professor</v>
      </c>
      <c r="F1255" s="2" t="str">
        <f>IFERROR(__xludf.DUMMYFUNCTION("""COMPUTED_VALUE"""),"Bernard.Thienpont@kuleuven.be")</f>
        <v>Bernard.Thienpont@kuleuven.be</v>
      </c>
      <c r="G1255" s="2" t="str">
        <f>IFERROR(__xludf.DUMMYFUNCTION("""COMPUTED_VALUE"""),"0000-0002-8772-6845")</f>
        <v>0000-0002-8772-6845</v>
      </c>
    </row>
    <row r="1256">
      <c r="A1256" s="2" t="str">
        <f>IFERROR(__xludf.DUMMYFUNCTION("""COMPUTED_VALUE"""),"Verstreken")</f>
        <v>Verstreken</v>
      </c>
      <c r="B1256" s="2" t="str">
        <f>IFERROR(__xludf.DUMMYFUNCTION("""COMPUTED_VALUE"""),"Patrik ")</f>
        <v>Patrik </v>
      </c>
      <c r="C1256" s="2" t="str">
        <f>IFERROR(__xludf.DUMMYFUNCTION("""COMPUTED_VALUE"""),"Collaborating PI")</f>
        <v>Collaborating PI</v>
      </c>
      <c r="D1256" s="2" t="str">
        <f>IFERROR(__xludf.DUMMYFUNCTION("""COMPUTED_VALUE"""),"Verstreken")</f>
        <v>Verstreken</v>
      </c>
      <c r="E1256" s="2" t="str">
        <f>IFERROR(__xludf.DUMMYFUNCTION("""COMPUTED_VALUE"""),"Professor")</f>
        <v>Professor</v>
      </c>
      <c r="F1256" s="2" t="str">
        <f>IFERROR(__xludf.DUMMYFUNCTION("""COMPUTED_VALUE"""),"patrik.verstreken@kuleuven.be")</f>
        <v>patrik.verstreken@kuleuven.be</v>
      </c>
      <c r="G1256" s="2" t="str">
        <f>IFERROR(__xludf.DUMMYFUNCTION("""COMPUTED_VALUE"""),"0000-0002-5073-5393")</f>
        <v>0000-0002-5073-5393</v>
      </c>
    </row>
    <row r="1257">
      <c r="A1257" s="2" t="str">
        <f>IFERROR(__xludf.DUMMYFUNCTION("""COMPUTED_VALUE"""),"Vanden Berghe")</f>
        <v>Vanden Berghe</v>
      </c>
      <c r="B1257" s="2" t="str">
        <f>IFERROR(__xludf.DUMMYFUNCTION("""COMPUTED_VALUE"""),"Pieter ")</f>
        <v>Pieter </v>
      </c>
      <c r="C1257" s="2" t="str">
        <f>IFERROR(__xludf.DUMMYFUNCTION("""COMPUTED_VALUE"""),"Collaborating PI")</f>
        <v>Collaborating PI</v>
      </c>
      <c r="D1257" s="2" t="str">
        <f>IFERROR(__xludf.DUMMYFUNCTION("""COMPUTED_VALUE"""),"Vanden Berghe")</f>
        <v>Vanden Berghe</v>
      </c>
      <c r="E1257" s="2" t="str">
        <f>IFERROR(__xludf.DUMMYFUNCTION("""COMPUTED_VALUE"""),"Professor")</f>
        <v>Professor</v>
      </c>
      <c r="F1257" s="2" t="str">
        <f>IFERROR(__xludf.DUMMYFUNCTION("""COMPUTED_VALUE"""),"pieter.vandenberghe@kuleuven.be")</f>
        <v>pieter.vandenberghe@kuleuven.be</v>
      </c>
      <c r="G1257" s="2" t="str">
        <f>IFERROR(__xludf.DUMMYFUNCTION("""COMPUTED_VALUE"""),"0000-0002-0009-2094")</f>
        <v>0000-0002-0009-2094</v>
      </c>
    </row>
    <row r="1258">
      <c r="A1258" s="2" t="str">
        <f>IFERROR(__xludf.DUMMYFUNCTION("""COMPUTED_VALUE"""),"Jaunmuktane")</f>
        <v>Jaunmuktane</v>
      </c>
      <c r="B1258" s="2" t="str">
        <f>IFERROR(__xludf.DUMMYFUNCTION("""COMPUTED_VALUE"""),"Zane ")</f>
        <v>Zane </v>
      </c>
      <c r="C1258" s="2" t="str">
        <f>IFERROR(__xludf.DUMMYFUNCTION("""COMPUTED_VALUE"""),"Collaborating PI")</f>
        <v>Collaborating PI</v>
      </c>
      <c r="D1258" s="2" t="str">
        <f>IFERROR(__xludf.DUMMYFUNCTION("""COMPUTED_VALUE"""),"Jaunmuktane")</f>
        <v>Jaunmuktane</v>
      </c>
      <c r="E1258" s="2" t="str">
        <f>IFERROR(__xludf.DUMMYFUNCTION("""COMPUTED_VALUE"""),"Professor")</f>
        <v>Professor</v>
      </c>
      <c r="F1258" s="2" t="str">
        <f>IFERROR(__xludf.DUMMYFUNCTION("""COMPUTED_VALUE"""),"z.jaunmuktane@ucl.ac.uk")</f>
        <v>z.jaunmuktane@ucl.ac.uk</v>
      </c>
      <c r="G1258" s="2" t="str">
        <f>IFERROR(__xludf.DUMMYFUNCTION("""COMPUTED_VALUE"""),"0000-0001-7738-8881")</f>
        <v>0000-0001-7738-8881</v>
      </c>
    </row>
    <row r="1259">
      <c r="A1259" s="2" t="str">
        <f>IFERROR(__xludf.DUMMYFUNCTION("""COMPUTED_VALUE"""),"Sedlazeck")</f>
        <v>Sedlazeck</v>
      </c>
      <c r="B1259" s="2" t="str">
        <f>IFERROR(__xludf.DUMMYFUNCTION("""COMPUTED_VALUE"""),"Fritz J ")</f>
        <v>Fritz J </v>
      </c>
      <c r="C1259" s="2" t="str">
        <f>IFERROR(__xludf.DUMMYFUNCTION("""COMPUTED_VALUE"""),"Collaborating PI")</f>
        <v>Collaborating PI</v>
      </c>
      <c r="D1259" s="2" t="str">
        <f>IFERROR(__xludf.DUMMYFUNCTION("""COMPUTED_VALUE"""),"Sedlazeck")</f>
        <v>Sedlazeck</v>
      </c>
      <c r="E1259" s="2" t="str">
        <f>IFERROR(__xludf.DUMMYFUNCTION("""COMPUTED_VALUE"""),"Professor")</f>
        <v>Professor</v>
      </c>
      <c r="F1259" s="2" t="str">
        <f>IFERROR(__xludf.DUMMYFUNCTION("""COMPUTED_VALUE"""),"Fritz.Sedlazeck@bcm.edu")</f>
        <v>Fritz.Sedlazeck@bcm.edu</v>
      </c>
      <c r="G1259" s="2" t="str">
        <f>IFERROR(__xludf.DUMMYFUNCTION("""COMPUTED_VALUE"""),"0000-0001-6040-2691")</f>
        <v>0000-0001-6040-2691</v>
      </c>
    </row>
    <row r="1260">
      <c r="A1260" s="2" t="str">
        <f>IFERROR(__xludf.DUMMYFUNCTION("""COMPUTED_VALUE"""),"Demeulemeester")</f>
        <v>Demeulemeester</v>
      </c>
      <c r="B1260" s="2" t="str">
        <f>IFERROR(__xludf.DUMMYFUNCTION("""COMPUTED_VALUE"""),"Jonas")</f>
        <v>Jonas</v>
      </c>
      <c r="C1260" s="2" t="str">
        <f>IFERROR(__xludf.DUMMYFUNCTION("""COMPUTED_VALUE"""),"Collaborating PI")</f>
        <v>Collaborating PI</v>
      </c>
      <c r="D1260" s="2" t="str">
        <f>IFERROR(__xludf.DUMMYFUNCTION("""COMPUTED_VALUE"""),"Demeulemeester")</f>
        <v>Demeulemeester</v>
      </c>
      <c r="E1260" s="2" t="str">
        <f>IFERROR(__xludf.DUMMYFUNCTION("""COMPUTED_VALUE"""),"Assistant Professor")</f>
        <v>Assistant Professor</v>
      </c>
      <c r="F1260" s="2" t="str">
        <f>IFERROR(__xludf.DUMMYFUNCTION("""COMPUTED_VALUE"""),"jonas.demeulemeester@kuleuven.be")</f>
        <v>jonas.demeulemeester@kuleuven.be</v>
      </c>
      <c r="G1260" s="2" t="str">
        <f>IFERROR(__xludf.DUMMYFUNCTION("""COMPUTED_VALUE"""),"0000-0002-2660-2478")</f>
        <v>0000-0002-2660-2478</v>
      </c>
    </row>
    <row r="1261">
      <c r="A1261" s="2" t="str">
        <f>IFERROR(__xludf.DUMMYFUNCTION("""COMPUTED_VALUE"""),"Sifrim")</f>
        <v>Sifrim</v>
      </c>
      <c r="B1261" s="2" t="str">
        <f>IFERROR(__xludf.DUMMYFUNCTION("""COMPUTED_VALUE"""),"Alejandro")</f>
        <v>Alejandro</v>
      </c>
      <c r="C1261" s="2" t="str">
        <f>IFERROR(__xludf.DUMMYFUNCTION("""COMPUTED_VALUE"""),"Collaborating PI")</f>
        <v>Collaborating PI</v>
      </c>
      <c r="D1261" s="2" t="str">
        <f>IFERROR(__xludf.DUMMYFUNCTION("""COMPUTED_VALUE"""),"Sifrim")</f>
        <v>Sifrim</v>
      </c>
      <c r="E1261" s="2" t="str">
        <f>IFERROR(__xludf.DUMMYFUNCTION("""COMPUTED_VALUE"""),"Assistant Professor")</f>
        <v>Assistant Professor</v>
      </c>
      <c r="F1261" s="2" t="str">
        <f>IFERROR(__xludf.DUMMYFUNCTION("""COMPUTED_VALUE"""),"alejandro.sifrim@kuleuven.be")</f>
        <v>alejandro.sifrim@kuleuven.be</v>
      </c>
      <c r="G1261" s="2" t="str">
        <f>IFERROR(__xludf.DUMMYFUNCTION("""COMPUTED_VALUE"""),"0000-0001-8247-4020")</f>
        <v>0000-0001-8247-4020</v>
      </c>
    </row>
    <row r="1262">
      <c r="A1262" s="2" t="str">
        <f>IFERROR(__xludf.DUMMYFUNCTION("""COMPUTED_VALUE"""),"Beach")</f>
        <v>Beach</v>
      </c>
      <c r="B1262" s="2" t="str">
        <f>IFERROR(__xludf.DUMMYFUNCTION("""COMPUTED_VALUE"""),"Thomas")</f>
        <v>Thomas</v>
      </c>
      <c r="C1262" s="2" t="str">
        <f>IFERROR(__xludf.DUMMYFUNCTION("""COMPUTED_VALUE"""),"Collaborating PI")</f>
        <v>Collaborating PI</v>
      </c>
      <c r="D1262" s="2" t="str">
        <f>IFERROR(__xludf.DUMMYFUNCTION("""COMPUTED_VALUE"""),"Beach")</f>
        <v>Beach</v>
      </c>
      <c r="E1262" s="2" t="str">
        <f>IFERROR(__xludf.DUMMYFUNCTION("""COMPUTED_VALUE"""),"Collaborating PI")</f>
        <v>Collaborating PI</v>
      </c>
      <c r="F1262" s="2" t="str">
        <f>IFERROR(__xludf.DUMMYFUNCTION("""COMPUTED_VALUE"""),"Thomas.Beach@bannerhealth.com")</f>
        <v>Thomas.Beach@bannerhealth.com</v>
      </c>
      <c r="G1262" s="2" t="str">
        <f>IFERROR(__xludf.DUMMYFUNCTION("""COMPUTED_VALUE"""),"0000-0003-3296-6128")</f>
        <v>0000-0003-3296-6128</v>
      </c>
    </row>
    <row r="1263">
      <c r="A1263" s="2" t="str">
        <f>IFERROR(__xludf.DUMMYFUNCTION("""COMPUTED_VALUE"""),"Warner")</f>
        <v>Warner</v>
      </c>
      <c r="B1263" s="2" t="str">
        <f>IFERROR(__xludf.DUMMYFUNCTION("""COMPUTED_VALUE"""),"Thomas")</f>
        <v>Thomas</v>
      </c>
      <c r="C1263" s="2" t="str">
        <f>IFERROR(__xludf.DUMMYFUNCTION("""COMPUTED_VALUE"""),"Collaborating PI")</f>
        <v>Collaborating PI</v>
      </c>
      <c r="D1263" s="2" t="str">
        <f>IFERROR(__xludf.DUMMYFUNCTION("""COMPUTED_VALUE"""),"Warner")</f>
        <v>Warner</v>
      </c>
      <c r="E1263" s="2" t="str">
        <f>IFERROR(__xludf.DUMMYFUNCTION("""COMPUTED_VALUE"""),"Collaborating PI")</f>
        <v>Collaborating PI</v>
      </c>
      <c r="F1263" s="2" t="str">
        <f>IFERROR(__xludf.DUMMYFUNCTION("""COMPUTED_VALUE"""),"t.warner@ucl.ac.uk")</f>
        <v>t.warner@ucl.ac.uk</v>
      </c>
      <c r="G1263" s="2" t="str">
        <f>IFERROR(__xludf.DUMMYFUNCTION("""COMPUTED_VALUE"""),"0000-0001-6195-6995")</f>
        <v>0000-0001-6195-6995</v>
      </c>
    </row>
    <row r="1264">
      <c r="A1264" s="2" t="str">
        <f>IFERROR(__xludf.DUMMYFUNCTION("""COMPUTED_VALUE"""),"Diacofotaki")</f>
        <v>Diacofotaki</v>
      </c>
      <c r="B1264" s="2" t="str">
        <f>IFERROR(__xludf.DUMMYFUNCTION("""COMPUTED_VALUE"""),"Anna")</f>
        <v>Anna</v>
      </c>
      <c r="C1264" s="2" t="str">
        <f>IFERROR(__xludf.DUMMYFUNCTION("""COMPUTED_VALUE"""),"Key Personnel")</f>
        <v>Key Personnel</v>
      </c>
      <c r="D1264" s="2" t="str">
        <f>IFERROR(__xludf.DUMMYFUNCTION("""COMPUTED_VALUE"""),"Thienpont")</f>
        <v>Thienpont</v>
      </c>
      <c r="E1264" s="2" t="str">
        <f>IFERROR(__xludf.DUMMYFUNCTION("""COMPUTED_VALUE"""),"Postdoc")</f>
        <v>Postdoc</v>
      </c>
      <c r="F1264" s="2" t="str">
        <f>IFERROR(__xludf.DUMMYFUNCTION("""COMPUTED_VALUE"""),"anna.diacofotaki@kuleuven.be")</f>
        <v>anna.diacofotaki@kuleuven.be</v>
      </c>
      <c r="G1264" s="2" t="str">
        <f>IFERROR(__xludf.DUMMYFUNCTION("""COMPUTED_VALUE"""),"0000-0003-0406-0628")</f>
        <v>0000-0003-0406-0628</v>
      </c>
    </row>
    <row r="1265">
      <c r="A1265" s="2" t="str">
        <f>IFERROR(__xludf.DUMMYFUNCTION("""COMPUTED_VALUE"""),"Yu")</f>
        <v>Yu</v>
      </c>
      <c r="B1265" s="2" t="str">
        <f>IFERROR(__xludf.DUMMYFUNCTION("""COMPUTED_VALUE"""),"Qian")</f>
        <v>Qian</v>
      </c>
      <c r="C1265" s="2" t="str">
        <f>IFERROR(__xludf.DUMMYFUNCTION("""COMPUTED_VALUE"""),"Key Personnel")</f>
        <v>Key Personnel</v>
      </c>
      <c r="D1265" s="2" t="str">
        <f>IFERROR(__xludf.DUMMYFUNCTION("""COMPUTED_VALUE"""),"Thienpont")</f>
        <v>Thienpont</v>
      </c>
      <c r="E1265" s="2" t="str">
        <f>IFERROR(__xludf.DUMMYFUNCTION("""COMPUTED_VALUE"""),"PhD student")</f>
        <v>PhD student</v>
      </c>
      <c r="F1265" s="2" t="str">
        <f>IFERROR(__xludf.DUMMYFUNCTION("""COMPUTED_VALUE"""),"qian.yu@kuleuven.be")</f>
        <v>qian.yu@kuleuven.be</v>
      </c>
      <c r="G1265" s="2" t="str">
        <f>IFERROR(__xludf.DUMMYFUNCTION("""COMPUTED_VALUE"""),"0000-0001-8938-3922")</f>
        <v>0000-0001-8938-3922</v>
      </c>
    </row>
    <row r="1266">
      <c r="A1266" s="2" t="str">
        <f>IFERROR(__xludf.DUMMYFUNCTION("""COMPUTED_VALUE"""),"Van Minsel")</f>
        <v>Van Minsel</v>
      </c>
      <c r="B1266" s="2" t="str">
        <f>IFERROR(__xludf.DUMMYFUNCTION("""COMPUTED_VALUE"""),"Paulien")</f>
        <v>Paulien</v>
      </c>
      <c r="C1266" s="2" t="str">
        <f>IFERROR(__xludf.DUMMYFUNCTION("""COMPUTED_VALUE"""),"Key Personnel")</f>
        <v>Key Personnel</v>
      </c>
      <c r="D1266" s="2" t="str">
        <f>IFERROR(__xludf.DUMMYFUNCTION("""COMPUTED_VALUE"""),"Thienpont")</f>
        <v>Thienpont</v>
      </c>
      <c r="E1266" s="2" t="str">
        <f>IFERROR(__xludf.DUMMYFUNCTION("""COMPUTED_VALUE"""),"PhD student")</f>
        <v>PhD student</v>
      </c>
      <c r="F1266" s="2" t="str">
        <f>IFERROR(__xludf.DUMMYFUNCTION("""COMPUTED_VALUE"""),"paulien.vanminsel@kuleuven.be")</f>
        <v>paulien.vanminsel@kuleuven.be</v>
      </c>
      <c r="G1266" s="2" t="str">
        <f>IFERROR(__xludf.DUMMYFUNCTION("""COMPUTED_VALUE"""),"0000-0002-3429-0531")</f>
        <v>0000-0002-3429-0531</v>
      </c>
    </row>
    <row r="1267">
      <c r="A1267" s="2" t="str">
        <f>IFERROR(__xludf.DUMMYFUNCTION("""COMPUTED_VALUE"""),"Leroy")</f>
        <v>Leroy</v>
      </c>
      <c r="B1267" s="2" t="str">
        <f>IFERROR(__xludf.DUMMYFUNCTION("""COMPUTED_VALUE"""),"Kaat ")</f>
        <v>Kaat </v>
      </c>
      <c r="C1267" s="2" t="str">
        <f>IFERROR(__xludf.DUMMYFUNCTION("""COMPUTED_VALUE"""),"Key Personnel")</f>
        <v>Key Personnel</v>
      </c>
      <c r="D1267" s="2" t="str">
        <f>IFERROR(__xludf.DUMMYFUNCTION("""COMPUTED_VALUE"""),"Thienpont")</f>
        <v>Thienpont</v>
      </c>
      <c r="E1267" s="2" t="str">
        <f>IFERROR(__xludf.DUMMYFUNCTION("""COMPUTED_VALUE"""),"Postdoc")</f>
        <v>Postdoc</v>
      </c>
      <c r="F1267" s="2" t="str">
        <f>IFERROR(__xludf.DUMMYFUNCTION("""COMPUTED_VALUE"""),"kaat.leroy@kuleuven.be")</f>
        <v>kaat.leroy@kuleuven.be</v>
      </c>
      <c r="G1267" s="2" t="str">
        <f>IFERROR(__xludf.DUMMYFUNCTION("""COMPUTED_VALUE"""),"0000-0003-2900-0437")</f>
        <v>0000-0003-2900-0437</v>
      </c>
    </row>
    <row r="1268">
      <c r="A1268" s="2" t="str">
        <f>IFERROR(__xludf.DUMMYFUNCTION("""COMPUTED_VALUE"""),"Morley")</f>
        <v>Morley</v>
      </c>
      <c r="B1268" s="2" t="str">
        <f>IFERROR(__xludf.DUMMYFUNCTION("""COMPUTED_VALUE"""),"Caoimhe")</f>
        <v>Caoimhe</v>
      </c>
      <c r="C1268" s="2" t="str">
        <f>IFERROR(__xludf.DUMMYFUNCTION("""COMPUTED_VALUE"""),"Key Personnel")</f>
        <v>Key Personnel</v>
      </c>
      <c r="D1268" s="2" t="str">
        <f>IFERROR(__xludf.DUMMYFUNCTION("""COMPUTED_VALUE"""),"Proukakis")</f>
        <v>Proukakis</v>
      </c>
      <c r="E1268" s="2" t="str">
        <f>IFERROR(__xludf.DUMMYFUNCTION("""COMPUTED_VALUE"""),"PhD student")</f>
        <v>PhD student</v>
      </c>
      <c r="F1268" s="2" t="str">
        <f>IFERROR(__xludf.DUMMYFUNCTION("""COMPUTED_VALUE"""),"caoimhe.morley.22@ucl.ac.uk")</f>
        <v>caoimhe.morley.22@ucl.ac.uk</v>
      </c>
      <c r="G1268" s="2" t="str">
        <f>IFERROR(__xludf.DUMMYFUNCTION("""COMPUTED_VALUE"""),"0000-0001-6258-9250")</f>
        <v>0000-0001-6258-9250</v>
      </c>
    </row>
    <row r="1269">
      <c r="A1269" s="2" t="str">
        <f>IFERROR(__xludf.DUMMYFUNCTION("""COMPUTED_VALUE"""),"Zeliha Gözde Turan")</f>
        <v>Zeliha Gözde Turan</v>
      </c>
      <c r="B1269" s="2" t="str">
        <f>IFERROR(__xludf.DUMMYFUNCTION("""COMPUTED_VALUE"""),"Zeliha")</f>
        <v>Zeliha</v>
      </c>
      <c r="C1269" s="2" t="str">
        <f>IFERROR(__xludf.DUMMYFUNCTION("""COMPUTED_VALUE"""),"Key Personnel")</f>
        <v>Key Personnel</v>
      </c>
      <c r="D1269" s="2" t="str">
        <f>IFERROR(__xludf.DUMMYFUNCTION("""COMPUTED_VALUE"""),"Proukakis")</f>
        <v>Proukakis</v>
      </c>
      <c r="E1269" s="2" t="str">
        <f>IFERROR(__xludf.DUMMYFUNCTION("""COMPUTED_VALUE"""),"Postdoc bioinformatician ")</f>
        <v>Postdoc bioinformatician </v>
      </c>
      <c r="F1269" s="2" t="str">
        <f>IFERROR(__xludf.DUMMYFUNCTION("""COMPUTED_VALUE"""),"skgtzgt@ucl.ac.uk")</f>
        <v>skgtzgt@ucl.ac.uk</v>
      </c>
      <c r="G1269" s="2" t="str">
        <f>IFERROR(__xludf.DUMMYFUNCTION("""COMPUTED_VALUE"""),"0000-0001-8312-7725")</f>
        <v>0000-0001-8312-7725</v>
      </c>
    </row>
    <row r="1270">
      <c r="A1270" s="2" t="str">
        <f>IFERROR(__xludf.DUMMYFUNCTION("""COMPUTED_VALUE"""),"Izydorczyk")</f>
        <v>Izydorczyk</v>
      </c>
      <c r="B1270" s="2" t="str">
        <f>IFERROR(__xludf.DUMMYFUNCTION("""COMPUTED_VALUE"""),"Michal")</f>
        <v>Michal</v>
      </c>
      <c r="C1270" s="2" t="str">
        <f>IFERROR(__xludf.DUMMYFUNCTION("""COMPUTED_VALUE"""),"Key Personnel")</f>
        <v>Key Personnel</v>
      </c>
      <c r="D1270" s="2" t="str">
        <f>IFERROR(__xludf.DUMMYFUNCTION("""COMPUTED_VALUE"""),"Proukakis")</f>
        <v>Proukakis</v>
      </c>
      <c r="E1270" s="2" t="str">
        <f>IFERROR(__xludf.DUMMYFUNCTION("""COMPUTED_VALUE"""),"Postdoc")</f>
        <v>Postdoc</v>
      </c>
      <c r="F1270" s="2" t="str">
        <f>IFERROR(__xludf.DUMMYFUNCTION("""COMPUTED_VALUE"""),"michal.izydo@gmail.com")</f>
        <v>michal.izydo@gmail.com</v>
      </c>
      <c r="G1270" s="2" t="str">
        <f>IFERROR(__xludf.DUMMYFUNCTION("""COMPUTED_VALUE"""),"0000-0003-3461-1224")</f>
        <v>0000-0003-3461-1224</v>
      </c>
    </row>
    <row r="1271">
      <c r="A1271" s="2" t="str">
        <f>IFERROR(__xludf.DUMMYFUNCTION("""COMPUTED_VALUE"""),"Alar")</f>
        <v>Alar</v>
      </c>
      <c r="B1271" s="2" t="str">
        <f>IFERROR(__xludf.DUMMYFUNCTION("""COMPUTED_VALUE"""),"Ceyhun")</f>
        <v>Ceyhun</v>
      </c>
      <c r="C1271" s="2" t="str">
        <f>IFERROR(__xludf.DUMMYFUNCTION("""COMPUTED_VALUE"""),"Key Personnel")</f>
        <v>Key Personnel</v>
      </c>
      <c r="D1271" s="2" t="str">
        <f>IFERROR(__xludf.DUMMYFUNCTION("""COMPUTED_VALUE"""),"Sifrim")</f>
        <v>Sifrim</v>
      </c>
      <c r="E1271" s="2" t="str">
        <f>IFERROR(__xludf.DUMMYFUNCTION("""COMPUTED_VALUE"""),"PhD student")</f>
        <v>PhD student</v>
      </c>
      <c r="F1271" s="2" t="str">
        <f>IFERROR(__xludf.DUMMYFUNCTION("""COMPUTED_VALUE"""),"ceyhun.alar@kuleuven.be")</f>
        <v>ceyhun.alar@kuleuven.be</v>
      </c>
      <c r="G1271" s="2" t="str">
        <f>IFERROR(__xludf.DUMMYFUNCTION("""COMPUTED_VALUE"""),"0000-0002-6044-9243")</f>
        <v>0000-0002-6044-9243</v>
      </c>
    </row>
    <row r="1272">
      <c r="A1272" s="2" t="str">
        <f>IFERROR(__xludf.DUMMYFUNCTION("""COMPUTED_VALUE"""),"Suresh")</f>
        <v>Suresh</v>
      </c>
      <c r="B1272" s="2" t="str">
        <f>IFERROR(__xludf.DUMMYFUNCTION("""COMPUTED_VALUE"""),"Poovathingal")</f>
        <v>Poovathingal</v>
      </c>
      <c r="C1272" s="2" t="str">
        <f>IFERROR(__xludf.DUMMYFUNCTION("""COMPUTED_VALUE"""),"Key Personnel")</f>
        <v>Key Personnel</v>
      </c>
      <c r="D1272" s="2" t="str">
        <f>IFERROR(__xludf.DUMMYFUNCTION("""COMPUTED_VALUE"""),"Aerts")</f>
        <v>Aerts</v>
      </c>
      <c r="E1272" s="2" t="str">
        <f>IFERROR(__xludf.DUMMYFUNCTION("""COMPUTED_VALUE"""),"Staff Scientist")</f>
        <v>Staff Scientist</v>
      </c>
      <c r="F1272" s="2" t="str">
        <f>IFERROR(__xludf.DUMMYFUNCTION("""COMPUTED_VALUE"""),"Suresh.poovathingal@kuleuven.be")</f>
        <v>Suresh.poovathingal@kuleuven.be</v>
      </c>
      <c r="G1272" s="2" t="str">
        <f>IFERROR(__xludf.DUMMYFUNCTION("""COMPUTED_VALUE"""),"0000-0002-3236-2255")</f>
        <v>0000-0002-3236-2255</v>
      </c>
    </row>
    <row r="1273">
      <c r="A1273" s="2" t="str">
        <f>IFERROR(__xludf.DUMMYFUNCTION("""COMPUTED_VALUE"""),"Theunis")</f>
        <v>Theunis</v>
      </c>
      <c r="B1273" s="2" t="str">
        <f>IFERROR(__xludf.DUMMYFUNCTION("""COMPUTED_VALUE"""),"Koen")</f>
        <v>Koen</v>
      </c>
      <c r="C1273" s="2" t="str">
        <f>IFERROR(__xludf.DUMMYFUNCTION("""COMPUTED_VALUE"""),"Key Personnel")</f>
        <v>Key Personnel</v>
      </c>
      <c r="D1273" s="2" t="str">
        <f>IFERROR(__xludf.DUMMYFUNCTION("""COMPUTED_VALUE"""),"Aerts")</f>
        <v>Aerts</v>
      </c>
      <c r="E1273" s="2" t="str">
        <f>IFERROR(__xludf.DUMMYFUNCTION("""COMPUTED_VALUE"""),"Technician ")</f>
        <v>Technician </v>
      </c>
      <c r="F1273" s="2" t="str">
        <f>IFERROR(__xludf.DUMMYFUNCTION("""COMPUTED_VALUE"""),"Koen.theunis@kuleuven.be")</f>
        <v>Koen.theunis@kuleuven.be</v>
      </c>
      <c r="G1273" s="2" t="str">
        <f>IFERROR(__xludf.DUMMYFUNCTION("""COMPUTED_VALUE"""),"0000-0002-0699-6676")</f>
        <v>0000-0002-0699-6676</v>
      </c>
    </row>
    <row r="1274">
      <c r="A1274" s="2" t="str">
        <f>IFERROR(__xludf.DUMMYFUNCTION("""COMPUTED_VALUE"""),"Pančíková")</f>
        <v>Pančíková</v>
      </c>
      <c r="B1274" s="2" t="str">
        <f>IFERROR(__xludf.DUMMYFUNCTION("""COMPUTED_VALUE"""),"Alexandra")</f>
        <v>Alexandra</v>
      </c>
      <c r="C1274" s="2" t="str">
        <f>IFERROR(__xludf.DUMMYFUNCTION("""COMPUTED_VALUE"""),"Key Personnel")</f>
        <v>Key Personnel</v>
      </c>
      <c r="D1274" s="2" t="str">
        <f>IFERROR(__xludf.DUMMYFUNCTION("""COMPUTED_VALUE""")," Aerts")</f>
        <v> Aerts</v>
      </c>
      <c r="E1274" s="2" t="str">
        <f>IFERROR(__xludf.DUMMYFUNCTION("""COMPUTED_VALUE"""),"PhD student")</f>
        <v>PhD student</v>
      </c>
      <c r="F1274" s="2" t="str">
        <f>IFERROR(__xludf.DUMMYFUNCTION("""COMPUTED_VALUE"""),"alexandra.pancikova@kuleuven.be")</f>
        <v>alexandra.pancikova@kuleuven.be</v>
      </c>
      <c r="G1274" s="2" t="str">
        <f>IFERROR(__xludf.DUMMYFUNCTION("""COMPUTED_VALUE"""),"0000-0002-0693-132X")</f>
        <v>0000-0002-0693-132X</v>
      </c>
    </row>
    <row r="1275">
      <c r="A1275" s="2" t="str">
        <f>IFERROR(__xludf.DUMMYFUNCTION("""COMPUTED_VALUE"""),"Sigalova")</f>
        <v>Sigalova</v>
      </c>
      <c r="B1275" s="2" t="str">
        <f>IFERROR(__xludf.DUMMYFUNCTION("""COMPUTED_VALUE"""),"Olga")</f>
        <v>Olga</v>
      </c>
      <c r="C1275" s="2" t="str">
        <f>IFERROR(__xludf.DUMMYFUNCTION("""COMPUTED_VALUE"""),"Key Personnel")</f>
        <v>Key Personnel</v>
      </c>
      <c r="D1275" s="2" t="str">
        <f>IFERROR(__xludf.DUMMYFUNCTION("""COMPUTED_VALUE"""),"Aerts")</f>
        <v>Aerts</v>
      </c>
      <c r="E1275" s="2" t="str">
        <f>IFERROR(__xludf.DUMMYFUNCTION("""COMPUTED_VALUE"""),"Postdoc bioinformatician ")</f>
        <v>Postdoc bioinformatician </v>
      </c>
      <c r="F1275" s="2" t="str">
        <f>IFERROR(__xludf.DUMMYFUNCTION("""COMPUTED_VALUE"""),"olga.sigalova@kuleuven.be")</f>
        <v>olga.sigalova@kuleuven.be</v>
      </c>
      <c r="G1275" s="2" t="str">
        <f>IFERROR(__xludf.DUMMYFUNCTION("""COMPUTED_VALUE"""),"0000-0001-8598-1079​")</f>
        <v>0000-0001-8598-1079​</v>
      </c>
    </row>
    <row r="1276">
      <c r="A1276" s="2" t="str">
        <f>IFERROR(__xludf.DUMMYFUNCTION("""COMPUTED_VALUE"""),"Christiaens ")</f>
        <v>Christiaens </v>
      </c>
      <c r="B1276" s="2" t="str">
        <f>IFERROR(__xludf.DUMMYFUNCTION("""COMPUTED_VALUE"""),"Valerie ")</f>
        <v>Valerie </v>
      </c>
      <c r="C1276" s="2" t="str">
        <f>IFERROR(__xludf.DUMMYFUNCTION("""COMPUTED_VALUE"""),"Key Personnel")</f>
        <v>Key Personnel</v>
      </c>
      <c r="D1276" s="2" t="str">
        <f>IFERROR(__xludf.DUMMYFUNCTION("""COMPUTED_VALUE"""),"Aerts ")</f>
        <v>Aerts </v>
      </c>
      <c r="E1276" s="2" t="str">
        <f>IFERROR(__xludf.DUMMYFUNCTION("""COMPUTED_VALUE"""),"Technician")</f>
        <v>Technician</v>
      </c>
      <c r="F1276" s="2" t="str">
        <f>IFERROR(__xludf.DUMMYFUNCTION("""COMPUTED_VALUE"""),"valerie.christiaens@kuleuven.be")</f>
        <v>valerie.christiaens@kuleuven.be</v>
      </c>
      <c r="G1276" s="2" t="str">
        <f>IFERROR(__xludf.DUMMYFUNCTION("""COMPUTED_VALUE"""),"0000-0002-5024-8691")</f>
        <v>0000-0002-5024-8691</v>
      </c>
    </row>
    <row r="1277">
      <c r="A1277" s="2" t="str">
        <f>IFERROR(__xludf.DUMMYFUNCTION("""COMPUTED_VALUE"""),"De Man ")</f>
        <v>De Man </v>
      </c>
      <c r="B1277" s="2" t="str">
        <f>IFERROR(__xludf.DUMMYFUNCTION("""COMPUTED_VALUE"""),"Julie ")</f>
        <v>Julie </v>
      </c>
      <c r="C1277" s="2" t="str">
        <f>IFERROR(__xludf.DUMMYFUNCTION("""COMPUTED_VALUE"""),"Key Personnel")</f>
        <v>Key Personnel</v>
      </c>
      <c r="D1277" s="2" t="str">
        <f>IFERROR(__xludf.DUMMYFUNCTION("""COMPUTED_VALUE"""),"Aerts")</f>
        <v>Aerts</v>
      </c>
      <c r="E1277" s="2" t="str">
        <f>IFERROR(__xludf.DUMMYFUNCTION("""COMPUTED_VALUE"""),"Bioinformatician ")</f>
        <v>Bioinformatician </v>
      </c>
      <c r="F1277" s="2" t="str">
        <f>IFERROR(__xludf.DUMMYFUNCTION("""COMPUTED_VALUE"""),"julie.deman@kuleuven.be")</f>
        <v>julie.deman@kuleuven.be</v>
      </c>
      <c r="G1277" s="2" t="str">
        <f>IFERROR(__xludf.DUMMYFUNCTION("""COMPUTED_VALUE"""),"0009-0003-7208-8961")</f>
        <v>0009-0003-7208-8961</v>
      </c>
    </row>
    <row r="1278">
      <c r="A1278" s="2" t="str">
        <f>IFERROR(__xludf.DUMMYFUNCTION("""COMPUTED_VALUE"""),"Kempynck ")</f>
        <v>Kempynck </v>
      </c>
      <c r="B1278" s="2" t="str">
        <f>IFERROR(__xludf.DUMMYFUNCTION("""COMPUTED_VALUE"""),"Niklas ")</f>
        <v>Niklas </v>
      </c>
      <c r="C1278" s="2" t="str">
        <f>IFERROR(__xludf.DUMMYFUNCTION("""COMPUTED_VALUE"""),"Key Personnel")</f>
        <v>Key Personnel</v>
      </c>
      <c r="D1278" s="2" t="str">
        <f>IFERROR(__xludf.DUMMYFUNCTION("""COMPUTED_VALUE"""),"Aerts")</f>
        <v>Aerts</v>
      </c>
      <c r="E1278" s="2" t="str">
        <f>IFERROR(__xludf.DUMMYFUNCTION("""COMPUTED_VALUE"""),"Bioinformatician ")</f>
        <v>Bioinformatician </v>
      </c>
      <c r="F1278" s="2" t="str">
        <f>IFERROR(__xludf.DUMMYFUNCTION("""COMPUTED_VALUE"""),"niklas.kempynck@kuleuven.be")</f>
        <v>niklas.kempynck@kuleuven.be</v>
      </c>
      <c r="G1278" s="2" t="str">
        <f>IFERROR(__xludf.DUMMYFUNCTION("""COMPUTED_VALUE"""),"0000-0002-0104-4844")</f>
        <v>0000-0002-0104-4844</v>
      </c>
    </row>
    <row r="1279">
      <c r="A1279" s="2" t="str">
        <f>IFERROR(__xludf.DUMMYFUNCTION("""COMPUTED_VALUE"""),"Mukherjee")</f>
        <v>Mukherjee</v>
      </c>
      <c r="B1279" s="2" t="str">
        <f>IFERROR(__xludf.DUMMYFUNCTION("""COMPUTED_VALUE"""),"Shinjini")</f>
        <v>Shinjini</v>
      </c>
      <c r="C1279" s="2" t="str">
        <f>IFERROR(__xludf.DUMMYFUNCTION("""COMPUTED_VALUE"""),"Key Personnel")</f>
        <v>Key Personnel</v>
      </c>
      <c r="D1279" s="2" t="str">
        <f>IFERROR(__xludf.DUMMYFUNCTION("""COMPUTED_VALUE"""),"Voet")</f>
        <v>Voet</v>
      </c>
      <c r="E1279" s="2" t="str">
        <f>IFERROR(__xludf.DUMMYFUNCTION("""COMPUTED_VALUE"""),"Postdoc innovation manager")</f>
        <v>Postdoc innovation manager</v>
      </c>
      <c r="F1279" s="2" t="str">
        <f>IFERROR(__xludf.DUMMYFUNCTION("""COMPUTED_VALUE"""),"shinjini.mukherjee@kuleuven.be")</f>
        <v>shinjini.mukherjee@kuleuven.be</v>
      </c>
      <c r="G1279" s="2" t="str">
        <f>IFERROR(__xludf.DUMMYFUNCTION("""COMPUTED_VALUE"""),"0000-0001-9206-8739")</f>
        <v>0000-0001-9206-8739</v>
      </c>
    </row>
    <row r="1280">
      <c r="A1280" s="2" t="str">
        <f>IFERROR(__xludf.DUMMYFUNCTION("""COMPUTED_VALUE"""),"Salama")</f>
        <v>Salama</v>
      </c>
      <c r="B1280" s="2" t="str">
        <f>IFERROR(__xludf.DUMMYFUNCTION("""COMPUTED_VALUE"""),"Sara")</f>
        <v>Sara</v>
      </c>
      <c r="C1280" s="2" t="str">
        <f>IFERROR(__xludf.DUMMYFUNCTION("""COMPUTED_VALUE"""),"Project Manager")</f>
        <v>Project Manager</v>
      </c>
      <c r="D1280" s="2" t="str">
        <f>IFERROR(__xludf.DUMMYFUNCTION("""COMPUTED_VALUE"""),"Voet")</f>
        <v>Voet</v>
      </c>
      <c r="E1280" s="2" t="str">
        <f>IFERROR(__xludf.DUMMYFUNCTION("""COMPUTED_VALUE"""),"Postdoc project manager")</f>
        <v>Postdoc project manager</v>
      </c>
      <c r="F1280" s="2" t="str">
        <f>IFERROR(__xludf.DUMMYFUNCTION("""COMPUTED_VALUE"""),"sarah.abuelasrar@kuleuven.be")</f>
        <v>sarah.abuelasrar@kuleuven.be</v>
      </c>
      <c r="G1280" s="2" t="str">
        <f>IFERROR(__xludf.DUMMYFUNCTION("""COMPUTED_VALUE"""),"0000-0002-0484-7765")</f>
        <v>0000-0002-0484-7765</v>
      </c>
    </row>
    <row r="1281">
      <c r="A1281" s="2" t="str">
        <f>IFERROR(__xludf.DUMMYFUNCTION("""COMPUTED_VALUE"""),"Geurts ")</f>
        <v>Geurts </v>
      </c>
      <c r="B1281" s="2" t="str">
        <f>IFERROR(__xludf.DUMMYFUNCTION("""COMPUTED_VALUE"""),"Jarne ")</f>
        <v>Jarne </v>
      </c>
      <c r="C1281" s="2" t="str">
        <f>IFERROR(__xludf.DUMMYFUNCTION("""COMPUTED_VALUE"""),"Key Personnel")</f>
        <v>Key Personnel</v>
      </c>
      <c r="D1281" s="2" t="str">
        <f>IFERROR(__xludf.DUMMYFUNCTION("""COMPUTED_VALUE"""),"Voet ")</f>
        <v>Voet </v>
      </c>
      <c r="E1281" s="2" t="str">
        <f>IFERROR(__xludf.DUMMYFUNCTION("""COMPUTED_VALUE"""),"Technician")</f>
        <v>Technician</v>
      </c>
      <c r="F1281" s="2" t="str">
        <f>IFERROR(__xludf.DUMMYFUNCTION("""COMPUTED_VALUE"""),"jarne.geurts@kuleuven.be")</f>
        <v>jarne.geurts@kuleuven.be</v>
      </c>
      <c r="G1281" s="2" t="str">
        <f>IFERROR(__xludf.DUMMYFUNCTION("""COMPUTED_VALUE"""),"0000-0002-1194-781X")</f>
        <v>0000-0002-1194-781X</v>
      </c>
    </row>
    <row r="1282">
      <c r="A1282" s="2" t="str">
        <f>IFERROR(__xludf.DUMMYFUNCTION("""COMPUTED_VALUE"""),"Bösch")</f>
        <v>Bösch</v>
      </c>
      <c r="B1282" s="2" t="str">
        <f>IFERROR(__xludf.DUMMYFUNCTION("""COMPUTED_VALUE"""),"Markus")</f>
        <v>Markus</v>
      </c>
      <c r="C1282" s="2" t="str">
        <f>IFERROR(__xludf.DUMMYFUNCTION("""COMPUTED_VALUE"""),"Key Personnel")</f>
        <v>Key Personnel</v>
      </c>
      <c r="D1282" s="2" t="str">
        <f>IFERROR(__xludf.DUMMYFUNCTION("""COMPUTED_VALUE"""),"Voet ")</f>
        <v>Voet </v>
      </c>
      <c r="E1282" s="2" t="str">
        <f>IFERROR(__xludf.DUMMYFUNCTION("""COMPUTED_VALUE"""),"Postdoc bioinformatician ")</f>
        <v>Postdoc bioinformatician </v>
      </c>
      <c r="F1282" s="2" t="str">
        <f>IFERROR(__xludf.DUMMYFUNCTION("""COMPUTED_VALUE"""),"markus.boesch@kuleuven.be")</f>
        <v>markus.boesch@kuleuven.be</v>
      </c>
      <c r="G1282" s="2" t="str">
        <f>IFERROR(__xludf.DUMMYFUNCTION("""COMPUTED_VALUE"""),"0000-0003-2483-9583")</f>
        <v>0000-0003-2483-9583</v>
      </c>
    </row>
    <row r="1283">
      <c r="A1283" s="2" t="str">
        <f>IFERROR(__xludf.DUMMYFUNCTION("""COMPUTED_VALUE"""),"Skoufos")</f>
        <v>Skoufos</v>
      </c>
      <c r="B1283" s="2" t="str">
        <f>IFERROR(__xludf.DUMMYFUNCTION("""COMPUTED_VALUE"""),"Georgios")</f>
        <v>Georgios</v>
      </c>
      <c r="C1283" s="2" t="str">
        <f>IFERROR(__xludf.DUMMYFUNCTION("""COMPUTED_VALUE"""),"Key Personnel")</f>
        <v>Key Personnel</v>
      </c>
      <c r="D1283" s="2" t="str">
        <f>IFERROR(__xludf.DUMMYFUNCTION("""COMPUTED_VALUE"""),"Voet ")</f>
        <v>Voet </v>
      </c>
      <c r="E1283" s="2" t="str">
        <f>IFERROR(__xludf.DUMMYFUNCTION("""COMPUTED_VALUE"""),"Postdoc bioinformatician ")</f>
        <v>Postdoc bioinformatician </v>
      </c>
      <c r="F1283" s="2" t="str">
        <f>IFERROR(__xludf.DUMMYFUNCTION("""COMPUTED_VALUE"""),"georgios.skoufos@kuleuven.be")</f>
        <v>georgios.skoufos@kuleuven.be</v>
      </c>
      <c r="G1283" s="2" t="str">
        <f>IFERROR(__xludf.DUMMYFUNCTION("""COMPUTED_VALUE"""),"0000-0001-9022-6334")</f>
        <v>0000-0001-9022-6334</v>
      </c>
    </row>
    <row r="1284">
      <c r="A1284" s="2" t="str">
        <f>IFERROR(__xludf.DUMMYFUNCTION("""COMPUTED_VALUE"""),"Vandereyken")</f>
        <v>Vandereyken</v>
      </c>
      <c r="B1284" s="2" t="str">
        <f>IFERROR(__xludf.DUMMYFUNCTION("""COMPUTED_VALUE"""),"Katy")</f>
        <v>Katy</v>
      </c>
      <c r="C1284" s="2" t="str">
        <f>IFERROR(__xludf.DUMMYFUNCTION("""COMPUTED_VALUE"""),"Key Personnel")</f>
        <v>Key Personnel</v>
      </c>
      <c r="D1284" s="2" t="str">
        <f>IFERROR(__xludf.DUMMYFUNCTION("""COMPUTED_VALUE"""),"Voet")</f>
        <v>Voet</v>
      </c>
      <c r="E1284" s="2" t="str">
        <f>IFERROR(__xludf.DUMMYFUNCTION("""COMPUTED_VALUE"""),"Postdoc")</f>
        <v>Postdoc</v>
      </c>
      <c r="F1284" s="2" t="str">
        <f>IFERROR(__xludf.DUMMYFUNCTION("""COMPUTED_VALUE"""),"katy.vandereyken@kuleuven.be")</f>
        <v>katy.vandereyken@kuleuven.be</v>
      </c>
      <c r="G1284" s="2" t="str">
        <f>IFERROR(__xludf.DUMMYFUNCTION("""COMPUTED_VALUE"""),"0000-0002-4477-5866")</f>
        <v>0000-0002-4477-5866</v>
      </c>
    </row>
    <row r="1285">
      <c r="A1285" s="2" t="str">
        <f>IFERROR(__xludf.DUMMYFUNCTION("""COMPUTED_VALUE"""),"Mikorska")</f>
        <v>Mikorska</v>
      </c>
      <c r="B1285" s="2" t="str">
        <f>IFERROR(__xludf.DUMMYFUNCTION("""COMPUTED_VALUE"""),"Antonina")</f>
        <v>Antonina</v>
      </c>
      <c r="C1285" s="2" t="str">
        <f>IFERROR(__xludf.DUMMYFUNCTION("""COMPUTED_VALUE"""),"Key Personnel")</f>
        <v>Key Personnel</v>
      </c>
      <c r="D1285" s="2" t="str">
        <f>IFERROR(__xludf.DUMMYFUNCTION("""COMPUTED_VALUE"""),"Voet")</f>
        <v>Voet</v>
      </c>
      <c r="E1285" s="2" t="str">
        <f>IFERROR(__xludf.DUMMYFUNCTION("""COMPUTED_VALUE"""),"Technician")</f>
        <v>Technician</v>
      </c>
      <c r="F1285" s="2" t="str">
        <f>IFERROR(__xludf.DUMMYFUNCTION("""COMPUTED_VALUE"""),"antonina.mikorska@kuleuven.be")</f>
        <v>antonina.mikorska@kuleuven.be</v>
      </c>
      <c r="G1285" s="2" t="str">
        <f>IFERROR(__xludf.DUMMYFUNCTION("""COMPUTED_VALUE"""),"0000-0001-6739-572X")</f>
        <v>0000-0001-6739-572X</v>
      </c>
    </row>
    <row r="1286">
      <c r="A1286" s="2" t="str">
        <f>IFERROR(__xludf.DUMMYFUNCTION("""COMPUTED_VALUE"""),"Muñoz Pedrazo")</f>
        <v>Muñoz Pedrazo</v>
      </c>
      <c r="B1286" s="2" t="str">
        <f>IFERROR(__xludf.DUMMYFUNCTION("""COMPUTED_VALUE"""),"Esther ")</f>
        <v>Esther </v>
      </c>
      <c r="C1286" s="2" t="str">
        <f>IFERROR(__xludf.DUMMYFUNCTION("""COMPUTED_VALUE"""),"Key Personnel")</f>
        <v>Key Personnel</v>
      </c>
      <c r="D1286" s="2" t="str">
        <f>IFERROR(__xludf.DUMMYFUNCTION("""COMPUTED_VALUE"""),"Verstreken")</f>
        <v>Verstreken</v>
      </c>
      <c r="E1286" s="2" t="str">
        <f>IFERROR(__xludf.DUMMYFUNCTION("""COMPUTED_VALUE"""),"PhD student")</f>
        <v>PhD student</v>
      </c>
      <c r="F1286" s="2" t="str">
        <f>IFERROR(__xludf.DUMMYFUNCTION("""COMPUTED_VALUE"""),"esther.munozpedrazo@kuleuven.be")</f>
        <v>esther.munozpedrazo@kuleuven.be</v>
      </c>
      <c r="G1286" s="2" t="str">
        <f>IFERROR(__xludf.DUMMYFUNCTION("""COMPUTED_VALUE"""),"0000-0002-7095-1851")</f>
        <v>0000-0002-7095-1851</v>
      </c>
    </row>
    <row r="1287">
      <c r="A1287" s="2" t="str">
        <f>IFERROR(__xludf.DUMMYFUNCTION("""COMPUTED_VALUE"""),"Calatayud")</f>
        <v>Calatayud</v>
      </c>
      <c r="B1287" s="2" t="str">
        <f>IFERROR(__xludf.DUMMYFUNCTION("""COMPUTED_VALUE"""),"Carles")</f>
        <v>Carles</v>
      </c>
      <c r="C1287" s="2" t="str">
        <f>IFERROR(__xludf.DUMMYFUNCTION("""COMPUTED_VALUE"""),"Key Personnel")</f>
        <v>Key Personnel</v>
      </c>
      <c r="D1287" s="2" t="str">
        <f>IFERROR(__xludf.DUMMYFUNCTION("""COMPUTED_VALUE"""),"Verstreken")</f>
        <v>Verstreken</v>
      </c>
      <c r="E1287" s="2" t="str">
        <f>IFERROR(__xludf.DUMMYFUNCTION("""COMPUTED_VALUE"""),"Postdoc")</f>
        <v>Postdoc</v>
      </c>
      <c r="F1287" s="2" t="str">
        <f>IFERROR(__xludf.DUMMYFUNCTION("""COMPUTED_VALUE"""),"carles.calatayud@kuleuven.be")</f>
        <v>carles.calatayud@kuleuven.be</v>
      </c>
      <c r="G1287" s="2" t="str">
        <f>IFERROR(__xludf.DUMMYFUNCTION("""COMPUTED_VALUE"""),"0000-0003-0032-4198")</f>
        <v>0000-0003-0032-4198</v>
      </c>
    </row>
    <row r="1288">
      <c r="A1288" s="2" t="str">
        <f>IFERROR(__xludf.DUMMYFUNCTION("""COMPUTED_VALUE"""),"Kaempf")</f>
        <v>Kaempf</v>
      </c>
      <c r="B1288" s="2" t="str">
        <f>IFERROR(__xludf.DUMMYFUNCTION("""COMPUTED_VALUE"""),"Natalie")</f>
        <v>Natalie</v>
      </c>
      <c r="C1288" s="2" t="str">
        <f>IFERROR(__xludf.DUMMYFUNCTION("""COMPUTED_VALUE"""),"Key Personnel")</f>
        <v>Key Personnel</v>
      </c>
      <c r="D1288" s="2" t="str">
        <f>IFERROR(__xludf.DUMMYFUNCTION("""COMPUTED_VALUE"""),"Verstreken")</f>
        <v>Verstreken</v>
      </c>
      <c r="E1288" s="2" t="str">
        <f>IFERROR(__xludf.DUMMYFUNCTION("""COMPUTED_VALUE"""),"Postdoc")</f>
        <v>Postdoc</v>
      </c>
      <c r="F1288" s="2" t="str">
        <f>IFERROR(__xludf.DUMMYFUNCTION("""COMPUTED_VALUE"""),"natalie.kaempf@kuleuven.be")</f>
        <v>natalie.kaempf@kuleuven.be</v>
      </c>
      <c r="G1288" s="2" t="str">
        <f>IFERROR(__xludf.DUMMYFUNCTION("""COMPUTED_VALUE"""),"0000-0002-5466-3972")</f>
        <v>0000-0002-5466-3972</v>
      </c>
    </row>
    <row r="1289">
      <c r="A1289" s="2" t="str">
        <f>IFERROR(__xludf.DUMMYFUNCTION("""COMPUTED_VALUE"""),"Moons ")</f>
        <v>Moons </v>
      </c>
      <c r="B1289" s="2" t="str">
        <f>IFERROR(__xludf.DUMMYFUNCTION("""COMPUTED_VALUE"""),"Michaël")</f>
        <v>Michaël</v>
      </c>
      <c r="C1289" s="2" t="str">
        <f>IFERROR(__xludf.DUMMYFUNCTION("""COMPUTED_VALUE"""),"Key Personnel")</f>
        <v>Key Personnel</v>
      </c>
      <c r="D1289" s="2" t="str">
        <f>IFERROR(__xludf.DUMMYFUNCTION("""COMPUTED_VALUE"""),"Vanden Berghe")</f>
        <v>Vanden Berghe</v>
      </c>
      <c r="E1289" s="2" t="str">
        <f>IFERROR(__xludf.DUMMYFUNCTION("""COMPUTED_VALUE"""),"Technician")</f>
        <v>Technician</v>
      </c>
      <c r="F1289" s="2" t="str">
        <f>IFERROR(__xludf.DUMMYFUNCTION("""COMPUTED_VALUE"""),"michael.moons@kuleuven.be")</f>
        <v>michael.moons@kuleuven.be</v>
      </c>
      <c r="G1289" s="2"/>
    </row>
    <row r="1290">
      <c r="A1290" s="2" t="str">
        <f>IFERROR(__xludf.DUMMYFUNCTION("""COMPUTED_VALUE"""),"Moles Garcia ")</f>
        <v>Moles Garcia </v>
      </c>
      <c r="B1290" s="2" t="str">
        <f>IFERROR(__xludf.DUMMYFUNCTION("""COMPUTED_VALUE"""),"Emma ")</f>
        <v>Emma </v>
      </c>
      <c r="C1290" s="2" t="str">
        <f>IFERROR(__xludf.DUMMYFUNCTION("""COMPUTED_VALUE"""),"Key Personnel")</f>
        <v>Key Personnel</v>
      </c>
      <c r="D1290" s="2" t="str">
        <f>IFERROR(__xludf.DUMMYFUNCTION("""COMPUTED_VALUE"""),"Vanden Berghe")</f>
        <v>Vanden Berghe</v>
      </c>
      <c r="E1290" s="2" t="str">
        <f>IFERROR(__xludf.DUMMYFUNCTION("""COMPUTED_VALUE"""),"Postdoc ")</f>
        <v>Postdoc </v>
      </c>
      <c r="F1290" s="2" t="str">
        <f>IFERROR(__xludf.DUMMYFUNCTION("""COMPUTED_VALUE"""),"emma.molesgarcia@kuleuven.be")</f>
        <v>emma.molesgarcia@kuleuven.be</v>
      </c>
      <c r="G1290" s="2" t="str">
        <f>IFERROR(__xludf.DUMMYFUNCTION("""COMPUTED_VALUE"""),"0000-0002-3293-6167")</f>
        <v>0000-0002-3293-6167</v>
      </c>
    </row>
    <row r="1291">
      <c r="A1291" s="2" t="str">
        <f>IFERROR(__xludf.DUMMYFUNCTION("""COMPUTED_VALUE"""),"Garcia Perez")</f>
        <v>Garcia Perez</v>
      </c>
      <c r="B1291" s="2" t="str">
        <f>IFERROR(__xludf.DUMMYFUNCTION("""COMPUTED_VALUE"""),"Natalia")</f>
        <v>Natalia</v>
      </c>
      <c r="C1291" s="2" t="str">
        <f>IFERROR(__xludf.DUMMYFUNCTION("""COMPUTED_VALUE"""),"Key Personnel")</f>
        <v>Key Personnel</v>
      </c>
      <c r="D1291" s="2" t="str">
        <f>IFERROR(__xludf.DUMMYFUNCTION("""COMPUTED_VALUE"""),"Vanden Berghe")</f>
        <v>Vanden Berghe</v>
      </c>
      <c r="E1291" s="2" t="str">
        <f>IFERROR(__xludf.DUMMYFUNCTION("""COMPUTED_VALUE"""),"PhD student")</f>
        <v>PhD student</v>
      </c>
      <c r="F1291" s="2" t="str">
        <f>IFERROR(__xludf.DUMMYFUNCTION("""COMPUTED_VALUE"""),"natalia.garciaperez@kuleuven.be")</f>
        <v>natalia.garciaperez@kuleuven.be</v>
      </c>
      <c r="G1291" s="2" t="str">
        <f>IFERROR(__xludf.DUMMYFUNCTION("""COMPUTED_VALUE"""),"0000-0001-8520-3162")</f>
        <v>0000-0001-8520-3162</v>
      </c>
    </row>
    <row r="1292">
      <c r="A1292" s="2" t="str">
        <f>IFERROR(__xludf.DUMMYFUNCTION("""COMPUTED_VALUE"""),"Stakenborg")</f>
        <v>Stakenborg</v>
      </c>
      <c r="B1292" s="2" t="str">
        <f>IFERROR(__xludf.DUMMYFUNCTION("""COMPUTED_VALUE"""),"Nathalie")</f>
        <v>Nathalie</v>
      </c>
      <c r="C1292" s="2" t="str">
        <f>IFERROR(__xludf.DUMMYFUNCTION("""COMPUTED_VALUE"""),"Key Personnel")</f>
        <v>Key Personnel</v>
      </c>
      <c r="D1292" s="2" t="str">
        <f>IFERROR(__xludf.DUMMYFUNCTION("""COMPUTED_VALUE"""),"Boeckxstaens")</f>
        <v>Boeckxstaens</v>
      </c>
      <c r="E1292" s="2" t="str">
        <f>IFERROR(__xludf.DUMMYFUNCTION("""COMPUTED_VALUE"""),"Postdoc")</f>
        <v>Postdoc</v>
      </c>
      <c r="F1292" s="2" t="str">
        <f>IFERROR(__xludf.DUMMYFUNCTION("""COMPUTED_VALUE"""),"nathalie.stakenborg@kuleuven.be ")</f>
        <v>nathalie.stakenborg@kuleuven.be </v>
      </c>
      <c r="G1292" s="2" t="str">
        <f>IFERROR(__xludf.DUMMYFUNCTION("""COMPUTED_VALUE"""),"0000-0002-6229-0045")</f>
        <v>0000-0002-6229-0045</v>
      </c>
    </row>
    <row r="1293">
      <c r="A1293" s="2" t="str">
        <f>IFERROR(__xludf.DUMMYFUNCTION("""COMPUTED_VALUE"""),"De Marco")</f>
        <v>De Marco</v>
      </c>
      <c r="B1293" s="2" t="str">
        <f>IFERROR(__xludf.DUMMYFUNCTION("""COMPUTED_VALUE"""),"Elisabetta ")</f>
        <v>Elisabetta </v>
      </c>
      <c r="C1293" s="2" t="str">
        <f>IFERROR(__xludf.DUMMYFUNCTION("""COMPUTED_VALUE"""),"Key Personnel")</f>
        <v>Key Personnel</v>
      </c>
      <c r="D1293" s="2" t="str">
        <f>IFERROR(__xludf.DUMMYFUNCTION("""COMPUTED_VALUE"""),"Boeckxstaens")</f>
        <v>Boeckxstaens</v>
      </c>
      <c r="E1293" s="2" t="str">
        <f>IFERROR(__xludf.DUMMYFUNCTION("""COMPUTED_VALUE"""),"PhD student")</f>
        <v>PhD student</v>
      </c>
      <c r="F1293" s="2" t="str">
        <f>IFERROR(__xludf.DUMMYFUNCTION("""COMPUTED_VALUE"""),"elisabetta.demarco@kuleuven.be")</f>
        <v>elisabetta.demarco@kuleuven.be</v>
      </c>
      <c r="G1293" s="2" t="str">
        <f>IFERROR(__xludf.DUMMYFUNCTION("""COMPUTED_VALUE"""),"0000-0001-8534-5988")</f>
        <v>0000-0001-8534-5988</v>
      </c>
    </row>
    <row r="1294">
      <c r="A1294" s="2" t="str">
        <f>IFERROR(__xludf.DUMMYFUNCTION("""COMPUTED_VALUE"""),"Viola")</f>
        <v>Viola</v>
      </c>
      <c r="B1294" s="2" t="str">
        <f>IFERROR(__xludf.DUMMYFUNCTION("""COMPUTED_VALUE"""),"Maria Francesca")</f>
        <v>Maria Francesca</v>
      </c>
      <c r="C1294" s="2" t="str">
        <f>IFERROR(__xludf.DUMMYFUNCTION("""COMPUTED_VALUE"""),"Key Personnel")</f>
        <v>Key Personnel</v>
      </c>
      <c r="D1294" s="2" t="str">
        <f>IFERROR(__xludf.DUMMYFUNCTION("""COMPUTED_VALUE"""),"Boeckxstaens")</f>
        <v>Boeckxstaens</v>
      </c>
      <c r="E1294" s="2" t="str">
        <f>IFERROR(__xludf.DUMMYFUNCTION("""COMPUTED_VALUE"""),"PhD student")</f>
        <v>PhD student</v>
      </c>
      <c r="F1294" s="2" t="str">
        <f>IFERROR(__xludf.DUMMYFUNCTION("""COMPUTED_VALUE"""),"mariafrancesca.viola@kuleuven.be")</f>
        <v>mariafrancesca.viola@kuleuven.be</v>
      </c>
      <c r="G1294" s="2" t="str">
        <f>IFERROR(__xludf.DUMMYFUNCTION("""COMPUTED_VALUE"""),"0000-0003-0660-9506")</f>
        <v>0000-0003-0660-9506</v>
      </c>
    </row>
    <row r="1295">
      <c r="A1295" s="2" t="str">
        <f>IFERROR(__xludf.DUMMYFUNCTION("""COMPUTED_VALUE"""),"Modave")</f>
        <v>Modave</v>
      </c>
      <c r="B1295" s="2" t="str">
        <f>IFERROR(__xludf.DUMMYFUNCTION("""COMPUTED_VALUE"""),"Elodie ")</f>
        <v>Elodie </v>
      </c>
      <c r="C1295" s="2" t="str">
        <f>IFERROR(__xludf.DUMMYFUNCTION("""COMPUTED_VALUE"""),"Key Personnel")</f>
        <v>Key Personnel</v>
      </c>
      <c r="D1295" s="2" t="str">
        <f>IFERROR(__xludf.DUMMYFUNCTION("""COMPUTED_VALUE"""),"Boeckxstaens")</f>
        <v>Boeckxstaens</v>
      </c>
      <c r="E1295" s="2" t="str">
        <f>IFERROR(__xludf.DUMMYFUNCTION("""COMPUTED_VALUE"""),"Postdoc bioinformatician ")</f>
        <v>Postdoc bioinformatician </v>
      </c>
      <c r="F1295" s="2" t="str">
        <f>IFERROR(__xludf.DUMMYFUNCTION("""COMPUTED_VALUE"""),"elodie.modave@kuleuven.be")</f>
        <v>elodie.modave@kuleuven.be</v>
      </c>
      <c r="G1295" s="2" t="str">
        <f>IFERROR(__xludf.DUMMYFUNCTION("""COMPUTED_VALUE"""),"0000-0002-5775-3332")</f>
        <v>0000-0002-5775-3332</v>
      </c>
    </row>
    <row r="1296">
      <c r="A1296" s="2" t="str">
        <f>IFERROR(__xludf.DUMMYFUNCTION("""COMPUTED_VALUE"""),"Lauren ")</f>
        <v>Lauren </v>
      </c>
      <c r="B1296" s="2" t="str">
        <f>IFERROR(__xludf.DUMMYFUNCTION("""COMPUTED_VALUE"""),"Verstraeten ")</f>
        <v>Verstraeten </v>
      </c>
      <c r="C1296" s="2" t="str">
        <f>IFERROR(__xludf.DUMMYFUNCTION("""COMPUTED_VALUE"""),"Key Personnel")</f>
        <v>Key Personnel</v>
      </c>
      <c r="D1296" s="2" t="str">
        <f>IFERROR(__xludf.DUMMYFUNCTION("""COMPUTED_VALUE"""),"Thienpont")</f>
        <v>Thienpont</v>
      </c>
      <c r="E1296" s="2" t="str">
        <f>IFERROR(__xludf.DUMMYFUNCTION("""COMPUTED_VALUE"""),"PhD student ")</f>
        <v>PhD student </v>
      </c>
      <c r="F1296" s="2" t="str">
        <f>IFERROR(__xludf.DUMMYFUNCTION("""COMPUTED_VALUE"""),"lauren.verstraeten@kuleuven.be")</f>
        <v>lauren.verstraeten@kuleuven.be</v>
      </c>
      <c r="G1296" s="2" t="str">
        <f>IFERROR(__xludf.DUMMYFUNCTION("""COMPUTED_VALUE"""),"0009-0006-4409-8523")</f>
        <v>0009-0006-4409-8523</v>
      </c>
    </row>
    <row r="1297">
      <c r="A1297" s="2" t="str">
        <f>IFERROR(__xludf.DUMMYFUNCTION("""COMPUTED_VALUE"""),"Ben ")</f>
        <v>Ben </v>
      </c>
      <c r="B1297" s="2" t="str">
        <f>IFERROR(__xludf.DUMMYFUNCTION("""COMPUTED_VALUE"""),"Thompson ")</f>
        <v>Thompson </v>
      </c>
      <c r="C1297" s="2" t="str">
        <f>IFERROR(__xludf.DUMMYFUNCTION("""COMPUTED_VALUE"""),"Key Personnel")</f>
        <v>Key Personnel</v>
      </c>
      <c r="D1297" s="2" t="str">
        <f>IFERROR(__xludf.DUMMYFUNCTION("""COMPUTED_VALUE"""),"Proukakis ")</f>
        <v>Proukakis </v>
      </c>
      <c r="E1297" s="2" t="str">
        <f>IFERROR(__xludf.DUMMYFUNCTION("""COMPUTED_VALUE"""),"PhD student ")</f>
        <v>PhD student </v>
      </c>
      <c r="F1297" s="2" t="str">
        <f>IFERROR(__xludf.DUMMYFUNCTION("""COMPUTED_VALUE"""),"ben.thompson@ucl.ac.uk")</f>
        <v>ben.thompson@ucl.ac.uk</v>
      </c>
      <c r="G1297" s="2" t="str">
        <f>IFERROR(__xludf.DUMMYFUNCTION("""COMPUTED_VALUE"""),"0009-0001-0459-9837")</f>
        <v>0009-0001-0459-9837</v>
      </c>
    </row>
    <row r="1298">
      <c r="A1298" s="2" t="str">
        <f>IFERROR(__xludf.DUMMYFUNCTION("""COMPUTED_VALUE"""),"Hulselmans")</f>
        <v>Hulselmans</v>
      </c>
      <c r="B1298" s="2" t="str">
        <f>IFERROR(__xludf.DUMMYFUNCTION("""COMPUTED_VALUE"""),"Gert ")</f>
        <v>Gert </v>
      </c>
      <c r="C1298" s="2" t="str">
        <f>IFERROR(__xludf.DUMMYFUNCTION("""COMPUTED_VALUE"""),"Key Personnel")</f>
        <v>Key Personnel</v>
      </c>
      <c r="D1298" s="2" t="str">
        <f>IFERROR(__xludf.DUMMYFUNCTION("""COMPUTED_VALUE"""),"Aerts")</f>
        <v>Aerts</v>
      </c>
      <c r="E1298" s="2" t="str">
        <f>IFERROR(__xludf.DUMMYFUNCTION("""COMPUTED_VALUE"""),"Postdoc bioinformatician ")</f>
        <v>Postdoc bioinformatician </v>
      </c>
      <c r="F1298" s="2" t="str">
        <f>IFERROR(__xludf.DUMMYFUNCTION("""COMPUTED_VALUE"""),"gert.hulselmans@kuleuven.be")</f>
        <v>gert.hulselmans@kuleuven.be</v>
      </c>
      <c r="G1298" s="2" t="str">
        <f>IFERROR(__xludf.DUMMYFUNCTION("""COMPUTED_VALUE"""),"0000-0003-2205-1899")</f>
        <v>0000-0003-2205-1899</v>
      </c>
    </row>
    <row r="1299">
      <c r="A1299" s="2" t="str">
        <f>IFERROR(__xludf.DUMMYFUNCTION("""COMPUTED_VALUE"""),"Vandeput")</f>
        <v>Vandeput</v>
      </c>
      <c r="B1299" s="2" t="str">
        <f>IFERROR(__xludf.DUMMYFUNCTION("""COMPUTED_VALUE"""),"Marte")</f>
        <v>Marte</v>
      </c>
      <c r="C1299" s="2" t="str">
        <f>IFERROR(__xludf.DUMMYFUNCTION("""COMPUTED_VALUE"""),"Key Personnel")</f>
        <v>Key Personnel</v>
      </c>
      <c r="D1299" s="2" t="str">
        <f>IFERROR(__xludf.DUMMYFUNCTION("""COMPUTED_VALUE"""),"Boeckxstaens")</f>
        <v>Boeckxstaens</v>
      </c>
      <c r="E1299" s="2" t="str">
        <f>IFERROR(__xludf.DUMMYFUNCTION("""COMPUTED_VALUE"""),"PhD student ")</f>
        <v>PhD student </v>
      </c>
      <c r="F1299" s="2" t="str">
        <f>IFERROR(__xludf.DUMMYFUNCTION("""COMPUTED_VALUE"""),"marte.vandeput@kuleuven.be")</f>
        <v>marte.vandeput@kuleuven.be</v>
      </c>
      <c r="G1299" s="2" t="str">
        <f>IFERROR(__xludf.DUMMYFUNCTION("""COMPUTED_VALUE"""),"0009-0000-0735-9612")</f>
        <v>0009-0000-0735-9612</v>
      </c>
    </row>
    <row r="1300">
      <c r="A1300" s="2" t="str">
        <f>IFERROR(__xludf.DUMMYFUNCTION("""COMPUTED_VALUE"""),"Krunic")</f>
        <v>Krunic</v>
      </c>
      <c r="B1300" s="2" t="str">
        <f>IFERROR(__xludf.DUMMYFUNCTION("""COMPUTED_VALUE"""),"Maria ")</f>
        <v>Maria </v>
      </c>
      <c r="C1300" s="2" t="str">
        <f>IFERROR(__xludf.DUMMYFUNCTION("""COMPUTED_VALUE"""),"Key Personnel")</f>
        <v>Key Personnel</v>
      </c>
      <c r="D1300" s="2" t="str">
        <f>IFERROR(__xludf.DUMMYFUNCTION("""COMPUTED_VALUE"""),"Voet ")</f>
        <v>Voet </v>
      </c>
      <c r="E1300" s="2" t="str">
        <f>IFERROR(__xludf.DUMMYFUNCTION("""COMPUTED_VALUE"""),"Master student")</f>
        <v>Master student</v>
      </c>
      <c r="F1300" s="2" t="str">
        <f>IFERROR(__xludf.DUMMYFUNCTION("""COMPUTED_VALUE"""),"maria.krunic@student.kuleuven.be")</f>
        <v>maria.krunic@student.kuleuven.be</v>
      </c>
      <c r="G1300" s="2" t="str">
        <f>IFERROR(__xludf.DUMMYFUNCTION("""COMPUTED_VALUE"""),"0000-0003-1008-081X")</f>
        <v>0000-0003-1008-081X</v>
      </c>
    </row>
    <row r="1301">
      <c r="A1301" s="2" t="str">
        <f>IFERROR(__xludf.DUMMYFUNCTION("""COMPUTED_VALUE"""),"Straub ")</f>
        <v>Straub </v>
      </c>
      <c r="B1301" s="2" t="str">
        <f>IFERROR(__xludf.DUMMYFUNCTION("""COMPUTED_VALUE"""),"Jannes ")</f>
        <v>Jannes </v>
      </c>
      <c r="C1301" s="2" t="str">
        <f>IFERROR(__xludf.DUMMYFUNCTION("""COMPUTED_VALUE"""),"Key Personnel")</f>
        <v>Key Personnel</v>
      </c>
      <c r="D1301" s="2" t="str">
        <f>IFERROR(__xludf.DUMMYFUNCTION("""COMPUTED_VALUE"""),"Verstreken")</f>
        <v>Verstreken</v>
      </c>
      <c r="E1301" s="2" t="str">
        <f>IFERROR(__xludf.DUMMYFUNCTION("""COMPUTED_VALUE"""),"PhD student ")</f>
        <v>PhD student </v>
      </c>
      <c r="F1301" s="2" t="str">
        <f>IFERROR(__xludf.DUMMYFUNCTION("""COMPUTED_VALUE"""),"jannes.straub@kuleuven.be")</f>
        <v>jannes.straub@kuleuven.be</v>
      </c>
      <c r="G1301" s="2" t="str">
        <f>IFERROR(__xludf.DUMMYFUNCTION("""COMPUTED_VALUE"""),"0000-0002-7178-1663")</f>
        <v>0000-0002-7178-1663</v>
      </c>
    </row>
    <row r="1302">
      <c r="A1302" s="2" t="str">
        <f>IFERROR(__xludf.DUMMYFUNCTION("""COMPUTED_VALUE"""),"Di Domenico")</f>
        <v>Di Domenico</v>
      </c>
      <c r="B1302" s="2" t="str">
        <f>IFERROR(__xludf.DUMMYFUNCTION("""COMPUTED_VALUE"""),"Angelique")</f>
        <v>Angelique</v>
      </c>
      <c r="C1302" s="2" t="str">
        <f>IFERROR(__xludf.DUMMYFUNCTION("""COMPUTED_VALUE"""),"Key Personnel")</f>
        <v>Key Personnel</v>
      </c>
      <c r="D1302" s="2" t="str">
        <f>IFERROR(__xludf.DUMMYFUNCTION("""COMPUTED_VALUE"""),"Croft")</f>
        <v>Croft</v>
      </c>
      <c r="E1302" s="2" t="str">
        <f>IFERROR(__xludf.DUMMYFUNCTION("""COMPUTED_VALUE"""),"Postdoc")</f>
        <v>Postdoc</v>
      </c>
      <c r="F1302" s="2" t="str">
        <f>IFERROR(__xludf.DUMMYFUNCTION("""COMPUTED_VALUE"""),"adidomenico@nyscf.org")</f>
        <v>adidomenico@nyscf.org</v>
      </c>
      <c r="G1302" s="2" t="str">
        <f>IFERROR(__xludf.DUMMYFUNCTION("""COMPUTED_VALUE"""),"0000-0002-0592-2560")</f>
        <v>0000-0002-0592-2560</v>
      </c>
    </row>
    <row r="1303">
      <c r="A1303" s="2" t="str">
        <f>IFERROR(__xludf.DUMMYFUNCTION("""COMPUTED_VALUE"""),"Tipon")</f>
        <v>Tipon</v>
      </c>
      <c r="B1303" s="2" t="str">
        <f>IFERROR(__xludf.DUMMYFUNCTION("""COMPUTED_VALUE"""),"Regine")</f>
        <v>Regine</v>
      </c>
      <c r="C1303" s="2" t="str">
        <f>IFERROR(__xludf.DUMMYFUNCTION("""COMPUTED_VALUE"""),"Key Personnel")</f>
        <v>Key Personnel</v>
      </c>
      <c r="D1303" s="2" t="str">
        <f>IFERROR(__xludf.DUMMYFUNCTION("""COMPUTED_VALUE"""),"Croft")</f>
        <v>Croft</v>
      </c>
      <c r="E1303" s="2" t="str">
        <f>IFERROR(__xludf.DUMMYFUNCTION("""COMPUTED_VALUE"""),"Associate Scientist")</f>
        <v>Associate Scientist</v>
      </c>
      <c r="F1303" s="2" t="str">
        <f>IFERROR(__xludf.DUMMYFUNCTION("""COMPUTED_VALUE"""),"rtipon@nyscf.org")</f>
        <v>rtipon@nyscf.org</v>
      </c>
      <c r="G1303" s="2" t="str">
        <f>IFERROR(__xludf.DUMMYFUNCTION("""COMPUTED_VALUE"""),"0000-0002-5473-7353")</f>
        <v>0000-0002-5473-7353</v>
      </c>
    </row>
    <row r="1304">
      <c r="A1304" s="2" t="str">
        <f>IFERROR(__xludf.DUMMYFUNCTION("""COMPUTED_VALUE"""),"Skowronska")</f>
        <v>Skowronska</v>
      </c>
      <c r="B1304" s="2" t="str">
        <f>IFERROR(__xludf.DUMMYFUNCTION("""COMPUTED_VALUE"""),"Marta")</f>
        <v>Marta</v>
      </c>
      <c r="C1304" s="2" t="str">
        <f>IFERROR(__xludf.DUMMYFUNCTION("""COMPUTED_VALUE"""),"Key Personnel")</f>
        <v>Key Personnel</v>
      </c>
      <c r="D1304" s="2" t="str">
        <f>IFERROR(__xludf.DUMMYFUNCTION("""COMPUTED_VALUE"""),"Croft")</f>
        <v>Croft</v>
      </c>
      <c r="E1304" s="2" t="str">
        <f>IFERROR(__xludf.DUMMYFUNCTION("""COMPUTED_VALUE"""),"Postdoc")</f>
        <v>Postdoc</v>
      </c>
      <c r="F1304" s="2" t="str">
        <f>IFERROR(__xludf.DUMMYFUNCTION("""COMPUTED_VALUE"""),"mskowronska@NYSCF.org")</f>
        <v>mskowronska@NYSCF.org</v>
      </c>
      <c r="G1304" s="2" t="str">
        <f>IFERROR(__xludf.DUMMYFUNCTION("""COMPUTED_VALUE"""),"0000-0002-6788-5611")</f>
        <v>0000-0002-6788-5611</v>
      </c>
    </row>
    <row r="1305">
      <c r="A1305" s="2" t="str">
        <f>IFERROR(__xludf.DUMMYFUNCTION("""COMPUTED_VALUE"""),"Nonose")</f>
        <v>Nonose</v>
      </c>
      <c r="B1305" s="2" t="str">
        <f>IFERROR(__xludf.DUMMYFUNCTION("""COMPUTED_VALUE"""),"Yasmine")</f>
        <v>Yasmine</v>
      </c>
      <c r="C1305" s="2" t="str">
        <f>IFERROR(__xludf.DUMMYFUNCTION("""COMPUTED_VALUE"""),"Key Personnel")</f>
        <v>Key Personnel</v>
      </c>
      <c r="D1305" s="2" t="str">
        <f>IFERROR(__xludf.DUMMYFUNCTION("""COMPUTED_VALUE"""),"Croft")</f>
        <v>Croft</v>
      </c>
      <c r="E1305" s="2" t="str">
        <f>IFERROR(__xludf.DUMMYFUNCTION("""COMPUTED_VALUE"""),"Postdoc")</f>
        <v>Postdoc</v>
      </c>
      <c r="F1305" s="2" t="str">
        <f>IFERROR(__xludf.DUMMYFUNCTION("""COMPUTED_VALUE"""),"ynonose@nyscf.org")</f>
        <v>ynonose@nyscf.org</v>
      </c>
      <c r="G1305" s="2" t="str">
        <f>IFERROR(__xludf.DUMMYFUNCTION("""COMPUTED_VALUE"""),"0000-0003-4421-6332")</f>
        <v>0000-0003-4421-6332</v>
      </c>
    </row>
    <row r="1306">
      <c r="A1306" s="2" t="str">
        <f>IFERROR(__xludf.DUMMYFUNCTION("""COMPUTED_VALUE"""),"Benjamin")</f>
        <v>Benjamin</v>
      </c>
      <c r="B1306" s="2" t="str">
        <f>IFERROR(__xludf.DUMMYFUNCTION("""COMPUTED_VALUE"""),"Sigi")</f>
        <v>Sigi</v>
      </c>
      <c r="C1306" s="2" t="str">
        <f>IFERROR(__xludf.DUMMYFUNCTION("""COMPUTED_VALUE"""),"Key Personnel")</f>
        <v>Key Personnel</v>
      </c>
      <c r="D1306" s="2" t="str">
        <f>IFERROR(__xludf.DUMMYFUNCTION("""COMPUTED_VALUE"""),"Croft")</f>
        <v>Croft</v>
      </c>
      <c r="E1306" s="2"/>
      <c r="F1306" s="2" t="str">
        <f>IFERROR(__xludf.DUMMYFUNCTION("""COMPUTED_VALUE"""),"sbenjamin@nyscf.org")</f>
        <v>sbenjamin@nyscf.org</v>
      </c>
      <c r="G1306" s="2" t="str">
        <f>IFERROR(__xludf.DUMMYFUNCTION("""COMPUTED_VALUE"""),"0000-0002-6411-5339")</f>
        <v>0000-0002-6411-5339</v>
      </c>
    </row>
    <row r="1307">
      <c r="A1307" s="2" t="str">
        <f>IFERROR(__xludf.DUMMYFUNCTION("""COMPUTED_VALUE"""),"Sawarkar")</f>
        <v>Sawarkar</v>
      </c>
      <c r="B1307" s="2" t="str">
        <f>IFERROR(__xludf.DUMMYFUNCTION("""COMPUTED_VALUE"""),"Niraj")</f>
        <v>Niraj</v>
      </c>
      <c r="C1307" s="2" t="str">
        <f>IFERROR(__xludf.DUMMYFUNCTION("""COMPUTED_VALUE"""),"Key Personnel")</f>
        <v>Key Personnel</v>
      </c>
      <c r="D1307" s="2" t="str">
        <f>IFERROR(__xludf.DUMMYFUNCTION("""COMPUTED_VALUE"""),"Croft")</f>
        <v>Croft</v>
      </c>
      <c r="E1307" s="2" t="str">
        <f>IFERROR(__xludf.DUMMYFUNCTION("""COMPUTED_VALUE"""),"Associate Scientist")</f>
        <v>Associate Scientist</v>
      </c>
      <c r="F1307" s="2" t="str">
        <f>IFERROR(__xludf.DUMMYFUNCTION("""COMPUTED_VALUE"""),"nsawarkar@NYSCF.org")</f>
        <v>nsawarkar@NYSCF.org</v>
      </c>
      <c r="G1307" s="2" t="str">
        <f>IFERROR(__xludf.DUMMYFUNCTION("""COMPUTED_VALUE"""),"0000-0003-3775-7018")</f>
        <v>0000-0003-3775-7018</v>
      </c>
    </row>
    <row r="1308">
      <c r="A1308" s="2" t="str">
        <f>IFERROR(__xludf.DUMMYFUNCTION("""COMPUTED_VALUE"""),"Kruglikov")</f>
        <v>Kruglikov</v>
      </c>
      <c r="B1308" s="2" t="str">
        <f>IFERROR(__xludf.DUMMYFUNCTION("""COMPUTED_VALUE"""),"Ilya")</f>
        <v>Ilya</v>
      </c>
      <c r="C1308" s="2" t="str">
        <f>IFERROR(__xludf.DUMMYFUNCTION("""COMPUTED_VALUE"""),"Unpaid Collaborator")</f>
        <v>Unpaid Collaborator</v>
      </c>
      <c r="D1308" s="2" t="str">
        <f>IFERROR(__xludf.DUMMYFUNCTION("""COMPUTED_VALUE"""),"Croft")</f>
        <v>Croft</v>
      </c>
      <c r="E1308" s="2"/>
      <c r="F1308" s="2" t="str">
        <f>IFERROR(__xludf.DUMMYFUNCTION("""COMPUTED_VALUE"""),"ikruglikov@nyscf.org")</f>
        <v>ikruglikov@nyscf.org</v>
      </c>
      <c r="G1308" s="2" t="str">
        <f>IFERROR(__xludf.DUMMYFUNCTION("""COMPUTED_VALUE"""),"0000-0002-1575-4636")</f>
        <v>0000-0002-1575-4636</v>
      </c>
    </row>
    <row r="1309">
      <c r="A1309" s="2" t="str">
        <f>IFERROR(__xludf.DUMMYFUNCTION("""COMPUTED_VALUE"""),"Semrau")</f>
        <v>Semrau</v>
      </c>
      <c r="B1309" s="2" t="str">
        <f>IFERROR(__xludf.DUMMYFUNCTION("""COMPUTED_VALUE"""),"Stefan")</f>
        <v>Stefan</v>
      </c>
      <c r="C1309" s="2" t="str">
        <f>IFERROR(__xludf.DUMMYFUNCTION("""COMPUTED_VALUE"""),"Unpaid Collaborator")</f>
        <v>Unpaid Collaborator</v>
      </c>
      <c r="D1309" s="2" t="str">
        <f>IFERROR(__xludf.DUMMYFUNCTION("""COMPUTED_VALUE"""),"Croft")</f>
        <v>Croft</v>
      </c>
      <c r="E1309" s="2"/>
      <c r="F1309" s="2" t="str">
        <f>IFERROR(__xludf.DUMMYFUNCTION("""COMPUTED_VALUE"""),"ssemrau@nyscf.org")</f>
        <v>ssemrau@nyscf.org</v>
      </c>
      <c r="G1309" s="2" t="str">
        <f>IFERROR(__xludf.DUMMYFUNCTION("""COMPUTED_VALUE"""),"0000-0002-4245-2246")</f>
        <v>0000-0002-4245-2246</v>
      </c>
    </row>
    <row r="1310">
      <c r="A1310" s="2" t="str">
        <f>IFERROR(__xludf.DUMMYFUNCTION("""COMPUTED_VALUE"""),"Diaz")</f>
        <v>Diaz</v>
      </c>
      <c r="B1310" s="2" t="str">
        <f>IFERROR(__xludf.DUMMYFUNCTION("""COMPUTED_VALUE"""),"Kasandra")</f>
        <v>Kasandra</v>
      </c>
      <c r="C1310" s="2" t="str">
        <f>IFERROR(__xludf.DUMMYFUNCTION("""COMPUTED_VALUE"""),"Key Personnel")</f>
        <v>Key Personnel</v>
      </c>
      <c r="D1310" s="2" t="str">
        <f>IFERROR(__xludf.DUMMYFUNCTION("""COMPUTED_VALUE"""),"Croft")</f>
        <v>Croft</v>
      </c>
      <c r="E1310" s="2" t="str">
        <f>IFERROR(__xludf.DUMMYFUNCTION("""COMPUTED_VALUE"""),"Postdoc")</f>
        <v>Postdoc</v>
      </c>
      <c r="F1310" s="2" t="str">
        <f>IFERROR(__xludf.DUMMYFUNCTION("""COMPUTED_VALUE"""),"kdiaz@nyscf.org")</f>
        <v>kdiaz@nyscf.org</v>
      </c>
      <c r="G1310" s="2" t="str">
        <f>IFERROR(__xludf.DUMMYFUNCTION("""COMPUTED_VALUE"""),"0000-0002-1486-1368")</f>
        <v>0000-0002-1486-1368</v>
      </c>
    </row>
    <row r="1311">
      <c r="A1311" s="2" t="str">
        <f>IFERROR(__xludf.DUMMYFUNCTION("""COMPUTED_VALUE"""),"Wang")</f>
        <v>Wang</v>
      </c>
      <c r="B1311" s="2" t="str">
        <f>IFERROR(__xludf.DUMMYFUNCTION("""COMPUTED_VALUE"""),"Xinyuan")</f>
        <v>Xinyuan</v>
      </c>
      <c r="C1311" s="2" t="str">
        <f>IFERROR(__xludf.DUMMYFUNCTION("""COMPUTED_VALUE"""),"Key Personnel")</f>
        <v>Key Personnel</v>
      </c>
      <c r="D1311" s="2" t="str">
        <f>IFERROR(__xludf.DUMMYFUNCTION("""COMPUTED_VALUE"""),"Khurana")</f>
        <v>Khurana</v>
      </c>
      <c r="E1311" s="2" t="str">
        <f>IFERROR(__xludf.DUMMYFUNCTION("""COMPUTED_VALUE"""),"Postdoc")</f>
        <v>Postdoc</v>
      </c>
      <c r="F1311" s="2" t="str">
        <f>IFERROR(__xludf.DUMMYFUNCTION("""COMPUTED_VALUE"""),"xwang84@bwh.harvard.edu")</f>
        <v>xwang84@bwh.harvard.edu</v>
      </c>
      <c r="G1311" s="2" t="str">
        <f>IFERROR(__xludf.DUMMYFUNCTION("""COMPUTED_VALUE"""),"0000-0002-3107-8359")</f>
        <v>0000-0002-3107-8359</v>
      </c>
    </row>
    <row r="1312">
      <c r="A1312" s="2" t="str">
        <f>IFERROR(__xludf.DUMMYFUNCTION("""COMPUTED_VALUE"""),"Lam")</f>
        <v>Lam</v>
      </c>
      <c r="B1312" s="2" t="str">
        <f>IFERROR(__xludf.DUMMYFUNCTION("""COMPUTED_VALUE"""),"Isabel")</f>
        <v>Isabel</v>
      </c>
      <c r="C1312" s="2" t="str">
        <f>IFERROR(__xludf.DUMMYFUNCTION("""COMPUTED_VALUE"""),"Key Personnel")</f>
        <v>Key Personnel</v>
      </c>
      <c r="D1312" s="2" t="str">
        <f>IFERROR(__xludf.DUMMYFUNCTION("""COMPUTED_VALUE"""),"Khurana")</f>
        <v>Khurana</v>
      </c>
      <c r="E1312" s="2" t="str">
        <f>IFERROR(__xludf.DUMMYFUNCTION("""COMPUTED_VALUE"""),"Postdoc")</f>
        <v>Postdoc</v>
      </c>
      <c r="F1312" s="2" t="str">
        <f>IFERROR(__xludf.DUMMYFUNCTION("""COMPUTED_VALUE"""),"ilam@bwh.harvard.edu")</f>
        <v>ilam@bwh.harvard.edu</v>
      </c>
      <c r="G1312" s="2" t="str">
        <f>IFERROR(__xludf.DUMMYFUNCTION("""COMPUTED_VALUE"""),"0000-0002-6247-8080")</f>
        <v>0000-0002-6247-8080</v>
      </c>
    </row>
    <row r="1313">
      <c r="A1313" s="2" t="str">
        <f>IFERROR(__xludf.DUMMYFUNCTION("""COMPUTED_VALUE"""),"Luo")</f>
        <v>Luo</v>
      </c>
      <c r="B1313" s="2" t="str">
        <f>IFERROR(__xludf.DUMMYFUNCTION("""COMPUTED_VALUE"""),"Yunan")</f>
        <v>Yunan</v>
      </c>
      <c r="C1313" s="2" t="str">
        <f>IFERROR(__xludf.DUMMYFUNCTION("""COMPUTED_VALUE"""),"Key Personnel")</f>
        <v>Key Personnel</v>
      </c>
      <c r="D1313" s="2" t="str">
        <f>IFERROR(__xludf.DUMMYFUNCTION("""COMPUTED_VALUE"""),"Khurana")</f>
        <v>Khurana</v>
      </c>
      <c r="E1313" s="2" t="str">
        <f>IFERROR(__xludf.DUMMYFUNCTION("""COMPUTED_VALUE"""),"Paid Collaborator")</f>
        <v>Paid Collaborator</v>
      </c>
      <c r="F1313" s="2" t="str">
        <f>IFERROR(__xludf.DUMMYFUNCTION("""COMPUTED_VALUE"""),"yunan@illinois.edu")</f>
        <v>yunan@illinois.edu</v>
      </c>
      <c r="G1313" s="2" t="str">
        <f>IFERROR(__xludf.DUMMYFUNCTION("""COMPUTED_VALUE"""),"0000-0001-7728-6412")</f>
        <v>0000-0001-7728-6412</v>
      </c>
    </row>
    <row r="1314">
      <c r="A1314" s="2" t="str">
        <f>IFERROR(__xludf.DUMMYFUNCTION("""COMPUTED_VALUE"""),"Ndayisaba")</f>
        <v>Ndayisaba</v>
      </c>
      <c r="B1314" s="2" t="str">
        <f>IFERROR(__xludf.DUMMYFUNCTION("""COMPUTED_VALUE"""),"Alain")</f>
        <v>Alain</v>
      </c>
      <c r="C1314" s="2" t="str">
        <f>IFERROR(__xludf.DUMMYFUNCTION("""COMPUTED_VALUE"""),"Key Personnel")</f>
        <v>Key Personnel</v>
      </c>
      <c r="D1314" s="2" t="str">
        <f>IFERROR(__xludf.DUMMYFUNCTION("""COMPUTED_VALUE"""),"Khurana")</f>
        <v>Khurana</v>
      </c>
      <c r="E1314" s="2" t="str">
        <f>IFERROR(__xludf.DUMMYFUNCTION("""COMPUTED_VALUE"""),"Graduate Student")</f>
        <v>Graduate Student</v>
      </c>
      <c r="F1314" s="2" t="str">
        <f>IFERROR(__xludf.DUMMYFUNCTION("""COMPUTED_VALUE"""),"andayisaba@bwh.harvard.edu")</f>
        <v>andayisaba@bwh.harvard.edu</v>
      </c>
      <c r="G1314" s="2" t="str">
        <f>IFERROR(__xludf.DUMMYFUNCTION("""COMPUTED_VALUE"""),"0000-0001-7611-7115")</f>
        <v>0000-0001-7611-7115</v>
      </c>
    </row>
    <row r="1315">
      <c r="A1315" s="2" t="str">
        <f>IFERROR(__xludf.DUMMYFUNCTION("""COMPUTED_VALUE"""),"Monzio Compagnoni")</f>
        <v>Monzio Compagnoni</v>
      </c>
      <c r="B1315" s="2" t="str">
        <f>IFERROR(__xludf.DUMMYFUNCTION("""COMPUTED_VALUE"""),"Giacomo")</f>
        <v>Giacomo</v>
      </c>
      <c r="C1315" s="2" t="str">
        <f>IFERROR(__xludf.DUMMYFUNCTION("""COMPUTED_VALUE"""),"Key Personnel")</f>
        <v>Key Personnel</v>
      </c>
      <c r="D1315" s="2" t="str">
        <f>IFERROR(__xludf.DUMMYFUNCTION("""COMPUTED_VALUE"""),"Khurana")</f>
        <v>Khurana</v>
      </c>
      <c r="E1315" s="2" t="str">
        <f>IFERROR(__xludf.DUMMYFUNCTION("""COMPUTED_VALUE"""),"Postdoc")</f>
        <v>Postdoc</v>
      </c>
      <c r="F1315" s="2" t="str">
        <f>IFERROR(__xludf.DUMMYFUNCTION("""COMPUTED_VALUE"""),"gmonziocompagnoni@bwh.harvard.edu")</f>
        <v>gmonziocompagnoni@bwh.harvard.edu</v>
      </c>
      <c r="G1315" s="2" t="str">
        <f>IFERROR(__xludf.DUMMYFUNCTION("""COMPUTED_VALUE"""),"0000-0001-5323-8766")</f>
        <v>0000-0001-5323-8766</v>
      </c>
    </row>
    <row r="1316">
      <c r="A1316" s="2" t="str">
        <f>IFERROR(__xludf.DUMMYFUNCTION("""COMPUTED_VALUE"""),"Lucumi Moreno")</f>
        <v>Lucumi Moreno</v>
      </c>
      <c r="B1316" s="2" t="str">
        <f>IFERROR(__xludf.DUMMYFUNCTION("""COMPUTED_VALUE"""),"Edinson")</f>
        <v>Edinson</v>
      </c>
      <c r="C1316" s="2" t="str">
        <f>IFERROR(__xludf.DUMMYFUNCTION("""COMPUTED_VALUE"""),"Key Personnel")</f>
        <v>Key Personnel</v>
      </c>
      <c r="D1316" s="2" t="str">
        <f>IFERROR(__xludf.DUMMYFUNCTION("""COMPUTED_VALUE"""),"Khurana")</f>
        <v>Khurana</v>
      </c>
      <c r="E1316" s="2" t="str">
        <f>IFERROR(__xludf.DUMMYFUNCTION("""COMPUTED_VALUE"""),"Postdoc")</f>
        <v>Postdoc</v>
      </c>
      <c r="F1316" s="2" t="str">
        <f>IFERROR(__xludf.DUMMYFUNCTION("""COMPUTED_VALUE"""),"elucumimoreno@bwh.harvard.edu")</f>
        <v>elucumimoreno@bwh.harvard.edu</v>
      </c>
      <c r="G1316" s="2" t="str">
        <f>IFERROR(__xludf.DUMMYFUNCTION("""COMPUTED_VALUE"""),"0000-0002-2181-296X")</f>
        <v>0000-0002-2181-296X</v>
      </c>
    </row>
    <row r="1317">
      <c r="A1317" s="2" t="str">
        <f>IFERROR(__xludf.DUMMYFUNCTION("""COMPUTED_VALUE"""),"Nazeen")</f>
        <v>Nazeen</v>
      </c>
      <c r="B1317" s="2" t="str">
        <f>IFERROR(__xludf.DUMMYFUNCTION("""COMPUTED_VALUE"""),"Sumaiya")</f>
        <v>Sumaiya</v>
      </c>
      <c r="C1317" s="2" t="str">
        <f>IFERROR(__xludf.DUMMYFUNCTION("""COMPUTED_VALUE"""),"Key Personnel")</f>
        <v>Key Personnel</v>
      </c>
      <c r="D1317" s="2" t="str">
        <f>IFERROR(__xludf.DUMMYFUNCTION("""COMPUTED_VALUE"""),"Khurana")</f>
        <v>Khurana</v>
      </c>
      <c r="E1317" s="2" t="str">
        <f>IFERROR(__xludf.DUMMYFUNCTION("""COMPUTED_VALUE"""),"Postdoc")</f>
        <v>Postdoc</v>
      </c>
      <c r="F1317" s="2" t="str">
        <f>IFERROR(__xludf.DUMMYFUNCTION("""COMPUTED_VALUE"""),"snazeen@bwh.harvard.edu")</f>
        <v>snazeen@bwh.harvard.edu</v>
      </c>
      <c r="G1317" s="2" t="str">
        <f>IFERROR(__xludf.DUMMYFUNCTION("""COMPUTED_VALUE"""),"0000-0002-6313-6357")</f>
        <v>0000-0002-6313-6357</v>
      </c>
    </row>
    <row r="1318">
      <c r="A1318" s="2" t="str">
        <f>IFERROR(__xludf.DUMMYFUNCTION("""COMPUTED_VALUE"""),"Krolewski")</f>
        <v>Krolewski</v>
      </c>
      <c r="B1318" s="2" t="str">
        <f>IFERROR(__xludf.DUMMYFUNCTION("""COMPUTED_VALUE"""),"Rich")</f>
        <v>Rich</v>
      </c>
      <c r="C1318" s="2" t="str">
        <f>IFERROR(__xludf.DUMMYFUNCTION("""COMPUTED_VALUE"""),"Key Personnel")</f>
        <v>Key Personnel</v>
      </c>
      <c r="D1318" s="2" t="str">
        <f>IFERROR(__xludf.DUMMYFUNCTION("""COMPUTED_VALUE"""),"Khurana")</f>
        <v>Khurana</v>
      </c>
      <c r="E1318" s="2" t="str">
        <f>IFERROR(__xludf.DUMMYFUNCTION("""COMPUTED_VALUE"""),"Instructor")</f>
        <v>Instructor</v>
      </c>
      <c r="F1318" s="2" t="str">
        <f>IFERROR(__xludf.DUMMYFUNCTION("""COMPUTED_VALUE"""),"rkrolewski@bwh.harvard.edu")</f>
        <v>rkrolewski@bwh.harvard.edu</v>
      </c>
      <c r="G1318" s="2" t="str">
        <f>IFERROR(__xludf.DUMMYFUNCTION("""COMPUTED_VALUE"""),"0000-0001-5974-079X")</f>
        <v>0000-0001-5974-079X</v>
      </c>
    </row>
    <row r="1319">
      <c r="A1319" s="2" t="str">
        <f>IFERROR(__xludf.DUMMYFUNCTION("""COMPUTED_VALUE"""),"Kuzkina")</f>
        <v>Kuzkina</v>
      </c>
      <c r="B1319" s="2" t="str">
        <f>IFERROR(__xludf.DUMMYFUNCTION("""COMPUTED_VALUE"""),"Anastasia")</f>
        <v>Anastasia</v>
      </c>
      <c r="C1319" s="2" t="str">
        <f>IFERROR(__xludf.DUMMYFUNCTION("""COMPUTED_VALUE"""),"Unpaid Collaborator")</f>
        <v>Unpaid Collaborator</v>
      </c>
      <c r="D1319" s="2" t="str">
        <f>IFERROR(__xludf.DUMMYFUNCTION("""COMPUTED_VALUE"""),"Khurana")</f>
        <v>Khurana</v>
      </c>
      <c r="E1319" s="2" t="str">
        <f>IFERROR(__xludf.DUMMYFUNCTION("""COMPUTED_VALUE"""),"Postdoc")</f>
        <v>Postdoc</v>
      </c>
      <c r="F1319" s="2" t="str">
        <f>IFERROR(__xludf.DUMMYFUNCTION("""COMPUTED_VALUE"""),"akuzkina@bwh.harvard.edu")</f>
        <v>akuzkina@bwh.harvard.edu</v>
      </c>
      <c r="G1319" s="2" t="str">
        <f>IFERROR(__xludf.DUMMYFUNCTION("""COMPUTED_VALUE"""),"0000-0001-5443-8540")</f>
        <v>0000-0001-5443-8540</v>
      </c>
    </row>
    <row r="1320">
      <c r="A1320" s="2" t="str">
        <f>IFERROR(__xludf.DUMMYFUNCTION("""COMPUTED_VALUE"""),"El Kodsi")</f>
        <v>El Kodsi</v>
      </c>
      <c r="B1320" s="2" t="str">
        <f>IFERROR(__xludf.DUMMYFUNCTION("""COMPUTED_VALUE"""),"Daniel")</f>
        <v>Daniel</v>
      </c>
      <c r="C1320" s="2" t="str">
        <f>IFERROR(__xludf.DUMMYFUNCTION("""COMPUTED_VALUE"""),"Key Personnel")</f>
        <v>Key Personnel</v>
      </c>
      <c r="D1320" s="2" t="str">
        <f>IFERROR(__xludf.DUMMYFUNCTION("""COMPUTED_VALUE"""),"Khurana")</f>
        <v>Khurana</v>
      </c>
      <c r="E1320" s="2" t="str">
        <f>IFERROR(__xludf.DUMMYFUNCTION("""COMPUTED_VALUE"""),"Program Manager")</f>
        <v>Program Manager</v>
      </c>
      <c r="F1320" s="2" t="str">
        <f>IFERROR(__xludf.DUMMYFUNCTION("""COMPUTED_VALUE"""),"daniel@elkodsi.ca")</f>
        <v>daniel@elkodsi.ca</v>
      </c>
      <c r="G1320" s="2" t="str">
        <f>IFERROR(__xludf.DUMMYFUNCTION("""COMPUTED_VALUE"""),"0000-0002-8896-0043")</f>
        <v>0000-0002-8896-0043</v>
      </c>
    </row>
    <row r="1321">
      <c r="A1321" s="2" t="str">
        <f>IFERROR(__xludf.DUMMYFUNCTION("""COMPUTED_VALUE"""),"Parmar")</f>
        <v>Parmar</v>
      </c>
      <c r="B1321" s="2" t="str">
        <f>IFERROR(__xludf.DUMMYFUNCTION("""COMPUTED_VALUE"""),"Malin")</f>
        <v>Malin</v>
      </c>
      <c r="C1321" s="2" t="str">
        <f>IFERROR(__xludf.DUMMYFUNCTION("""COMPUTED_VALUE"""),"Unpaid Collaborator")</f>
        <v>Unpaid Collaborator</v>
      </c>
      <c r="D1321" s="2" t="str">
        <f>IFERROR(__xludf.DUMMYFUNCTION("""COMPUTED_VALUE"""),"Parmar")</f>
        <v>Parmar</v>
      </c>
      <c r="E1321" s="2" t="str">
        <f>IFERROR(__xludf.DUMMYFUNCTION("""COMPUTED_VALUE"""),"PI")</f>
        <v>PI</v>
      </c>
      <c r="F1321" s="2" t="str">
        <f>IFERROR(__xludf.DUMMYFUNCTION("""COMPUTED_VALUE"""),"malin.parmar@med.lu.se")</f>
        <v>malin.parmar@med.lu.se</v>
      </c>
      <c r="G1321" s="2" t="str">
        <f>IFERROR(__xludf.DUMMYFUNCTION("""COMPUTED_VALUE"""),"0000-0001-5002-4199")</f>
        <v>0000-0001-5002-4199</v>
      </c>
    </row>
    <row r="1322">
      <c r="A1322" s="2" t="str">
        <f>IFERROR(__xludf.DUMMYFUNCTION("""COMPUTED_VALUE"""),"Fiorenzano")</f>
        <v>Fiorenzano</v>
      </c>
      <c r="B1322" s="2" t="str">
        <f>IFERROR(__xludf.DUMMYFUNCTION("""COMPUTED_VALUE"""),"Alessandro")</f>
        <v>Alessandro</v>
      </c>
      <c r="C1322" s="2" t="str">
        <f>IFERROR(__xludf.DUMMYFUNCTION("""COMPUTED_VALUE"""),"Unpaid Collaborator")</f>
        <v>Unpaid Collaborator</v>
      </c>
      <c r="D1322" s="2" t="str">
        <f>IFERROR(__xludf.DUMMYFUNCTION("""COMPUTED_VALUE"""),"Parmar")</f>
        <v>Parmar</v>
      </c>
      <c r="E1322" s="2" t="str">
        <f>IFERROR(__xludf.DUMMYFUNCTION("""COMPUTED_VALUE"""),"Postdoc")</f>
        <v>Postdoc</v>
      </c>
      <c r="F1322" s="2" t="str">
        <f>IFERROR(__xludf.DUMMYFUNCTION("""COMPUTED_VALUE"""),"alessandro.fiorenzano@med.lu.se")</f>
        <v>alessandro.fiorenzano@med.lu.se</v>
      </c>
      <c r="G1322" s="2" t="str">
        <f>IFERROR(__xludf.DUMMYFUNCTION("""COMPUTED_VALUE"""),"0000-0003-2478-5941")</f>
        <v>0000-0003-2478-5941</v>
      </c>
    </row>
    <row r="1323">
      <c r="A1323" s="2" t="str">
        <f>IFERROR(__xludf.DUMMYFUNCTION("""COMPUTED_VALUE"""),"Sozzi")</f>
        <v>Sozzi</v>
      </c>
      <c r="B1323" s="2" t="str">
        <f>IFERROR(__xludf.DUMMYFUNCTION("""COMPUTED_VALUE"""),"Edoardo")</f>
        <v>Edoardo</v>
      </c>
      <c r="C1323" s="2" t="str">
        <f>IFERROR(__xludf.DUMMYFUNCTION("""COMPUTED_VALUE"""),"Unpaid Collaborator")</f>
        <v>Unpaid Collaborator</v>
      </c>
      <c r="D1323" s="2" t="str">
        <f>IFERROR(__xludf.DUMMYFUNCTION("""COMPUTED_VALUE"""),"Parmar")</f>
        <v>Parmar</v>
      </c>
      <c r="E1323" s="2" t="str">
        <f>IFERROR(__xludf.DUMMYFUNCTION("""COMPUTED_VALUE"""),"Graduate Student")</f>
        <v>Graduate Student</v>
      </c>
      <c r="F1323" s="2" t="str">
        <f>IFERROR(__xludf.DUMMYFUNCTION("""COMPUTED_VALUE"""),"edoardo.sozzi@med.lu.se")</f>
        <v>edoardo.sozzi@med.lu.se</v>
      </c>
      <c r="G1323" s="2" t="str">
        <f>IFERROR(__xludf.DUMMYFUNCTION("""COMPUTED_VALUE"""),"0000-0002-6303-1969")</f>
        <v>0000-0002-6303-1969</v>
      </c>
    </row>
    <row r="1324">
      <c r="A1324" s="2" t="str">
        <f>IFERROR(__xludf.DUMMYFUNCTION("""COMPUTED_VALUE"""),"Storm")</f>
        <v>Storm</v>
      </c>
      <c r="B1324" s="2" t="str">
        <f>IFERROR(__xludf.DUMMYFUNCTION("""COMPUTED_VALUE"""),"Petter")</f>
        <v>Petter</v>
      </c>
      <c r="C1324" s="2" t="str">
        <f>IFERROR(__xludf.DUMMYFUNCTION("""COMPUTED_VALUE"""),"Unpaid Collaborator")</f>
        <v>Unpaid Collaborator</v>
      </c>
      <c r="D1324" s="2" t="str">
        <f>IFERROR(__xludf.DUMMYFUNCTION("""COMPUTED_VALUE"""),"Parmar")</f>
        <v>Parmar</v>
      </c>
      <c r="E1324" s="2" t="str">
        <f>IFERROR(__xludf.DUMMYFUNCTION("""COMPUTED_VALUE"""),"Postdoc")</f>
        <v>Postdoc</v>
      </c>
      <c r="F1324" s="2" t="str">
        <f>IFERROR(__xludf.DUMMYFUNCTION("""COMPUTED_VALUE"""),"petter.storm@med.lu.se")</f>
        <v>petter.storm@med.lu.se</v>
      </c>
      <c r="G1324" s="2" t="str">
        <f>IFERROR(__xludf.DUMMYFUNCTION("""COMPUTED_VALUE"""),"0000-0002-7655-3731")</f>
        <v>0000-0002-7655-3731</v>
      </c>
    </row>
    <row r="1325">
      <c r="A1325" s="2" t="str">
        <f>IFERROR(__xludf.DUMMYFUNCTION("""COMPUTED_VALUE"""),"Neavin")</f>
        <v>Neavin</v>
      </c>
      <c r="B1325" s="2" t="str">
        <f>IFERROR(__xludf.DUMMYFUNCTION("""COMPUTED_VALUE"""),"Drew")</f>
        <v>Drew</v>
      </c>
      <c r="C1325" s="2" t="str">
        <f>IFERROR(__xludf.DUMMYFUNCTION("""COMPUTED_VALUE"""),"Key Personnel")</f>
        <v>Key Personnel</v>
      </c>
      <c r="D1325" s="2" t="str">
        <f>IFERROR(__xludf.DUMMYFUNCTION("""COMPUTED_VALUE"""),"Powell")</f>
        <v>Powell</v>
      </c>
      <c r="E1325" s="2" t="str">
        <f>IFERROR(__xludf.DUMMYFUNCTION("""COMPUTED_VALUE"""),"Postdoc")</f>
        <v>Postdoc</v>
      </c>
      <c r="F1325" s="2" t="str">
        <f>IFERROR(__xludf.DUMMYFUNCTION("""COMPUTED_VALUE"""),"d.neavin@garvan.org.au")</f>
        <v>d.neavin@garvan.org.au</v>
      </c>
      <c r="G1325" s="2" t="str">
        <f>IFERROR(__xludf.DUMMYFUNCTION("""COMPUTED_VALUE"""),"0000-0002-1783-6491")</f>
        <v>0000-0002-1783-6491</v>
      </c>
    </row>
    <row r="1326">
      <c r="A1326" s="2" t="str">
        <f>IFERROR(__xludf.DUMMYFUNCTION("""COMPUTED_VALUE"""),"Farbehi")</f>
        <v>Farbehi</v>
      </c>
      <c r="B1326" s="2" t="str">
        <f>IFERROR(__xludf.DUMMYFUNCTION("""COMPUTED_VALUE"""),"Nona")</f>
        <v>Nona</v>
      </c>
      <c r="C1326" s="2" t="str">
        <f>IFERROR(__xludf.DUMMYFUNCTION("""COMPUTED_VALUE"""),"Key Personnel")</f>
        <v>Key Personnel</v>
      </c>
      <c r="D1326" s="2" t="str">
        <f>IFERROR(__xludf.DUMMYFUNCTION("""COMPUTED_VALUE"""),"Powell")</f>
        <v>Powell</v>
      </c>
      <c r="E1326" s="2" t="str">
        <f>IFERROR(__xludf.DUMMYFUNCTION("""COMPUTED_VALUE"""),"Postdoc")</f>
        <v>Postdoc</v>
      </c>
      <c r="F1326" s="2" t="str">
        <f>IFERROR(__xludf.DUMMYFUNCTION("""COMPUTED_VALUE"""),"n.farbehi@garvan.org.au")</f>
        <v>n.farbehi@garvan.org.au</v>
      </c>
      <c r="G1326" s="2" t="str">
        <f>IFERROR(__xludf.DUMMYFUNCTION("""COMPUTED_VALUE"""),"0000-0001-8461-236X")</f>
        <v>0000-0001-8461-236X</v>
      </c>
    </row>
    <row r="1327">
      <c r="A1327" s="2" t="str">
        <f>IFERROR(__xludf.DUMMYFUNCTION("""COMPUTED_VALUE"""),"Gupta")</f>
        <v>Gupta</v>
      </c>
      <c r="B1327" s="2" t="str">
        <f>IFERROR(__xludf.DUMMYFUNCTION("""COMPUTED_VALUE"""),"Renuka")</f>
        <v>Renuka</v>
      </c>
      <c r="C1327" s="2" t="str">
        <f>IFERROR(__xludf.DUMMYFUNCTION("""COMPUTED_VALUE"""),"Key Personnel")</f>
        <v>Key Personnel</v>
      </c>
      <c r="D1327" s="2" t="str">
        <f>IFERROR(__xludf.DUMMYFUNCTION("""COMPUTED_VALUE"""),"Powell")</f>
        <v>Powell</v>
      </c>
      <c r="E1327" s="2" t="str">
        <f>IFERROR(__xludf.DUMMYFUNCTION("""COMPUTED_VALUE"""),"Postdoc")</f>
        <v>Postdoc</v>
      </c>
      <c r="F1327" s="2" t="str">
        <f>IFERROR(__xludf.DUMMYFUNCTION("""COMPUTED_VALUE"""),"r.gupta@garvan.org.au")</f>
        <v>r.gupta@garvan.org.au</v>
      </c>
      <c r="G1327" s="2" t="str">
        <f>IFERROR(__xludf.DUMMYFUNCTION("""COMPUTED_VALUE"""),"0000-0002-5741-6555")</f>
        <v>0000-0002-5741-6555</v>
      </c>
    </row>
    <row r="1328">
      <c r="A1328" s="2" t="str">
        <f>IFERROR(__xludf.DUMMYFUNCTION("""COMPUTED_VALUE"""),"Krishna Sudhakar")</f>
        <v>Krishna Sudhakar</v>
      </c>
      <c r="B1328" s="2" t="str">
        <f>IFERROR(__xludf.DUMMYFUNCTION("""COMPUTED_VALUE"""),"Kavitha")</f>
        <v>Kavitha</v>
      </c>
      <c r="C1328" s="2" t="str">
        <f>IFERROR(__xludf.DUMMYFUNCTION("""COMPUTED_VALUE"""),"Key Personnel")</f>
        <v>Key Personnel</v>
      </c>
      <c r="D1328" s="2" t="str">
        <f>IFERROR(__xludf.DUMMYFUNCTION("""COMPUTED_VALUE"""),"Powell")</f>
        <v>Powell</v>
      </c>
      <c r="E1328" s="2" t="str">
        <f>IFERROR(__xludf.DUMMYFUNCTION("""COMPUTED_VALUE"""),"Postdoc")</f>
        <v>Postdoc</v>
      </c>
      <c r="F1328" s="2" t="str">
        <f>IFERROR(__xludf.DUMMYFUNCTION("""COMPUTED_VALUE"""),"k.krishnasudhakar@garvan.org.au")</f>
        <v>k.krishnasudhakar@garvan.org.au</v>
      </c>
      <c r="G1328" s="2" t="str">
        <f>IFERROR(__xludf.DUMMYFUNCTION("""COMPUTED_VALUE"""),"0000-0003-2883-0893")</f>
        <v>0000-0003-2883-0893</v>
      </c>
    </row>
    <row r="1329">
      <c r="A1329" s="2" t="str">
        <f>IFERROR(__xludf.DUMMYFUNCTION("""COMPUTED_VALUE"""),"")</f>
        <v></v>
      </c>
      <c r="B1329" s="2"/>
      <c r="C1329" s="2"/>
      <c r="D1329" s="2"/>
      <c r="E1329" s="2"/>
      <c r="F1329" s="2"/>
      <c r="G1329" s="2"/>
    </row>
    <row r="1330">
      <c r="A1330" s="2" t="str">
        <f>IFERROR(__xludf.DUMMYFUNCTION("""COMPUTED_VALUE"""),"")</f>
        <v></v>
      </c>
      <c r="B1330" s="2"/>
      <c r="C1330" s="2"/>
      <c r="D1330" s="2"/>
      <c r="E1330" s="2"/>
      <c r="F1330" s="2"/>
      <c r="G1330" s="2"/>
    </row>
    <row r="1331">
      <c r="A1331" s="2" t="str">
        <f>IFERROR(__xludf.DUMMYFUNCTION("""COMPUTED_VALUE"""),"")</f>
        <v></v>
      </c>
      <c r="B1331" s="2" t="str">
        <f>IFERROR(__xludf.DUMMYFUNCTION("""COMPUTED_VALUE"""),"Vittoria")</f>
        <v>Vittoria</v>
      </c>
      <c r="C1331" s="2" t="str">
        <f>IFERROR(__xludf.DUMMYFUNCTION("""COMPUTED_VALUE"""),"Key Personnel")</f>
        <v>Key Personnel</v>
      </c>
      <c r="D1331" s="2" t="str">
        <f>IFERROR(__xludf.DUMMYFUNCTION("""COMPUTED_VALUE"""),"Studer")</f>
        <v>Studer</v>
      </c>
      <c r="E1331" s="2" t="str">
        <f>IFERROR(__xludf.DUMMYFUNCTION("""COMPUTED_VALUE"""),"Postdoc")</f>
        <v>Postdoc</v>
      </c>
      <c r="F1331" s="2" t="str">
        <f>IFERROR(__xludf.DUMMYFUNCTION("""COMPUTED_VALUE"""),"bocchiv@mskcc.org")</f>
        <v>bocchiv@mskcc.org</v>
      </c>
      <c r="G1331" s="2" t="str">
        <f>IFERROR(__xludf.DUMMYFUNCTION("""COMPUTED_VALUE"""),"0000-0002-0541-0151")</f>
        <v>0000-0002-0541-0151</v>
      </c>
    </row>
    <row r="1332">
      <c r="A1332" s="2" t="str">
        <f>IFERROR(__xludf.DUMMYFUNCTION("""COMPUTED_VALUE"""),"Afroz")</f>
        <v>Afroz</v>
      </c>
      <c r="B1332" s="2" t="str">
        <f>IFERROR(__xludf.DUMMYFUNCTION("""COMPUTED_VALUE"""),"Jalwa")</f>
        <v>Jalwa</v>
      </c>
      <c r="C1332" s="2" t="str">
        <f>IFERROR(__xludf.DUMMYFUNCTION("""COMPUTED_VALUE"""),"Key Personnel")</f>
        <v>Key Personnel</v>
      </c>
      <c r="D1332" s="2" t="str">
        <f>IFERROR(__xludf.DUMMYFUNCTION("""COMPUTED_VALUE"""),"Studer")</f>
        <v>Studer</v>
      </c>
      <c r="E1332" s="2" t="str">
        <f>IFERROR(__xludf.DUMMYFUNCTION("""COMPUTED_VALUE"""),"Technician")</f>
        <v>Technician</v>
      </c>
      <c r="F1332" s="2" t="str">
        <f>IFERROR(__xludf.DUMMYFUNCTION("""COMPUTED_VALUE"""),"afrozj@mskcc.org")</f>
        <v>afrozj@mskcc.org</v>
      </c>
      <c r="G1332" s="2" t="str">
        <f>IFERROR(__xludf.DUMMYFUNCTION("""COMPUTED_VALUE"""),"0009-0007-5186-6401")</f>
        <v>0009-0007-5186-6401</v>
      </c>
    </row>
    <row r="1333">
      <c r="A1333" s="2" t="str">
        <f>IFERROR(__xludf.DUMMYFUNCTION("""COMPUTED_VALUE"""),"Jungverdorben")</f>
        <v>Jungverdorben</v>
      </c>
      <c r="B1333" s="2" t="str">
        <f>IFERROR(__xludf.DUMMYFUNCTION("""COMPUTED_VALUE"""),"Johannes")</f>
        <v>Johannes</v>
      </c>
      <c r="C1333" s="2" t="str">
        <f>IFERROR(__xludf.DUMMYFUNCTION("""COMPUTED_VALUE"""),"Project Manager")</f>
        <v>Project Manager</v>
      </c>
      <c r="D1333" s="2" t="str">
        <f>IFERROR(__xludf.DUMMYFUNCTION("""COMPUTED_VALUE"""),"Studer")</f>
        <v>Studer</v>
      </c>
      <c r="E1333" s="2" t="str">
        <f>IFERROR(__xludf.DUMMYFUNCTION("""COMPUTED_VALUE"""),"Project Manager")</f>
        <v>Project Manager</v>
      </c>
      <c r="F1333" s="2" t="str">
        <f>IFERROR(__xludf.DUMMYFUNCTION("""COMPUTED_VALUE"""),"jungverj@mskcc.org")</f>
        <v>jungverj@mskcc.org</v>
      </c>
      <c r="G1333" s="2" t="str">
        <f>IFERROR(__xludf.DUMMYFUNCTION("""COMPUTED_VALUE"""),"0000-0002-7227-1139")</f>
        <v>0000-0002-7227-1139</v>
      </c>
    </row>
    <row r="1334">
      <c r="A1334" s="2" t="str">
        <f>IFERROR(__xludf.DUMMYFUNCTION("""COMPUTED_VALUE"""),"Saurat")</f>
        <v>Saurat</v>
      </c>
      <c r="B1334" s="2" t="str">
        <f>IFERROR(__xludf.DUMMYFUNCTION("""COMPUTED_VALUE"""),"Nathalie")</f>
        <v>Nathalie</v>
      </c>
      <c r="C1334" s="2" t="str">
        <f>IFERROR(__xludf.DUMMYFUNCTION("""COMPUTED_VALUE"""),"Key Personnel")</f>
        <v>Key Personnel</v>
      </c>
      <c r="D1334" s="2" t="str">
        <f>IFERROR(__xludf.DUMMYFUNCTION("""COMPUTED_VALUE"""),"Studer ")</f>
        <v>Studer </v>
      </c>
      <c r="E1334" s="2" t="str">
        <f>IFERROR(__xludf.DUMMYFUNCTION("""COMPUTED_VALUE"""),"Postdoc")</f>
        <v>Postdoc</v>
      </c>
      <c r="F1334" s="2" t="str">
        <f>IFERROR(__xludf.DUMMYFUNCTION("""COMPUTED_VALUE"""),"sauratn@mskcc.org")</f>
        <v>sauratn@mskcc.org</v>
      </c>
      <c r="G1334" s="2" t="str">
        <f>IFERROR(__xludf.DUMMYFUNCTION("""COMPUTED_VALUE"""),"0000-0002-6439-5166")</f>
        <v>0000-0002-6439-5166</v>
      </c>
    </row>
    <row r="1335">
      <c r="A1335" s="2" t="str">
        <f>IFERROR(__xludf.DUMMYFUNCTION("""COMPUTED_VALUE"""),"Zitnik")</f>
        <v>Zitnik</v>
      </c>
      <c r="B1335" s="2" t="str">
        <f>IFERROR(__xludf.DUMMYFUNCTION("""COMPUTED_VALUE"""),"Marinka")</f>
        <v>Marinka</v>
      </c>
      <c r="C1335" s="2" t="str">
        <f>IFERROR(__xludf.DUMMYFUNCTION("""COMPUTED_VALUE"""),"Collaborating PI")</f>
        <v>Collaborating PI</v>
      </c>
      <c r="D1335" s="2" t="str">
        <f>IFERROR(__xludf.DUMMYFUNCTION("""COMPUTED_VALUE"""),"Zitnik")</f>
        <v>Zitnik</v>
      </c>
      <c r="E1335" s="2"/>
      <c r="F1335" s="2" t="str">
        <f>IFERROR(__xludf.DUMMYFUNCTION("""COMPUTED_VALUE"""),"marinka@hms.harvard.edu")</f>
        <v>marinka@hms.harvard.edu</v>
      </c>
      <c r="G1335" s="2" t="str">
        <f>IFERROR(__xludf.DUMMYFUNCTION("""COMPUTED_VALUE"""),"0000-0001-8530-7228")</f>
        <v>0000-0001-8530-7228</v>
      </c>
    </row>
    <row r="1336">
      <c r="A1336" s="2" t="str">
        <f>IFERROR(__xludf.DUMMYFUNCTION("""COMPUTED_VALUE"""),"Giunchiglia")</f>
        <v>Giunchiglia</v>
      </c>
      <c r="B1336" s="2" t="str">
        <f>IFERROR(__xludf.DUMMYFUNCTION("""COMPUTED_VALUE"""),"Valentina")</f>
        <v>Valentina</v>
      </c>
      <c r="C1336" s="2" t="str">
        <f>IFERROR(__xludf.DUMMYFUNCTION("""COMPUTED_VALUE"""),"Key Personnel")</f>
        <v>Key Personnel</v>
      </c>
      <c r="D1336" s="2" t="str">
        <f>IFERROR(__xludf.DUMMYFUNCTION("""COMPUTED_VALUE"""),"Zitnik")</f>
        <v>Zitnik</v>
      </c>
      <c r="E1336" s="2" t="str">
        <f>IFERROR(__xludf.DUMMYFUNCTION("""COMPUTED_VALUE"""),"Graduate Student")</f>
        <v>Graduate Student</v>
      </c>
      <c r="F1336" s="2" t="str">
        <f>IFERROR(__xludf.DUMMYFUNCTION("""COMPUTED_VALUE"""),"v.giunchiglia20@imperial.ac.uk")</f>
        <v>v.giunchiglia20@imperial.ac.uk</v>
      </c>
      <c r="G1336" s="2" t="str">
        <f>IFERROR(__xludf.DUMMYFUNCTION("""COMPUTED_VALUE"""),"0000-0002-2165-7840")</f>
        <v>0000-0002-2165-7840</v>
      </c>
    </row>
    <row r="1337">
      <c r="A1337" s="2" t="str">
        <f>IFERROR(__xludf.DUMMYFUNCTION("""COMPUTED_VALUE"""),"Noori")</f>
        <v>Noori</v>
      </c>
      <c r="B1337" s="2" t="str">
        <f>IFERROR(__xludf.DUMMYFUNCTION("""COMPUTED_VALUE"""),"Ayush")</f>
        <v>Ayush</v>
      </c>
      <c r="C1337" s="2" t="str">
        <f>IFERROR(__xludf.DUMMYFUNCTION("""COMPUTED_VALUE"""),"Key Personnel")</f>
        <v>Key Personnel</v>
      </c>
      <c r="D1337" s="2" t="str">
        <f>IFERROR(__xludf.DUMMYFUNCTION("""COMPUTED_VALUE"""),"Zitnik")</f>
        <v>Zitnik</v>
      </c>
      <c r="E1337" s="2" t="str">
        <f>IFERROR(__xludf.DUMMYFUNCTION("""COMPUTED_VALUE"""),"Graduate Student")</f>
        <v>Graduate Student</v>
      </c>
      <c r="F1337" s="2" t="str">
        <f>IFERROR(__xludf.DUMMYFUNCTION("""COMPUTED_VALUE"""),"anoori@college.harvard.edu")</f>
        <v>anoori@college.harvard.edu</v>
      </c>
      <c r="G1337" s="2" t="str">
        <f>IFERROR(__xludf.DUMMYFUNCTION("""COMPUTED_VALUE"""),"0000-0003-1420-1236")</f>
        <v>0000-0003-1420-1236</v>
      </c>
    </row>
    <row r="1338">
      <c r="A1338" s="2" t="str">
        <f>IFERROR(__xludf.DUMMYFUNCTION("""COMPUTED_VALUE"""),"Studer")</f>
        <v>Studer</v>
      </c>
      <c r="B1338" s="2" t="str">
        <f>IFERROR(__xludf.DUMMYFUNCTION("""COMPUTED_VALUE"""),"Lorenz")</f>
        <v>Lorenz</v>
      </c>
      <c r="C1338" s="2" t="str">
        <f>IFERROR(__xludf.DUMMYFUNCTION("""COMPUTED_VALUE"""),"Lead PI")</f>
        <v>Lead PI</v>
      </c>
      <c r="D1338" s="2"/>
      <c r="E1338" s="2"/>
      <c r="F1338" s="2" t="str">
        <f>IFERROR(__xludf.DUMMYFUNCTION("""COMPUTED_VALUE"""),"studerl@mskcc.org")</f>
        <v>studerl@mskcc.org</v>
      </c>
      <c r="G1338" s="2" t="str">
        <f>IFERROR(__xludf.DUMMYFUNCTION("""COMPUTED_VALUE"""),"0000-0003-0741-7987")</f>
        <v>0000-0003-0741-7987</v>
      </c>
    </row>
    <row r="1339">
      <c r="A1339" s="2" t="str">
        <f>IFERROR(__xludf.DUMMYFUNCTION("""COMPUTED_VALUE"""),"Croft")</f>
        <v>Croft</v>
      </c>
      <c r="B1339" s="2" t="str">
        <f>IFERROR(__xludf.DUMMYFUNCTION("""COMPUTED_VALUE"""),"Gist")</f>
        <v>Gist</v>
      </c>
      <c r="C1339" s="2" t="str">
        <f>IFERROR(__xludf.DUMMYFUNCTION("""COMPUTED_VALUE"""),"Co-PI")</f>
        <v>Co-PI</v>
      </c>
      <c r="D1339" s="2"/>
      <c r="E1339" s="2"/>
      <c r="F1339" s="2" t="str">
        <f>IFERROR(__xludf.DUMMYFUNCTION("""COMPUTED_VALUE"""),"gcroft@nyscf.org")</f>
        <v>gcroft@nyscf.org</v>
      </c>
      <c r="G1339" s="2" t="str">
        <f>IFERROR(__xludf.DUMMYFUNCTION("""COMPUTED_VALUE"""),"0000-0002-9721-0148")</f>
        <v>0000-0002-9721-0148</v>
      </c>
    </row>
    <row r="1340">
      <c r="A1340" s="2" t="str">
        <f>IFERROR(__xludf.DUMMYFUNCTION("""COMPUTED_VALUE"""),"Khurana")</f>
        <v>Khurana</v>
      </c>
      <c r="B1340" s="2" t="str">
        <f>IFERROR(__xludf.DUMMYFUNCTION("""COMPUTED_VALUE"""),"Vikram ")</f>
        <v>Vikram </v>
      </c>
      <c r="C1340" s="2" t="str">
        <f>IFERROR(__xludf.DUMMYFUNCTION("""COMPUTED_VALUE"""),"Co-PI")</f>
        <v>Co-PI</v>
      </c>
      <c r="D1340" s="2"/>
      <c r="E1340" s="2"/>
      <c r="F1340" s="2" t="str">
        <f>IFERROR(__xludf.DUMMYFUNCTION("""COMPUTED_VALUE"""),"vkhurana@bwh.harvard.edu")</f>
        <v>vkhurana@bwh.harvard.edu</v>
      </c>
      <c r="G1340" s="2" t="str">
        <f>IFERROR(__xludf.DUMMYFUNCTION("""COMPUTED_VALUE"""),"0000-0002-4018-5527")</f>
        <v>0000-0002-4018-5527</v>
      </c>
    </row>
    <row r="1341">
      <c r="A1341" s="2" t="str">
        <f>IFERROR(__xludf.DUMMYFUNCTION("""COMPUTED_VALUE"""),"Powell")</f>
        <v>Powell</v>
      </c>
      <c r="B1341" s="2" t="str">
        <f>IFERROR(__xludf.DUMMYFUNCTION("""COMPUTED_VALUE"""),"Joseph ")</f>
        <v>Joseph </v>
      </c>
      <c r="C1341" s="2" t="str">
        <f>IFERROR(__xludf.DUMMYFUNCTION("""COMPUTED_VALUE"""),"Co-PI")</f>
        <v>Co-PI</v>
      </c>
      <c r="D1341" s="2"/>
      <c r="E1341" s="2"/>
      <c r="F1341" s="2" t="str">
        <f>IFERROR(__xludf.DUMMYFUNCTION("""COMPUTED_VALUE"""),"j.powell@garvan.org.au")</f>
        <v>j.powell@garvan.org.au</v>
      </c>
      <c r="G1341" s="2" t="str">
        <f>IFERROR(__xludf.DUMMYFUNCTION("""COMPUTED_VALUE"""),"0000-0001-9031-6356")</f>
        <v>0000-0001-9031-6356</v>
      </c>
    </row>
    <row r="1342">
      <c r="A1342" s="2" t="str">
        <f>IFERROR(__xludf.DUMMYFUNCTION("""COMPUTED_VALUE"""),"Lin")</f>
        <v>Lin</v>
      </c>
      <c r="B1342" s="2" t="str">
        <f>IFERROR(__xludf.DUMMYFUNCTION("""COMPUTED_VALUE"""),"Xiang")</f>
        <v>Xiang</v>
      </c>
      <c r="C1342" s="2" t="str">
        <f>IFERROR(__xludf.DUMMYFUNCTION("""COMPUTED_VALUE"""),"Key Personnel")</f>
        <v>Key Personnel</v>
      </c>
      <c r="D1342" s="2" t="str">
        <f>IFERROR(__xludf.DUMMYFUNCTION("""COMPUTED_VALUE"""),"Zitnik")</f>
        <v>Zitnik</v>
      </c>
      <c r="E1342" s="2"/>
      <c r="F1342" s="2" t="str">
        <f>IFERROR(__xludf.DUMMYFUNCTION("""COMPUTED_VALUE"""),"Xiang_Lin@hms.harvard.edu")</f>
        <v>Xiang_Lin@hms.harvard.edu</v>
      </c>
      <c r="G1342" s="2" t="str">
        <f>IFERROR(__xludf.DUMMYFUNCTION("""COMPUTED_VALUE"""),"0000-0002-7634-5780")</f>
        <v>0000-0002-7634-5780</v>
      </c>
    </row>
    <row r="1343">
      <c r="A1343" s="2" t="str">
        <f>IFERROR(__xludf.DUMMYFUNCTION("""COMPUTED_VALUE"""),"Huang")</f>
        <v>Huang</v>
      </c>
      <c r="B1343" s="2" t="str">
        <f>IFERROR(__xludf.DUMMYFUNCTION("""COMPUTED_VALUE"""),"Yepeng")</f>
        <v>Yepeng</v>
      </c>
      <c r="C1343" s="2" t="str">
        <f>IFERROR(__xludf.DUMMYFUNCTION("""COMPUTED_VALUE"""),"Key Personnel")</f>
        <v>Key Personnel</v>
      </c>
      <c r="D1343" s="2" t="str">
        <f>IFERROR(__xludf.DUMMYFUNCTION("""COMPUTED_VALUE"""),"Zitnik")</f>
        <v>Zitnik</v>
      </c>
      <c r="E1343" s="2"/>
      <c r="F1343" s="2" t="str">
        <f>IFERROR(__xludf.DUMMYFUNCTION("""COMPUTED_VALUE"""),"yepeng@fas.harvard.edu")</f>
        <v>yepeng@fas.harvard.edu</v>
      </c>
      <c r="G1343" s="2" t="str">
        <f>IFERROR(__xludf.DUMMYFUNCTION("""COMPUTED_VALUE"""),"0009-0001-5007-4548")</f>
        <v>0009-0001-5007-4548</v>
      </c>
    </row>
    <row r="1344">
      <c r="A1344" s="2" t="str">
        <f>IFERROR(__xludf.DUMMYFUNCTION("""COMPUTED_VALUE"""),"Li")</f>
        <v>Li</v>
      </c>
      <c r="B1344" s="2" t="str">
        <f>IFERROR(__xludf.DUMMYFUNCTION("""COMPUTED_VALUE"""),"Michelle")</f>
        <v>Michelle</v>
      </c>
      <c r="C1344" s="2" t="str">
        <f>IFERROR(__xludf.DUMMYFUNCTION("""COMPUTED_VALUE"""),"Key Personnel")</f>
        <v>Key Personnel</v>
      </c>
      <c r="D1344" s="2" t="str">
        <f>IFERROR(__xludf.DUMMYFUNCTION("""COMPUTED_VALUE"""),"Zitnik")</f>
        <v>Zitnik</v>
      </c>
      <c r="E1344" s="2"/>
      <c r="F1344" s="2" t="str">
        <f>IFERROR(__xludf.DUMMYFUNCTION("""COMPUTED_VALUE"""),"michelleli@g.harvard.edu")</f>
        <v>michelleli@g.harvard.edu</v>
      </c>
      <c r="G1344" s="2" t="str">
        <f>IFERROR(__xludf.DUMMYFUNCTION("""COMPUTED_VALUE"""),"0000-0003-0223-7485")</f>
        <v>0000-0003-0223-7485</v>
      </c>
    </row>
    <row r="1345">
      <c r="A1345" s="2" t="str">
        <f>IFERROR(__xludf.DUMMYFUNCTION("""COMPUTED_VALUE"""),"Mehta")</f>
        <v>Mehta</v>
      </c>
      <c r="B1345" s="2" t="str">
        <f>IFERROR(__xludf.DUMMYFUNCTION("""COMPUTED_VALUE"""),"Ashish")</f>
        <v>Ashish</v>
      </c>
      <c r="C1345" s="2" t="str">
        <f>IFERROR(__xludf.DUMMYFUNCTION("""COMPUTED_VALUE"""),"Key Personnel")</f>
        <v>Key Personnel</v>
      </c>
      <c r="D1345" s="2" t="str">
        <f>IFERROR(__xludf.DUMMYFUNCTION("""COMPUTED_VALUE"""),"Powell")</f>
        <v>Powell</v>
      </c>
      <c r="E1345" s="2"/>
      <c r="F1345" s="2" t="str">
        <f>IFERROR(__xludf.DUMMYFUNCTION("""COMPUTED_VALUE"""),"a.mehta@garvan.org.au")</f>
        <v>a.mehta@garvan.org.au</v>
      </c>
      <c r="G1345" s="2" t="str">
        <f>IFERROR(__xludf.DUMMYFUNCTION("""COMPUTED_VALUE"""),"0000-0002-0187-4477")</f>
        <v>0000-0002-0187-4477</v>
      </c>
    </row>
    <row r="1346">
      <c r="A1346" s="2" t="str">
        <f>IFERROR(__xludf.DUMMYFUNCTION("""COMPUTED_VALUE"""),"Wichmann")</f>
        <v>Wichmann</v>
      </c>
      <c r="B1346" s="2" t="str">
        <f>IFERROR(__xludf.DUMMYFUNCTION("""COMPUTED_VALUE"""),"Thomas")</f>
        <v>Thomas</v>
      </c>
      <c r="C1346" s="2" t="str">
        <f>IFERROR(__xludf.DUMMYFUNCTION("""COMPUTED_VALUE"""),"Lead-PI")</f>
        <v>Lead-PI</v>
      </c>
      <c r="D1346" s="2" t="str">
        <f>IFERROR(__xludf.DUMMYFUNCTION("""COMPUTED_VALUE"""),"Wichmann")</f>
        <v>Wichmann</v>
      </c>
      <c r="E1346" s="2"/>
      <c r="F1346" s="2" t="str">
        <f>IFERROR(__xludf.DUMMYFUNCTION("""COMPUTED_VALUE"""),"twichma@emory.edu")</f>
        <v>twichma@emory.edu</v>
      </c>
      <c r="G1346" s="2" t="str">
        <f>IFERROR(__xludf.DUMMYFUNCTION("""COMPUTED_VALUE"""),"0000-0002-2751-9545")</f>
        <v>0000-0002-2751-9545</v>
      </c>
    </row>
    <row r="1347">
      <c r="A1347" s="2" t="str">
        <f>IFERROR(__xludf.DUMMYFUNCTION("""COMPUTED_VALUE"""),"Chu")</f>
        <v>Chu</v>
      </c>
      <c r="B1347" s="2" t="str">
        <f>IFERROR(__xludf.DUMMYFUNCTION("""COMPUTED_VALUE"""),"Hong-Yuan")</f>
        <v>Hong-Yuan</v>
      </c>
      <c r="C1347" s="2" t="str">
        <f>IFERROR(__xludf.DUMMYFUNCTION("""COMPUTED_VALUE"""),"Co-PI")</f>
        <v>Co-PI</v>
      </c>
      <c r="D1347" s="2" t="str">
        <f>IFERROR(__xludf.DUMMYFUNCTION("""COMPUTED_VALUE"""),"Chu")</f>
        <v>Chu</v>
      </c>
      <c r="E1347" s="2"/>
      <c r="F1347" s="2" t="str">
        <f>IFERROR(__xludf.DUMMYFUNCTION("""COMPUTED_VALUE"""),"hc948@georgetown.edu")</f>
        <v>hc948@georgetown.edu</v>
      </c>
      <c r="G1347" s="2" t="str">
        <f>IFERROR(__xludf.DUMMYFUNCTION("""COMPUTED_VALUE"""),"0000-0003-0923-683X")</f>
        <v>0000-0003-0923-683X</v>
      </c>
    </row>
    <row r="1348">
      <c r="A1348" s="2" t="str">
        <f>IFERROR(__xludf.DUMMYFUNCTION("""COMPUTED_VALUE"""),"Galvan")</f>
        <v>Galvan</v>
      </c>
      <c r="B1348" s="2" t="str">
        <f>IFERROR(__xludf.DUMMYFUNCTION("""COMPUTED_VALUE"""),"Adriana")</f>
        <v>Adriana</v>
      </c>
      <c r="C1348" s="2" t="str">
        <f>IFERROR(__xludf.DUMMYFUNCTION("""COMPUTED_VALUE"""),"Co-PI")</f>
        <v>Co-PI</v>
      </c>
      <c r="D1348" s="2" t="str">
        <f>IFERROR(__xludf.DUMMYFUNCTION("""COMPUTED_VALUE"""),"Galvan")</f>
        <v>Galvan</v>
      </c>
      <c r="E1348" s="2"/>
      <c r="F1348" s="2" t="str">
        <f>IFERROR(__xludf.DUMMYFUNCTION("""COMPUTED_VALUE"""),"agalvan@emory.edu")</f>
        <v>agalvan@emory.edu</v>
      </c>
      <c r="G1348" s="2" t="str">
        <f>IFERROR(__xludf.DUMMYFUNCTION("""COMPUTED_VALUE"""),"0000-0001-9939-0130")</f>
        <v>0000-0001-9939-0130</v>
      </c>
    </row>
    <row r="1349">
      <c r="A1349" s="2" t="str">
        <f>IFERROR(__xludf.DUMMYFUNCTION("""COMPUTED_VALUE"""),"Smith")</f>
        <v>Smith</v>
      </c>
      <c r="B1349" s="2" t="str">
        <f>IFERROR(__xludf.DUMMYFUNCTION("""COMPUTED_VALUE"""),"Yoland")</f>
        <v>Yoland</v>
      </c>
      <c r="C1349" s="2" t="str">
        <f>IFERROR(__xludf.DUMMYFUNCTION("""COMPUTED_VALUE"""),"Co-PI")</f>
        <v>Co-PI</v>
      </c>
      <c r="D1349" s="2" t="str">
        <f>IFERROR(__xludf.DUMMYFUNCTION("""COMPUTED_VALUE"""),"Smith")</f>
        <v>Smith</v>
      </c>
      <c r="E1349" s="2"/>
      <c r="F1349" s="2" t="str">
        <f>IFERROR(__xludf.DUMMYFUNCTION("""COMPUTED_VALUE"""),"ysmit01@emory.edu")</f>
        <v>ysmit01@emory.edu</v>
      </c>
      <c r="G1349" s="2" t="str">
        <f>IFERROR(__xludf.DUMMYFUNCTION("""COMPUTED_VALUE"""),"0000-0002-8700-878X")</f>
        <v>0000-0002-8700-878X</v>
      </c>
    </row>
    <row r="1350">
      <c r="A1350" s="2" t="str">
        <f>IFERROR(__xludf.DUMMYFUNCTION("""COMPUTED_VALUE"""),"Holbrook")</f>
        <v>Holbrook</v>
      </c>
      <c r="B1350" s="2" t="str">
        <f>IFERROR(__xludf.DUMMYFUNCTION("""COMPUTED_VALUE"""),"Christina")</f>
        <v>Christina</v>
      </c>
      <c r="C1350" s="2" t="str">
        <f>IFERROR(__xludf.DUMMYFUNCTION("""COMPUTED_VALUE"""),"Key Personnel")</f>
        <v>Key Personnel</v>
      </c>
      <c r="D1350" s="2"/>
      <c r="E1350" s="2"/>
      <c r="F1350" s="2" t="str">
        <f>IFERROR(__xludf.DUMMYFUNCTION("""COMPUTED_VALUE"""),"christina.marie.holbrook@emory.edu")</f>
        <v>christina.marie.holbrook@emory.edu</v>
      </c>
      <c r="G1350" s="2" t="str">
        <f>IFERROR(__xludf.DUMMYFUNCTION("""COMPUTED_VALUE"""),"0000-0001-9958-5624")</f>
        <v>0000-0001-9958-5624</v>
      </c>
    </row>
    <row r="1351">
      <c r="A1351" s="2" t="str">
        <f>IFERROR(__xludf.DUMMYFUNCTION("""COMPUTED_VALUE"""),"Nassi")</f>
        <v>Nassi</v>
      </c>
      <c r="B1351" s="2" t="str">
        <f>IFERROR(__xludf.DUMMYFUNCTION("""COMPUTED_VALUE"""),"Jonathan")</f>
        <v>Jonathan</v>
      </c>
      <c r="C1351" s="2" t="str">
        <f>IFERROR(__xludf.DUMMYFUNCTION("""COMPUTED_VALUE"""),"Key Personnel")</f>
        <v>Key Personnel</v>
      </c>
      <c r="D1351" s="2" t="str">
        <f>IFERROR(__xludf.DUMMYFUNCTION("""COMPUTED_VALUE"""),"Inscopix")</f>
        <v>Inscopix</v>
      </c>
      <c r="E1351" s="2"/>
      <c r="F1351" s="2" t="str">
        <f>IFERROR(__xludf.DUMMYFUNCTION("""COMPUTED_VALUE"""),"jnassi@inscopix.com")</f>
        <v>jnassi@inscopix.com</v>
      </c>
      <c r="G1351" s="2" t="str">
        <f>IFERROR(__xludf.DUMMYFUNCTION("""COMPUTED_VALUE"""),"0000-0002-3144-3846")</f>
        <v>0000-0002-3144-3846</v>
      </c>
    </row>
    <row r="1352">
      <c r="A1352" s="2" t="str">
        <f>IFERROR(__xludf.DUMMYFUNCTION("""COMPUTED_VALUE"""),"Devergnas")</f>
        <v>Devergnas</v>
      </c>
      <c r="B1352" s="2" t="str">
        <f>IFERROR(__xludf.DUMMYFUNCTION("""COMPUTED_VALUE"""),"Annaelle ")</f>
        <v>Annaelle </v>
      </c>
      <c r="C1352" s="2" t="str">
        <f>IFERROR(__xludf.DUMMYFUNCTION("""COMPUTED_VALUE"""),"Collaborating PI")</f>
        <v>Collaborating PI</v>
      </c>
      <c r="D1352" s="2" t="str">
        <f>IFERROR(__xludf.DUMMYFUNCTION("""COMPUTED_VALUE"""),"Devergnas")</f>
        <v>Devergnas</v>
      </c>
      <c r="E1352" s="2"/>
      <c r="F1352" s="2" t="str">
        <f>IFERROR(__xludf.DUMMYFUNCTION("""COMPUTED_VALUE"""),"adeverg@emory.edu")</f>
        <v>adeverg@emory.edu</v>
      </c>
      <c r="G1352" s="2" t="str">
        <f>IFERROR(__xludf.DUMMYFUNCTION("""COMPUTED_VALUE"""),"0000-0002-0461-6422")</f>
        <v>0000-0002-0461-6422</v>
      </c>
    </row>
    <row r="1353">
      <c r="A1353" s="2" t="str">
        <f>IFERROR(__xludf.DUMMYFUNCTION("""COMPUTED_VALUE"""),"Martel")</f>
        <v>Martel</v>
      </c>
      <c r="B1353" s="2" t="str">
        <f>IFERROR(__xludf.DUMMYFUNCTION("""COMPUTED_VALUE"""),"Anne-Caroline")</f>
        <v>Anne-Caroline</v>
      </c>
      <c r="C1353" s="2" t="str">
        <f>IFERROR(__xludf.DUMMYFUNCTION("""COMPUTED_VALUE"""),"Key Personnel")</f>
        <v>Key Personnel</v>
      </c>
      <c r="D1353" s="2" t="str">
        <f>IFERROR(__xludf.DUMMYFUNCTION("""COMPUTED_VALUE"""),"Galvan")</f>
        <v>Galvan</v>
      </c>
      <c r="E1353" s="2"/>
      <c r="F1353" s="2" t="str">
        <f>IFERROR(__xludf.DUMMYFUNCTION("""COMPUTED_VALUE"""),"AMARTE4@emory.edu")</f>
        <v>AMARTE4@emory.edu</v>
      </c>
      <c r="G1353" s="2" t="str">
        <f>IFERROR(__xludf.DUMMYFUNCTION("""COMPUTED_VALUE"""),"0000-0001-6590-0323")</f>
        <v>0000-0001-6590-0323</v>
      </c>
    </row>
    <row r="1354">
      <c r="A1354" s="2" t="str">
        <f>IFERROR(__xludf.DUMMYFUNCTION("""COMPUTED_VALUE"""),"Lytton")</f>
        <v>Lytton</v>
      </c>
      <c r="B1354" s="2" t="str">
        <f>IFERROR(__xludf.DUMMYFUNCTION("""COMPUTED_VALUE"""),"Bill")</f>
        <v>Bill</v>
      </c>
      <c r="C1354" s="2" t="str">
        <f>IFERROR(__xludf.DUMMYFUNCTION("""COMPUTED_VALUE"""),"Collaborating PI")</f>
        <v>Collaborating PI</v>
      </c>
      <c r="D1354" s="2" t="str">
        <f>IFERROR(__xludf.DUMMYFUNCTION("""COMPUTED_VALUE"""),"Lytton")</f>
        <v>Lytton</v>
      </c>
      <c r="E1354" s="2"/>
      <c r="F1354" s="2" t="str">
        <f>IFERROR(__xludf.DUMMYFUNCTION("""COMPUTED_VALUE"""),"billl@neurosim.downstate.edu")</f>
        <v>billl@neurosim.downstate.edu</v>
      </c>
      <c r="G1354" s="2" t="str">
        <f>IFERROR(__xludf.DUMMYFUNCTION("""COMPUTED_VALUE"""),"0000-0002-4973-6225")</f>
        <v>0000-0002-4973-6225</v>
      </c>
    </row>
    <row r="1355">
      <c r="A1355" s="2" t="str">
        <f>IFERROR(__xludf.DUMMYFUNCTION("""COMPUTED_VALUE"""),"Doherty")</f>
        <v>Doherty</v>
      </c>
      <c r="B1355" s="2" t="str">
        <f>IFERROR(__xludf.DUMMYFUNCTION("""COMPUTED_VALUE"""),"Don")</f>
        <v>Don</v>
      </c>
      <c r="C1355" s="2" t="str">
        <f>IFERROR(__xludf.DUMMYFUNCTION("""COMPUTED_VALUE"""),"Key Personnel")</f>
        <v>Key Personnel</v>
      </c>
      <c r="D1355" s="2" t="str">
        <f>IFERROR(__xludf.DUMMYFUNCTION("""COMPUTED_VALUE"""),"Smith")</f>
        <v>Smith</v>
      </c>
      <c r="E1355" s="2"/>
      <c r="F1355" s="2" t="str">
        <f>IFERROR(__xludf.DUMMYFUNCTION("""COMPUTED_VALUE"""),"donald.doherty@neurosim.downstate.edu")</f>
        <v>donald.doherty@neurosim.downstate.edu</v>
      </c>
      <c r="G1355" s="2" t="str">
        <f>IFERROR(__xludf.DUMMYFUNCTION("""COMPUTED_VALUE"""),"0000-0002-4973-6225")</f>
        <v>0000-0002-4973-6225</v>
      </c>
    </row>
    <row r="1356">
      <c r="A1356" s="2" t="str">
        <f>IFERROR(__xludf.DUMMYFUNCTION("""COMPUTED_VALUE"""),"Villalba")</f>
        <v>Villalba</v>
      </c>
      <c r="B1356" s="2" t="str">
        <f>IFERROR(__xludf.DUMMYFUNCTION("""COMPUTED_VALUE"""),"Rosa")</f>
        <v>Rosa</v>
      </c>
      <c r="C1356" s="2" t="str">
        <f>IFERROR(__xludf.DUMMYFUNCTION("""COMPUTED_VALUE"""),"Key Personnel")</f>
        <v>Key Personnel</v>
      </c>
      <c r="D1356" s="2" t="str">
        <f>IFERROR(__xludf.DUMMYFUNCTION("""COMPUTED_VALUE"""),"Smith")</f>
        <v>Smith</v>
      </c>
      <c r="E1356" s="2"/>
      <c r="F1356" s="2" t="str">
        <f>IFERROR(__xludf.DUMMYFUNCTION("""COMPUTED_VALUE"""),"rvillal@emory.edu")</f>
        <v>rvillal@emory.edu</v>
      </c>
      <c r="G1356" s="2" t="str">
        <f>IFERROR(__xludf.DUMMYFUNCTION("""COMPUTED_VALUE"""),"0000-0001-6156-3606")</f>
        <v>0000-0001-6156-3606</v>
      </c>
    </row>
    <row r="1357">
      <c r="A1357" s="2" t="str">
        <f>IFERROR(__xludf.DUMMYFUNCTION("""COMPUTED_VALUE"""),"Masilamoni")</f>
        <v>Masilamoni</v>
      </c>
      <c r="B1357" s="2" t="str">
        <f>IFERROR(__xludf.DUMMYFUNCTION("""COMPUTED_VALUE"""),"Gunasingh ")</f>
        <v>Gunasingh </v>
      </c>
      <c r="C1357" s="2" t="str">
        <f>IFERROR(__xludf.DUMMYFUNCTION("""COMPUTED_VALUE"""),"Key Personnel")</f>
        <v>Key Personnel</v>
      </c>
      <c r="D1357" s="2" t="str">
        <f>IFERROR(__xludf.DUMMYFUNCTION("""COMPUTED_VALUE"""),"Smith")</f>
        <v>Smith</v>
      </c>
      <c r="E1357" s="2"/>
      <c r="F1357" s="2" t="str">
        <f>IFERROR(__xludf.DUMMYFUNCTION("""COMPUTED_VALUE"""),"gjeyara@emory.edu")</f>
        <v>gjeyara@emory.edu</v>
      </c>
      <c r="G1357" s="2" t="str">
        <f>IFERROR(__xludf.DUMMYFUNCTION("""COMPUTED_VALUE"""),"0000-0003-2813-1195")</f>
        <v>0000-0003-2813-1195</v>
      </c>
    </row>
    <row r="1358">
      <c r="A1358" s="2" t="str">
        <f>IFERROR(__xludf.DUMMYFUNCTION("""COMPUTED_VALUE"""),"Jean-Francois")</f>
        <v>Jean-Francois</v>
      </c>
      <c r="B1358" s="2" t="str">
        <f>IFERROR(__xludf.DUMMYFUNCTION("""COMPUTED_VALUE"""),"Pare")</f>
        <v>Pare</v>
      </c>
      <c r="C1358" s="2" t="str">
        <f>IFERROR(__xludf.DUMMYFUNCTION("""COMPUTED_VALUE"""),"Key Personnel")</f>
        <v>Key Personnel</v>
      </c>
      <c r="D1358" s="2" t="str">
        <f>IFERROR(__xludf.DUMMYFUNCTION("""COMPUTED_VALUE"""),"Smith")</f>
        <v>Smith</v>
      </c>
      <c r="E1358" s="2"/>
      <c r="F1358" s="2" t="str">
        <f>IFERROR(__xludf.DUMMYFUNCTION("""COMPUTED_VALUE"""),"jpare@emory.edu")</f>
        <v>jpare@emory.edu</v>
      </c>
      <c r="G1358" s="2" t="str">
        <f>IFERROR(__xludf.DUMMYFUNCTION("""COMPUTED_VALUE"""),"0000-0003-4147-7967")</f>
        <v>0000-0003-4147-7967</v>
      </c>
    </row>
    <row r="1359">
      <c r="A1359" s="2" t="str">
        <f>IFERROR(__xludf.DUMMYFUNCTION("""COMPUTED_VALUE"""),"Risk")</f>
        <v>Risk</v>
      </c>
      <c r="B1359" s="2" t="str">
        <f>IFERROR(__xludf.DUMMYFUNCTION("""COMPUTED_VALUE"""),"Benjamin")</f>
        <v>Benjamin</v>
      </c>
      <c r="C1359" s="2" t="str">
        <f>IFERROR(__xludf.DUMMYFUNCTION("""COMPUTED_VALUE"""),"Collaborating PI")</f>
        <v>Collaborating PI</v>
      </c>
      <c r="D1359" s="2" t="str">
        <f>IFERROR(__xludf.DUMMYFUNCTION("""COMPUTED_VALUE"""),"Risk")</f>
        <v>Risk</v>
      </c>
      <c r="E1359" s="2"/>
      <c r="F1359" s="2" t="str">
        <f>IFERROR(__xludf.DUMMYFUNCTION("""COMPUTED_VALUE"""),"benjamin.risk@emory.edu")</f>
        <v>benjamin.risk@emory.edu</v>
      </c>
      <c r="G1359" s="2" t="str">
        <f>IFERROR(__xludf.DUMMYFUNCTION("""COMPUTED_VALUE"""),"0000-0003-1090-0777")</f>
        <v>0000-0003-1090-0777</v>
      </c>
    </row>
    <row r="1360">
      <c r="A1360" s="2" t="str">
        <f>IFERROR(__xludf.DUMMYFUNCTION("""COMPUTED_VALUE"""),"Agniswamy")</f>
        <v>Agniswamy</v>
      </c>
      <c r="B1360" s="2" t="str">
        <f>IFERROR(__xludf.DUMMYFUNCTION("""COMPUTED_VALUE"""),"Johnson")</f>
        <v>Johnson</v>
      </c>
      <c r="C1360" s="2" t="str">
        <f>IFERROR(__xludf.DUMMYFUNCTION("""COMPUTED_VALUE"""),"Project Manager")</f>
        <v>Project Manager</v>
      </c>
      <c r="D1360" s="2" t="str">
        <f>IFERROR(__xludf.DUMMYFUNCTION("""COMPUTED_VALUE"""),"Wichmann")</f>
        <v>Wichmann</v>
      </c>
      <c r="E1360" s="2"/>
      <c r="F1360" s="2" t="str">
        <f>IFERROR(__xludf.DUMMYFUNCTION("""COMPUTED_VALUE"""),"johnson.agniswamy@emory.edu")</f>
        <v>johnson.agniswamy@emory.edu</v>
      </c>
      <c r="G1360" s="2" t="str">
        <f>IFERROR(__xludf.DUMMYFUNCTION("""COMPUTED_VALUE"""),"0000-0002-3053-5677")</f>
        <v>0000-0002-3053-5677</v>
      </c>
    </row>
    <row r="1361">
      <c r="A1361" s="2" t="str">
        <f>IFERROR(__xludf.DUMMYFUNCTION("""COMPUTED_VALUE"""),"Chen")</f>
        <v>Chen</v>
      </c>
      <c r="B1361" s="2" t="str">
        <f>IFERROR(__xludf.DUMMYFUNCTION("""COMPUTED_VALUE"""),"Liqiang")</f>
        <v>Liqiang</v>
      </c>
      <c r="C1361" s="2" t="str">
        <f>IFERROR(__xludf.DUMMYFUNCTION("""COMPUTED_VALUE"""),"Key Personnel")</f>
        <v>Key Personnel</v>
      </c>
      <c r="D1361" s="2" t="str">
        <f>IFERROR(__xludf.DUMMYFUNCTION("""COMPUTED_VALUE"""),"Hong-Yuan")</f>
        <v>Hong-Yuan</v>
      </c>
      <c r="E1361" s="2" t="str">
        <f>IFERROR(__xludf.DUMMYFUNCTION("""COMPUTED_VALUE"""),"postdoc")</f>
        <v>postdoc</v>
      </c>
      <c r="F1361" s="2" t="str">
        <f>IFERROR(__xludf.DUMMYFUNCTION("""COMPUTED_VALUE"""),"lc1374@georgetown.edu")</f>
        <v>lc1374@georgetown.edu</v>
      </c>
      <c r="G1361" s="2" t="str">
        <f>IFERROR(__xludf.DUMMYFUNCTION("""COMPUTED_VALUE"""),"0000-0003-3236-1129")</f>
        <v>0000-0003-3236-1129</v>
      </c>
    </row>
    <row r="1362">
      <c r="A1362" s="2" t="str">
        <f>IFERROR(__xludf.DUMMYFUNCTION("""COMPUTED_VALUE"""),"Chehade")</f>
        <v>Chehade</v>
      </c>
      <c r="B1362" s="2" t="str">
        <f>IFERROR(__xludf.DUMMYFUNCTION("""COMPUTED_VALUE"""),"Hiba Douja")</f>
        <v>Hiba Douja</v>
      </c>
      <c r="C1362" s="2" t="str">
        <f>IFERROR(__xludf.DUMMYFUNCTION("""COMPUTED_VALUE"""),"Key Personnel")</f>
        <v>Key Personnel</v>
      </c>
      <c r="D1362" s="2" t="str">
        <f>IFERROR(__xludf.DUMMYFUNCTION("""COMPUTED_VALUE"""),"Hong-Yuan")</f>
        <v>Hong-Yuan</v>
      </c>
      <c r="E1362" s="2" t="str">
        <f>IFERROR(__xludf.DUMMYFUNCTION("""COMPUTED_VALUE"""),"postdoc")</f>
        <v>postdoc</v>
      </c>
      <c r="F1362" s="2" t="str">
        <f>IFERROR(__xludf.DUMMYFUNCTION("""COMPUTED_VALUE"""),"hc960@georgetown.edu")</f>
        <v>hc960@georgetown.edu</v>
      </c>
      <c r="G1362" s="2" t="str">
        <f>IFERROR(__xludf.DUMMYFUNCTION("""COMPUTED_VALUE"""),"0000-0002-5959-7900")</f>
        <v>0000-0002-5959-7900</v>
      </c>
    </row>
    <row r="1363">
      <c r="A1363" s="2" t="str">
        <f>IFERROR(__xludf.DUMMYFUNCTION("""COMPUTED_VALUE"""),"Berezhnoi")</f>
        <v>Berezhnoi</v>
      </c>
      <c r="B1363" s="2" t="str">
        <f>IFERROR(__xludf.DUMMYFUNCTION("""COMPUTED_VALUE"""),"Daniil")</f>
        <v>Daniil</v>
      </c>
      <c r="C1363" s="2" t="str">
        <f>IFERROR(__xludf.DUMMYFUNCTION("""COMPUTED_VALUE"""),"Key Personnel")</f>
        <v>Key Personnel</v>
      </c>
      <c r="D1363" s="2" t="str">
        <f>IFERROR(__xludf.DUMMYFUNCTION("""COMPUTED_VALUE"""),"Hong-Yuan")</f>
        <v>Hong-Yuan</v>
      </c>
      <c r="E1363" s="2" t="str">
        <f>IFERROR(__xludf.DUMMYFUNCTION("""COMPUTED_VALUE"""),"Research Scientist")</f>
        <v>Research Scientist</v>
      </c>
      <c r="F1363" s="2" t="str">
        <f>IFERROR(__xludf.DUMMYFUNCTION("""COMPUTED_VALUE"""),"db1671@georgetown.edu")</f>
        <v>db1671@georgetown.edu</v>
      </c>
      <c r="G1363" s="2" t="str">
        <f>IFERROR(__xludf.DUMMYFUNCTION("""COMPUTED_VALUE"""),"0000-0001-7507-0589")</f>
        <v>0000-0001-7507-0589</v>
      </c>
    </row>
    <row r="1364">
      <c r="A1364" s="2" t="str">
        <f>IFERROR(__xludf.DUMMYFUNCTION("""COMPUTED_VALUE"""),"Pittard")</f>
        <v>Pittard</v>
      </c>
      <c r="B1364" s="2" t="str">
        <f>IFERROR(__xludf.DUMMYFUNCTION("""COMPUTED_VALUE"""),"Damien")</f>
        <v>Damien</v>
      </c>
      <c r="C1364" s="2" t="str">
        <f>IFERROR(__xludf.DUMMYFUNCTION("""COMPUTED_VALUE"""),"Key Personnel")</f>
        <v>Key Personnel</v>
      </c>
      <c r="D1364" s="2" t="str">
        <f>IFERROR(__xludf.DUMMYFUNCTION("""COMPUTED_VALUE"""),"Galvan")</f>
        <v>Galvan</v>
      </c>
      <c r="E1364" s="2" t="str">
        <f>IFERROR(__xludf.DUMMYFUNCTION("""COMPUTED_VALUE"""),"Research Specialist")</f>
        <v>Research Specialist</v>
      </c>
      <c r="F1364" s="2" t="str">
        <f>IFERROR(__xludf.DUMMYFUNCTION("""COMPUTED_VALUE"""),"dpittar@emory.edu")</f>
        <v>dpittar@emory.edu</v>
      </c>
      <c r="G1364" s="2" t="str">
        <f>IFERROR(__xludf.DUMMYFUNCTION("""COMPUTED_VALUE"""),"0000-0002-1169-8964")</f>
        <v>0000-0002-1169-8964</v>
      </c>
    </row>
    <row r="1365">
      <c r="A1365" s="2" t="str">
        <f>IFERROR(__xludf.DUMMYFUNCTION("""COMPUTED_VALUE"""),"Hu")</f>
        <v>Hu</v>
      </c>
      <c r="B1365" s="2" t="str">
        <f>IFERROR(__xludf.DUMMYFUNCTION("""COMPUTED_VALUE"""),"Xing")</f>
        <v>Xing</v>
      </c>
      <c r="C1365" s="2" t="str">
        <f>IFERROR(__xludf.DUMMYFUNCTION("""COMPUTED_VALUE"""),"Key Personnel")</f>
        <v>Key Personnel</v>
      </c>
      <c r="D1365" s="2" t="str">
        <f>IFERROR(__xludf.DUMMYFUNCTION("""COMPUTED_VALUE"""),"Smith")</f>
        <v>Smith</v>
      </c>
      <c r="E1365" s="2" t="str">
        <f>IFERROR(__xludf.DUMMYFUNCTION("""COMPUTED_VALUE"""),"Research Specialist")</f>
        <v>Research Specialist</v>
      </c>
      <c r="F1365" s="2" t="str">
        <f>IFERROR(__xludf.DUMMYFUNCTION("""COMPUTED_VALUE"""),"xhu5@emory.edu")</f>
        <v>xhu5@emory.edu</v>
      </c>
      <c r="G1365" s="2" t="str">
        <f>IFERROR(__xludf.DUMMYFUNCTION("""COMPUTED_VALUE"""),"0000-0002-4893-8626")</f>
        <v>0000-0002-4893-8626</v>
      </c>
    </row>
    <row r="1366">
      <c r="A1366" s="2" t="str">
        <f>IFERROR(__xludf.DUMMYFUNCTION("""COMPUTED_VALUE"""),"Downer")</f>
        <v>Downer</v>
      </c>
      <c r="B1366" s="2" t="str">
        <f>IFERROR(__xludf.DUMMYFUNCTION("""COMPUTED_VALUE"""),"Joshua")</f>
        <v>Joshua</v>
      </c>
      <c r="C1366" s="2" t="str">
        <f>IFERROR(__xludf.DUMMYFUNCTION("""COMPUTED_VALUE"""),"Key Personnel")</f>
        <v>Key Personnel</v>
      </c>
      <c r="D1366" s="2" t="str">
        <f>IFERROR(__xludf.DUMMYFUNCTION("""COMPUTED_VALUE"""),"Inscopix")</f>
        <v>Inscopix</v>
      </c>
      <c r="E1366" s="2" t="str">
        <f>IFERROR(__xludf.DUMMYFUNCTION("""COMPUTED_VALUE"""),"Research Scientist")</f>
        <v>Research Scientist</v>
      </c>
      <c r="F1366" s="2" t="str">
        <f>IFERROR(__xludf.DUMMYFUNCTION("""COMPUTED_VALUE"""),"jdowner@inscopix.com")</f>
        <v>jdowner@inscopix.com</v>
      </c>
      <c r="G1366" s="2" t="str">
        <f>IFERROR(__xludf.DUMMYFUNCTION("""COMPUTED_VALUE"""),"0000-0003-3817-6733")</f>
        <v>0000-0003-3817-6733</v>
      </c>
    </row>
    <row r="1367">
      <c r="A1367" s="2" t="str">
        <f>IFERROR(__xludf.DUMMYFUNCTION("""COMPUTED_VALUE"""),"Newton")</f>
        <v>Newton</v>
      </c>
      <c r="B1367" s="2" t="str">
        <f>IFERROR(__xludf.DUMMYFUNCTION("""COMPUTED_VALUE"""),"Adam")</f>
        <v>Adam</v>
      </c>
      <c r="C1367" s="2" t="str">
        <f>IFERROR(__xludf.DUMMYFUNCTION("""COMPUTED_VALUE"""),"Key Personnel")</f>
        <v>Key Personnel</v>
      </c>
      <c r="D1367" s="2" t="str">
        <f>IFERROR(__xludf.DUMMYFUNCTION("""COMPUTED_VALUE"""),"Lytton")</f>
        <v>Lytton</v>
      </c>
      <c r="E1367" s="2" t="str">
        <f>IFERROR(__xludf.DUMMYFUNCTION("""COMPUTED_VALUE"""),"Research Scientist")</f>
        <v>Research Scientist</v>
      </c>
      <c r="F1367" s="2" t="str">
        <f>IFERROR(__xludf.DUMMYFUNCTION("""COMPUTED_VALUE"""),"adam.newton@neurosim.downstate.edu")</f>
        <v>adam.newton@neurosim.downstate.edu</v>
      </c>
      <c r="G1367" s="2" t="str">
        <f>IFERROR(__xludf.DUMMYFUNCTION("""COMPUTED_VALUE"""),"0000-0002-4726-2644")</f>
        <v>0000-0002-4726-2644</v>
      </c>
    </row>
    <row r="1368">
      <c r="A1368" s="2" t="str">
        <f>IFERROR(__xludf.DUMMYFUNCTION("""COMPUTED_VALUE"""),"South Pham")</f>
        <v>South Pham</v>
      </c>
      <c r="B1368" s="2" t="str">
        <f>IFERROR(__xludf.DUMMYFUNCTION("""COMPUTED_VALUE"""),"Kelly")</f>
        <v>Kelly</v>
      </c>
      <c r="C1368" s="2" t="str">
        <f>IFERROR(__xludf.DUMMYFUNCTION("""COMPUTED_VALUE"""),"Key Personnel")</f>
        <v>Key Personnel</v>
      </c>
      <c r="D1368" s="2" t="str">
        <f>IFERROR(__xludf.DUMMYFUNCTION("""COMPUTED_VALUE"""),"Smith")</f>
        <v>Smith</v>
      </c>
      <c r="E1368" s="2" t="str">
        <f>IFERROR(__xludf.DUMMYFUNCTION("""COMPUTED_VALUE"""),"Grad Student")</f>
        <v>Grad Student</v>
      </c>
      <c r="F1368" s="2" t="str">
        <f>IFERROR(__xludf.DUMMYFUNCTION("""COMPUTED_VALUE"""),"kelly.south.pham@emory.edu")</f>
        <v>kelly.south.pham@emory.edu</v>
      </c>
      <c r="G1368" s="2" t="str">
        <f>IFERROR(__xludf.DUMMYFUNCTION("""COMPUTED_VALUE"""),"0000-0003-0261-8341")</f>
        <v>0000-0003-0261-8341</v>
      </c>
    </row>
    <row r="1369">
      <c r="A1369" s="2" t="str">
        <f>IFERROR(__xludf.DUMMYFUNCTION("""COMPUTED_VALUE"""),"Zhou")</f>
        <v>Zhou</v>
      </c>
      <c r="B1369" s="2" t="str">
        <f>IFERROR(__xludf.DUMMYFUNCTION("""COMPUTED_VALUE"""),"Wei")</f>
        <v>Wei</v>
      </c>
      <c r="C1369" s="2" t="str">
        <f>IFERROR(__xludf.DUMMYFUNCTION("""COMPUTED_VALUE"""),"Key Personnel")</f>
        <v>Key Personnel</v>
      </c>
      <c r="D1369" s="2" t="str">
        <f>IFERROR(__xludf.DUMMYFUNCTION("""COMPUTED_VALUE"""),"Hong-Yuan")</f>
        <v>Hong-Yuan</v>
      </c>
      <c r="E1369" s="2" t="str">
        <f>IFERROR(__xludf.DUMMYFUNCTION("""COMPUTED_VALUE"""),"postdoc")</f>
        <v>postdoc</v>
      </c>
      <c r="F1369" s="2" t="str">
        <f>IFERROR(__xludf.DUMMYFUNCTION("""COMPUTED_VALUE"""),"wz300@georgetown.edu")</f>
        <v>wz300@georgetown.edu</v>
      </c>
      <c r="G1369" s="2" t="str">
        <f>IFERROR(__xludf.DUMMYFUNCTION("""COMPUTED_VALUE"""),"0009-0002-9069-4888")</f>
        <v>0009-0002-9069-4888</v>
      </c>
    </row>
    <row r="1370">
      <c r="A1370" s="2" t="str">
        <f>IFERROR(__xludf.DUMMYFUNCTION("""COMPUTED_VALUE"""),"Armstrong")</f>
        <v>Armstrong</v>
      </c>
      <c r="B1370" s="2" t="str">
        <f>IFERROR(__xludf.DUMMYFUNCTION("""COMPUTED_VALUE"""),"Charlotte")</f>
        <v>Charlotte</v>
      </c>
      <c r="C1370" s="2" t="str">
        <f>IFERROR(__xludf.DUMMYFUNCTION("""COMPUTED_VALUE"""),"Key Personnel")</f>
        <v>Key Personnel</v>
      </c>
      <c r="D1370" s="2" t="str">
        <f>IFERROR(__xludf.DUMMYFUNCTION("""COMPUTED_VALUE"""),"Galvan")</f>
        <v>Galvan</v>
      </c>
      <c r="E1370" s="2" t="str">
        <f>IFERROR(__xludf.DUMMYFUNCTION("""COMPUTED_VALUE"""),"Research Technician")</f>
        <v>Research Technician</v>
      </c>
      <c r="F1370" s="2" t="str">
        <f>IFERROR(__xludf.DUMMYFUNCTION("""COMPUTED_VALUE"""),"charlotte.armstrong@emory.edu")</f>
        <v>charlotte.armstrong@emory.edu</v>
      </c>
      <c r="G1370" s="2" t="str">
        <f>IFERROR(__xludf.DUMMYFUNCTION("""COMPUTED_VALUE"""),"0009-0007-8733-0318")</f>
        <v>0009-0007-8733-0318</v>
      </c>
    </row>
    <row r="1371">
      <c r="A1371" s="2" t="str">
        <f>IFERROR(__xludf.DUMMYFUNCTION("""COMPUTED_VALUE"""),"Kim")</f>
        <v>Kim</v>
      </c>
      <c r="B1371" s="2" t="str">
        <f>IFERROR(__xludf.DUMMYFUNCTION("""COMPUTED_VALUE"""),"Brian")</f>
        <v>Brian</v>
      </c>
      <c r="C1371" s="2" t="str">
        <f>IFERROR(__xludf.DUMMYFUNCTION("""COMPUTED_VALUE"""),"Key Personnel")</f>
        <v>Key Personnel</v>
      </c>
      <c r="D1371" s="2" t="str">
        <f>IFERROR(__xludf.DUMMYFUNCTION("""COMPUTED_VALUE"""),"Smith")</f>
        <v>Smith</v>
      </c>
      <c r="E1371" s="2" t="str">
        <f>IFERROR(__xludf.DUMMYFUNCTION("""COMPUTED_VALUE"""),"Research Technician")</f>
        <v>Research Technician</v>
      </c>
      <c r="F1371" s="2" t="str">
        <f>IFERROR(__xludf.DUMMYFUNCTION("""COMPUTED_VALUE"""),"brian.kim@emory.edu")</f>
        <v>brian.kim@emory.edu</v>
      </c>
      <c r="G1371" s="2" t="str">
        <f>IFERROR(__xludf.DUMMYFUNCTION("""COMPUTED_VALUE"""),"0009-0004-6299-4167")</f>
        <v>0009-0004-6299-4167</v>
      </c>
    </row>
    <row r="1372">
      <c r="A1372" s="2" t="str">
        <f>IFERROR(__xludf.DUMMYFUNCTION("""COMPUTED_VALUE"""),"Wang")</f>
        <v>Wang</v>
      </c>
      <c r="B1372" s="2" t="str">
        <f>IFERROR(__xludf.DUMMYFUNCTION("""COMPUTED_VALUE"""),"Zihang")</f>
        <v>Zihang</v>
      </c>
      <c r="C1372" s="2" t="str">
        <f>IFERROR(__xludf.DUMMYFUNCTION("""COMPUTED_VALUE"""),"Key Personnel")</f>
        <v>Key Personnel</v>
      </c>
      <c r="D1372" s="2" t="str">
        <f>IFERROR(__xludf.DUMMYFUNCTION("""COMPUTED_VALUE"""),"Risk")</f>
        <v>Risk</v>
      </c>
      <c r="E1372" s="2" t="str">
        <f>IFERROR(__xludf.DUMMYFUNCTION("""COMPUTED_VALUE"""),"Grad Student")</f>
        <v>Grad Student</v>
      </c>
      <c r="F1372" s="2" t="str">
        <f>IFERROR(__xludf.DUMMYFUNCTION("""COMPUTED_VALUE"""),"zihang.wang@emory.edu")</f>
        <v>zihang.wang@emory.edu</v>
      </c>
      <c r="G1372" s="2" t="str">
        <f>IFERROR(__xludf.DUMMYFUNCTION("""COMPUTED_VALUE"""),"0000-0001-9032-5412")</f>
        <v>0000-0001-9032-5412</v>
      </c>
    </row>
    <row r="1373">
      <c r="A1373" s="2" t="str">
        <f>IFERROR(__xludf.DUMMYFUNCTION("""COMPUTED_VALUE"""),"Sathi")</f>
        <v>Sathi</v>
      </c>
      <c r="B1373" s="2" t="str">
        <f>IFERROR(__xludf.DUMMYFUNCTION("""COMPUTED_VALUE"""),"Zakia")</f>
        <v>Zakia</v>
      </c>
      <c r="C1373" s="2" t="str">
        <f>IFERROR(__xludf.DUMMYFUNCTION("""COMPUTED_VALUE"""),"Key Personnel")</f>
        <v>Key Personnel</v>
      </c>
      <c r="D1373" s="2" t="str">
        <f>IFERROR(__xludf.DUMMYFUNCTION("""COMPUTED_VALUE"""),"Smith")</f>
        <v>Smith</v>
      </c>
      <c r="E1373" s="2" t="str">
        <f>IFERROR(__xludf.DUMMYFUNCTION("""COMPUTED_VALUE"""),"Research Technician")</f>
        <v>Research Technician</v>
      </c>
      <c r="F1373" s="2" t="str">
        <f>IFERROR(__xludf.DUMMYFUNCTION("""COMPUTED_VALUE"""),"zakia.sultana.sultana.sathi@emory.edu")</f>
        <v>zakia.sultana.sultana.sathi@emory.edu</v>
      </c>
      <c r="G1373" s="2" t="str">
        <f>IFERROR(__xludf.DUMMYFUNCTION("""COMPUTED_VALUE"""),"0009-0001-8248-4912")</f>
        <v>0009-0001-8248-4912</v>
      </c>
    </row>
    <row r="1374">
      <c r="A1374" s="2" t="str">
        <f>IFERROR(__xludf.DUMMYFUNCTION("""COMPUTED_VALUE"""),"Xu")</f>
        <v>Xu</v>
      </c>
      <c r="B1374" s="2" t="str">
        <f>IFERROR(__xludf.DUMMYFUNCTION("""COMPUTED_VALUE"""),"Baijia")</f>
        <v>Baijia</v>
      </c>
      <c r="C1374" s="2" t="str">
        <f>IFERROR(__xludf.DUMMYFUNCTION("""COMPUTED_VALUE"""),"Key Personnel")</f>
        <v>Key Personnel</v>
      </c>
      <c r="D1374" s="2" t="str">
        <f>IFERROR(__xludf.DUMMYFUNCTION("""COMPUTED_VALUE"""),"Risk")</f>
        <v>Risk</v>
      </c>
      <c r="E1374" s="2" t="str">
        <f>IFERROR(__xludf.DUMMYFUNCTION("""COMPUTED_VALUE"""),"Grad Student")</f>
        <v>Grad Student</v>
      </c>
      <c r="F1374" s="2" t="str">
        <f>IFERROR(__xludf.DUMMYFUNCTION("""COMPUTED_VALUE"""),"baijia.xu@emory.edu")</f>
        <v>baijia.xu@emory.edu</v>
      </c>
      <c r="G1374" s="2" t="str">
        <f>IFERROR(__xludf.DUMMYFUNCTION("""COMPUTED_VALUE"""),"0009-0003-2001-2738")</f>
        <v>0009-0003-2001-2738</v>
      </c>
    </row>
    <row r="1375">
      <c r="A1375" s="2" t="str">
        <f>IFERROR(__xludf.DUMMYFUNCTION("""COMPUTED_VALUE"""),"Wood")</f>
        <v>Wood</v>
      </c>
      <c r="B1375" s="2" t="str">
        <f>IFERROR(__xludf.DUMMYFUNCTION("""COMPUTED_VALUE"""),"Nicholas")</f>
        <v>Nicholas</v>
      </c>
      <c r="C1375" s="2" t="str">
        <f>IFERROR(__xludf.DUMMYFUNCTION("""COMPUTED_VALUE"""),"Lead-PI")</f>
        <v>Lead-PI</v>
      </c>
      <c r="D1375" s="2" t="str">
        <f>IFERROR(__xludf.DUMMYFUNCTION("""COMPUTED_VALUE"""),"Wood")</f>
        <v>Wood</v>
      </c>
      <c r="E1375" s="2"/>
      <c r="F1375" s="2" t="str">
        <f>IFERROR(__xludf.DUMMYFUNCTION("""COMPUTED_VALUE"""),"n.wood@ucl.ac.uk")</f>
        <v>n.wood@ucl.ac.uk</v>
      </c>
      <c r="G1375" s="2" t="str">
        <f>IFERROR(__xludf.DUMMYFUNCTION("""COMPUTED_VALUE"""),"0000-0002-9500-3348")</f>
        <v>0000-0002-9500-3348</v>
      </c>
    </row>
    <row r="1376">
      <c r="A1376" s="2" t="str">
        <f>IFERROR(__xludf.DUMMYFUNCTION("""COMPUTED_VALUE"""),"Gandhi")</f>
        <v>Gandhi</v>
      </c>
      <c r="B1376" s="2" t="str">
        <f>IFERROR(__xludf.DUMMYFUNCTION("""COMPUTED_VALUE"""),"Sonia")</f>
        <v>Sonia</v>
      </c>
      <c r="C1376" s="2" t="str">
        <f>IFERROR(__xludf.DUMMYFUNCTION("""COMPUTED_VALUE"""),"Co-PI")</f>
        <v>Co-PI</v>
      </c>
      <c r="D1376" s="2" t="str">
        <f>IFERROR(__xludf.DUMMYFUNCTION("""COMPUTED_VALUE"""),"Gandhi")</f>
        <v>Gandhi</v>
      </c>
      <c r="E1376" s="2"/>
      <c r="F1376" s="2" t="str">
        <f>IFERROR(__xludf.DUMMYFUNCTION("""COMPUTED_VALUE"""),"sonia.gandhi@crick.ac.uk")</f>
        <v>sonia.gandhi@crick.ac.uk</v>
      </c>
      <c r="G1376" s="2" t="str">
        <f>IFERROR(__xludf.DUMMYFUNCTION("""COMPUTED_VALUE"""),"0000-0003-4395-2661")</f>
        <v>0000-0003-4395-2661</v>
      </c>
    </row>
    <row r="1377">
      <c r="A1377" s="2" t="str">
        <f>IFERROR(__xludf.DUMMYFUNCTION("""COMPUTED_VALUE"""),"Lee")</f>
        <v>Lee</v>
      </c>
      <c r="B1377" s="2" t="str">
        <f>IFERROR(__xludf.DUMMYFUNCTION("""COMPUTED_VALUE"""),"Steven")</f>
        <v>Steven</v>
      </c>
      <c r="C1377" s="2" t="str">
        <f>IFERROR(__xludf.DUMMYFUNCTION("""COMPUTED_VALUE"""),"Co-PI")</f>
        <v>Co-PI</v>
      </c>
      <c r="D1377" s="2" t="str">
        <f>IFERROR(__xludf.DUMMYFUNCTION("""COMPUTED_VALUE"""),"Lee ")</f>
        <v>Lee </v>
      </c>
      <c r="E1377" s="2"/>
      <c r="F1377" s="2" t="str">
        <f>IFERROR(__xludf.DUMMYFUNCTION("""COMPUTED_VALUE"""),"sl591@cam.ac.uk")</f>
        <v>sl591@cam.ac.uk</v>
      </c>
      <c r="G1377" s="2" t="str">
        <f>IFERROR(__xludf.DUMMYFUNCTION("""COMPUTED_VALUE"""),"0000-0003-4492-5139")</f>
        <v>0000-0003-4492-5139</v>
      </c>
    </row>
    <row r="1378">
      <c r="A1378" s="2" t="str">
        <f>IFERROR(__xludf.DUMMYFUNCTION("""COMPUTED_VALUE"""),"Ryten")</f>
        <v>Ryten</v>
      </c>
      <c r="B1378" s="2" t="str">
        <f>IFERROR(__xludf.DUMMYFUNCTION("""COMPUTED_VALUE"""),"Mina")</f>
        <v>Mina</v>
      </c>
      <c r="C1378" s="2" t="str">
        <f>IFERROR(__xludf.DUMMYFUNCTION("""COMPUTED_VALUE"""),"Co-PI")</f>
        <v>Co-PI</v>
      </c>
      <c r="D1378" s="2" t="str">
        <f>IFERROR(__xludf.DUMMYFUNCTION("""COMPUTED_VALUE"""),"Ryten")</f>
        <v>Ryten</v>
      </c>
      <c r="E1378" s="2"/>
      <c r="F1378" s="2" t="str">
        <f>IFERROR(__xludf.DUMMYFUNCTION("""COMPUTED_VALUE"""),"mina.ryten@ucl.ac.uk")</f>
        <v>mina.ryten@ucl.ac.uk</v>
      </c>
      <c r="G1378" s="2" t="str">
        <f>IFERROR(__xludf.DUMMYFUNCTION("""COMPUTED_VALUE"""),"0000-0001-9520-6957")</f>
        <v>0000-0001-9520-6957</v>
      </c>
    </row>
    <row r="1379">
      <c r="A1379" s="2" t="str">
        <f>IFERROR(__xludf.DUMMYFUNCTION("""COMPUTED_VALUE"""),"Vendruscolo")</f>
        <v>Vendruscolo</v>
      </c>
      <c r="B1379" s="2" t="str">
        <f>IFERROR(__xludf.DUMMYFUNCTION("""COMPUTED_VALUE"""),"Michele")</f>
        <v>Michele</v>
      </c>
      <c r="C1379" s="2" t="str">
        <f>IFERROR(__xludf.DUMMYFUNCTION("""COMPUTED_VALUE"""),"Co-PI")</f>
        <v>Co-PI</v>
      </c>
      <c r="D1379" s="2" t="str">
        <f>IFERROR(__xludf.DUMMYFUNCTION("""COMPUTED_VALUE"""),"Vendruscolo")</f>
        <v>Vendruscolo</v>
      </c>
      <c r="E1379" s="2"/>
      <c r="F1379" s="2" t="str">
        <f>IFERROR(__xludf.DUMMYFUNCTION("""COMPUTED_VALUE"""),"mv245@cam.ac.uk")</f>
        <v>mv245@cam.ac.uk</v>
      </c>
      <c r="G1379" s="2" t="str">
        <f>IFERROR(__xludf.DUMMYFUNCTION("""COMPUTED_VALUE"""),"0000-0002-3616-1610")</f>
        <v>0000-0002-3616-1610</v>
      </c>
    </row>
    <row r="1380">
      <c r="A1380" s="2" t="str">
        <f>IFERROR(__xludf.DUMMYFUNCTION("""COMPUTED_VALUE"""),"Storm")</f>
        <v>Storm</v>
      </c>
      <c r="B1380" s="2" t="str">
        <f>IFERROR(__xludf.DUMMYFUNCTION("""COMPUTED_VALUE"""),"Catherine")</f>
        <v>Catherine</v>
      </c>
      <c r="C1380" s="2" t="str">
        <f>IFERROR(__xludf.DUMMYFUNCTION("""COMPUTED_VALUE"""),"Key Personnel")</f>
        <v>Key Personnel</v>
      </c>
      <c r="D1380" s="2" t="str">
        <f>IFERROR(__xludf.DUMMYFUNCTION("""COMPUTED_VALUE"""),"Wood")</f>
        <v>Wood</v>
      </c>
      <c r="E1380" s="2" t="str">
        <f>IFERROR(__xludf.DUMMYFUNCTION("""COMPUTED_VALUE"""),"PhD Student")</f>
        <v>PhD Student</v>
      </c>
      <c r="F1380" s="2" t="str">
        <f>IFERROR(__xludf.DUMMYFUNCTION("""COMPUTED_VALUE"""),"catherine.storm.14@ucl.ac.uk")</f>
        <v>catherine.storm.14@ucl.ac.uk</v>
      </c>
      <c r="G1380" s="2" t="str">
        <f>IFERROR(__xludf.DUMMYFUNCTION("""COMPUTED_VALUE"""),"0000-0003-4957-1712")</f>
        <v>0000-0003-4957-1712</v>
      </c>
    </row>
    <row r="1381">
      <c r="A1381" s="2" t="str">
        <f>IFERROR(__xludf.DUMMYFUNCTION("""COMPUTED_VALUE"""),"Fairbrother-Browne")</f>
        <v>Fairbrother-Browne</v>
      </c>
      <c r="B1381" s="2" t="str">
        <f>IFERROR(__xludf.DUMMYFUNCTION("""COMPUTED_VALUE"""),"Aine")</f>
        <v>Aine</v>
      </c>
      <c r="C1381" s="2" t="str">
        <f>IFERROR(__xludf.DUMMYFUNCTION("""COMPUTED_VALUE"""),"Key Personnel")</f>
        <v>Key Personnel</v>
      </c>
      <c r="D1381" s="2" t="str">
        <f>IFERROR(__xludf.DUMMYFUNCTION("""COMPUTED_VALUE"""),"Ryten")</f>
        <v>Ryten</v>
      </c>
      <c r="E1381" s="2" t="str">
        <f>IFERROR(__xludf.DUMMYFUNCTION("""COMPUTED_VALUE"""),"PhD student")</f>
        <v>PhD student</v>
      </c>
      <c r="F1381" s="2" t="str">
        <f>IFERROR(__xludf.DUMMYFUNCTION("""COMPUTED_VALUE"""),"aine.fairbrother-browne.18@ucl.ac.uk")</f>
        <v>aine.fairbrother-browne.18@ucl.ac.uk</v>
      </c>
      <c r="G1381" s="2" t="str">
        <f>IFERROR(__xludf.DUMMYFUNCTION("""COMPUTED_VALUE"""),"0000-0002-7196-1410")</f>
        <v>0000-0002-7196-1410</v>
      </c>
    </row>
    <row r="1382">
      <c r="A1382" s="2" t="str">
        <f>IFERROR(__xludf.DUMMYFUNCTION("""COMPUTED_VALUE"""),"D'Sa")</f>
        <v>D'Sa</v>
      </c>
      <c r="B1382" s="2" t="str">
        <f>IFERROR(__xludf.DUMMYFUNCTION("""COMPUTED_VALUE"""),"Karishma")</f>
        <v>Karishma</v>
      </c>
      <c r="C1382" s="2" t="str">
        <f>IFERROR(__xludf.DUMMYFUNCTION("""COMPUTED_VALUE"""),"Key Personnel")</f>
        <v>Key Personnel</v>
      </c>
      <c r="D1382" s="2" t="str">
        <f>IFERROR(__xludf.DUMMYFUNCTION("""COMPUTED_VALUE"""),"Gandhi")</f>
        <v>Gandhi</v>
      </c>
      <c r="E1382" s="2" t="str">
        <f>IFERROR(__xludf.DUMMYFUNCTION("""COMPUTED_VALUE"""),"PhD student")</f>
        <v>PhD student</v>
      </c>
      <c r="F1382" s="2" t="str">
        <f>IFERROR(__xludf.DUMMYFUNCTION("""COMPUTED_VALUE"""),"k.d'sa@ucl.ac.uk")</f>
        <v>k.d'sa@ucl.ac.uk</v>
      </c>
      <c r="G1382" s="2" t="str">
        <f>IFERROR(__xludf.DUMMYFUNCTION("""COMPUTED_VALUE"""),"0000-0003-1266-419X")</f>
        <v>0000-0003-1266-419X</v>
      </c>
    </row>
    <row r="1383">
      <c r="A1383" s="2" t="str">
        <f>IFERROR(__xludf.DUMMYFUNCTION("""COMPUTED_VALUE"""),"Gil Martinez")</f>
        <v>Gil Martinez</v>
      </c>
      <c r="B1383" s="2" t="str">
        <f>IFERROR(__xludf.DUMMYFUNCTION("""COMPUTED_VALUE"""),"Ana Luisa")</f>
        <v>Ana Luisa</v>
      </c>
      <c r="C1383" s="2" t="str">
        <f>IFERROR(__xludf.DUMMYFUNCTION("""COMPUTED_VALUE"""),"Key Personnel")</f>
        <v>Key Personnel</v>
      </c>
      <c r="D1383" s="2" t="str">
        <f>IFERROR(__xludf.DUMMYFUNCTION("""COMPUTED_VALUE"""),"Ryten")</f>
        <v>Ryten</v>
      </c>
      <c r="E1383" s="2" t="str">
        <f>IFERROR(__xludf.DUMMYFUNCTION("""COMPUTED_VALUE"""),"postdoc")</f>
        <v>postdoc</v>
      </c>
      <c r="F1383" s="2" t="str">
        <f>IFERROR(__xludf.DUMMYFUNCTION("""COMPUTED_VALUE"""),"analuisa.gil@ucl.ac.uk")</f>
        <v>analuisa.gil@ucl.ac.uk</v>
      </c>
      <c r="G1383" s="2" t="str">
        <f>IFERROR(__xludf.DUMMYFUNCTION("""COMPUTED_VALUE"""),"0000-0001-8455-5676")</f>
        <v>0000-0001-8455-5676</v>
      </c>
    </row>
    <row r="1384">
      <c r="A1384" s="2" t="str">
        <f>IFERROR(__xludf.DUMMYFUNCTION("""COMPUTED_VALUE"""),"Gustavsson")</f>
        <v>Gustavsson</v>
      </c>
      <c r="B1384" s="2" t="str">
        <f>IFERROR(__xludf.DUMMYFUNCTION("""COMPUTED_VALUE"""),"Emil")</f>
        <v>Emil</v>
      </c>
      <c r="C1384" s="2" t="str">
        <f>IFERROR(__xludf.DUMMYFUNCTION("""COMPUTED_VALUE"""),"Key Personnel")</f>
        <v>Key Personnel</v>
      </c>
      <c r="D1384" s="2" t="str">
        <f>IFERROR(__xludf.DUMMYFUNCTION("""COMPUTED_VALUE"""),"Ryten")</f>
        <v>Ryten</v>
      </c>
      <c r="E1384" s="2" t="str">
        <f>IFERROR(__xludf.DUMMYFUNCTION("""COMPUTED_VALUE"""),"postdoc")</f>
        <v>postdoc</v>
      </c>
      <c r="F1384" s="2" t="str">
        <f>IFERROR(__xludf.DUMMYFUNCTION("""COMPUTED_VALUE"""),"e.gustavsson@ucl.ac.uk")</f>
        <v>e.gustavsson@ucl.ac.uk</v>
      </c>
      <c r="G1384" s="2" t="str">
        <f>IFERROR(__xludf.DUMMYFUNCTION("""COMPUTED_VALUE"""),"0000-0003-0541-7537")</f>
        <v>0000-0003-0541-7537</v>
      </c>
    </row>
    <row r="1385">
      <c r="A1385" s="2" t="str">
        <f>IFERROR(__xludf.DUMMYFUNCTION("""COMPUTED_VALUE"""),"Evans")</f>
        <v>Evans</v>
      </c>
      <c r="B1385" s="2" t="str">
        <f>IFERROR(__xludf.DUMMYFUNCTION("""COMPUTED_VALUE"""),"James")</f>
        <v>James</v>
      </c>
      <c r="C1385" s="2" t="str">
        <f>IFERROR(__xludf.DUMMYFUNCTION("""COMPUTED_VALUE"""),"Key Personnel")</f>
        <v>Key Personnel</v>
      </c>
      <c r="D1385" s="2" t="str">
        <f>IFERROR(__xludf.DUMMYFUNCTION("""COMPUTED_VALUE"""),"Gandhi")</f>
        <v>Gandhi</v>
      </c>
      <c r="E1385" s="2" t="str">
        <f>IFERROR(__xludf.DUMMYFUNCTION("""COMPUTED_VALUE"""),"PhD student")</f>
        <v>PhD student</v>
      </c>
      <c r="F1385" s="2" t="str">
        <f>IFERROR(__xludf.DUMMYFUNCTION("""COMPUTED_VALUE"""),"james.evans@crick.ac.uk")</f>
        <v>james.evans@crick.ac.uk</v>
      </c>
      <c r="G1385" s="2" t="str">
        <f>IFERROR(__xludf.DUMMYFUNCTION("""COMPUTED_VALUE"""),"0000-0003-2923-281X")</f>
        <v>0000-0003-2923-281X</v>
      </c>
    </row>
    <row r="1386">
      <c r="A1386" s="2" t="str">
        <f>IFERROR(__xludf.DUMMYFUNCTION("""COMPUTED_VALUE"""),"Toomey")</f>
        <v>Toomey</v>
      </c>
      <c r="B1386" s="2" t="str">
        <f>IFERROR(__xludf.DUMMYFUNCTION("""COMPUTED_VALUE"""),"Christina")</f>
        <v>Christina</v>
      </c>
      <c r="C1386" s="2" t="str">
        <f>IFERROR(__xludf.DUMMYFUNCTION("""COMPUTED_VALUE"""),"Key Personnel")</f>
        <v>Key Personnel</v>
      </c>
      <c r="D1386" s="2" t="str">
        <f>IFERROR(__xludf.DUMMYFUNCTION("""COMPUTED_VALUE"""),"Gandhi")</f>
        <v>Gandhi</v>
      </c>
      <c r="E1386" s="2" t="str">
        <f>IFERROR(__xludf.DUMMYFUNCTION("""COMPUTED_VALUE"""),"postdoc")</f>
        <v>postdoc</v>
      </c>
      <c r="F1386" s="2" t="str">
        <f>IFERROR(__xludf.DUMMYFUNCTION("""COMPUTED_VALUE"""),"christina.toomey@ucl.ac.uk")</f>
        <v>christina.toomey@ucl.ac.uk</v>
      </c>
      <c r="G1386" s="2" t="str">
        <f>IFERROR(__xludf.DUMMYFUNCTION("""COMPUTED_VALUE"""),"0000-0002-5146-3326")</f>
        <v>0000-0002-5146-3326</v>
      </c>
    </row>
    <row r="1387">
      <c r="A1387" s="2" t="str">
        <f>IFERROR(__xludf.DUMMYFUNCTION("""COMPUTED_VALUE"""),"Lashley")</f>
        <v>Lashley</v>
      </c>
      <c r="B1387" s="2" t="str">
        <f>IFERROR(__xludf.DUMMYFUNCTION("""COMPUTED_VALUE"""),"Tammaryn")</f>
        <v>Tammaryn</v>
      </c>
      <c r="C1387" s="2" t="str">
        <f>IFERROR(__xludf.DUMMYFUNCTION("""COMPUTED_VALUE"""),"Collaborating PI")</f>
        <v>Collaborating PI</v>
      </c>
      <c r="D1387" s="2" t="str">
        <f>IFERROR(__xludf.DUMMYFUNCTION("""COMPUTED_VALUE"""),"Gandhi")</f>
        <v>Gandhi</v>
      </c>
      <c r="E1387" s="2" t="str">
        <f>IFERROR(__xludf.DUMMYFUNCTION("""COMPUTED_VALUE"""),"collaborator")</f>
        <v>collaborator</v>
      </c>
      <c r="F1387" s="2" t="str">
        <f>IFERROR(__xludf.DUMMYFUNCTION("""COMPUTED_VALUE"""),"t.lashley@ucl.ac.uk")</f>
        <v>t.lashley@ucl.ac.uk</v>
      </c>
      <c r="G1387" s="2" t="str">
        <f>IFERROR(__xludf.DUMMYFUNCTION("""COMPUTED_VALUE"""),"0000-0001-7389-0348")</f>
        <v>0000-0001-7389-0348</v>
      </c>
    </row>
    <row r="1388">
      <c r="A1388" s="2" t="str">
        <f>IFERROR(__xludf.DUMMYFUNCTION("""COMPUTED_VALUE"""),"Rahman")</f>
        <v>Rahman</v>
      </c>
      <c r="B1388" s="2" t="str">
        <f>IFERROR(__xludf.DUMMYFUNCTION("""COMPUTED_VALUE"""),"Saadia")</f>
        <v>Saadia</v>
      </c>
      <c r="C1388" s="2" t="str">
        <f>IFERROR(__xludf.DUMMYFUNCTION("""COMPUTED_VALUE"""),"Project Manager")</f>
        <v>Project Manager</v>
      </c>
      <c r="D1388" s="2" t="str">
        <f>IFERROR(__xludf.DUMMYFUNCTION("""COMPUTED_VALUE"""),"Wood")</f>
        <v>Wood</v>
      </c>
      <c r="E1388" s="2" t="str">
        <f>IFERROR(__xludf.DUMMYFUNCTION("""COMPUTED_VALUE"""),"PM")</f>
        <v>PM</v>
      </c>
      <c r="F1388" s="2" t="str">
        <f>IFERROR(__xludf.DUMMYFUNCTION("""COMPUTED_VALUE"""),"saadia.rahman@ucl.ac.uk")</f>
        <v>saadia.rahman@ucl.ac.uk</v>
      </c>
      <c r="G1388" s="2" t="str">
        <f>IFERROR(__xludf.DUMMYFUNCTION("""COMPUTED_VALUE"""),"0000-0003-2400-2230")</f>
        <v>0000-0003-2400-2230</v>
      </c>
    </row>
    <row r="1389">
      <c r="A1389" s="2" t="str">
        <f>IFERROR(__xludf.DUMMYFUNCTION("""COMPUTED_VALUE"""),"Brenton")</f>
        <v>Brenton</v>
      </c>
      <c r="B1389" s="2" t="str">
        <f>IFERROR(__xludf.DUMMYFUNCTION("""COMPUTED_VALUE"""),"Jonathan ")</f>
        <v>Jonathan </v>
      </c>
      <c r="C1389" s="2" t="str">
        <f>IFERROR(__xludf.DUMMYFUNCTION("""COMPUTED_VALUE"""),"Key Personnel")</f>
        <v>Key Personnel</v>
      </c>
      <c r="D1389" s="2" t="str">
        <f>IFERROR(__xludf.DUMMYFUNCTION("""COMPUTED_VALUE"""),"Ryten")</f>
        <v>Ryten</v>
      </c>
      <c r="E1389" s="2" t="str">
        <f>IFERROR(__xludf.DUMMYFUNCTION("""COMPUTED_VALUE"""),"PhD student")</f>
        <v>PhD student</v>
      </c>
      <c r="F1389" s="2" t="str">
        <f>IFERROR(__xludf.DUMMYFUNCTION("""COMPUTED_VALUE"""),"jonathan.brenton.14@ucl.ac.uk")</f>
        <v>jonathan.brenton.14@ucl.ac.uk</v>
      </c>
      <c r="G1389" s="2" t="str">
        <f>IFERROR(__xludf.DUMMYFUNCTION("""COMPUTED_VALUE"""),"0000-0002-2381-8484")</f>
        <v>0000-0002-2381-8484</v>
      </c>
    </row>
    <row r="1390">
      <c r="A1390" s="2" t="str">
        <f>IFERROR(__xludf.DUMMYFUNCTION("""COMPUTED_VALUE"""),"Lachica")</f>
        <v>Lachica</v>
      </c>
      <c r="B1390" s="2" t="str">
        <f>IFERROR(__xludf.DUMMYFUNCTION("""COMPUTED_VALUE"""),"Joanna")</f>
        <v>Joanna</v>
      </c>
      <c r="C1390" s="2" t="str">
        <f>IFERROR(__xludf.DUMMYFUNCTION("""COMPUTED_VALUE"""),"Key Personnel")</f>
        <v>Key Personnel</v>
      </c>
      <c r="D1390" s="2" t="str">
        <f>IFERROR(__xludf.DUMMYFUNCTION("""COMPUTED_VALUE"""),"Gandhi")</f>
        <v>Gandhi</v>
      </c>
      <c r="E1390" s="2" t="str">
        <f>IFERROR(__xludf.DUMMYFUNCTION("""COMPUTED_VALUE"""),"technician")</f>
        <v>technician</v>
      </c>
      <c r="F1390" s="2" t="str">
        <f>IFERROR(__xludf.DUMMYFUNCTION("""COMPUTED_VALUE"""),"skgtjip@ucl.ac.uk")</f>
        <v>skgtjip@ucl.ac.uk</v>
      </c>
      <c r="G1390" s="2" t="str">
        <f>IFERROR(__xludf.DUMMYFUNCTION("""COMPUTED_VALUE"""),"0000-0002-2642-3293")</f>
        <v>0000-0002-2642-3293</v>
      </c>
    </row>
    <row r="1391">
      <c r="A1391" s="2" t="str">
        <f>IFERROR(__xludf.DUMMYFUNCTION("""COMPUTED_VALUE"""),"Tomkins")</f>
        <v>Tomkins</v>
      </c>
      <c r="B1391" s="2" t="str">
        <f>IFERROR(__xludf.DUMMYFUNCTION("""COMPUTED_VALUE"""),"James")</f>
        <v>James</v>
      </c>
      <c r="C1391" s="2" t="str">
        <f>IFERROR(__xludf.DUMMYFUNCTION("""COMPUTED_VALUE"""),"Key Personnel")</f>
        <v>Key Personnel</v>
      </c>
      <c r="D1391" s="2" t="str">
        <f>IFERROR(__xludf.DUMMYFUNCTION("""COMPUTED_VALUE"""),"Vendruscolo")</f>
        <v>Vendruscolo</v>
      </c>
      <c r="E1391" s="2" t="str">
        <f>IFERROR(__xludf.DUMMYFUNCTION("""COMPUTED_VALUE"""),"Post doc")</f>
        <v>Post doc</v>
      </c>
      <c r="F1391" s="2" t="str">
        <f>IFERROR(__xludf.DUMMYFUNCTION("""COMPUTED_VALUE"""),"jet85@cam.ac.uk")</f>
        <v>jet85@cam.ac.uk</v>
      </c>
      <c r="G1391" s="2" t="str">
        <f>IFERROR(__xludf.DUMMYFUNCTION("""COMPUTED_VALUE"""),"0000-0003-3010-6634")</f>
        <v>0000-0003-3010-6634</v>
      </c>
    </row>
    <row r="1392">
      <c r="A1392" s="2" t="str">
        <f>IFERROR(__xludf.DUMMYFUNCTION("""COMPUTED_VALUE"""),"Arora")</f>
        <v>Arora</v>
      </c>
      <c r="B1392" s="2" t="str">
        <f>IFERROR(__xludf.DUMMYFUNCTION("""COMPUTED_VALUE"""),"Rahul")</f>
        <v>Rahul</v>
      </c>
      <c r="C1392" s="2" t="str">
        <f>IFERROR(__xludf.DUMMYFUNCTION("""COMPUTED_VALUE"""),"Key Personnel")</f>
        <v>Key Personnel</v>
      </c>
      <c r="D1392" s="2" t="str">
        <f>IFERROR(__xludf.DUMMYFUNCTION("""COMPUTED_VALUE"""),"Vendruscolo")</f>
        <v>Vendruscolo</v>
      </c>
      <c r="E1392" s="2" t="str">
        <f>IFERROR(__xludf.DUMMYFUNCTION("""COMPUTED_VALUE"""),"PhD student")</f>
        <v>PhD student</v>
      </c>
      <c r="F1392" s="2" t="str">
        <f>IFERROR(__xludf.DUMMYFUNCTION("""COMPUTED_VALUE"""),"ra594@cam.ac.uk")</f>
        <v>ra594@cam.ac.uk</v>
      </c>
      <c r="G1392" s="2" t="str">
        <f>IFERROR(__xludf.DUMMYFUNCTION("""COMPUTED_VALUE"""),"0000-0002-1678-7499")</f>
        <v>0000-0002-1678-7499</v>
      </c>
    </row>
    <row r="1393">
      <c r="A1393" s="2" t="str">
        <f>IFERROR(__xludf.DUMMYFUNCTION("""COMPUTED_VALUE"""),"Murphy")</f>
        <v>Murphy</v>
      </c>
      <c r="B1393" s="2" t="str">
        <f>IFERROR(__xludf.DUMMYFUNCTION("""COMPUTED_VALUE"""),"David")</f>
        <v>David</v>
      </c>
      <c r="C1393" s="2" t="str">
        <f>IFERROR(__xludf.DUMMYFUNCTION("""COMPUTED_VALUE"""),"Key Personnel")</f>
        <v>Key Personnel</v>
      </c>
      <c r="D1393" s="2" t="str">
        <f>IFERROR(__xludf.DUMMYFUNCTION("""COMPUTED_VALUE"""),"Wood")</f>
        <v>Wood</v>
      </c>
      <c r="E1393" s="2" t="str">
        <f>IFERROR(__xludf.DUMMYFUNCTION("""COMPUTED_VALUE"""),"Technician")</f>
        <v>Technician</v>
      </c>
      <c r="F1393" s="2" t="str">
        <f>IFERROR(__xludf.DUMMYFUNCTION("""COMPUTED_VALUE"""),"david.murphy@ucl.ac.uk")</f>
        <v>david.murphy@ucl.ac.uk</v>
      </c>
      <c r="G1393" s="2" t="str">
        <f>IFERROR(__xludf.DUMMYFUNCTION("""COMPUTED_VALUE"""),"0000-0002-3771-3800")</f>
        <v>0000-0002-3771-3800</v>
      </c>
    </row>
    <row r="1394">
      <c r="A1394" s="2" t="str">
        <f>IFERROR(__xludf.DUMMYFUNCTION("""COMPUTED_VALUE"""),"Breiter")</f>
        <v>Breiter</v>
      </c>
      <c r="B1394" s="2" t="str">
        <f>IFERROR(__xludf.DUMMYFUNCTION("""COMPUTED_VALUE"""),"Jonathan ")</f>
        <v>Jonathan </v>
      </c>
      <c r="C1394" s="2" t="str">
        <f>IFERROR(__xludf.DUMMYFUNCTION("""COMPUTED_VALUE"""),"Key Personnel")</f>
        <v>Key Personnel</v>
      </c>
      <c r="D1394" s="2" t="str">
        <f>IFERROR(__xludf.DUMMYFUNCTION("""COMPUTED_VALUE"""),"Vendruscolo")</f>
        <v>Vendruscolo</v>
      </c>
      <c r="E1394" s="2" t="str">
        <f>IFERROR(__xludf.DUMMYFUNCTION("""COMPUTED_VALUE"""),"phd student")</f>
        <v>phd student</v>
      </c>
      <c r="F1394" s="2" t="str">
        <f>IFERROR(__xludf.DUMMYFUNCTION("""COMPUTED_VALUE"""),"jonathan.c.breiter@gmail.com")</f>
        <v>jonathan.c.breiter@gmail.com</v>
      </c>
      <c r="G1394" s="2" t="str">
        <f>IFERROR(__xludf.DUMMYFUNCTION("""COMPUTED_VALUE"""),"0000-0001-9671-657X")</f>
        <v>0000-0001-9671-657X</v>
      </c>
    </row>
    <row r="1395">
      <c r="A1395" s="2" t="str">
        <f>IFERROR(__xludf.DUMMYFUNCTION("""COMPUTED_VALUE"""),"Fu")</f>
        <v>Fu</v>
      </c>
      <c r="B1395" s="2" t="str">
        <f>IFERROR(__xludf.DUMMYFUNCTION("""COMPUTED_VALUE"""),"Bin")</f>
        <v>Bin</v>
      </c>
      <c r="C1395" s="2" t="str">
        <f>IFERROR(__xludf.DUMMYFUNCTION("""COMPUTED_VALUE"""),"Key Personnel")</f>
        <v>Key Personnel</v>
      </c>
      <c r="D1395" s="2" t="str">
        <f>IFERROR(__xludf.DUMMYFUNCTION("""COMPUTED_VALUE"""),"Lee")</f>
        <v>Lee</v>
      </c>
      <c r="E1395" s="2" t="str">
        <f>IFERROR(__xludf.DUMMYFUNCTION("""COMPUTED_VALUE"""),"RA/ PhD")</f>
        <v>RA/ PhD</v>
      </c>
      <c r="F1395" s="2" t="str">
        <f>IFERROR(__xludf.DUMMYFUNCTION("""COMPUTED_VALUE"""),"bf341@cam.ac.uk")</f>
        <v>bf341@cam.ac.uk</v>
      </c>
      <c r="G1395" s="2" t="str">
        <f>IFERROR(__xludf.DUMMYFUNCTION("""COMPUTED_VALUE"""),"0000-0002-8816-2906")</f>
        <v>0000-0002-8816-2906</v>
      </c>
    </row>
    <row r="1396">
      <c r="A1396" s="2" t="str">
        <f>IFERROR(__xludf.DUMMYFUNCTION("""COMPUTED_VALUE"""),"Surya Saha
")</f>
        <v>Surya Saha
</v>
      </c>
      <c r="B1396" s="2" t="str">
        <f>IFERROR(__xludf.DUMMYFUNCTION("""COMPUTED_VALUE"""),"Udit")</f>
        <v>Udit</v>
      </c>
      <c r="C1396" s="2" t="str">
        <f>IFERROR(__xludf.DUMMYFUNCTION("""COMPUTED_VALUE"""),"Key Personnel")</f>
        <v>Key Personnel</v>
      </c>
      <c r="D1396" s="2" t="str">
        <f>IFERROR(__xludf.DUMMYFUNCTION("""COMPUTED_VALUE"""),"Vendruscolo")</f>
        <v>Vendruscolo</v>
      </c>
      <c r="E1396" s="2" t="str">
        <f>IFERROR(__xludf.DUMMYFUNCTION("""COMPUTED_VALUE"""),"post doc")</f>
        <v>post doc</v>
      </c>
      <c r="F1396" s="2" t="str">
        <f>IFERROR(__xludf.DUMMYFUNCTION("""COMPUTED_VALUE"""),"uditsuryasaha@gmail.com")</f>
        <v>uditsuryasaha@gmail.com</v>
      </c>
      <c r="G1396" s="2" t="str">
        <f>IFERROR(__xludf.DUMMYFUNCTION("""COMPUTED_VALUE"""),"0000-0003-4568-2888")</f>
        <v>0000-0003-4568-2888</v>
      </c>
    </row>
    <row r="1397">
      <c r="A1397" s="2" t="str">
        <f>IFERROR(__xludf.DUMMYFUNCTION("""COMPUTED_VALUE"""),"Wagen")</f>
        <v>Wagen</v>
      </c>
      <c r="B1397" s="2" t="str">
        <f>IFERROR(__xludf.DUMMYFUNCTION("""COMPUTED_VALUE"""),"Aaron")</f>
        <v>Aaron</v>
      </c>
      <c r="C1397" s="2" t="str">
        <f>IFERROR(__xludf.DUMMYFUNCTION("""COMPUTED_VALUE"""),"Key Personnel")</f>
        <v>Key Personnel</v>
      </c>
      <c r="D1397" s="2" t="str">
        <f>IFERROR(__xludf.DUMMYFUNCTION("""COMPUTED_VALUE"""),"Gandhi")</f>
        <v>Gandhi</v>
      </c>
      <c r="E1397" s="2" t="str">
        <f>IFERROR(__xludf.DUMMYFUNCTION("""COMPUTED_VALUE"""),"PhD student")</f>
        <v>PhD student</v>
      </c>
      <c r="F1397" s="2" t="str">
        <f>IFERROR(__xludf.DUMMYFUNCTION("""COMPUTED_VALUE"""),"a.wagen@ucl.ac.uk")</f>
        <v>a.wagen@ucl.ac.uk</v>
      </c>
      <c r="G1397" s="2" t="str">
        <f>IFERROR(__xludf.DUMMYFUNCTION("""COMPUTED_VALUE"""),"0000-0002-7747-6870")</f>
        <v>0000-0002-7747-6870</v>
      </c>
    </row>
    <row r="1398">
      <c r="A1398" s="2" t="str">
        <f>IFERROR(__xludf.DUMMYFUNCTION("""COMPUTED_VALUE"""),"Weiss")</f>
        <v>Weiss</v>
      </c>
      <c r="B1398" s="2" t="str">
        <f>IFERROR(__xludf.DUMMYFUNCTION("""COMPUTED_VALUE"""),"Lucien")</f>
        <v>Lucien</v>
      </c>
      <c r="C1398" s="2" t="str">
        <f>IFERROR(__xludf.DUMMYFUNCTION("""COMPUTED_VALUE"""),"Key Personnel")</f>
        <v>Key Personnel</v>
      </c>
      <c r="D1398" s="2" t="str">
        <f>IFERROR(__xludf.DUMMYFUNCTION("""COMPUTED_VALUE"""),"Lee S")</f>
        <v>Lee S</v>
      </c>
      <c r="E1398" s="2" t="str">
        <f>IFERROR(__xludf.DUMMYFUNCTION("""COMPUTED_VALUE"""),"post doc")</f>
        <v>post doc</v>
      </c>
      <c r="F1398" s="2" t="str">
        <f>IFERROR(__xludf.DUMMYFUNCTION("""COMPUTED_VALUE"""),"lucien.e.weiss@gmail.com")</f>
        <v>lucien.e.weiss@gmail.com</v>
      </c>
      <c r="G1398" s="2" t="str">
        <f>IFERROR(__xludf.DUMMYFUNCTION("""COMPUTED_VALUE"""),"0000-0002-0971-7329")</f>
        <v>0000-0002-0971-7329</v>
      </c>
    </row>
    <row r="1399">
      <c r="A1399" s="2" t="str">
        <f>IFERROR(__xludf.DUMMYFUNCTION("""COMPUTED_VALUE"""),"Gonzalez-Diaz")</f>
        <v>Gonzalez-Diaz</v>
      </c>
      <c r="B1399" s="2" t="str">
        <f>IFERROR(__xludf.DUMMYFUNCTION("""COMPUTED_VALUE"""),"Alicia")</f>
        <v>Alicia</v>
      </c>
      <c r="C1399" s="2" t="str">
        <f>IFERROR(__xludf.DUMMYFUNCTION("""COMPUTED_VALUE"""),"Key Personnel")</f>
        <v>Key Personnel</v>
      </c>
      <c r="D1399" s="2" t="str">
        <f>IFERROR(__xludf.DUMMYFUNCTION("""COMPUTED_VALUE"""),"Vendruscolo")</f>
        <v>Vendruscolo</v>
      </c>
      <c r="E1399" s="2" t="str">
        <f>IFERROR(__xludf.DUMMYFUNCTION("""COMPUTED_VALUE"""),"PhD student")</f>
        <v>PhD student</v>
      </c>
      <c r="F1399" s="2" t="str">
        <f>IFERROR(__xludf.DUMMYFUNCTION("""COMPUTED_VALUE"""),"ag2005@cam.ac.uk")</f>
        <v>ag2005@cam.ac.uk</v>
      </c>
      <c r="G1399" s="2" t="str">
        <f>IFERROR(__xludf.DUMMYFUNCTION("""COMPUTED_VALUE"""),"0000-0002-9155-1961")</f>
        <v>0000-0002-9155-1961</v>
      </c>
    </row>
    <row r="1400">
      <c r="A1400" s="2" t="str">
        <f>IFERROR(__xludf.DUMMYFUNCTION("""COMPUTED_VALUE"""),"Grant-Peters")</f>
        <v>Grant-Peters</v>
      </c>
      <c r="B1400" s="2" t="str">
        <f>IFERROR(__xludf.DUMMYFUNCTION("""COMPUTED_VALUE"""),"Melissa")</f>
        <v>Melissa</v>
      </c>
      <c r="C1400" s="2" t="str">
        <f>IFERROR(__xludf.DUMMYFUNCTION("""COMPUTED_VALUE"""),"Key Personnel")</f>
        <v>Key Personnel</v>
      </c>
      <c r="D1400" s="2" t="str">
        <f>IFERROR(__xludf.DUMMYFUNCTION("""COMPUTED_VALUE"""),"Ryten")</f>
        <v>Ryten</v>
      </c>
      <c r="E1400" s="2" t="str">
        <f>IFERROR(__xludf.DUMMYFUNCTION("""COMPUTED_VALUE"""),"Postdoc")</f>
        <v>Postdoc</v>
      </c>
      <c r="F1400" s="2" t="str">
        <f>IFERROR(__xludf.DUMMYFUNCTION("""COMPUTED_VALUE"""),"m.grant-peters@ucl.ac.uk")</f>
        <v>m.grant-peters@ucl.ac.uk</v>
      </c>
      <c r="G1400" s="2" t="str">
        <f>IFERROR(__xludf.DUMMYFUNCTION("""COMPUTED_VALUE"""),"0000-0003-0585-0971")</f>
        <v>0000-0003-0585-0971</v>
      </c>
    </row>
    <row r="1401">
      <c r="A1401" s="2" t="str">
        <f>IFERROR(__xludf.DUMMYFUNCTION("""COMPUTED_VALUE"""),"Brock")</f>
        <v>Brock</v>
      </c>
      <c r="B1401" s="2" t="str">
        <f>IFERROR(__xludf.DUMMYFUNCTION("""COMPUTED_VALUE"""),"Emma")</f>
        <v>Emma</v>
      </c>
      <c r="C1401" s="2" t="str">
        <f>IFERROR(__xludf.DUMMYFUNCTION("""COMPUTED_VALUE"""),"Key Personnel")</f>
        <v>Key Personnel</v>
      </c>
      <c r="D1401" s="2" t="str">
        <f>IFERROR(__xludf.DUMMYFUNCTION("""COMPUTED_VALUE"""),"Lee")</f>
        <v>Lee</v>
      </c>
      <c r="E1401" s="2" t="str">
        <f>IFERROR(__xludf.DUMMYFUNCTION("""COMPUTED_VALUE"""),"Post doc")</f>
        <v>Post doc</v>
      </c>
      <c r="F1401" s="2" t="str">
        <f>IFERROR(__xludf.DUMMYFUNCTION("""COMPUTED_VALUE"""),"eb936@cam.ac.uk")</f>
        <v>eb936@cam.ac.uk</v>
      </c>
      <c r="G1401" s="2" t="str">
        <f>IFERROR(__xludf.DUMMYFUNCTION("""COMPUTED_VALUE"""),"0000-0002-7683-0153")</f>
        <v>0000-0002-7683-0153</v>
      </c>
    </row>
    <row r="1402">
      <c r="A1402" s="2" t="str">
        <f>IFERROR(__xludf.DUMMYFUNCTION("""COMPUTED_VALUE"""),"Mahoney Sanchez")</f>
        <v>Mahoney Sanchez</v>
      </c>
      <c r="B1402" s="2" t="str">
        <f>IFERROR(__xludf.DUMMYFUNCTION("""COMPUTED_VALUE"""),"Laura")</f>
        <v>Laura</v>
      </c>
      <c r="C1402" s="2" t="str">
        <f>IFERROR(__xludf.DUMMYFUNCTION("""COMPUTED_VALUE"""),"Key Personnel")</f>
        <v>Key Personnel</v>
      </c>
      <c r="D1402" s="2" t="str">
        <f>IFERROR(__xludf.DUMMYFUNCTION("""COMPUTED_VALUE"""),"Gandhi")</f>
        <v>Gandhi</v>
      </c>
      <c r="E1402" s="2" t="str">
        <f>IFERROR(__xludf.DUMMYFUNCTION("""COMPUTED_VALUE"""),"Post doc")</f>
        <v>Post doc</v>
      </c>
      <c r="F1402" s="2" t="str">
        <f>IFERROR(__xludf.DUMMYFUNCTION("""COMPUTED_VALUE"""),"laura.mahoney@ucl.ac.uk")</f>
        <v>laura.mahoney@ucl.ac.uk</v>
      </c>
      <c r="G1402" s="2" t="str">
        <f>IFERROR(__xludf.DUMMYFUNCTION("""COMPUTED_VALUE"""),"0000-0002-2377-8267")</f>
        <v>0000-0002-2377-8267</v>
      </c>
    </row>
    <row r="1403">
      <c r="A1403" s="2" t="str">
        <f>IFERROR(__xludf.DUMMYFUNCTION("""COMPUTED_VALUE"""),"Lopez Garcia ")</f>
        <v>Lopez Garcia </v>
      </c>
      <c r="B1403" s="2" t="str">
        <f>IFERROR(__xludf.DUMMYFUNCTION("""COMPUTED_VALUE"""),"Patricia")</f>
        <v>Patricia</v>
      </c>
      <c r="C1403" s="2" t="str">
        <f>IFERROR(__xludf.DUMMYFUNCTION("""COMPUTED_VALUE"""),"Key Personnel")</f>
        <v>Key Personnel</v>
      </c>
      <c r="D1403" s="2" t="str">
        <f>IFERROR(__xludf.DUMMYFUNCTION("""COMPUTED_VALUE"""),"Gandhi")</f>
        <v>Gandhi</v>
      </c>
      <c r="E1403" s="2" t="str">
        <f>IFERROR(__xludf.DUMMYFUNCTION("""COMPUTED_VALUE"""),"Post doc")</f>
        <v>Post doc</v>
      </c>
      <c r="F1403" s="2" t="str">
        <f>IFERROR(__xludf.DUMMYFUNCTION("""COMPUTED_VALUE"""),"patricia.garcia@crick.ac.uk")</f>
        <v>patricia.garcia@crick.ac.uk</v>
      </c>
      <c r="G1403" s="2" t="str">
        <f>IFERROR(__xludf.DUMMYFUNCTION("""COMPUTED_VALUE"""),"0000-0001-6636-5940")</f>
        <v>0000-0001-6636-5940</v>
      </c>
    </row>
    <row r="1404">
      <c r="A1404" s="2" t="str">
        <f>IFERROR(__xludf.DUMMYFUNCTION("""COMPUTED_VALUE"""),"Garcia Ruiz")</f>
        <v>Garcia Ruiz</v>
      </c>
      <c r="B1404" s="2" t="str">
        <f>IFERROR(__xludf.DUMMYFUNCTION("""COMPUTED_VALUE"""),"Sonia")</f>
        <v>Sonia</v>
      </c>
      <c r="C1404" s="2" t="str">
        <f>IFERROR(__xludf.DUMMYFUNCTION("""COMPUTED_VALUE"""),"Key Personnel")</f>
        <v>Key Personnel</v>
      </c>
      <c r="D1404" s="2" t="str">
        <f>IFERROR(__xludf.DUMMYFUNCTION("""COMPUTED_VALUE"""),"Ryten")</f>
        <v>Ryten</v>
      </c>
      <c r="E1404" s="2" t="str">
        <f>IFERROR(__xludf.DUMMYFUNCTION("""COMPUTED_VALUE"""),"Post doc")</f>
        <v>Post doc</v>
      </c>
      <c r="F1404" s="2" t="str">
        <f>IFERROR(__xludf.DUMMYFUNCTION("""COMPUTED_VALUE"""),"skgtsg0@ucl.ac.uk")</f>
        <v>skgtsg0@ucl.ac.uk</v>
      </c>
      <c r="G1404" s="2" t="str">
        <f>IFERROR(__xludf.DUMMYFUNCTION("""COMPUTED_VALUE"""),"0000-0003-4913-5312")</f>
        <v>0000-0003-4913-5312</v>
      </c>
    </row>
    <row r="1405">
      <c r="A1405" s="2" t="str">
        <f>IFERROR(__xludf.DUMMYFUNCTION("""COMPUTED_VALUE"""),"Chhatwal")</f>
        <v>Chhatwal</v>
      </c>
      <c r="B1405" s="2" t="str">
        <f>IFERROR(__xludf.DUMMYFUNCTION("""COMPUTED_VALUE"""),"Burleen")</f>
        <v>Burleen</v>
      </c>
      <c r="C1405" s="2" t="str">
        <f>IFERROR(__xludf.DUMMYFUNCTION("""COMPUTED_VALUE"""),"Key Personnel")</f>
        <v>Key Personnel</v>
      </c>
      <c r="D1405" s="2" t="str">
        <f>IFERROR(__xludf.DUMMYFUNCTION("""COMPUTED_VALUE"""),"Wood")</f>
        <v>Wood</v>
      </c>
      <c r="E1405" s="2" t="str">
        <f>IFERROR(__xludf.DUMMYFUNCTION("""COMPUTED_VALUE"""),"Phd Student")</f>
        <v>Phd Student</v>
      </c>
      <c r="F1405" s="2" t="str">
        <f>IFERROR(__xludf.DUMMYFUNCTION("""COMPUTED_VALUE"""),"burleen.chhatwal.18@ucl.ac.uk")</f>
        <v>burleen.chhatwal.18@ucl.ac.uk</v>
      </c>
      <c r="G1405" s="2" t="str">
        <f>IFERROR(__xludf.DUMMYFUNCTION("""COMPUTED_VALUE"""),"0000-0001-7593-1916")</f>
        <v>0000-0001-7593-1916</v>
      </c>
    </row>
    <row r="1406">
      <c r="A1406" s="2" t="str">
        <f>IFERROR(__xludf.DUMMYFUNCTION("""COMPUTED_VALUE"""),"Beckwith")</f>
        <v>Beckwith</v>
      </c>
      <c r="B1406" s="2" t="str">
        <f>IFERROR(__xludf.DUMMYFUNCTION("""COMPUTED_VALUE"""),"Joe")</f>
        <v>Joe</v>
      </c>
      <c r="C1406" s="2" t="str">
        <f>IFERROR(__xludf.DUMMYFUNCTION("""COMPUTED_VALUE"""),"Key Personnel")</f>
        <v>Key Personnel</v>
      </c>
      <c r="D1406" s="2" t="str">
        <f>IFERROR(__xludf.DUMMYFUNCTION("""COMPUTED_VALUE"""),"Lee")</f>
        <v>Lee</v>
      </c>
      <c r="E1406" s="2" t="str">
        <f>IFERROR(__xludf.DUMMYFUNCTION("""COMPUTED_VALUE"""),"Post Doc")</f>
        <v>Post Doc</v>
      </c>
      <c r="F1406" s="2" t="str">
        <f>IFERROR(__xludf.DUMMYFUNCTION("""COMPUTED_VALUE"""),"jsb92@cam.ac.uk")</f>
        <v>jsb92@cam.ac.uk</v>
      </c>
      <c r="G1406" s="2" t="str">
        <f>IFERROR(__xludf.DUMMYFUNCTION("""COMPUTED_VALUE"""),"0000-0003-4726-230X")</f>
        <v>0000-0003-4726-230X</v>
      </c>
    </row>
    <row r="1407">
      <c r="A1407" s="2" t="str">
        <f>IFERROR(__xludf.DUMMYFUNCTION("""COMPUTED_VALUE"""),"Penverne")</f>
        <v>Penverne</v>
      </c>
      <c r="B1407" s="2" t="str">
        <f>IFERROR(__xludf.DUMMYFUNCTION("""COMPUTED_VALUE"""),"Alexis ")</f>
        <v>Alexis </v>
      </c>
      <c r="C1407" s="2" t="str">
        <f>IFERROR(__xludf.DUMMYFUNCTION("""COMPUTED_VALUE"""),"Key Personnel")</f>
        <v>Key Personnel</v>
      </c>
      <c r="D1407" s="2" t="str">
        <f>IFERROR(__xludf.DUMMYFUNCTION("""COMPUTED_VALUE"""),"Gandhi")</f>
        <v>Gandhi</v>
      </c>
      <c r="E1407" s="2" t="str">
        <f>IFERROR(__xludf.DUMMYFUNCTION("""COMPUTED_VALUE"""),"Technician")</f>
        <v>Technician</v>
      </c>
      <c r="F1407" s="2" t="str">
        <f>IFERROR(__xludf.DUMMYFUNCTION("""COMPUTED_VALUE"""),"alexis.penverne@gmail.com")</f>
        <v>alexis.penverne@gmail.com</v>
      </c>
      <c r="G1407" s="2" t="str">
        <f>IFERROR(__xludf.DUMMYFUNCTION("""COMPUTED_VALUE"""),"0000-0001-8980-837X")</f>
        <v>0000-0001-8980-837X</v>
      </c>
    </row>
    <row r="1408">
      <c r="A1408" s="2" t="str">
        <f>IFERROR(__xludf.DUMMYFUNCTION("""COMPUTED_VALUE"""),"Macpherson")</f>
        <v>Macpherson</v>
      </c>
      <c r="B1408" s="2" t="str">
        <f>IFERROR(__xludf.DUMMYFUNCTION("""COMPUTED_VALUE"""),"Hannah")</f>
        <v>Hannah</v>
      </c>
      <c r="C1408" s="2" t="str">
        <f>IFERROR(__xludf.DUMMYFUNCTION("""COMPUTED_VALUE"""),"Key Personnel")</f>
        <v>Key Personnel</v>
      </c>
      <c r="D1408" s="2" t="str">
        <f>IFERROR(__xludf.DUMMYFUNCTION("""COMPUTED_VALUE"""),"Ryten")</f>
        <v>Ryten</v>
      </c>
      <c r="E1408" s="2" t="str">
        <f>IFERROR(__xludf.DUMMYFUNCTION("""COMPUTED_VALUE"""),"Senior Technician")</f>
        <v>Senior Technician</v>
      </c>
      <c r="F1408" s="2" t="str">
        <f>IFERROR(__xludf.DUMMYFUNCTION("""COMPUTED_VALUE"""),"hannah.macpherson.14@ucl.ac.uk")</f>
        <v>hannah.macpherson.14@ucl.ac.uk</v>
      </c>
      <c r="G1408" s="2" t="str">
        <f>IFERROR(__xludf.DUMMYFUNCTION("""COMPUTED_VALUE"""),"0000-0002-9535-4025")</f>
        <v>0000-0002-9535-4025</v>
      </c>
    </row>
    <row r="1409">
      <c r="A1409" s="2" t="str">
        <f>IFERROR(__xludf.DUMMYFUNCTION("""COMPUTED_VALUE"""),"Bruggeman")</f>
        <v>Bruggeman</v>
      </c>
      <c r="B1409" s="2" t="str">
        <f>IFERROR(__xludf.DUMMYFUNCTION("""COMPUTED_VALUE"""),"Ezra ")</f>
        <v>Ezra </v>
      </c>
      <c r="C1409" s="2" t="str">
        <f>IFERROR(__xludf.DUMMYFUNCTION("""COMPUTED_VALUE"""),"Key Personnel")</f>
        <v>Key Personnel</v>
      </c>
      <c r="D1409" s="2" t="str">
        <f>IFERROR(__xludf.DUMMYFUNCTION("""COMPUTED_VALUE"""),"Lee")</f>
        <v>Lee</v>
      </c>
      <c r="E1409" s="2" t="str">
        <f>IFERROR(__xludf.DUMMYFUNCTION("""COMPUTED_VALUE"""),"post doc ")</f>
        <v>post doc </v>
      </c>
      <c r="F1409" s="2" t="str">
        <f>IFERROR(__xludf.DUMMYFUNCTION("""COMPUTED_VALUE"""),"eb758@cam.ac.uk")</f>
        <v>eb758@cam.ac.uk</v>
      </c>
      <c r="G1409" s="2" t="str">
        <f>IFERROR(__xludf.DUMMYFUNCTION("""COMPUTED_VALUE"""),"0000-0001-6100-1443")</f>
        <v>0000-0001-6100-1443</v>
      </c>
    </row>
    <row r="1410">
      <c r="A1410" s="2" t="str">
        <f>IFERROR(__xludf.DUMMYFUNCTION("""COMPUTED_VALUE"""),"Roentgen")</f>
        <v>Roentgen</v>
      </c>
      <c r="B1410" s="2" t="str">
        <f>IFERROR(__xludf.DUMMYFUNCTION("""COMPUTED_VALUE"""),"Alexander ")</f>
        <v>Alexander </v>
      </c>
      <c r="C1410" s="2" t="str">
        <f>IFERROR(__xludf.DUMMYFUNCTION("""COMPUTED_VALUE"""),"Key Personnel")</f>
        <v>Key Personnel</v>
      </c>
      <c r="D1410" s="2" t="str">
        <f>IFERROR(__xludf.DUMMYFUNCTION("""COMPUTED_VALUE"""),"Vendruscolo")</f>
        <v>Vendruscolo</v>
      </c>
      <c r="E1410" s="2" t="str">
        <f>IFERROR(__xludf.DUMMYFUNCTION("""COMPUTED_VALUE"""),"student")</f>
        <v>student</v>
      </c>
      <c r="F1410" s="2" t="str">
        <f>IFERROR(__xludf.DUMMYFUNCTION("""COMPUTED_VALUE"""),"ahwr2@cam.ac.uk")</f>
        <v>ahwr2@cam.ac.uk</v>
      </c>
      <c r="G1410" s="2" t="str">
        <f>IFERROR(__xludf.DUMMYFUNCTION("""COMPUTED_VALUE"""),"0000-0002-0500-4815")</f>
        <v>0000-0002-0500-4815</v>
      </c>
    </row>
    <row r="1411">
      <c r="A1411" s="2" t="str">
        <f>IFERROR(__xludf.DUMMYFUNCTION("""COMPUTED_VALUE"""),"Brezinova")</f>
        <v>Brezinova</v>
      </c>
      <c r="B1411" s="2" t="str">
        <f>IFERROR(__xludf.DUMMYFUNCTION("""COMPUTED_VALUE"""),"Michaela")</f>
        <v>Michaela</v>
      </c>
      <c r="C1411" s="2" t="str">
        <f>IFERROR(__xludf.DUMMYFUNCTION("""COMPUTED_VALUE"""),"Key Personnel")</f>
        <v>Key Personnel</v>
      </c>
      <c r="D1411" s="2" t="str">
        <f>IFERROR(__xludf.DUMMYFUNCTION("""COMPUTED_VALUE"""),"Vendruscolo")</f>
        <v>Vendruscolo</v>
      </c>
      <c r="E1411" s="2" t="str">
        <f>IFERROR(__xludf.DUMMYFUNCTION("""COMPUTED_VALUE"""),"Student ")</f>
        <v>Student </v>
      </c>
      <c r="F1411" s="2" t="str">
        <f>IFERROR(__xludf.DUMMYFUNCTION("""COMPUTED_VALUE"""),"mb2462@cam.ac.uk")</f>
        <v>mb2462@cam.ac.uk</v>
      </c>
      <c r="G1411" s="2" t="str">
        <f>IFERROR(__xludf.DUMMYFUNCTION("""COMPUTED_VALUE"""),"0000-0001-7311-1797")</f>
        <v>0000-0001-7311-1797</v>
      </c>
    </row>
    <row r="1412">
      <c r="A1412" s="2" t="str">
        <f>IFERROR(__xludf.DUMMYFUNCTION("""COMPUTED_VALUE"""),"Nahidiazar")</f>
        <v>Nahidiazar</v>
      </c>
      <c r="B1412" s="2" t="str">
        <f>IFERROR(__xludf.DUMMYFUNCTION("""COMPUTED_VALUE"""),"Leila")</f>
        <v>Leila</v>
      </c>
      <c r="C1412" s="2" t="str">
        <f>IFERROR(__xludf.DUMMYFUNCTION("""COMPUTED_VALUE"""),"Key Personnel")</f>
        <v>Key Personnel</v>
      </c>
      <c r="D1412" s="2" t="str">
        <f>IFERROR(__xludf.DUMMYFUNCTION("""COMPUTED_VALUE"""),"Lee")</f>
        <v>Lee</v>
      </c>
      <c r="E1412" s="2" t="str">
        <f>IFERROR(__xludf.DUMMYFUNCTION("""COMPUTED_VALUE"""),"Post doc")</f>
        <v>Post doc</v>
      </c>
      <c r="F1412" s="2" t="str">
        <f>IFERROR(__xludf.DUMMYFUNCTION("""COMPUTED_VALUE"""),"ln391@cam.ac.uk")</f>
        <v>ln391@cam.ac.uk</v>
      </c>
      <c r="G1412" s="2" t="str">
        <f>IFERROR(__xludf.DUMMYFUNCTION("""COMPUTED_VALUE"""),"0000-0002-1154-4973")</f>
        <v>0000-0002-1154-4973</v>
      </c>
    </row>
    <row r="1413">
      <c r="A1413" s="2" t="str">
        <f>IFERROR(__xludf.DUMMYFUNCTION("""COMPUTED_VALUE"""),"Almramhi")</f>
        <v>Almramhi</v>
      </c>
      <c r="B1413" s="2" t="str">
        <f>IFERROR(__xludf.DUMMYFUNCTION("""COMPUTED_VALUE"""),"Mona")</f>
        <v>Mona</v>
      </c>
      <c r="C1413" s="2" t="str">
        <f>IFERROR(__xludf.DUMMYFUNCTION("""COMPUTED_VALUE"""),"Key Personnel")</f>
        <v>Key Personnel</v>
      </c>
      <c r="D1413" s="2" t="str">
        <f>IFERROR(__xludf.DUMMYFUNCTION("""COMPUTED_VALUE"""),"Wood")</f>
        <v>Wood</v>
      </c>
      <c r="E1413" s="2" t="str">
        <f>IFERROR(__xludf.DUMMYFUNCTION("""COMPUTED_VALUE"""),"Post Doc")</f>
        <v>Post Doc</v>
      </c>
      <c r="F1413" s="2" t="str">
        <f>IFERROR(__xludf.DUMMYFUNCTION("""COMPUTED_VALUE"""),"m.almramhi@ucl.ac.uk")</f>
        <v>m.almramhi@ucl.ac.uk</v>
      </c>
      <c r="G1413" s="2" t="str">
        <f>IFERROR(__xludf.DUMMYFUNCTION("""COMPUTED_VALUE"""),"0000-0002-4370-373X")</f>
        <v>0000-0002-4370-373X</v>
      </c>
    </row>
    <row r="1414">
      <c r="A1414" s="2" t="str">
        <f>IFERROR(__xludf.DUMMYFUNCTION("""COMPUTED_VALUE"""),"Rocamora Parez")</f>
        <v>Rocamora Parez</v>
      </c>
      <c r="B1414" s="2" t="str">
        <f>IFERROR(__xludf.DUMMYFUNCTION("""COMPUTED_VALUE"""),"Guillermo")</f>
        <v>Guillermo</v>
      </c>
      <c r="C1414" s="2" t="str">
        <f>IFERROR(__xludf.DUMMYFUNCTION("""COMPUTED_VALUE"""),"Key Personnel")</f>
        <v>Key Personnel</v>
      </c>
      <c r="D1414" s="2" t="str">
        <f>IFERROR(__xludf.DUMMYFUNCTION("""COMPUTED_VALUE"""),"Ryten")</f>
        <v>Ryten</v>
      </c>
      <c r="E1414" s="2" t="str">
        <f>IFERROR(__xludf.DUMMYFUNCTION("""COMPUTED_VALUE"""),"Contractor")</f>
        <v>Contractor</v>
      </c>
      <c r="F1414" s="2" t="str">
        <f>IFERROR(__xludf.DUMMYFUNCTION("""COMPUTED_VALUE"""),"guillermorocamora@gmail.com")</f>
        <v>guillermorocamora@gmail.com</v>
      </c>
      <c r="G1414" s="2" t="str">
        <f>IFERROR(__xludf.DUMMYFUNCTION("""COMPUTED_VALUE"""),"0000-0002-4795-3648")</f>
        <v>0000-0002-4795-3648</v>
      </c>
    </row>
    <row r="1415">
      <c r="A1415" s="2" t="str">
        <f>IFERROR(__xludf.DUMMYFUNCTION("""COMPUTED_VALUE"""),"Strohbuecker")</f>
        <v>Strohbuecker</v>
      </c>
      <c r="B1415" s="2" t="str">
        <f>IFERROR(__xludf.DUMMYFUNCTION("""COMPUTED_VALUE"""),"Stephanie ")</f>
        <v>Stephanie </v>
      </c>
      <c r="C1415" s="2" t="str">
        <f>IFERROR(__xludf.DUMMYFUNCTION("""COMPUTED_VALUE"""),"Key Personnel")</f>
        <v>Key Personnel</v>
      </c>
      <c r="D1415" s="2" t="str">
        <f>IFERROR(__xludf.DUMMYFUNCTION("""COMPUTED_VALUE"""),"Wood")</f>
        <v>Wood</v>
      </c>
      <c r="E1415" s="2" t="str">
        <f>IFERROR(__xludf.DUMMYFUNCTION("""COMPUTED_VALUE"""),"Post doc")</f>
        <v>Post doc</v>
      </c>
      <c r="F1415" s="2" t="str">
        <f>IFERROR(__xludf.DUMMYFUNCTION("""COMPUTED_VALUE"""),"stephanie.strohbuecker@crick.ac.uk")</f>
        <v>stephanie.strohbuecker@crick.ac.uk</v>
      </c>
      <c r="G1415" s="2" t="str">
        <f>IFERROR(__xludf.DUMMYFUNCTION("""COMPUTED_VALUE"""),"0000-0002-9781-6879")</f>
        <v>0000-0002-9781-6879</v>
      </c>
    </row>
    <row r="1416">
      <c r="A1416" s="2" t="str">
        <f>IFERROR(__xludf.DUMMYFUNCTION("""COMPUTED_VALUE"""),"Clarke")</f>
        <v>Clarke</v>
      </c>
      <c r="B1416" s="2" t="str">
        <f>IFERROR(__xludf.DUMMYFUNCTION("""COMPUTED_VALUE"""),"Hannah ")</f>
        <v>Hannah </v>
      </c>
      <c r="C1416" s="2" t="str">
        <f>IFERROR(__xludf.DUMMYFUNCTION("""COMPUTED_VALUE"""),"Key Personnel")</f>
        <v>Key Personnel</v>
      </c>
      <c r="D1416" s="2" t="str">
        <f>IFERROR(__xludf.DUMMYFUNCTION("""COMPUTED_VALUE"""),"Gandhi")</f>
        <v>Gandhi</v>
      </c>
      <c r="E1416" s="2" t="str">
        <f>IFERROR(__xludf.DUMMYFUNCTION("""COMPUTED_VALUE"""),"postdoc")</f>
        <v>postdoc</v>
      </c>
      <c r="F1416" s="2" t="str">
        <f>IFERROR(__xludf.DUMMYFUNCTION("""COMPUTED_VALUE"""),"h.j.clarke@ucl.ac.uk")</f>
        <v>h.j.clarke@ucl.ac.uk</v>
      </c>
      <c r="G1416" s="2" t="str">
        <f>IFERROR(__xludf.DUMMYFUNCTION("""COMPUTED_VALUE"""),"0000-0002-6800-162X")</f>
        <v>0000-0002-6800-162X</v>
      </c>
    </row>
    <row r="1417">
      <c r="A1417" s="2" t="str">
        <f>IFERROR(__xludf.DUMMYFUNCTION("""COMPUTED_VALUE"""),"Popovic")</f>
        <v>Popovic</v>
      </c>
      <c r="B1417" s="2" t="str">
        <f>IFERROR(__xludf.DUMMYFUNCTION("""COMPUTED_VALUE"""),"Rebeka")</f>
        <v>Rebeka</v>
      </c>
      <c r="C1417" s="2" t="str">
        <f>IFERROR(__xludf.DUMMYFUNCTION("""COMPUTED_VALUE"""),"Key Personnel")</f>
        <v>Key Personnel</v>
      </c>
      <c r="D1417" s="2" t="str">
        <f>IFERROR(__xludf.DUMMYFUNCTION("""COMPUTED_VALUE"""),"Gandhi")</f>
        <v>Gandhi</v>
      </c>
      <c r="E1417" s="2" t="str">
        <f>IFERROR(__xludf.DUMMYFUNCTION("""COMPUTED_VALUE"""),"Post doc")</f>
        <v>Post doc</v>
      </c>
      <c r="F1417" s="2" t="str">
        <f>IFERROR(__xludf.DUMMYFUNCTION("""COMPUTED_VALUE"""),"rebeka.popovic@ucl.ac.uk")</f>
        <v>rebeka.popovic@ucl.ac.uk</v>
      </c>
      <c r="G1417" s="2" t="str">
        <f>IFERROR(__xludf.DUMMYFUNCTION("""COMPUTED_VALUE"""),"0000-0002-6839-9391")</f>
        <v>0000-0002-6839-9391</v>
      </c>
    </row>
    <row r="1418">
      <c r="A1418" s="2" t="str">
        <f>IFERROR(__xludf.DUMMYFUNCTION("""COMPUTED_VALUE"""),"Robin")</f>
        <v>Robin</v>
      </c>
      <c r="B1418" s="2" t="str">
        <f>IFERROR(__xludf.DUMMYFUNCTION("""COMPUTED_VALUE"""),"Joe")</f>
        <v>Joe</v>
      </c>
      <c r="C1418" s="2" t="str">
        <f>IFERROR(__xludf.DUMMYFUNCTION("""COMPUTED_VALUE"""),"Key Personnel")</f>
        <v>Key Personnel</v>
      </c>
      <c r="D1418" s="2" t="str">
        <f>IFERROR(__xludf.DUMMYFUNCTION("""COMPUTED_VALUE"""),"Gandhi")</f>
        <v>Gandhi</v>
      </c>
      <c r="E1418" s="2" t="str">
        <f>IFERROR(__xludf.DUMMYFUNCTION("""COMPUTED_VALUE"""),"Masters student")</f>
        <v>Masters student</v>
      </c>
      <c r="F1418" s="2" t="str">
        <f>IFERROR(__xludf.DUMMYFUNCTION("""COMPUTED_VALUE"""),"joe.robin@crick.ac.uk")</f>
        <v>joe.robin@crick.ac.uk</v>
      </c>
      <c r="G1418" s="2" t="str">
        <f>IFERROR(__xludf.DUMMYFUNCTION("""COMPUTED_VALUE"""),"0000-0003-1755-7692")</f>
        <v>0000-0003-1755-7692</v>
      </c>
    </row>
    <row r="1419">
      <c r="A1419" s="2" t="str">
        <f>IFERROR(__xludf.DUMMYFUNCTION("""COMPUTED_VALUE"""),"Almeida")</f>
        <v>Almeida</v>
      </c>
      <c r="B1419" s="2" t="str">
        <f>IFERROR(__xludf.DUMMYFUNCTION("""COMPUTED_VALUE"""),"Alexandre")</f>
        <v>Alexandre</v>
      </c>
      <c r="C1419" s="2" t="str">
        <f>IFERROR(__xludf.DUMMYFUNCTION("""COMPUTED_VALUE"""),"Key Personnel")</f>
        <v>Key Personnel</v>
      </c>
      <c r="D1419" s="2" t="str">
        <f>IFERROR(__xludf.DUMMYFUNCTION("""COMPUTED_VALUE"""),"Vendruscolo")</f>
        <v>Vendruscolo</v>
      </c>
      <c r="E1419" s="2" t="str">
        <f>IFERROR(__xludf.DUMMYFUNCTION("""COMPUTED_VALUE"""),"post doc")</f>
        <v>post doc</v>
      </c>
      <c r="F1419" s="2" t="str">
        <f>IFERROR(__xludf.DUMMYFUNCTION("""COMPUTED_VALUE""")," aa2369@cam.ac.uk")</f>
        <v> aa2369@cam.ac.uk</v>
      </c>
      <c r="G1419" s="2" t="str">
        <f>IFERROR(__xludf.DUMMYFUNCTION("""COMPUTED_VALUE"""),"0000-0001-8803-0893")</f>
        <v>0000-0001-8803-0893</v>
      </c>
    </row>
    <row r="1420">
      <c r="A1420" s="2" t="str">
        <f>IFERROR(__xludf.DUMMYFUNCTION("""COMPUTED_VALUE"""),"Horrocks ")</f>
        <v>Horrocks </v>
      </c>
      <c r="B1420" s="2" t="str">
        <f>IFERROR(__xludf.DUMMYFUNCTION("""COMPUTED_VALUE"""),"Mathew")</f>
        <v>Mathew</v>
      </c>
      <c r="C1420" s="2" t="str">
        <f>IFERROR(__xludf.DUMMYFUNCTION("""COMPUTED_VALUE"""),"Collaborating PI")</f>
        <v>Collaborating PI</v>
      </c>
      <c r="D1420" s="2" t="str">
        <f>IFERROR(__xludf.DUMMYFUNCTION("""COMPUTED_VALUE"""),"Horrocks")</f>
        <v>Horrocks</v>
      </c>
      <c r="E1420" s="2" t="str">
        <f>IFERROR(__xludf.DUMMYFUNCTION("""COMPUTED_VALUE"""),"Group Lead")</f>
        <v>Group Lead</v>
      </c>
      <c r="F1420" s="2" t="str">
        <f>IFERROR(__xludf.DUMMYFUNCTION("""COMPUTED_VALUE"""),"mathew.horrocks@ed.ac.uk")</f>
        <v>mathew.horrocks@ed.ac.uk</v>
      </c>
      <c r="G1420" s="2" t="str">
        <f>IFERROR(__xludf.DUMMYFUNCTION("""COMPUTED_VALUE"""),"0000-0001-5495-5492")</f>
        <v>0000-0001-5495-5492</v>
      </c>
    </row>
    <row r="1421">
      <c r="A1421" s="2" t="str">
        <f>IFERROR(__xludf.DUMMYFUNCTION("""COMPUTED_VALUE"""),"Vinkovic")</f>
        <v>Vinkovic</v>
      </c>
      <c r="B1421" s="2" t="str">
        <f>IFERROR(__xludf.DUMMYFUNCTION("""COMPUTED_VALUE"""),"Nika")</f>
        <v>Nika</v>
      </c>
      <c r="C1421" s="2" t="str">
        <f>IFERROR(__xludf.DUMMYFUNCTION("""COMPUTED_VALUE"""),"Key Personnel")</f>
        <v>Key Personnel</v>
      </c>
      <c r="D1421" s="2" t="str">
        <f>IFERROR(__xludf.DUMMYFUNCTION("""COMPUTED_VALUE"""),"Vendruscolo")</f>
        <v>Vendruscolo</v>
      </c>
      <c r="E1421" s="2" t="str">
        <f>IFERROR(__xludf.DUMMYFUNCTION("""COMPUTED_VALUE"""),"Phd sudent")</f>
        <v>Phd sudent</v>
      </c>
      <c r="F1421" s="2" t="str">
        <f>IFERROR(__xludf.DUMMYFUNCTION("""COMPUTED_VALUE"""),"nv356@cam.ac.uk")</f>
        <v>nv356@cam.ac.uk</v>
      </c>
      <c r="G1421" s="2" t="str">
        <f>IFERROR(__xludf.DUMMYFUNCTION("""COMPUTED_VALUE"""),"0009-0005-6875-3636")</f>
        <v>0009-0005-6875-3636</v>
      </c>
    </row>
    <row r="1422">
      <c r="A1422" s="2" t="str">
        <f>IFERROR(__xludf.DUMMYFUNCTION("""COMPUTED_VALUE"""),"Sulzer")</f>
        <v>Sulzer</v>
      </c>
      <c r="B1422" s="2" t="str">
        <f>IFERROR(__xludf.DUMMYFUNCTION("""COMPUTED_VALUE"""),"David")</f>
        <v>David</v>
      </c>
      <c r="C1422" s="2" t="str">
        <f>IFERROR(__xludf.DUMMYFUNCTION("""COMPUTED_VALUE"""),"Lead PI")</f>
        <v>Lead PI</v>
      </c>
      <c r="D1422" s="2"/>
      <c r="E1422" s="2"/>
      <c r="F1422" s="2" t="str">
        <f>IFERROR(__xludf.DUMMYFUNCTION("""COMPUTED_VALUE"""),"ds43@cumc.columbia.edu")</f>
        <v>ds43@cumc.columbia.edu</v>
      </c>
      <c r="G1422" s="2" t="str">
        <f>IFERROR(__xludf.DUMMYFUNCTION("""COMPUTED_VALUE"""),"0000-0001-7632-0439")</f>
        <v>0000-0001-7632-0439</v>
      </c>
    </row>
    <row r="1423">
      <c r="A1423" s="2" t="str">
        <f>IFERROR(__xludf.DUMMYFUNCTION("""COMPUTED_VALUE"""),"Arlehamn")</f>
        <v>Arlehamn</v>
      </c>
      <c r="B1423" s="2" t="str">
        <f>IFERROR(__xludf.DUMMYFUNCTION("""COMPUTED_VALUE"""),"Cecilia ")</f>
        <v>Cecilia </v>
      </c>
      <c r="C1423" s="2" t="str">
        <f>IFERROR(__xludf.DUMMYFUNCTION("""COMPUTED_VALUE"""),"Co-PI")</f>
        <v>Co-PI</v>
      </c>
      <c r="D1423" s="2"/>
      <c r="E1423" s="2"/>
      <c r="F1423" s="2" t="str">
        <f>IFERROR(__xludf.DUMMYFUNCTION("""COMPUTED_VALUE"""),"cecilia@lji.org")</f>
        <v>cecilia@lji.org</v>
      </c>
      <c r="G1423" s="2" t="str">
        <f>IFERROR(__xludf.DUMMYFUNCTION("""COMPUTED_VALUE"""),"0000-0001-7302-8002")</f>
        <v>0000-0001-7302-8002</v>
      </c>
    </row>
    <row r="1424">
      <c r="A1424" s="2" t="str">
        <f>IFERROR(__xludf.DUMMYFUNCTION("""COMPUTED_VALUE"""),"Harms")</f>
        <v>Harms</v>
      </c>
      <c r="B1424" s="2" t="str">
        <f>IFERROR(__xludf.DUMMYFUNCTION("""COMPUTED_VALUE"""),"Ashley")</f>
        <v>Ashley</v>
      </c>
      <c r="C1424" s="2" t="str">
        <f>IFERROR(__xludf.DUMMYFUNCTION("""COMPUTED_VALUE"""),"Co-PI")</f>
        <v>Co-PI</v>
      </c>
      <c r="D1424" s="2"/>
      <c r="E1424" s="2"/>
      <c r="F1424" s="2" t="str">
        <f>IFERROR(__xludf.DUMMYFUNCTION("""COMPUTED_VALUE"""),"anharms@uab.edu")</f>
        <v>anharms@uab.edu</v>
      </c>
      <c r="G1424" s="2" t="str">
        <f>IFERROR(__xludf.DUMMYFUNCTION("""COMPUTED_VALUE"""),"0000-0002-7054-2812")</f>
        <v>0000-0002-7054-2812</v>
      </c>
    </row>
    <row r="1425">
      <c r="A1425" s="2" t="str">
        <f>IFERROR(__xludf.DUMMYFUNCTION("""COMPUTED_VALUE"""),"Mazmanian")</f>
        <v>Mazmanian</v>
      </c>
      <c r="B1425" s="2" t="str">
        <f>IFERROR(__xludf.DUMMYFUNCTION("""COMPUTED_VALUE"""),"Sarkis ")</f>
        <v>Sarkis </v>
      </c>
      <c r="C1425" s="2" t="str">
        <f>IFERROR(__xludf.DUMMYFUNCTION("""COMPUTED_VALUE"""),"Co-PI")</f>
        <v>Co-PI</v>
      </c>
      <c r="D1425" s="2"/>
      <c r="E1425" s="2"/>
      <c r="F1425" s="2" t="str">
        <f>IFERROR(__xludf.DUMMYFUNCTION("""COMPUTED_VALUE"""),"sarkis@caltech.edu")</f>
        <v>sarkis@caltech.edu</v>
      </c>
      <c r="G1425" s="2" t="str">
        <f>IFERROR(__xludf.DUMMYFUNCTION("""COMPUTED_VALUE"""),"0000-0003-2713-1513")</f>
        <v>0000-0003-2713-1513</v>
      </c>
    </row>
    <row r="1426">
      <c r="A1426" s="2" t="str">
        <f>IFERROR(__xludf.DUMMYFUNCTION("""COMPUTED_VALUE"""),"Mosharov")</f>
        <v>Mosharov</v>
      </c>
      <c r="B1426" s="2" t="str">
        <f>IFERROR(__xludf.DUMMYFUNCTION("""COMPUTED_VALUE"""),"Eugene ")</f>
        <v>Eugene </v>
      </c>
      <c r="C1426" s="2" t="str">
        <f>IFERROR(__xludf.DUMMYFUNCTION("""COMPUTED_VALUE"""),"Key Personnel (PI)")</f>
        <v>Key Personnel (PI)</v>
      </c>
      <c r="D1426" s="2" t="str">
        <f>IFERROR(__xludf.DUMMYFUNCTION("""COMPUTED_VALUE"""),"Sulzer/Eugene")</f>
        <v>Sulzer/Eugene</v>
      </c>
      <c r="E1426" s="2" t="str">
        <f>IFERROR(__xludf.DUMMYFUNCTION("""COMPUTED_VALUE"""),"Research scientist")</f>
        <v>Research scientist</v>
      </c>
      <c r="F1426" s="2" t="str">
        <f>IFERROR(__xludf.DUMMYFUNCTION("""COMPUTED_VALUE"""),"em706@cumc.columbia.edu")</f>
        <v>em706@cumc.columbia.edu</v>
      </c>
      <c r="G1426" s="2" t="str">
        <f>IFERROR(__xludf.DUMMYFUNCTION("""COMPUTED_VALUE"""),"0000-0002-0229-7114")</f>
        <v>0000-0002-0229-7114</v>
      </c>
    </row>
    <row r="1427">
      <c r="A1427" s="2" t="str">
        <f>IFERROR(__xludf.DUMMYFUNCTION("""COMPUTED_VALUE"""),"Sette")</f>
        <v>Sette</v>
      </c>
      <c r="B1427" s="2" t="str">
        <f>IFERROR(__xludf.DUMMYFUNCTION("""COMPUTED_VALUE"""),"Alessandro ")</f>
        <v>Alessandro </v>
      </c>
      <c r="C1427" s="2" t="str">
        <f>IFERROR(__xludf.DUMMYFUNCTION("""COMPUTED_VALUE"""),"Key Personnel (PI)")</f>
        <v>Key Personnel (PI)</v>
      </c>
      <c r="D1427" s="2" t="str">
        <f>IFERROR(__xludf.DUMMYFUNCTION("""COMPUTED_VALUE"""),"Arlehamn/Sette")</f>
        <v>Arlehamn/Sette</v>
      </c>
      <c r="E1427" s="2" t="str">
        <f>IFERROR(__xludf.DUMMYFUNCTION("""COMPUTED_VALUE"""),"Professor")</f>
        <v>Professor</v>
      </c>
      <c r="F1427" s="2" t="str">
        <f>IFERROR(__xludf.DUMMYFUNCTION("""COMPUTED_VALUE"""),"alex@lji.org")</f>
        <v>alex@lji.org</v>
      </c>
      <c r="G1427" s="2" t="str">
        <f>IFERROR(__xludf.DUMMYFUNCTION("""COMPUTED_VALUE"""),"0000-0001-7013-2250")</f>
        <v>0000-0001-7013-2250</v>
      </c>
    </row>
    <row r="1428">
      <c r="A1428" s="2" t="str">
        <f>IFERROR(__xludf.DUMMYFUNCTION("""COMPUTED_VALUE"""),"Standaert")</f>
        <v>Standaert</v>
      </c>
      <c r="B1428" s="2" t="str">
        <f>IFERROR(__xludf.DUMMYFUNCTION("""COMPUTED_VALUE"""),"David ")</f>
        <v>David </v>
      </c>
      <c r="C1428" s="2" t="str">
        <f>IFERROR(__xludf.DUMMYFUNCTION("""COMPUTED_VALUE"""),"Key Personnel (PI)")</f>
        <v>Key Personnel (PI)</v>
      </c>
      <c r="D1428" s="2" t="str">
        <f>IFERROR(__xludf.DUMMYFUNCTION("""COMPUTED_VALUE"""),"Harms/Standaert")</f>
        <v>Harms/Standaert</v>
      </c>
      <c r="E1428" s="2" t="str">
        <f>IFERROR(__xludf.DUMMYFUNCTION("""COMPUTED_VALUE"""),"Professor")</f>
        <v>Professor</v>
      </c>
      <c r="F1428" s="2" t="str">
        <f>IFERROR(__xludf.DUMMYFUNCTION("""COMPUTED_VALUE"""),"dstandaert@uabmc.edu")</f>
        <v>dstandaert@uabmc.edu</v>
      </c>
      <c r="G1428" s="2" t="str">
        <f>IFERROR(__xludf.DUMMYFUNCTION("""COMPUTED_VALUE"""),"0000-0003-2921-8348")</f>
        <v>0000-0003-2921-8348</v>
      </c>
    </row>
    <row r="1429">
      <c r="A1429" s="2" t="str">
        <f>IFERROR(__xludf.DUMMYFUNCTION("""COMPUTED_VALUE"""),"Goldman")</f>
        <v>Goldman</v>
      </c>
      <c r="B1429" s="2" t="str">
        <f>IFERROR(__xludf.DUMMYFUNCTION("""COMPUTED_VALUE"""),"James")</f>
        <v>James</v>
      </c>
      <c r="C1429" s="2" t="str">
        <f>IFERROR(__xludf.DUMMYFUNCTION("""COMPUTED_VALUE"""),"Key Personnel (PI)")</f>
        <v>Key Personnel (PI)</v>
      </c>
      <c r="D1429" s="2" t="str">
        <f>IFERROR(__xludf.DUMMYFUNCTION("""COMPUTED_VALUE"""),"Sulzer/Goldman")</f>
        <v>Sulzer/Goldman</v>
      </c>
      <c r="E1429" s="2" t="str">
        <f>IFERROR(__xludf.DUMMYFUNCTION("""COMPUTED_VALUE"""),"Professor")</f>
        <v>Professor</v>
      </c>
      <c r="F1429" s="2" t="str">
        <f>IFERROR(__xludf.DUMMYFUNCTION("""COMPUTED_VALUE"""),"jeg5@cumc.columbia.edu")</f>
        <v>jeg5@cumc.columbia.edu</v>
      </c>
      <c r="G1429" s="2" t="str">
        <f>IFERROR(__xludf.DUMMYFUNCTION("""COMPUTED_VALUE"""),"0000-0003-2135-8936")</f>
        <v>0000-0003-2135-8936</v>
      </c>
    </row>
    <row r="1430">
      <c r="A1430" s="2" t="str">
        <f>IFERROR(__xludf.DUMMYFUNCTION("""COMPUTED_VALUE"""),"Amara")</f>
        <v>Amara</v>
      </c>
      <c r="B1430" s="2" t="str">
        <f>IFERROR(__xludf.DUMMYFUNCTION("""COMPUTED_VALUE"""),"Amy ")</f>
        <v>Amy </v>
      </c>
      <c r="C1430" s="2" t="str">
        <f>IFERROR(__xludf.DUMMYFUNCTION("""COMPUTED_VALUE"""),"Key Personnel (PI)")</f>
        <v>Key Personnel (PI)</v>
      </c>
      <c r="D1430" s="2"/>
      <c r="E1430" s="2" t="str">
        <f>IFERROR(__xludf.DUMMYFUNCTION("""COMPUTED_VALUE"""),"Professor")</f>
        <v>Professor</v>
      </c>
      <c r="F1430" s="2" t="str">
        <f>IFERROR(__xludf.DUMMYFUNCTION("""COMPUTED_VALUE"""),"AMY.AMARA@cuanschutz.edu")</f>
        <v>AMY.AMARA@cuanschutz.edu</v>
      </c>
      <c r="G1430" s="2" t="str">
        <f>IFERROR(__xludf.DUMMYFUNCTION("""COMPUTED_VALUE"""),"0000-0003-0762-9656")</f>
        <v>0000-0003-0762-9656</v>
      </c>
    </row>
    <row r="1431">
      <c r="A1431" s="2" t="str">
        <f>IFERROR(__xludf.DUMMYFUNCTION("""COMPUTED_VALUE"""),"Sims")</f>
        <v>Sims</v>
      </c>
      <c r="B1431" s="2" t="str">
        <f>IFERROR(__xludf.DUMMYFUNCTION("""COMPUTED_VALUE"""),"Peter")</f>
        <v>Peter</v>
      </c>
      <c r="C1431" s="2" t="str">
        <f>IFERROR(__xludf.DUMMYFUNCTION("""COMPUTED_VALUE"""),"Key Personnel (PI)")</f>
        <v>Key Personnel (PI)</v>
      </c>
      <c r="D1431" s="2" t="str">
        <f>IFERROR(__xludf.DUMMYFUNCTION("""COMPUTED_VALUE"""),"Sulzer/Sims")</f>
        <v>Sulzer/Sims</v>
      </c>
      <c r="E1431" s="2" t="str">
        <f>IFERROR(__xludf.DUMMYFUNCTION("""COMPUTED_VALUE"""),"Assistant Professor")</f>
        <v>Assistant Professor</v>
      </c>
      <c r="F1431" s="2" t="str">
        <f>IFERROR(__xludf.DUMMYFUNCTION("""COMPUTED_VALUE"""),"pas2182@cumc.columbia.edu")</f>
        <v>pas2182@cumc.columbia.edu</v>
      </c>
      <c r="G1431" s="2" t="str">
        <f>IFERROR(__xludf.DUMMYFUNCTION("""COMPUTED_VALUE"""),"0000-0002-3921-4837")</f>
        <v>0000-0002-3921-4837</v>
      </c>
    </row>
    <row r="1432">
      <c r="A1432" s="2" t="str">
        <f>IFERROR(__xludf.DUMMYFUNCTION("""COMPUTED_VALUE"""),"Kanter")</f>
        <v>Kanter</v>
      </c>
      <c r="B1432" s="2" t="str">
        <f>IFERROR(__xludf.DUMMYFUNCTION("""COMPUTED_VALUE"""),"Ellen")</f>
        <v>Ellen</v>
      </c>
      <c r="C1432" s="2" t="str">
        <f>IFERROR(__xludf.DUMMYFUNCTION("""COMPUTED_VALUE"""),"Key Personnel")</f>
        <v>Key Personnel</v>
      </c>
      <c r="D1432" s="2" t="str">
        <f>IFERROR(__xludf.DUMMYFUNCTION("""COMPUTED_VALUE"""),"Sulzer")</f>
        <v>Sulzer</v>
      </c>
      <c r="E1432" s="2" t="str">
        <f>IFERROR(__xludf.DUMMYFUNCTION("""COMPUTED_VALUE"""),"Lab manager")</f>
        <v>Lab manager</v>
      </c>
      <c r="F1432" s="2" t="str">
        <f>IFERROR(__xludf.DUMMYFUNCTION("""COMPUTED_VALUE"""),"ek289@cumc.columbia.edu")</f>
        <v>ek289@cumc.columbia.edu</v>
      </c>
      <c r="G1432" s="2" t="str">
        <f>IFERROR(__xludf.DUMMYFUNCTION("""COMPUTED_VALUE"""),"0000-0002-7475-5006")</f>
        <v>0000-0002-7475-5006</v>
      </c>
    </row>
    <row r="1433">
      <c r="A1433" s="2" t="str">
        <f>IFERROR(__xludf.DUMMYFUNCTION("""COMPUTED_VALUE"""),"Jurkuvenaite")</f>
        <v>Jurkuvenaite</v>
      </c>
      <c r="B1433" s="2" t="str">
        <f>IFERROR(__xludf.DUMMYFUNCTION("""COMPUTED_VALUE"""),"Asta ")</f>
        <v>Asta </v>
      </c>
      <c r="C1433" s="2" t="str">
        <f>IFERROR(__xludf.DUMMYFUNCTION("""COMPUTED_VALUE"""),"Key Personnel")</f>
        <v>Key Personnel</v>
      </c>
      <c r="D1433" s="2" t="str">
        <f>IFERROR(__xludf.DUMMYFUNCTION("""COMPUTED_VALUE"""),"Harms")</f>
        <v>Harms</v>
      </c>
      <c r="E1433" s="2" t="str">
        <f>IFERROR(__xludf.DUMMYFUNCTION("""COMPUTED_VALUE"""),"Research associate")</f>
        <v>Research associate</v>
      </c>
      <c r="F1433" s="2" t="str">
        <f>IFERROR(__xludf.DUMMYFUNCTION("""COMPUTED_VALUE"""),"asta@uab.edu")</f>
        <v>asta@uab.edu</v>
      </c>
      <c r="G1433" s="2" t="str">
        <f>IFERROR(__xludf.DUMMYFUNCTION("""COMPUTED_VALUE"""),"0000-0002-9193-5797")</f>
        <v>0000-0002-9193-5797</v>
      </c>
    </row>
    <row r="1434">
      <c r="A1434" s="2" t="str">
        <f>IFERROR(__xludf.DUMMYFUNCTION("""COMPUTED_VALUE"""),"Agalliu")</f>
        <v>Agalliu</v>
      </c>
      <c r="B1434" s="2" t="str">
        <f>IFERROR(__xludf.DUMMYFUNCTION("""COMPUTED_VALUE"""),"Dritan ")</f>
        <v>Dritan </v>
      </c>
      <c r="C1434" s="2" t="str">
        <f>IFERROR(__xludf.DUMMYFUNCTION("""COMPUTED_VALUE"""),"Key Personnel (PI)")</f>
        <v>Key Personnel (PI)</v>
      </c>
      <c r="D1434" s="2" t="str">
        <f>IFERROR(__xludf.DUMMYFUNCTION("""COMPUTED_VALUE"""),"Sulzer/Agalliu")</f>
        <v>Sulzer/Agalliu</v>
      </c>
      <c r="E1434" s="2" t="str">
        <f>IFERROR(__xludf.DUMMYFUNCTION("""COMPUTED_VALUE"""),"Associate Professor")</f>
        <v>Associate Professor</v>
      </c>
      <c r="F1434" s="2" t="str">
        <f>IFERROR(__xludf.DUMMYFUNCTION("""COMPUTED_VALUE"""),"da191@cumc.columbia.edu")</f>
        <v>da191@cumc.columbia.edu</v>
      </c>
      <c r="G1434" s="2" t="str">
        <f>IFERROR(__xludf.DUMMYFUNCTION("""COMPUTED_VALUE"""),"0000-0002-5375-4143")</f>
        <v>0000-0002-5375-4143</v>
      </c>
    </row>
    <row r="1435">
      <c r="A1435" s="2" t="str">
        <f>IFERROR(__xludf.DUMMYFUNCTION("""COMPUTED_VALUE"""),"Zhang")</f>
        <v>Zhang</v>
      </c>
      <c r="B1435" s="2" t="str">
        <f>IFERROR(__xludf.DUMMYFUNCTION("""COMPUTED_VALUE"""),"Yue")</f>
        <v>Yue</v>
      </c>
      <c r="C1435" s="2" t="str">
        <f>IFERROR(__xludf.DUMMYFUNCTION("""COMPUTED_VALUE"""),"Key Personnel")</f>
        <v>Key Personnel</v>
      </c>
      <c r="D1435" s="2" t="str">
        <f>IFERROR(__xludf.DUMMYFUNCTION("""COMPUTED_VALUE"""),"Harms")</f>
        <v>Harms</v>
      </c>
      <c r="E1435" s="2" t="str">
        <f>IFERROR(__xludf.DUMMYFUNCTION("""COMPUTED_VALUE"""),"Biostatistician")</f>
        <v>Biostatistician</v>
      </c>
      <c r="F1435" s="2" t="str">
        <f>IFERROR(__xludf.DUMMYFUNCTION("""COMPUTED_VALUE"""),"yzhang@uab.edu")</f>
        <v>yzhang@uab.edu</v>
      </c>
      <c r="G1435" s="2" t="str">
        <f>IFERROR(__xludf.DUMMYFUNCTION("""COMPUTED_VALUE"""),"0000-0003-3734-4598")</f>
        <v>0000-0003-3734-4598</v>
      </c>
    </row>
    <row r="1436">
      <c r="A1436" s="2" t="str">
        <f>IFERROR(__xludf.DUMMYFUNCTION("""COMPUTED_VALUE"""),"Frazier")</f>
        <v>Frazier</v>
      </c>
      <c r="B1436" s="2" t="str">
        <f>IFERROR(__xludf.DUMMYFUNCTION("""COMPUTED_VALUE"""),"April")</f>
        <v>April</v>
      </c>
      <c r="C1436" s="2" t="str">
        <f>IFERROR(__xludf.DUMMYFUNCTION("""COMPUTED_VALUE"""),"Key Personnel")</f>
        <v>Key Personnel</v>
      </c>
      <c r="D1436" s="2" t="str">
        <f>IFERROR(__xludf.DUMMYFUNCTION("""COMPUTED_VALUE"""),"Arlehamn")</f>
        <v>Arlehamn</v>
      </c>
      <c r="E1436" s="2" t="str">
        <f>IFERROR(__xludf.DUMMYFUNCTION("""COMPUTED_VALUE"""),"Project Manager-LJI")</f>
        <v>Project Manager-LJI</v>
      </c>
      <c r="F1436" s="2" t="str">
        <f>IFERROR(__xludf.DUMMYFUNCTION("""COMPUTED_VALUE"""),"afrazier@lji.org")</f>
        <v>afrazier@lji.org</v>
      </c>
      <c r="G1436" s="2" t="str">
        <f>IFERROR(__xludf.DUMMYFUNCTION("""COMPUTED_VALUE"""),"0000-0002-4722-7304")</f>
        <v>0000-0002-4722-7304</v>
      </c>
    </row>
    <row r="1437">
      <c r="A1437" s="2" t="str">
        <f>IFERROR(__xludf.DUMMYFUNCTION("""COMPUTED_VALUE"""),"Moiseyenko")</f>
        <v>Moiseyenko</v>
      </c>
      <c r="B1437" s="2" t="str">
        <f>IFERROR(__xludf.DUMMYFUNCTION("""COMPUTED_VALUE"""),"Ana")</f>
        <v>Ana</v>
      </c>
      <c r="C1437" s="2" t="str">
        <f>IFERROR(__xludf.DUMMYFUNCTION("""COMPUTED_VALUE"""),"Key Personnel")</f>
        <v>Key Personnel</v>
      </c>
      <c r="D1437" s="2" t="str">
        <f>IFERROR(__xludf.DUMMYFUNCTION("""COMPUTED_VALUE"""),"Mazmanian")</f>
        <v>Mazmanian</v>
      </c>
      <c r="E1437" s="2" t="str">
        <f>IFERROR(__xludf.DUMMYFUNCTION("""COMPUTED_VALUE"""),"Graduate student")</f>
        <v>Graduate student</v>
      </c>
      <c r="F1437" s="2" t="str">
        <f>IFERROR(__xludf.DUMMYFUNCTION("""COMPUTED_VALUE"""),"anamois@caltech.edu")</f>
        <v>anamois@caltech.edu</v>
      </c>
      <c r="G1437" s="2" t="str">
        <f>IFERROR(__xludf.DUMMYFUNCTION("""COMPUTED_VALUE"""),"0000-0001-5379-7808")</f>
        <v>0000-0001-5379-7808</v>
      </c>
    </row>
    <row r="1438">
      <c r="A1438" s="2" t="str">
        <f>IFERROR(__xludf.DUMMYFUNCTION("""COMPUTED_VALUE"""),"Monahan")</f>
        <v>Monahan</v>
      </c>
      <c r="B1438" s="2" t="str">
        <f>IFERROR(__xludf.DUMMYFUNCTION("""COMPUTED_VALUE"""),"Connor")</f>
        <v>Connor</v>
      </c>
      <c r="C1438" s="2" t="str">
        <f>IFERROR(__xludf.DUMMYFUNCTION("""COMPUTED_VALUE"""),"Key Personnel")</f>
        <v>Key Personnel</v>
      </c>
      <c r="D1438" s="2" t="str">
        <f>IFERROR(__xludf.DUMMYFUNCTION("""COMPUTED_VALUE"""),"Sulzer")</f>
        <v>Sulzer</v>
      </c>
      <c r="E1438" s="2" t="str">
        <f>IFERROR(__xludf.DUMMYFUNCTION("""COMPUTED_VALUE"""),"Graduate student")</f>
        <v>Graduate student</v>
      </c>
      <c r="F1438" s="2" t="str">
        <f>IFERROR(__xludf.DUMMYFUNCTION("""COMPUTED_VALUE"""),"cm3895@cumc.columbia.edu")</f>
        <v>cm3895@cumc.columbia.edu</v>
      </c>
      <c r="G1438" s="2" t="str">
        <f>IFERROR(__xludf.DUMMYFUNCTION("""COMPUTED_VALUE"""),"0000-0003-3245-6187")</f>
        <v>0000-0003-3245-6187</v>
      </c>
    </row>
    <row r="1439">
      <c r="A1439" s="2" t="str">
        <f>IFERROR(__xludf.DUMMYFUNCTION("""COMPUTED_VALUE"""),"Morales")</f>
        <v>Morales</v>
      </c>
      <c r="B1439" s="2" t="str">
        <f>IFERROR(__xludf.DUMMYFUNCTION("""COMPUTED_VALUE"""),"Vanessa")</f>
        <v>Vanessa</v>
      </c>
      <c r="C1439" s="2" t="str">
        <f>IFERROR(__xludf.DUMMYFUNCTION("""COMPUTED_VALUE"""),"Key Personnel")</f>
        <v>Key Personnel</v>
      </c>
      <c r="D1439" s="2" t="str">
        <f>IFERROR(__xludf.DUMMYFUNCTION("""COMPUTED_VALUE"""),"Sulzer")</f>
        <v>Sulzer</v>
      </c>
      <c r="E1439" s="2" t="str">
        <f>IFERROR(__xludf.DUMMYFUNCTION("""COMPUTED_VALUE"""),"Lab tech")</f>
        <v>Lab tech</v>
      </c>
      <c r="F1439" s="2" t="str">
        <f>IFERROR(__xludf.DUMMYFUNCTION("""COMPUTED_VALUE"""),"vm2178@cumc.columbia.edu")</f>
        <v>vm2178@cumc.columbia.edu</v>
      </c>
      <c r="G1439" s="2" t="str">
        <f>IFERROR(__xludf.DUMMYFUNCTION("""COMPUTED_VALUE"""),"0000-0001-7186-8681")</f>
        <v>0000-0001-7186-8681</v>
      </c>
    </row>
    <row r="1440">
      <c r="A1440" s="2" t="str">
        <f>IFERROR(__xludf.DUMMYFUNCTION("""COMPUTED_VALUE"""),"Fon")</f>
        <v>Fon</v>
      </c>
      <c r="B1440" s="2" t="str">
        <f>IFERROR(__xludf.DUMMYFUNCTION("""COMPUTED_VALUE"""),"Edward")</f>
        <v>Edward</v>
      </c>
      <c r="C1440" s="2"/>
      <c r="D1440" s="2" t="str">
        <f>IFERROR(__xludf.DUMMYFUNCTION("""COMPUTED_VALUE"""),"Cecilia/ McGill")</f>
        <v>Cecilia/ McGill</v>
      </c>
      <c r="E1440" s="2" t="str">
        <f>IFERROR(__xludf.DUMMYFUNCTION("""COMPUTED_VALUE"""),"Clinical recruitment collaborator (McGill University, subcontract from LJI, not listed directly as a sub institute)")</f>
        <v>Clinical recruitment collaborator (McGill University, subcontract from LJI, not listed directly as a sub institute)</v>
      </c>
      <c r="F1440" s="2" t="str">
        <f>IFERROR(__xludf.DUMMYFUNCTION("""COMPUTED_VALUE"""),"ted.fon@mcgill.ca")</f>
        <v>ted.fon@mcgill.ca</v>
      </c>
      <c r="G1440" s="2" t="str">
        <f>IFERROR(__xludf.DUMMYFUNCTION("""COMPUTED_VALUE"""),"0000-0002-5520-6239")</f>
        <v>0000-0002-5520-6239</v>
      </c>
    </row>
    <row r="1441">
      <c r="A1441" s="2" t="str">
        <f>IFERROR(__xludf.DUMMYFUNCTION("""COMPUTED_VALUE"""),"Al Dalahmah")</f>
        <v>Al Dalahmah</v>
      </c>
      <c r="B1441" s="2" t="str">
        <f>IFERROR(__xludf.DUMMYFUNCTION("""COMPUTED_VALUE"""),"Osama A")</f>
        <v>Osama A</v>
      </c>
      <c r="C1441" s="2" t="str">
        <f>IFERROR(__xludf.DUMMYFUNCTION("""COMPUTED_VALUE"""),"Key Personnel")</f>
        <v>Key Personnel</v>
      </c>
      <c r="D1441" s="2" t="str">
        <f>IFERROR(__xludf.DUMMYFUNCTION("""COMPUTED_VALUE"""),"Sulzer/Goldman")</f>
        <v>Sulzer/Goldman</v>
      </c>
      <c r="E1441" s="2" t="str">
        <f>IFERROR(__xludf.DUMMYFUNCTION("""COMPUTED_VALUE"""),"Instructor")</f>
        <v>Instructor</v>
      </c>
      <c r="F1441" s="2" t="str">
        <f>IFERROR(__xludf.DUMMYFUNCTION("""COMPUTED_VALUE"""),"oa2298@cumc.columbia.edu")</f>
        <v>oa2298@cumc.columbia.edu</v>
      </c>
      <c r="G1441" s="2" t="str">
        <f>IFERROR(__xludf.DUMMYFUNCTION("""COMPUTED_VALUE"""),"0000-0002-3442-5459")</f>
        <v>0000-0002-3442-5459</v>
      </c>
    </row>
    <row r="1442">
      <c r="A1442" s="2" t="str">
        <f>IFERROR(__xludf.DUMMYFUNCTION("""COMPUTED_VALUE"""),"Hecke Morais")</f>
        <v>Hecke Morais</v>
      </c>
      <c r="B1442" s="2" t="str">
        <f>IFERROR(__xludf.DUMMYFUNCTION("""COMPUTED_VALUE"""),"Livia")</f>
        <v>Livia</v>
      </c>
      <c r="C1442" s="2"/>
      <c r="D1442" s="2" t="str">
        <f>IFERROR(__xludf.DUMMYFUNCTION("""COMPUTED_VALUE"""),"Mazmanian")</f>
        <v>Mazmanian</v>
      </c>
      <c r="E1442" s="2" t="str">
        <f>IFERROR(__xludf.DUMMYFUNCTION("""COMPUTED_VALUE"""),"Postdoc")</f>
        <v>Postdoc</v>
      </c>
      <c r="F1442" s="2" t="str">
        <f>IFERROR(__xludf.DUMMYFUNCTION("""COMPUTED_VALUE"""),"lhmorais@caltech.edu")</f>
        <v>lhmorais@caltech.edu</v>
      </c>
      <c r="G1442" s="2" t="str">
        <f>IFERROR(__xludf.DUMMYFUNCTION("""COMPUTED_VALUE"""),"0000-0002-5738-2658")</f>
        <v>0000-0002-5738-2658</v>
      </c>
    </row>
    <row r="1443">
      <c r="A1443" s="2" t="str">
        <f>IFERROR(__xludf.DUMMYFUNCTION("""COMPUTED_VALUE"""),"Boktor")</f>
        <v>Boktor</v>
      </c>
      <c r="B1443" s="2" t="str">
        <f>IFERROR(__xludf.DUMMYFUNCTION("""COMPUTED_VALUE"""),"Joseph (Joe)")</f>
        <v>Joseph (Joe)</v>
      </c>
      <c r="C1443" s="2"/>
      <c r="D1443" s="2" t="str">
        <f>IFERROR(__xludf.DUMMYFUNCTION("""COMPUTED_VALUE"""),"Mazmanian")</f>
        <v>Mazmanian</v>
      </c>
      <c r="E1443" s="2" t="str">
        <f>IFERROR(__xludf.DUMMYFUNCTION("""COMPUTED_VALUE"""),"Lab tech")</f>
        <v>Lab tech</v>
      </c>
      <c r="F1443" s="2" t="str">
        <f>IFERROR(__xludf.DUMMYFUNCTION("""COMPUTED_VALUE"""),"jboktor@caltech.edu")</f>
        <v>jboktor@caltech.edu</v>
      </c>
      <c r="G1443" s="2" t="str">
        <f>IFERROR(__xludf.DUMMYFUNCTION("""COMPUTED_VALUE"""),"0000-0003-2456-1913")</f>
        <v>0000-0003-2456-1913</v>
      </c>
    </row>
    <row r="1444">
      <c r="A1444" s="2" t="str">
        <f>IFERROR(__xludf.DUMMYFUNCTION("""COMPUTED_VALUE"""),"Schonhoff")</f>
        <v>Schonhoff</v>
      </c>
      <c r="B1444" s="2" t="str">
        <f>IFERROR(__xludf.DUMMYFUNCTION("""COMPUTED_VALUE"""),"Aubrey")</f>
        <v>Aubrey</v>
      </c>
      <c r="C1444" s="2"/>
      <c r="D1444" s="2" t="str">
        <f>IFERROR(__xludf.DUMMYFUNCTION("""COMPUTED_VALUE"""),"Mazmanian")</f>
        <v>Mazmanian</v>
      </c>
      <c r="E1444" s="2" t="str">
        <f>IFERROR(__xludf.DUMMYFUNCTION("""COMPUTED_VALUE"""),"Postdoc")</f>
        <v>Postdoc</v>
      </c>
      <c r="F1444" s="2" t="str">
        <f>IFERROR(__xludf.DUMMYFUNCTION("""COMPUTED_VALUE"""),"aschon@caltech.edu ")</f>
        <v>aschon@caltech.edu </v>
      </c>
      <c r="G1444" s="2" t="str">
        <f>IFERROR(__xludf.DUMMYFUNCTION("""COMPUTED_VALUE"""),"0000-0002-1801-1125")</f>
        <v>0000-0002-1801-1125</v>
      </c>
    </row>
    <row r="1445">
      <c r="A1445" s="2" t="str">
        <f>IFERROR(__xludf.DUMMYFUNCTION("""COMPUTED_VALUE"""),"Zhou")</f>
        <v>Zhou</v>
      </c>
      <c r="B1445" s="2" t="str">
        <f>IFERROR(__xludf.DUMMYFUNCTION("""COMPUTED_VALUE"""),"Manxuan")</f>
        <v>Manxuan</v>
      </c>
      <c r="C1445" s="2" t="str">
        <f>IFERROR(__xludf.DUMMYFUNCTION("""COMPUTED_VALUE"""),"Key Personnel")</f>
        <v>Key Personnel</v>
      </c>
      <c r="D1445" s="2" t="str">
        <f>IFERROR(__xludf.DUMMYFUNCTION("""COMPUTED_VALUE"""),"Mazmanian")</f>
        <v>Mazmanian</v>
      </c>
      <c r="E1445" s="2" t="str">
        <f>IFERROR(__xludf.DUMMYFUNCTION("""COMPUTED_VALUE"""),"Graduate student")</f>
        <v>Graduate student</v>
      </c>
      <c r="F1445" s="2" t="str">
        <f>IFERROR(__xludf.DUMMYFUNCTION("""COMPUTED_VALUE"""),"mzzhou@caltech.edu")</f>
        <v>mzzhou@caltech.edu</v>
      </c>
      <c r="G1445" s="2" t="str">
        <f>IFERROR(__xludf.DUMMYFUNCTION("""COMPUTED_VALUE"""),"0000-0002-1553-7674")</f>
        <v>0000-0002-1553-7674</v>
      </c>
    </row>
    <row r="1446">
      <c r="A1446" s="2" t="str">
        <f>IFERROR(__xludf.DUMMYFUNCTION("""COMPUTED_VALUE"""),"Fanourakis")</f>
        <v>Fanourakis</v>
      </c>
      <c r="B1446" s="2" t="str">
        <f>IFERROR(__xludf.DUMMYFUNCTION("""COMPUTED_VALUE"""),"Stavros")</f>
        <v>Stavros</v>
      </c>
      <c r="C1446" s="2" t="str">
        <f>IFERROR(__xludf.DUMMYFUNCTION("""COMPUTED_VALUE"""),"Key Personnel")</f>
        <v>Key Personnel</v>
      </c>
      <c r="D1446" s="2" t="str">
        <f>IFERROR(__xludf.DUMMYFUNCTION("""COMPUTED_VALUE"""),"Sulzer")</f>
        <v>Sulzer</v>
      </c>
      <c r="E1446" s="2" t="str">
        <f>IFERROR(__xludf.DUMMYFUNCTION("""COMPUTED_VALUE"""),"Graduate student")</f>
        <v>Graduate student</v>
      </c>
      <c r="F1446" s="2" t="str">
        <f>IFERROR(__xludf.DUMMYFUNCTION("""COMPUTED_VALUE"""),"sf2883@cumc.columbia.edu")</f>
        <v>sf2883@cumc.columbia.edu</v>
      </c>
      <c r="G1446" s="2"/>
    </row>
    <row r="1447">
      <c r="A1447" s="2" t="str">
        <f>IFERROR(__xludf.DUMMYFUNCTION("""COMPUTED_VALUE"""),"Stover")</f>
        <v>Stover</v>
      </c>
      <c r="B1447" s="2" t="str">
        <f>IFERROR(__xludf.DUMMYFUNCTION("""COMPUTED_VALUE"""),"Natividad")</f>
        <v>Natividad</v>
      </c>
      <c r="C1447" s="2" t="str">
        <f>IFERROR(__xludf.DUMMYFUNCTION("""COMPUTED_VALUE"""),"Key Personnel (PI)")</f>
        <v>Key Personnel (PI)</v>
      </c>
      <c r="D1447" s="2" t="str">
        <f>IFERROR(__xludf.DUMMYFUNCTION("""COMPUTED_VALUE"""),"Harms")</f>
        <v>Harms</v>
      </c>
      <c r="E1447" s="2" t="str">
        <f>IFERROR(__xludf.DUMMYFUNCTION("""COMPUTED_VALUE"""),"Clinician")</f>
        <v>Clinician</v>
      </c>
      <c r="F1447" s="2" t="str">
        <f>IFERROR(__xludf.DUMMYFUNCTION("""COMPUTED_VALUE"""),"nstover@uabmc.edu")</f>
        <v>nstover@uabmc.edu</v>
      </c>
      <c r="G1447" s="2"/>
    </row>
    <row r="1448">
      <c r="A1448" s="2" t="str">
        <f>IFERROR(__xludf.DUMMYFUNCTION("""COMPUTED_VALUE"""),"Fonseca")</f>
        <v>Fonseca</v>
      </c>
      <c r="B1448" s="2" t="str">
        <f>IFERROR(__xludf.DUMMYFUNCTION("""COMPUTED_VALUE"""),"Matheus")</f>
        <v>Matheus</v>
      </c>
      <c r="C1448" s="2" t="str">
        <f>IFERROR(__xludf.DUMMYFUNCTION("""COMPUTED_VALUE"""),"Key Personnel")</f>
        <v>Key Personnel</v>
      </c>
      <c r="D1448" s="2" t="str">
        <f>IFERROR(__xludf.DUMMYFUNCTION("""COMPUTED_VALUE"""),"Mazmanian")</f>
        <v>Mazmanian</v>
      </c>
      <c r="E1448" s="2" t="str">
        <f>IFERROR(__xludf.DUMMYFUNCTION("""COMPUTED_VALUE"""),"Postdoc")</f>
        <v>Postdoc</v>
      </c>
      <c r="F1448" s="2" t="str">
        <f>IFERROR(__xludf.DUMMYFUNCTION("""COMPUTED_VALUE"""),"mdecastr@caltech.edu")</f>
        <v>mdecastr@caltech.edu</v>
      </c>
      <c r="G1448" s="2"/>
    </row>
    <row r="1449">
      <c r="A1449" s="2" t="str">
        <f>IFERROR(__xludf.DUMMYFUNCTION("""COMPUTED_VALUE"""),"Tanner")</f>
        <v>Tanner</v>
      </c>
      <c r="B1449" s="2" t="str">
        <f>IFERROR(__xludf.DUMMYFUNCTION("""COMPUTED_VALUE"""),"Michaelis")</f>
        <v>Michaelis</v>
      </c>
      <c r="C1449" s="2" t="str">
        <f>IFERROR(__xludf.DUMMYFUNCTION("""COMPUTED_VALUE"""),"Key Personnel")</f>
        <v>Key Personnel</v>
      </c>
      <c r="D1449" s="2" t="str">
        <f>IFERROR(__xludf.DUMMYFUNCTION("""COMPUTED_VALUE"""),"Arlehamn")</f>
        <v>Arlehamn</v>
      </c>
      <c r="E1449" s="2" t="str">
        <f>IFERROR(__xludf.DUMMYFUNCTION("""COMPUTED_VALUE"""),"Research Technician")</f>
        <v>Research Technician</v>
      </c>
      <c r="F1449" s="2" t="str">
        <f>IFERROR(__xludf.DUMMYFUNCTION("""COMPUTED_VALUE"""),"tmichaelis@lji.org")</f>
        <v>tmichaelis@lji.org</v>
      </c>
      <c r="G1449" s="2"/>
    </row>
    <row r="1450">
      <c r="A1450" s="2" t="str">
        <f>IFERROR(__xludf.DUMMYFUNCTION("""COMPUTED_VALUE"""),"Yang")</f>
        <v>Yang</v>
      </c>
      <c r="B1450" s="2" t="str">
        <f>IFERROR(__xludf.DUMMYFUNCTION("""COMPUTED_VALUE"""),"Vickie")</f>
        <v>Vickie</v>
      </c>
      <c r="C1450" s="2"/>
      <c r="D1450" s="2" t="str">
        <f>IFERROR(__xludf.DUMMYFUNCTION("""COMPUTED_VALUE"""),"Harms")</f>
        <v>Harms</v>
      </c>
      <c r="E1450" s="2" t="str">
        <f>IFERROR(__xludf.DUMMYFUNCTION("""COMPUTED_VALUE"""),"Graduate student")</f>
        <v>Graduate student</v>
      </c>
      <c r="F1450" s="2" t="str">
        <f>IFERROR(__xludf.DUMMYFUNCTION("""COMPUTED_VALUE"""),"yyang2@uab.edu")</f>
        <v>yyang2@uab.edu</v>
      </c>
      <c r="G1450" s="2" t="str">
        <f>IFERROR(__xludf.DUMMYFUNCTION("""COMPUTED_VALUE"""),"0000-0003-4671-8061")</f>
        <v>0000-0003-4671-8061</v>
      </c>
    </row>
    <row r="1451">
      <c r="A1451" s="2" t="str">
        <f>IFERROR(__xludf.DUMMYFUNCTION("""COMPUTED_VALUE"""),"Johansson")</f>
        <v>Johansson</v>
      </c>
      <c r="B1451" s="2" t="str">
        <f>IFERROR(__xludf.DUMMYFUNCTION("""COMPUTED_VALUE"""),"Emil")</f>
        <v>Emil</v>
      </c>
      <c r="C1451" s="2" t="str">
        <f>IFERROR(__xludf.DUMMYFUNCTION("""COMPUTED_VALUE"""),"Key Personnel")</f>
        <v>Key Personnel</v>
      </c>
      <c r="D1451" s="2" t="str">
        <f>IFERROR(__xludf.DUMMYFUNCTION("""COMPUTED_VALUE"""),"Arlehamn")</f>
        <v>Arlehamn</v>
      </c>
      <c r="E1451" s="2" t="str">
        <f>IFERROR(__xludf.DUMMYFUNCTION("""COMPUTED_VALUE"""),"Postdoc")</f>
        <v>Postdoc</v>
      </c>
      <c r="F1451" s="2" t="str">
        <f>IFERROR(__xludf.DUMMYFUNCTION("""COMPUTED_VALUE"""),"ejohansson@lji.org")</f>
        <v>ejohansson@lji.org</v>
      </c>
      <c r="G1451" s="2" t="str">
        <f>IFERROR(__xludf.DUMMYFUNCTION("""COMPUTED_VALUE"""),"0000-0002-4712-3687")</f>
        <v>0000-0002-4712-3687</v>
      </c>
    </row>
    <row r="1452">
      <c r="A1452" s="2" t="str">
        <f>IFERROR(__xludf.DUMMYFUNCTION("""COMPUTED_VALUE"""),"Jakubiak")</f>
        <v>Jakubiak</v>
      </c>
      <c r="B1452" s="2" t="str">
        <f>IFERROR(__xludf.DUMMYFUNCTION("""COMPUTED_VALUE"""),"Kelly")</f>
        <v>Kelly</v>
      </c>
      <c r="C1452" s="2"/>
      <c r="D1452" s="2" t="str">
        <f>IFERROR(__xludf.DUMMYFUNCTION("""COMPUTED_VALUE"""),"Goldman")</f>
        <v>Goldman</v>
      </c>
      <c r="E1452" s="2" t="str">
        <f>IFERROR(__xludf.DUMMYFUNCTION("""COMPUTED_VALUE"""),"Technician")</f>
        <v>Technician</v>
      </c>
      <c r="F1452" s="2" t="str">
        <f>IFERROR(__xludf.DUMMYFUNCTION("""COMPUTED_VALUE"""),"kj2613@cumc.columbia.edu")</f>
        <v>kj2613@cumc.columbia.edu</v>
      </c>
      <c r="G1452" s="2" t="str">
        <f>IFERROR(__xludf.DUMMYFUNCTION("""COMPUTED_VALUE"""),"0009-0002-6932-4460")</f>
        <v>0009-0002-6932-4460</v>
      </c>
    </row>
    <row r="1453">
      <c r="A1453" s="2" t="str">
        <f>IFERROR(__xludf.DUMMYFUNCTION("""COMPUTED_VALUE"""),"Frank")</f>
        <v>Frank</v>
      </c>
      <c r="B1453" s="2" t="str">
        <f>IFERROR(__xludf.DUMMYFUNCTION("""COMPUTED_VALUE"""),"Anika")</f>
        <v>Anika</v>
      </c>
      <c r="C1453" s="2"/>
      <c r="D1453" s="2" t="str">
        <f>IFERROR(__xludf.DUMMYFUNCTION("""COMPUTED_VALUE"""),"Sulzer")</f>
        <v>Sulzer</v>
      </c>
      <c r="E1453" s="2" t="str">
        <f>IFERROR(__xludf.DUMMYFUNCTION("""COMPUTED_VALUE"""),"Postdoc")</f>
        <v>Postdoc</v>
      </c>
      <c r="F1453" s="2" t="str">
        <f>IFERROR(__xludf.DUMMYFUNCTION("""COMPUTED_VALUE"""),"af3316@cumc.columbia.edu")</f>
        <v>af3316@cumc.columbia.edu</v>
      </c>
      <c r="G1453" s="2" t="str">
        <f>IFERROR(__xludf.DUMMYFUNCTION("""COMPUTED_VALUE"""),"0000-0003-4675-2534")</f>
        <v>0000-0003-4675-2534</v>
      </c>
    </row>
    <row r="1454">
      <c r="A1454" s="2" t="str">
        <f>IFERROR(__xludf.DUMMYFUNCTION("""COMPUTED_VALUE"""),"Makowicz")</f>
        <v>Makowicz</v>
      </c>
      <c r="B1454" s="2" t="str">
        <f>IFERROR(__xludf.DUMMYFUNCTION("""COMPUTED_VALUE"""),"Emily")</f>
        <v>Emily</v>
      </c>
      <c r="C1454" s="2"/>
      <c r="D1454" s="2" t="str">
        <f>IFERROR(__xludf.DUMMYFUNCTION("""COMPUTED_VALUE"""),"Sulzer")</f>
        <v>Sulzer</v>
      </c>
      <c r="E1454" s="2" t="str">
        <f>IFERROR(__xludf.DUMMYFUNCTION("""COMPUTED_VALUE"""),"Graduate Student")</f>
        <v>Graduate Student</v>
      </c>
      <c r="F1454" s="2" t="str">
        <f>IFERROR(__xludf.DUMMYFUNCTION("""COMPUTED_VALUE"""),"em3633@cumc.columbia.edu")</f>
        <v>em3633@cumc.columbia.edu</v>
      </c>
      <c r="G1454" s="2" t="str">
        <f>IFERROR(__xludf.DUMMYFUNCTION("""COMPUTED_VALUE"""),"0000-0001-6037-2496")</f>
        <v>0000-0001-6037-2496</v>
      </c>
    </row>
    <row r="1455">
      <c r="A1455" s="2" t="str">
        <f>IFERROR(__xludf.DUMMYFUNCTION("""COMPUTED_VALUE"""),"Yang")</f>
        <v>Yang</v>
      </c>
      <c r="B1455" s="2" t="str">
        <f>IFERROR(__xludf.DUMMYFUNCTION("""COMPUTED_VALUE"""),"Vickie")</f>
        <v>Vickie</v>
      </c>
      <c r="C1455" s="2"/>
      <c r="D1455" s="2" t="str">
        <f>IFERROR(__xludf.DUMMYFUNCTION("""COMPUTED_VALUE"""),"Harms")</f>
        <v>Harms</v>
      </c>
      <c r="E1455" s="2" t="str">
        <f>IFERROR(__xludf.DUMMYFUNCTION("""COMPUTED_VALUE"""),"Graduate Student")</f>
        <v>Graduate Student</v>
      </c>
      <c r="F1455" s="2" t="str">
        <f>IFERROR(__xludf.DUMMYFUNCTION("""COMPUTED_VALUE"""),"Yyang2@uab.edu")</f>
        <v>Yyang2@uab.edu</v>
      </c>
      <c r="G1455" s="2" t="str">
        <f>IFERROR(__xludf.DUMMYFUNCTION("""COMPUTED_VALUE"""),"0000-0003-4671-8061")</f>
        <v>0000-0003-4671-8061</v>
      </c>
    </row>
  </sheetData>
  <hyperlinks>
    <hyperlink r:id="rId1" ref="G297"/>
    <hyperlink r:id="rId2" ref="G299"/>
    <hyperlink r:id="rId3" ref="G300"/>
    <hyperlink r:id="rId4" ref="G304"/>
    <hyperlink r:id="rId5" ref="G406"/>
    <hyperlink r:id="rId6" ref="G579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5.38"/>
    <col customWidth="1" min="7" max="7" width="18.0"/>
  </cols>
  <sheetData>
    <row r="1">
      <c r="A1" s="5" t="str">
        <f>IFERROR(__xludf.DUMMYFUNCTION("query({importrange(""16F-8fUnnAWbdQ-Hx0DQxoIQKmb6m2Sm_kjky9ZN5yOg"", ""Removed List!A1:G"");importrange(""1XLp-vJdsCn6qK-z1wFDN7l6HRxaq7DMsnQ7fuJ_N2C4"", ""Removed List!A2:G"");importrange(""1WEJip1uQyytUyvaPwmyC1oroUKJUhHHfgc-M5AotUSc"", ""Removed List!A"&amp;"2:G"");importrange(""1BglpnD-2cZGCuSO990omjaFpBVVqcOXiFWSjzXE_Uvc"", ""Removed List!A2:G"");importrange(""1Hg7YE5HscTJWzlWlb0eacVyuJIpGhL_YRp2jDhc3taY"", ""Removed List!A2:G"");importrange(""1G5_g8NNf79wKHl-vB_1Jsdb3u0XR9lthb7iEUYdSq8I"", ""Removed List!A"&amp;"2:G"");importrange(""1CvOEY2OXEFPOKjakwLbR0h3sJe94G0XEoJa69qLAtnY"", ""Removed List!A2:G"");importrange(""143vdso3q56xjOYj0gsYS1WJnvaqvv3KfEBP8_4wjgis"", ""Removed List!A2:G"");importrange(""1OeIZE8aBsbwa0Trdwy9UsOyL6IhaZFumGYkzcCplqQE"", ""Removed List!A"&amp;"2:G"");importrange(""1iazcyflhq4AXCUywPy0Ku1HBQq11WLbYynnIwYownVU"", ""Removed List!A2:G"");importrange(""1f1wfaivQhS7V93Oux3M81sZfdUg7xFabRMhCqAeq7UM"", ""Removed List!A2:G"");importrange(""1TaX7cwq11IkMfXFGpKnYk6E0DgKpYUFo5e5k4lvfXjg"", ""Removed List!A"&amp;"2:G"");importrange(""1uAO1m4i3OhK5aqJyOvdZX3xRywTnLxq-Gpyu50YwPrI"", ""Removed List!A2:G"");importrange(""1T5mRkKWMnhYRdN2Rvgtw4iJnQdYUMdVFlWoQuLc7IzM"", ""Removed List!A2:G"");importrange(""15I9VW9g7NQjp58hxGjVohOUZksx0zD6vRTx_et3iBtA"", ""Removed List!A"&amp;"2:G"");importrange(""1aMaqEIKDR3PBfY5SubcEWUQTue5vzGvXJ1jvMnM9w3I"", ""Removed List!A2:G"");importrange(""1C4TjK3NowQaU57yT24BrFUTOdkvwgwKuW9ySe-6lkKQ"", ""Removed List!A2:G"");importrange(""12OsFGeFbfo2NpwgsKSeRhWrAPyGYsBRMRtAlwiLw-9Q"", ""Removed List!A"&amp;"2:G"");importrange(""1979mNNgNHVmcwUcu37dBthw0HQ8TbptcZNI8HmtEMIc"", ""Removed List!A2:G"");importrange(""1ovlLI9r_AnjV4NTaPb3MPCVA-H2nn00hTihLlke3ewA"", ""Removed List!A2:G"");importrange(""1qg80WJ_834T5gTYhwTTKkEePftDDgP21BB31nFKbp0Y"", ""Removed List!A"&amp;"2:G"");importrange(""1uie6GM1VUVWC8af1jXHXEcZF0_ku4KxOpSDtpt-MzYQ"", ""Removed List!A2:G"");importrange(""1_-a29ARHJiS7yaI2GVd9CiB5qK85jdCY2o-cRa6I7BQ"", ""Removed List!A2:G"");importrange(""1E-9PfumHIQruTCTj9B4O1MULJRalf8reS9gr0aPu1QI"", ""Removed List!A"&amp;"2:G"");importrange(""14f6z1-KJ-3DVMxq0eC7p64OP9-uOx-HHMfVUsq5feW4"", ""Removed List!A2:G"");importrange(""1vexk6r-ZFjls_U11LJPyKt-2LXIZxTT-s7_bgT8eszY"", ""Removed List!A2:G"");importrange(""1mzoZ-JA8ybRp6a4pzC0q6vax1W2uFKILVhj1rkYmGcw"", ""Removed List!A"&amp;"2:G"");importrange(""1Jjyjjl6Ozz6vALwbtyd0PHhtQdFmorkDtdglr1Kwazw"", ""Removed List!A2:G"");importrange(""1SDdIfJ8y5XmoSosKn1tK4M5RMt_UNxLhvCGszt3JcYQ"", ""Removed List!A2:G"");importrange(""1P7-rujGgaTh9ti6QGrkvbrc-fa23V3VoMLPPiA1ED4Y"", ""Removed List!A"&amp;"2:G"");importrange(""1cnW7Gy5SHii_4V0qlrONpOhRU6jZChLfN18eXJxjpqE"", ""Removed List!A2:G"");importrange(""1sAvz4v3epAjMHSeRNnwamcRI2WPBUYrmqN67n4Ysk64"", ""Removed List!A2:G"");importrange(""1d3v5tSlUCSYeXG78mxjAbz0ySgmQetDrIXmrVmS3ZHA"", ""Removed List!A"&amp;"2:G"");importrange(""1cE_h9NyowUgKuQHCmK6cYHh96ZeQEf1l-_qX-M1IuA4"", ""Removed List!A2:G"");importrange(""1kahzrNyJmeQJxyPM_geuyYIirUQ6s4uzOTKSxcOyMrs"", ""Removed List!A2:G"")},""Select * where Col1 is not null"")"),"Last Name")</f>
        <v>Last Name</v>
      </c>
      <c r="B1" s="2" t="str">
        <f>IFERROR(__xludf.DUMMYFUNCTION("""COMPUTED_VALUE"""),"First Name")</f>
        <v>First Name</v>
      </c>
      <c r="C1" s="2" t="str">
        <f>IFERROR(__xludf.DUMMYFUNCTION("""COMPUTED_VALUE"""),"Role")</f>
        <v>Role</v>
      </c>
      <c r="D1" s="2" t="str">
        <f>IFERROR(__xludf.DUMMYFUNCTION("""COMPUTED_VALUE"""),"Lab")</f>
        <v>Lab</v>
      </c>
      <c r="E1" s="2" t="str">
        <f>IFERROR(__xludf.DUMMYFUNCTION("""COMPUTED_VALUE"""),"Lab Role 
(grad student, postdoc, research assoc, etc.)")</f>
        <v>Lab Role 
(grad student, postdoc, research assoc, etc.)</v>
      </c>
      <c r="F1" s="2" t="str">
        <f>IFERROR(__xludf.DUMMYFUNCTION("""COMPUTED_VALUE"""),"Email")</f>
        <v>Email</v>
      </c>
      <c r="G1" s="2" t="str">
        <f>IFERROR(__xludf.DUMMYFUNCTION("""COMPUTED_VALUE"""),"ORCID")</f>
        <v>ORCID</v>
      </c>
      <c r="H1" s="3" t="s">
        <v>0</v>
      </c>
    </row>
    <row r="2">
      <c r="A2" s="2" t="str">
        <f>IFERROR(__xludf.DUMMYFUNCTION("""COMPUTED_VALUE"""),"Paulina")</f>
        <v>Paulina</v>
      </c>
      <c r="B2" s="2" t="str">
        <f>IFERROR(__xludf.DUMMYFUNCTION("""COMPUTED_VALUE"""),"Wawro")</f>
        <v>Wawro</v>
      </c>
      <c r="C2" s="2" t="str">
        <f>IFERROR(__xludf.DUMMYFUNCTION("""COMPUTED_VALUE"""),"Key Personnel")</f>
        <v>Key Personnel</v>
      </c>
      <c r="D2" s="2" t="str">
        <f>IFERROR(__xludf.DUMMYFUNCTION("""COMPUTED_VALUE"""),"Pfeffer")</f>
        <v>Pfeffer</v>
      </c>
      <c r="E2" s="2" t="str">
        <f>IFERROR(__xludf.DUMMYFUNCTION("""COMPUTED_VALUE"""),"Postdoc")</f>
        <v>Postdoc</v>
      </c>
      <c r="F2" s="2" t="str">
        <f>IFERROR(__xludf.DUMMYFUNCTION("""COMPUTED_VALUE"""),"pwawro@stanford.edu")</f>
        <v>pwawro@stanford.edu</v>
      </c>
      <c r="G2" s="2" t="str">
        <f>IFERROR(__xludf.DUMMYFUNCTION("""COMPUTED_VALUE"""),"0000-0002-9464-1321")</f>
        <v>0000-0002-9464-1321</v>
      </c>
    </row>
    <row r="3">
      <c r="A3" s="2" t="str">
        <f>IFERROR(__xludf.DUMMYFUNCTION("""COMPUTED_VALUE"""),"Shumate")</f>
        <v>Shumate</v>
      </c>
      <c r="B3" s="2" t="str">
        <f>IFERROR(__xludf.DUMMYFUNCTION("""COMPUTED_VALUE"""),"Justin")</f>
        <v>Justin</v>
      </c>
      <c r="C3" s="2" t="str">
        <f>IFERROR(__xludf.DUMMYFUNCTION("""COMPUTED_VALUE"""),"Key Personnel")</f>
        <v>Key Personnel</v>
      </c>
      <c r="D3" s="2" t="str">
        <f>IFERROR(__xludf.DUMMYFUNCTION("""COMPUTED_VALUE"""),"Pfeffer")</f>
        <v>Pfeffer</v>
      </c>
      <c r="E3" s="2" t="str">
        <f>IFERROR(__xludf.DUMMYFUNCTION("""COMPUTED_VALUE"""),"Reasearch assistant")</f>
        <v>Reasearch assistant</v>
      </c>
      <c r="F3" s="2" t="str">
        <f>IFERROR(__xludf.DUMMYFUNCTION("""COMPUTED_VALUE"""),"jshumate@stanford.edu")</f>
        <v>jshumate@stanford.edu</v>
      </c>
      <c r="G3" s="2" t="str">
        <f>IFERROR(__xludf.DUMMYFUNCTION("""COMPUTED_VALUE"""),"0000-0002-3223-0922")</f>
        <v>0000-0002-3223-0922</v>
      </c>
    </row>
    <row r="4">
      <c r="A4" s="2" t="str">
        <f>IFERROR(__xludf.DUMMYFUNCTION("""COMPUTED_VALUE"""),"Purlyte")</f>
        <v>Purlyte</v>
      </c>
      <c r="B4" s="2" t="str">
        <f>IFERROR(__xludf.DUMMYFUNCTION("""COMPUTED_VALUE"""),"Elena")</f>
        <v>Elena</v>
      </c>
      <c r="C4" s="2" t="str">
        <f>IFERROR(__xludf.DUMMYFUNCTION("""COMPUTED_VALUE"""),"Key Personnel")</f>
        <v>Key Personnel</v>
      </c>
      <c r="D4" s="2" t="str">
        <f>IFERROR(__xludf.DUMMYFUNCTION("""COMPUTED_VALUE"""),"Alessi")</f>
        <v>Alessi</v>
      </c>
      <c r="E4" s="2" t="str">
        <f>IFERROR(__xludf.DUMMYFUNCTION("""COMPUTED_VALUE"""),"PhD student")</f>
        <v>PhD student</v>
      </c>
      <c r="F4" s="2" t="str">
        <f>IFERROR(__xludf.DUMMYFUNCTION("""COMPUTED_VALUE"""),"e.purlyte@dundee.ac.uk")</f>
        <v>e.purlyte@dundee.ac.uk</v>
      </c>
      <c r="G4" s="2" t="str">
        <f>IFERROR(__xludf.DUMMYFUNCTION("""COMPUTED_VALUE"""),"0000-0001-7291-1549")</f>
        <v>0000-0001-7291-1549</v>
      </c>
    </row>
    <row r="5">
      <c r="A5" s="2" t="str">
        <f>IFERROR(__xludf.DUMMYFUNCTION("""COMPUTED_VALUE"""),"Sobu")</f>
        <v>Sobu</v>
      </c>
      <c r="B5" s="2" t="str">
        <f>IFERROR(__xludf.DUMMYFUNCTION("""COMPUTED_VALUE"""),"Yuriko")</f>
        <v>Yuriko</v>
      </c>
      <c r="C5" s="2" t="str">
        <f>IFERROR(__xludf.DUMMYFUNCTION("""COMPUTED_VALUE"""),"Key Personnel")</f>
        <v>Key Personnel</v>
      </c>
      <c r="D5" s="2" t="str">
        <f>IFERROR(__xludf.DUMMYFUNCTION("""COMPUTED_VALUE"""),"Pfeffer")</f>
        <v>Pfeffer</v>
      </c>
      <c r="E5" s="2" t="str">
        <f>IFERROR(__xludf.DUMMYFUNCTION("""COMPUTED_VALUE"""),"Postdoc")</f>
        <v>Postdoc</v>
      </c>
      <c r="F5" s="2" t="str">
        <f>IFERROR(__xludf.DUMMYFUNCTION("""COMPUTED_VALUE"""),"sobu@stanford.edu")</f>
        <v>sobu@stanford.edu</v>
      </c>
      <c r="G5" s="2" t="str">
        <f>IFERROR(__xludf.DUMMYFUNCTION("""COMPUTED_VALUE"""),"0000-0003-1178-005X")</f>
        <v>0000-0003-1178-005X</v>
      </c>
    </row>
    <row r="6">
      <c r="A6" s="2" t="str">
        <f>IFERROR(__xludf.DUMMYFUNCTION("""COMPUTED_VALUE"""),"Laqtom")</f>
        <v>Laqtom</v>
      </c>
      <c r="B6" s="2" t="str">
        <f>IFERROR(__xludf.DUMMYFUNCTION("""COMPUTED_VALUE"""),"Nouf")</f>
        <v>Nouf</v>
      </c>
      <c r="C6" s="2" t="str">
        <f>IFERROR(__xludf.DUMMYFUNCTION("""COMPUTED_VALUE"""),"Key Personnel")</f>
        <v>Key Personnel</v>
      </c>
      <c r="D6" s="2" t="str">
        <f>IFERROR(__xludf.DUMMYFUNCTION("""COMPUTED_VALUE"""),"Abu-Remaileh")</f>
        <v>Abu-Remaileh</v>
      </c>
      <c r="E6" s="2" t="str">
        <f>IFERROR(__xludf.DUMMYFUNCTION("""COMPUTED_VALUE"""),"Postdoc")</f>
        <v>Postdoc</v>
      </c>
      <c r="F6" s="2" t="str">
        <f>IFERROR(__xludf.DUMMYFUNCTION("""COMPUTED_VALUE"""),"nlaqtom@stanford.edu")</f>
        <v>nlaqtom@stanford.edu</v>
      </c>
      <c r="G6" s="2" t="str">
        <f>IFERROR(__xludf.DUMMYFUNCTION("""COMPUTED_VALUE"""),"0000-0002-0167-2656")</f>
        <v>0000-0002-0167-2656</v>
      </c>
    </row>
    <row r="7">
      <c r="A7" s="2" t="str">
        <f>IFERROR(__xludf.DUMMYFUNCTION("""COMPUTED_VALUE"""),"Galesic")</f>
        <v>Galesic</v>
      </c>
      <c r="B7" s="2" t="str">
        <f>IFERROR(__xludf.DUMMYFUNCTION("""COMPUTED_VALUE"""),"Ana")</f>
        <v>Ana</v>
      </c>
      <c r="C7" s="2" t="str">
        <f>IFERROR(__xludf.DUMMYFUNCTION("""COMPUTED_VALUE"""),"Key Personnel")</f>
        <v>Key Personnel</v>
      </c>
      <c r="D7" s="2" t="str">
        <f>IFERROR(__xludf.DUMMYFUNCTION("""COMPUTED_VALUE"""),"Abu-Remaileh")</f>
        <v>Abu-Remaileh</v>
      </c>
      <c r="E7" s="2" t="str">
        <f>IFERROR(__xludf.DUMMYFUNCTION("""COMPUTED_VALUE"""),"Postdoc")</f>
        <v>Postdoc</v>
      </c>
      <c r="F7" s="2" t="str">
        <f>IFERROR(__xludf.DUMMYFUNCTION("""COMPUTED_VALUE"""),"galesic@stanford.edu")</f>
        <v>galesic@stanford.edu</v>
      </c>
      <c r="G7" s="2" t="str">
        <f>IFERROR(__xludf.DUMMYFUNCTION("""COMPUTED_VALUE"""),"0000-0003-1899-814X")</f>
        <v>0000-0003-1899-814X</v>
      </c>
    </row>
    <row r="8">
      <c r="A8" s="2" t="str">
        <f>IFERROR(__xludf.DUMMYFUNCTION("""COMPUTED_VALUE"""),"Vides")</f>
        <v>Vides</v>
      </c>
      <c r="B8" s="2" t="str">
        <f>IFERROR(__xludf.DUMMYFUNCTION("""COMPUTED_VALUE"""),"Edmundo")</f>
        <v>Edmundo</v>
      </c>
      <c r="C8" s="2" t="str">
        <f>IFERROR(__xludf.DUMMYFUNCTION("""COMPUTED_VALUE"""),"Key Personnel")</f>
        <v>Key Personnel</v>
      </c>
      <c r="D8" s="2" t="str">
        <f>IFERROR(__xludf.DUMMYFUNCTION("""COMPUTED_VALUE"""),"Pfeffer")</f>
        <v>Pfeffer</v>
      </c>
      <c r="E8" s="2" t="str">
        <f>IFERROR(__xludf.DUMMYFUNCTION("""COMPUTED_VALUE"""),"Grad student")</f>
        <v>Grad student</v>
      </c>
      <c r="F8" s="2" t="str">
        <f>IFERROR(__xludf.DUMMYFUNCTION("""COMPUTED_VALUE"""),"evides@stanford.edu")</f>
        <v>evides@stanford.edu</v>
      </c>
      <c r="G8" s="2" t="str">
        <f>IFERROR(__xludf.DUMMYFUNCTION("""COMPUTED_VALUE"""),"0000-0002-3609-9001")</f>
        <v>0000-0002-3609-9001</v>
      </c>
    </row>
    <row r="9">
      <c r="A9" s="2" t="str">
        <f>IFERROR(__xludf.DUMMYFUNCTION("""COMPUTED_VALUE"""),"Dhekne")</f>
        <v>Dhekne</v>
      </c>
      <c r="B9" s="2" t="str">
        <f>IFERROR(__xludf.DUMMYFUNCTION("""COMPUTED_VALUE"""),"Herschel")</f>
        <v>Herschel</v>
      </c>
      <c r="C9" s="2" t="str">
        <f>IFERROR(__xludf.DUMMYFUNCTION("""COMPUTED_VALUE"""),"Key Personnel")</f>
        <v>Key Personnel</v>
      </c>
      <c r="D9" s="2" t="str">
        <f>IFERROR(__xludf.DUMMYFUNCTION("""COMPUTED_VALUE"""),"Pfeffer")</f>
        <v>Pfeffer</v>
      </c>
      <c r="E9" s="2" t="str">
        <f>IFERROR(__xludf.DUMMYFUNCTION("""COMPUTED_VALUE"""),"Postdoc")</f>
        <v>Postdoc</v>
      </c>
      <c r="F9" s="2" t="str">
        <f>IFERROR(__xludf.DUMMYFUNCTION("""COMPUTED_VALUE"""),"dhekne@stanford.edu")</f>
        <v>dhekne@stanford.edu</v>
      </c>
      <c r="G9" s="2" t="str">
        <f>IFERROR(__xludf.DUMMYFUNCTION("""COMPUTED_VALUE"""),"0000-0002-2240-1230")</f>
        <v>0000-0002-2240-1230</v>
      </c>
    </row>
    <row r="10">
      <c r="A10" s="2" t="str">
        <f>IFERROR(__xludf.DUMMYFUNCTION("""COMPUTED_VALUE"""),"Taylor")</f>
        <v>Taylor</v>
      </c>
      <c r="B10" s="2" t="str">
        <f>IFERROR(__xludf.DUMMYFUNCTION("""COMPUTED_VALUE"""),"Matthew")</f>
        <v>Matthew</v>
      </c>
      <c r="C10" s="2" t="str">
        <f>IFERROR(__xludf.DUMMYFUNCTION("""COMPUTED_VALUE"""),"Key Personnel")</f>
        <v>Key Personnel</v>
      </c>
      <c r="D10" s="2" t="str">
        <f>IFERROR(__xludf.DUMMYFUNCTION("""COMPUTED_VALUE"""),"Alessi")</f>
        <v>Alessi</v>
      </c>
      <c r="E10" s="2" t="str">
        <f>IFERROR(__xludf.DUMMYFUNCTION("""COMPUTED_VALUE"""),"PhD student")</f>
        <v>PhD student</v>
      </c>
      <c r="F10" s="2" t="str">
        <f>IFERROR(__xludf.DUMMYFUNCTION("""COMPUTED_VALUE"""),"mhtaylor@dundee.ac.uk")</f>
        <v>mhtaylor@dundee.ac.uk</v>
      </c>
      <c r="G10" s="2" t="str">
        <f>IFERROR(__xludf.DUMMYFUNCTION("""COMPUTED_VALUE"""),"0000-0002-4003-3128")</f>
        <v>0000-0002-4003-3128</v>
      </c>
    </row>
    <row r="11">
      <c r="A11" s="2" t="str">
        <f>IFERROR(__xludf.DUMMYFUNCTION("""COMPUTED_VALUE"""),"Kalogeropulou")</f>
        <v>Kalogeropulou</v>
      </c>
      <c r="B11" s="2" t="str">
        <f>IFERROR(__xludf.DUMMYFUNCTION("""COMPUTED_VALUE"""),"Alexia")</f>
        <v>Alexia</v>
      </c>
      <c r="C11" s="2" t="str">
        <f>IFERROR(__xludf.DUMMYFUNCTION("""COMPUTED_VALUE"""),"Key Personnel")</f>
        <v>Key Personnel</v>
      </c>
      <c r="D11" s="2" t="str">
        <f>IFERROR(__xludf.DUMMYFUNCTION("""COMPUTED_VALUE"""),"Alessi")</f>
        <v>Alessi</v>
      </c>
      <c r="E11" s="2" t="str">
        <f>IFERROR(__xludf.DUMMYFUNCTION("""COMPUTED_VALUE"""),"PhD student")</f>
        <v>PhD student</v>
      </c>
      <c r="F11" s="2" t="str">
        <f>IFERROR(__xludf.DUMMYFUNCTION("""COMPUTED_VALUE"""),"akalogeropulou@dundee.ac.uk")</f>
        <v>akalogeropulou@dundee.ac.uk</v>
      </c>
      <c r="G11" s="2" t="str">
        <f>IFERROR(__xludf.DUMMYFUNCTION("""COMPUTED_VALUE"""),"0000-0001-5185-7694")</f>
        <v>0000-0001-5185-7694</v>
      </c>
    </row>
    <row r="12">
      <c r="A12" s="2" t="str">
        <f>IFERROR(__xludf.DUMMYFUNCTION("""COMPUTED_VALUE"""),"Berndsen")</f>
        <v>Berndsen</v>
      </c>
      <c r="B12" s="2" t="str">
        <f>IFERROR(__xludf.DUMMYFUNCTION("""COMPUTED_VALUE"""),"Kerryn")</f>
        <v>Kerryn</v>
      </c>
      <c r="C12" s="2" t="str">
        <f>IFERROR(__xludf.DUMMYFUNCTION("""COMPUTED_VALUE"""),"Key Personnel")</f>
        <v>Key Personnel</v>
      </c>
      <c r="D12" s="2" t="str">
        <f>IFERROR(__xludf.DUMMYFUNCTION("""COMPUTED_VALUE"""),"Alessi")</f>
        <v>Alessi</v>
      </c>
      <c r="E12" s="2" t="str">
        <f>IFERROR(__xludf.DUMMYFUNCTION("""COMPUTED_VALUE"""),"PhD student")</f>
        <v>PhD student</v>
      </c>
      <c r="F12" s="2" t="str">
        <f>IFERROR(__xludf.DUMMYFUNCTION("""COMPUTED_VALUE"""),"kberndsen@dundee.ac.uk")</f>
        <v>kberndsen@dundee.ac.uk</v>
      </c>
      <c r="G12" s="2" t="str">
        <f>IFERROR(__xludf.DUMMYFUNCTION("""COMPUTED_VALUE"""),"0000-0002-9353-7565")</f>
        <v>0000-0002-9353-7565</v>
      </c>
    </row>
    <row r="13">
      <c r="A13" s="2" t="str">
        <f>IFERROR(__xludf.DUMMYFUNCTION("""COMPUTED_VALUE"""),"Singh")</f>
        <v>Singh</v>
      </c>
      <c r="B13" s="2" t="str">
        <f>IFERROR(__xludf.DUMMYFUNCTION("""COMPUTED_VALUE"""),"Pawan")</f>
        <v>Pawan</v>
      </c>
      <c r="C13" s="2" t="str">
        <f>IFERROR(__xludf.DUMMYFUNCTION("""COMPUTED_VALUE"""),"Key Personnel")</f>
        <v>Key Personnel</v>
      </c>
      <c r="D13" s="2" t="str">
        <f>IFERROR(__xludf.DUMMYFUNCTION("""COMPUTED_VALUE"""),"Muqit")</f>
        <v>Muqit</v>
      </c>
      <c r="E13" s="2" t="str">
        <f>IFERROR(__xludf.DUMMYFUNCTION("""COMPUTED_VALUE"""),"Postdoc")</f>
        <v>Postdoc</v>
      </c>
      <c r="F13" s="2" t="str">
        <f>IFERROR(__xludf.DUMMYFUNCTION("""COMPUTED_VALUE"""),"p.k.singh@dundee.ac.uk")</f>
        <v>p.k.singh@dundee.ac.uk</v>
      </c>
      <c r="G13" s="2" t="str">
        <f>IFERROR(__xludf.DUMMYFUNCTION("""COMPUTED_VALUE"""),"0000-0002-1591-6439")</f>
        <v>0000-0002-1591-6439</v>
      </c>
    </row>
    <row r="14">
      <c r="A14" s="2" t="str">
        <f>IFERROR(__xludf.DUMMYFUNCTION("""COMPUTED_VALUE"""),"Iguchi")</f>
        <v>Iguchi</v>
      </c>
      <c r="B14" s="2" t="str">
        <f>IFERROR(__xludf.DUMMYFUNCTION("""COMPUTED_VALUE"""),"Miharu")</f>
        <v>Miharu</v>
      </c>
      <c r="C14" s="2" t="str">
        <f>IFERROR(__xludf.DUMMYFUNCTION("""COMPUTED_VALUE"""),"Key Personnel")</f>
        <v>Key Personnel</v>
      </c>
      <c r="D14" s="2" t="str">
        <f>IFERROR(__xludf.DUMMYFUNCTION("""COMPUTED_VALUE"""),"Abu-Remaileh ")</f>
        <v>Abu-Remaileh </v>
      </c>
      <c r="E14" s="2" t="str">
        <f>IFERROR(__xludf.DUMMYFUNCTION("""COMPUTED_VALUE"""),"Research Assistant")</f>
        <v>Research Assistant</v>
      </c>
      <c r="F14" s="2" t="str">
        <f>IFERROR(__xludf.DUMMYFUNCTION("""COMPUTED_VALUE"""),"miguchi@stanford.edu")</f>
        <v>miguchi@stanford.edu</v>
      </c>
      <c r="G14" s="2" t="str">
        <f>IFERROR(__xludf.DUMMYFUNCTION("""COMPUTED_VALUE"""),"0000-0002-3515-2114")</f>
        <v>0000-0002-3515-2114</v>
      </c>
    </row>
    <row r="15">
      <c r="A15" s="2" t="str">
        <f>IFERROR(__xludf.DUMMYFUNCTION("""COMPUTED_VALUE"""),"Shahzad")</f>
        <v>Shahzad</v>
      </c>
      <c r="B15" s="2" t="str">
        <f>IFERROR(__xludf.DUMMYFUNCTION("""COMPUTED_VALUE"""),"Khan")</f>
        <v>Khan</v>
      </c>
      <c r="C15" s="2" t="str">
        <f>IFERROR(__xludf.DUMMYFUNCTION("""COMPUTED_VALUE"""),"Key Personnel")</f>
        <v>Key Personnel</v>
      </c>
      <c r="D15" s="2" t="str">
        <f>IFERROR(__xludf.DUMMYFUNCTION("""COMPUTED_VALUE"""),"Pfeffer")</f>
        <v>Pfeffer</v>
      </c>
      <c r="E15" s="2" t="str">
        <f>IFERROR(__xludf.DUMMYFUNCTION("""COMPUTED_VALUE"""),"Postdoc")</f>
        <v>Postdoc</v>
      </c>
      <c r="F15" s="2" t="str">
        <f>IFERROR(__xludf.DUMMYFUNCTION("""COMPUTED_VALUE"""),"sskhan1@stanford.edu")</f>
        <v>sskhan1@stanford.edu</v>
      </c>
      <c r="G15" s="2" t="str">
        <f>IFERROR(__xludf.DUMMYFUNCTION("""COMPUTED_VALUE"""),"0000-0003-3962-0226")</f>
        <v>0000-0003-3962-0226</v>
      </c>
    </row>
    <row r="16">
      <c r="A16" s="2" t="str">
        <f>IFERROR(__xludf.DUMMYFUNCTION("""COMPUTED_VALUE"""),"Clifford")</f>
        <v>Clifford</v>
      </c>
      <c r="B16" s="2" t="str">
        <f>IFERROR(__xludf.DUMMYFUNCTION("""COMPUTED_VALUE"""),"Rosamund")</f>
        <v>Rosamund</v>
      </c>
      <c r="C16" s="2" t="str">
        <f>IFERROR(__xludf.DUMMYFUNCTION("""COMPUTED_VALUE"""),"Key Personnel")</f>
        <v>Key Personnel</v>
      </c>
      <c r="D16" s="2" t="str">
        <f>IFERROR(__xludf.DUMMYFUNCTION("""COMPUTED_VALUE"""),"Muqit")</f>
        <v>Muqit</v>
      </c>
      <c r="E16" s="2" t="str">
        <f>IFERROR(__xludf.DUMMYFUNCTION("""COMPUTED_VALUE"""),"Postdoc")</f>
        <v>Postdoc</v>
      </c>
      <c r="F16" s="2" t="str">
        <f>IFERROR(__xludf.DUMMYFUNCTION("""COMPUTED_VALUE"""),"RClifford001@dundee.ac.uk")</f>
        <v>RClifford001@dundee.ac.uk</v>
      </c>
      <c r="G16" s="2" t="str">
        <f>IFERROR(__xludf.DUMMYFUNCTION("""COMPUTED_VALUE"""),"0000-0002-7910-734X")</f>
        <v>0000-0002-7910-734X</v>
      </c>
    </row>
    <row r="17">
      <c r="A17" s="2" t="str">
        <f>IFERROR(__xludf.DUMMYFUNCTION("""COMPUTED_VALUE"""),"Wondwossen")</f>
        <v>Wondwossen</v>
      </c>
      <c r="B17" s="2" t="str">
        <f>IFERROR(__xludf.DUMMYFUNCTION("""COMPUTED_VALUE"""),"Yeshaw")</f>
        <v>Yeshaw</v>
      </c>
      <c r="C17" s="2" t="str">
        <f>IFERROR(__xludf.DUMMYFUNCTION("""COMPUTED_VALUE"""),"Key Personnel")</f>
        <v>Key Personnel</v>
      </c>
      <c r="D17" s="2" t="str">
        <f>IFERROR(__xludf.DUMMYFUNCTION("""COMPUTED_VALUE"""),"Pfeffer")</f>
        <v>Pfeffer</v>
      </c>
      <c r="E17" s="2" t="str">
        <f>IFERROR(__xludf.DUMMYFUNCTION("""COMPUTED_VALUE"""),"Postdoc")</f>
        <v>Postdoc</v>
      </c>
      <c r="F17" s="2" t="str">
        <f>IFERROR(__xludf.DUMMYFUNCTION("""COMPUTED_VALUE"""),"yeshaw@stanford.edu")</f>
        <v>yeshaw@stanford.edu</v>
      </c>
      <c r="G17" s="2" t="str">
        <f>IFERROR(__xludf.DUMMYFUNCTION("""COMPUTED_VALUE"""),"0000-0002-3134-3458")</f>
        <v>0000-0002-3134-3458</v>
      </c>
    </row>
    <row r="18">
      <c r="A18" s="2" t="str">
        <f>IFERROR(__xludf.DUMMYFUNCTION("""COMPUTED_VALUE"""),"Malik")</f>
        <v>Malik</v>
      </c>
      <c r="B18" s="2" t="str">
        <f>IFERROR(__xludf.DUMMYFUNCTION("""COMPUTED_VALUE"""),"Asad")</f>
        <v>Asad</v>
      </c>
      <c r="C18" s="2" t="str">
        <f>IFERROR(__xludf.DUMMYFUNCTION("""COMPUTED_VALUE"""),"Key Personnel")</f>
        <v>Key Personnel</v>
      </c>
      <c r="D18" s="2" t="str">
        <f>IFERROR(__xludf.DUMMYFUNCTION("""COMPUTED_VALUE"""),"Alessi")</f>
        <v>Alessi</v>
      </c>
      <c r="E18" s="2" t="str">
        <f>IFERROR(__xludf.DUMMYFUNCTION("""COMPUTED_VALUE"""),"PhD student")</f>
        <v>PhD student</v>
      </c>
      <c r="F18" s="2" t="str">
        <f>IFERROR(__xludf.DUMMYFUNCTION("""COMPUTED_VALUE"""),"axmalik@dundee.ac.uk")</f>
        <v>axmalik@dundee.ac.uk</v>
      </c>
      <c r="G18" s="2" t="str">
        <f>IFERROR(__xludf.DUMMYFUNCTION("""COMPUTED_VALUE"""),"0000-0001-8550-9604")</f>
        <v>0000-0001-8550-9604</v>
      </c>
    </row>
    <row r="19">
      <c r="A19" s="2" t="str">
        <f>IFERROR(__xludf.DUMMYFUNCTION("""COMPUTED_VALUE"""),"Nikoloff")</f>
        <v>Nikoloff</v>
      </c>
      <c r="B19" s="2" t="str">
        <f>IFERROR(__xludf.DUMMYFUNCTION("""COMPUTED_VALUE"""),"Jonas")</f>
        <v>Jonas</v>
      </c>
      <c r="C19" s="2" t="str">
        <f>IFERROR(__xludf.DUMMYFUNCTION("""COMPUTED_VALUE"""),"Key Personnel")</f>
        <v>Key Personnel</v>
      </c>
      <c r="D19" s="2" t="str">
        <f>IFERROR(__xludf.DUMMYFUNCTION("""COMPUTED_VALUE"""),"Pfeffer")</f>
        <v>Pfeffer</v>
      </c>
      <c r="E19" s="2" t="str">
        <f>IFERROR(__xludf.DUMMYFUNCTION("""COMPUTED_VALUE"""),"Postdoc")</f>
        <v>Postdoc</v>
      </c>
      <c r="F19" s="2" t="str">
        <f>IFERROR(__xludf.DUMMYFUNCTION("""COMPUTED_VALUE"""),"jonasni@stanford.edu")</f>
        <v>jonasni@stanford.edu</v>
      </c>
      <c r="G19" s="2" t="str">
        <f>IFERROR(__xludf.DUMMYFUNCTION("""COMPUTED_VALUE"""),"0000-0002-7823-454X")</f>
        <v>0000-0002-7823-454X</v>
      </c>
    </row>
    <row r="20">
      <c r="A20" s="2" t="str">
        <f>IFERROR(__xludf.DUMMYFUNCTION("""COMPUTED_VALUE"""),"Member")</f>
        <v>Member</v>
      </c>
      <c r="B20" s="2" t="str">
        <f>IFERROR(__xludf.DUMMYFUNCTION("""COMPUTED_VALUE"""),"Example")</f>
        <v>Example</v>
      </c>
      <c r="C20" s="2" t="str">
        <f>IFERROR(__xludf.DUMMYFUNCTION("""COMPUTED_VALUE"""),"Members Role")</f>
        <v>Members Role</v>
      </c>
      <c r="D20" s="2" t="str">
        <f>IFERROR(__xludf.DUMMYFUNCTION("""COMPUTED_VALUE"""),"Lab Name")</f>
        <v>Lab Name</v>
      </c>
      <c r="E20" s="2" t="str">
        <f>IFERROR(__xludf.DUMMYFUNCTION("""COMPUTED_VALUE"""),"Member's Lab Role")</f>
        <v>Member's Lab Role</v>
      </c>
      <c r="F20" s="2" t="str">
        <f>IFERROR(__xludf.DUMMYFUNCTION("""COMPUTED_VALUE"""),"member@example.edu")</f>
        <v>member@example.edu</v>
      </c>
      <c r="G20" s="2" t="str">
        <f>IFERROR(__xludf.DUMMYFUNCTION("""COMPUTED_VALUE"""),"123-4567-890-4311")</f>
        <v>123-4567-890-4311</v>
      </c>
    </row>
    <row r="21">
      <c r="A21" s="2" t="str">
        <f>IFERROR(__xludf.DUMMYFUNCTION("""COMPUTED_VALUE"""),"Skelton")</f>
        <v>Skelton</v>
      </c>
      <c r="B21" s="2" t="str">
        <f>IFERROR(__xludf.DUMMYFUNCTION("""COMPUTED_VALUE"""),"Patrick ")</f>
        <v>Patrick </v>
      </c>
      <c r="C21" s="2" t="str">
        <f>IFERROR(__xludf.DUMMYFUNCTION("""COMPUTED_VALUE"""),"Key Personnel")</f>
        <v>Key Personnel</v>
      </c>
      <c r="D21" s="2" t="str">
        <f>IFERROR(__xludf.DUMMYFUNCTION("""COMPUTED_VALUE"""),"Parisiadou")</f>
        <v>Parisiadou</v>
      </c>
      <c r="E21" s="2" t="str">
        <f>IFERROR(__xludf.DUMMYFUNCTION("""COMPUTED_VALUE"""),"Post-doctoral fellow")</f>
        <v>Post-doctoral fellow</v>
      </c>
      <c r="F21" s="2" t="str">
        <f>IFERROR(__xludf.DUMMYFUNCTION("""COMPUTED_VALUE"""),"patrick.skelton@northwestern.edu")</f>
        <v>patrick.skelton@northwestern.edu</v>
      </c>
      <c r="G21" s="2" t="str">
        <f>IFERROR(__xludf.DUMMYFUNCTION("""COMPUTED_VALUE"""),"0000-0002-6691-9904")</f>
        <v>0000-0002-6691-9904</v>
      </c>
    </row>
    <row r="22">
      <c r="A22" s="2" t="str">
        <f>IFERROR(__xludf.DUMMYFUNCTION("""COMPUTED_VALUE"""),"Morales")</f>
        <v>Morales</v>
      </c>
      <c r="B22" s="2" t="str">
        <f>IFERROR(__xludf.DUMMYFUNCTION("""COMPUTED_VALUE"""),"Juan")</f>
        <v>Juan</v>
      </c>
      <c r="C22" s="2" t="str">
        <f>IFERROR(__xludf.DUMMYFUNCTION("""COMPUTED_VALUE"""),"Key Personnel")</f>
        <v>Key Personnel</v>
      </c>
      <c r="D22" s="2" t="str">
        <f>IFERROR(__xludf.DUMMYFUNCTION("""COMPUTED_VALUE"""),"Bevan")</f>
        <v>Bevan</v>
      </c>
      <c r="E22" s="2" t="str">
        <f>IFERROR(__xludf.DUMMYFUNCTION("""COMPUTED_VALUE"""),"Post-doctoral fellow")</f>
        <v>Post-doctoral fellow</v>
      </c>
      <c r="F22" s="2" t="str">
        <f>IFERROR(__xludf.DUMMYFUNCTION("""COMPUTED_VALUE"""),"juan.morales@northwestern.edu")</f>
        <v>juan.morales@northwestern.edu</v>
      </c>
      <c r="G22" s="2" t="str">
        <f>IFERROR(__xludf.DUMMYFUNCTION("""COMPUTED_VALUE"""),"0000-0002-2017-5583")</f>
        <v>0000-0002-2017-5583</v>
      </c>
    </row>
    <row r="23">
      <c r="A23" s="2" t="str">
        <f>IFERROR(__xludf.DUMMYFUNCTION("""COMPUTED_VALUE"""),"Ciarra ")</f>
        <v>Ciarra </v>
      </c>
      <c r="B23" s="2" t="str">
        <f>IFERROR(__xludf.DUMMYFUNCTION("""COMPUTED_VALUE"""),"Key Personnel")</f>
        <v>Key Personnel</v>
      </c>
      <c r="C23" s="2" t="str">
        <f>IFERROR(__xludf.DUMMYFUNCTION("""COMPUTED_VALUE"""),"Key Personnel")</f>
        <v>Key Personnel</v>
      </c>
      <c r="D23" s="2" t="str">
        <f>IFERROR(__xludf.DUMMYFUNCTION("""COMPUTED_VALUE"""),"Parisiadou")</f>
        <v>Parisiadou</v>
      </c>
      <c r="E23" s="2" t="str">
        <f>IFERROR(__xludf.DUMMYFUNCTION("""COMPUTED_VALUE"""),"Grad student ")</f>
        <v>Grad student </v>
      </c>
      <c r="F23" s="2" t="str">
        <f>IFERROR(__xludf.DUMMYFUNCTION("""COMPUTED_VALUE"""),"ciarra.smith@northwestern.edu")</f>
        <v>ciarra.smith@northwestern.edu</v>
      </c>
      <c r="G23" s="2" t="str">
        <f>IFERROR(__xludf.DUMMYFUNCTION("""COMPUTED_VALUE"""),"0000-0001-9344-3916")</f>
        <v>0000-0001-9344-3916</v>
      </c>
    </row>
    <row r="24">
      <c r="A24" s="2" t="str">
        <f>IFERROR(__xludf.DUMMYFUNCTION("""COMPUTED_VALUE"""),"Nicola ")</f>
        <v>Nicola </v>
      </c>
      <c r="B24" s="2" t="str">
        <f>IFERROR(__xludf.DUMMYFUNCTION("""COMPUTED_VALUE"""),"Key Personnel")</f>
        <v>Key Personnel</v>
      </c>
      <c r="C24" s="2" t="str">
        <f>IFERROR(__xludf.DUMMYFUNCTION("""COMPUTED_VALUE"""),"Key Personnel")</f>
        <v>Key Personnel</v>
      </c>
      <c r="D24" s="2" t="str">
        <f>IFERROR(__xludf.DUMMYFUNCTION("""COMPUTED_VALUE"""),"Parisiadou")</f>
        <v>Parisiadou</v>
      </c>
      <c r="E24" s="2" t="str">
        <f>IFERROR(__xludf.DUMMYFUNCTION("""COMPUTED_VALUE"""),"Post-doctoral fellow")</f>
        <v>Post-doctoral fellow</v>
      </c>
      <c r="F24" s="2" t="str">
        <f>IFERROR(__xludf.DUMMYFUNCTION("""COMPUTED_VALUE"""),"nicola.orefice@northwestern.edu")</f>
        <v>nicola.orefice@northwestern.edu</v>
      </c>
      <c r="G24" s="2" t="str">
        <f>IFERROR(__xludf.DUMMYFUNCTION("""COMPUTED_VALUE"""),"0000-0001-8135-3737")</f>
        <v>0000-0001-8135-3737</v>
      </c>
    </row>
    <row r="25">
      <c r="A25" s="2" t="str">
        <f>IFERROR(__xludf.DUMMYFUNCTION("""COMPUTED_VALUE"""),"Hiedo")</f>
        <v>Hiedo</v>
      </c>
      <c r="B25" s="2" t="str">
        <f>IFERROR(__xludf.DUMMYFUNCTION("""COMPUTED_VALUE"""),"John")</f>
        <v>John</v>
      </c>
      <c r="C25" s="2" t="str">
        <f>IFERROR(__xludf.DUMMYFUNCTION("""COMPUTED_VALUE"""),"Key Personnel")</f>
        <v>Key Personnel</v>
      </c>
      <c r="D25" s="2" t="str">
        <f>IFERROR(__xludf.DUMMYFUNCTION("""COMPUTED_VALUE"""),"Hnasko")</f>
        <v>Hnasko</v>
      </c>
      <c r="E25" s="2" t="str">
        <f>IFERROR(__xludf.DUMMYFUNCTION("""COMPUTED_VALUE"""),"Staff Research Associate")</f>
        <v>Staff Research Associate</v>
      </c>
      <c r="F25" s="2" t="str">
        <f>IFERROR(__xludf.DUMMYFUNCTION("""COMPUTED_VALUE"""),"jhiedo@health.ucsd.edu")</f>
        <v>jhiedo@health.ucsd.edu</v>
      </c>
      <c r="G25" s="2" t="str">
        <f>IFERROR(__xludf.DUMMYFUNCTION("""COMPUTED_VALUE"""),"0000-0002-3323-8133")</f>
        <v>0000-0002-3323-8133</v>
      </c>
    </row>
    <row r="26">
      <c r="A26" s="2" t="str">
        <f>IFERROR(__xludf.DUMMYFUNCTION("""COMPUTED_VALUE"""),"Azcorra")</f>
        <v>Azcorra</v>
      </c>
      <c r="B26" s="2" t="str">
        <f>IFERROR(__xludf.DUMMYFUNCTION("""COMPUTED_VALUE"""),"Maite")</f>
        <v>Maite</v>
      </c>
      <c r="C26" s="2" t="str">
        <f>IFERROR(__xludf.DUMMYFUNCTION("""COMPUTED_VALUE"""),"Key Personnel")</f>
        <v>Key Personnel</v>
      </c>
      <c r="D26" s="2" t="str">
        <f>IFERROR(__xludf.DUMMYFUNCTION("""COMPUTED_VALUE"""),"Dombeck")</f>
        <v>Dombeck</v>
      </c>
      <c r="E26" s="2" t="str">
        <f>IFERROR(__xludf.DUMMYFUNCTION("""COMPUTED_VALUE"""),"Grad student")</f>
        <v>Grad student</v>
      </c>
      <c r="F26" s="2" t="str">
        <f>IFERROR(__xludf.DUMMYFUNCTION("""COMPUTED_VALUE"""),"m.azcorra@northwestern.edu")</f>
        <v>m.azcorra@northwestern.edu</v>
      </c>
      <c r="G26" s="2" t="str">
        <f>IFERROR(__xludf.DUMMYFUNCTION("""COMPUTED_VALUE"""),"0000-0002-2919-3825")</f>
        <v>0000-0002-2919-3825</v>
      </c>
    </row>
    <row r="27">
      <c r="A27" s="2" t="str">
        <f>IFERROR(__xludf.DUMMYFUNCTION("""COMPUTED_VALUE"""),"Sami Nissan")</f>
        <v>Sami Nissan</v>
      </c>
      <c r="B27" s="2" t="str">
        <f>IFERROR(__xludf.DUMMYFUNCTION("""COMPUTED_VALUE"""),"Maryana ")</f>
        <v>Maryana </v>
      </c>
      <c r="C27" s="2" t="str">
        <f>IFERROR(__xludf.DUMMYFUNCTION("""COMPUTED_VALUE"""),"Key Personnel")</f>
        <v>Key Personnel</v>
      </c>
      <c r="D27" s="2" t="str">
        <f>IFERROR(__xludf.DUMMYFUNCTION("""COMPUTED_VALUE"""),"Awatramani")</f>
        <v>Awatramani</v>
      </c>
      <c r="E27" s="2" t="str">
        <f>IFERROR(__xludf.DUMMYFUNCTION("""COMPUTED_VALUE"""),"Staff")</f>
        <v>Staff</v>
      </c>
      <c r="F27" s="2" t="str">
        <f>IFERROR(__xludf.DUMMYFUNCTION("""COMPUTED_VALUE"""),"maryana.nissan@northwestern.edu")</f>
        <v>maryana.nissan@northwestern.edu</v>
      </c>
      <c r="G27" s="2" t="str">
        <f>IFERROR(__xludf.DUMMYFUNCTION("""COMPUTED_VALUE"""),"0000-0003-1320-227X")</f>
        <v>0000-0003-1320-227X</v>
      </c>
    </row>
    <row r="28">
      <c r="A28" s="2" t="str">
        <f>IFERROR(__xludf.DUMMYFUNCTION("""COMPUTED_VALUE"""),"Davidson")</f>
        <v>Davidson</v>
      </c>
      <c r="B28" s="2" t="str">
        <f>IFERROR(__xludf.DUMMYFUNCTION("""COMPUTED_VALUE"""),"Connor")</f>
        <v>Connor</v>
      </c>
      <c r="C28" s="2" t="str">
        <f>IFERROR(__xludf.DUMMYFUNCTION("""COMPUTED_VALUE"""),"Key Personnel")</f>
        <v>Key Personnel</v>
      </c>
      <c r="D28" s="2" t="str">
        <f>IFERROR(__xludf.DUMMYFUNCTION("""COMPUTED_VALUE"""),"Dombeck")</f>
        <v>Dombeck</v>
      </c>
      <c r="E28" s="2" t="str">
        <f>IFERROR(__xludf.DUMMYFUNCTION("""COMPUTED_VALUE"""),"Research technologist")</f>
        <v>Research technologist</v>
      </c>
      <c r="F28" s="2" t="str">
        <f>IFERROR(__xludf.DUMMYFUNCTION("""COMPUTED_VALUE"""),"connor.davidson@northwestern.edu")</f>
        <v>connor.davidson@northwestern.edu</v>
      </c>
      <c r="G28" s="2" t="str">
        <f>IFERROR(__xludf.DUMMYFUNCTION("""COMPUTED_VALUE"""),"0000-0002-3310-3095")</f>
        <v>0000-0002-3310-3095</v>
      </c>
    </row>
    <row r="29">
      <c r="A29" s="2" t="str">
        <f>IFERROR(__xludf.DUMMYFUNCTION("""COMPUTED_VALUE"""),"Gunasekara")</f>
        <v>Gunasekara</v>
      </c>
      <c r="B29" s="2" t="str">
        <f>IFERROR(__xludf.DUMMYFUNCTION("""COMPUTED_VALUE"""),"Ravindi")</f>
        <v>Ravindi</v>
      </c>
      <c r="C29" s="2" t="str">
        <f>IFERROR(__xludf.DUMMYFUNCTION("""COMPUTED_VALUE"""),"Key Personnel")</f>
        <v>Key Personnel</v>
      </c>
      <c r="D29" s="2" t="str">
        <f>IFERROR(__xludf.DUMMYFUNCTION("""COMPUTED_VALUE"""),"Bevan")</f>
        <v>Bevan</v>
      </c>
      <c r="E29" s="2" t="str">
        <f>IFERROR(__xludf.DUMMYFUNCTION("""COMPUTED_VALUE"""),"Research technologist")</f>
        <v>Research technologist</v>
      </c>
      <c r="F29" s="2" t="str">
        <f>IFERROR(__xludf.DUMMYFUNCTION("""COMPUTED_VALUE"""),"ravindi.gunasekara@northwestern.edu")</f>
        <v>ravindi.gunasekara@northwestern.edu</v>
      </c>
      <c r="G29" s="2" t="str">
        <f>IFERROR(__xludf.DUMMYFUNCTION("""COMPUTED_VALUE"""),"0000-0002-7914-3578")</f>
        <v>0000-0002-7914-3578</v>
      </c>
    </row>
    <row r="30">
      <c r="A30" s="2" t="str">
        <f>IFERROR(__xludf.DUMMYFUNCTION("""COMPUTED_VALUE"""),"Kollman")</f>
        <v>Kollman</v>
      </c>
      <c r="B30" s="2" t="str">
        <f>IFERROR(__xludf.DUMMYFUNCTION("""COMPUTED_VALUE"""),"Grace ")</f>
        <v>Grace </v>
      </c>
      <c r="C30" s="2" t="str">
        <f>IFERROR(__xludf.DUMMYFUNCTION("""COMPUTED_VALUE"""),"Key Personnel")</f>
        <v>Key Personnel</v>
      </c>
      <c r="D30" s="2" t="str">
        <f>IFERROR(__xludf.DUMMYFUNCTION("""COMPUTED_VALUE"""),"Hnasko")</f>
        <v>Hnasko</v>
      </c>
      <c r="E30" s="2" t="str">
        <f>IFERROR(__xludf.DUMMYFUNCTION("""COMPUTED_VALUE"""),"Research assistant")</f>
        <v>Research assistant</v>
      </c>
      <c r="F30" s="2" t="str">
        <f>IFERROR(__xludf.DUMMYFUNCTION("""COMPUTED_VALUE"""),"gkollman@health.ucsd.edu")</f>
        <v>gkollman@health.ucsd.edu</v>
      </c>
      <c r="G30" s="2" t="str">
        <f>IFERROR(__xludf.DUMMYFUNCTION("""COMPUTED_VALUE"""),"0000-0002-1247-6845")</f>
        <v>0000-0002-1247-6845</v>
      </c>
    </row>
    <row r="31">
      <c r="A31" s="2" t="str">
        <f>IFERROR(__xludf.DUMMYFUNCTION("""COMPUTED_VALUE"""),"Annette Brophy")</f>
        <v>Annette Brophy</v>
      </c>
      <c r="B31" s="2" t="str">
        <f>IFERROR(__xludf.DUMMYFUNCTION("""COMPUTED_VALUE"""),"Madeline")</f>
        <v>Madeline</v>
      </c>
      <c r="C31" s="2" t="str">
        <f>IFERROR(__xludf.DUMMYFUNCTION("""COMPUTED_VALUE"""),"Key Personnel")</f>
        <v>Key Personnel</v>
      </c>
      <c r="D31" s="2" t="str">
        <f>IFERROR(__xludf.DUMMYFUNCTION("""COMPUTED_VALUE"""),"Bevan")</f>
        <v>Bevan</v>
      </c>
      <c r="E31" s="2" t="str">
        <f>IFERROR(__xludf.DUMMYFUNCTION("""COMPUTED_VALUE"""),"Research Technologist")</f>
        <v>Research Technologist</v>
      </c>
      <c r="F31" s="2" t="str">
        <f>IFERROR(__xludf.DUMMYFUNCTION("""COMPUTED_VALUE"""),"madeline.brophy@northwestern.edu")</f>
        <v>madeline.brophy@northwestern.edu</v>
      </c>
      <c r="G31" s="2" t="str">
        <f>IFERROR(__xludf.DUMMYFUNCTION("""COMPUTED_VALUE"""),"0000-0002-8081-7672")</f>
        <v>0000-0002-8081-7672</v>
      </c>
    </row>
    <row r="32">
      <c r="A32" s="2" t="str">
        <f>IFERROR(__xludf.DUMMYFUNCTION("""COMPUTED_VALUE"""),"Vicek")</f>
        <v>Vicek</v>
      </c>
      <c r="B32" s="2" t="str">
        <f>IFERROR(__xludf.DUMMYFUNCTION("""COMPUTED_VALUE"""),"Bianca")</f>
        <v>Bianca</v>
      </c>
      <c r="C32" s="2" t="str">
        <f>IFERROR(__xludf.DUMMYFUNCTION("""COMPUTED_VALUE"""),"Key Personnel")</f>
        <v>Key Personnel</v>
      </c>
      <c r="D32" s="2" t="str">
        <f>IFERROR(__xludf.DUMMYFUNCTION("""COMPUTED_VALUE"""),"Wallén-Mackenzie")</f>
        <v>Wallén-Mackenzie</v>
      </c>
      <c r="E32" s="2" t="str">
        <f>IFERROR(__xludf.DUMMYFUNCTION("""COMPUTED_VALUE"""),"Grad student")</f>
        <v>Grad student</v>
      </c>
      <c r="F32" s="2" t="str">
        <f>IFERROR(__xludf.DUMMYFUNCTION("""COMPUTED_VALUE"""),"biancachristina01@hotmail.com")</f>
        <v>biancachristina01@hotmail.com</v>
      </c>
      <c r="G32" s="2" t="str">
        <f>IFERROR(__xludf.DUMMYFUNCTION("""COMPUTED_VALUE"""),"0000-0001-5442-2303")</f>
        <v>0000-0001-5442-2303</v>
      </c>
    </row>
    <row r="33">
      <c r="A33" s="2" t="str">
        <f>IFERROR(__xludf.DUMMYFUNCTION("""COMPUTED_VALUE"""),"Guillaumin")</f>
        <v>Guillaumin</v>
      </c>
      <c r="B33" s="2" t="str">
        <f>IFERROR(__xludf.DUMMYFUNCTION("""COMPUTED_VALUE"""),"Adriane")</f>
        <v>Adriane</v>
      </c>
      <c r="C33" s="2" t="str">
        <f>IFERROR(__xludf.DUMMYFUNCTION("""COMPUTED_VALUE"""),"Key Personnel")</f>
        <v>Key Personnel</v>
      </c>
      <c r="D33" s="2" t="str">
        <f>IFERROR(__xludf.DUMMYFUNCTION("""COMPUTED_VALUE"""),"Wallén-Mackenzie")</f>
        <v>Wallén-Mackenzie</v>
      </c>
      <c r="E33" s="2" t="str">
        <f>IFERROR(__xludf.DUMMYFUNCTION("""COMPUTED_VALUE"""),"Grad student")</f>
        <v>Grad student</v>
      </c>
      <c r="F33" s="2" t="str">
        <f>IFERROR(__xludf.DUMMYFUNCTION("""COMPUTED_VALUE"""),"adriane.guillaumin@u-bordeaux.fr")</f>
        <v>adriane.guillaumin@u-bordeaux.fr</v>
      </c>
      <c r="G33" s="2" t="str">
        <f>IFERROR(__xludf.DUMMYFUNCTION("""COMPUTED_VALUE"""),"0000-0002-6488-3207")</f>
        <v>0000-0002-6488-3207</v>
      </c>
    </row>
    <row r="34">
      <c r="A34" s="2" t="str">
        <f>IFERROR(__xludf.DUMMYFUNCTION("""COMPUTED_VALUE"""),"Phelan")</f>
        <v>Phelan</v>
      </c>
      <c r="B34" s="2" t="str">
        <f>IFERROR(__xludf.DUMMYFUNCTION("""COMPUTED_VALUE"""),"Elizabeth")</f>
        <v>Elizabeth</v>
      </c>
      <c r="C34" s="2" t="str">
        <f>IFERROR(__xludf.DUMMYFUNCTION("""COMPUTED_VALUE"""),"Key Personnel")</f>
        <v>Key Personnel</v>
      </c>
      <c r="D34" s="2" t="str">
        <f>IFERROR(__xludf.DUMMYFUNCTION("""COMPUTED_VALUE"""),"Awatramani")</f>
        <v>Awatramani</v>
      </c>
      <c r="E34" s="2" t="str">
        <f>IFERROR(__xludf.DUMMYFUNCTION("""COMPUTED_VALUE"""),"Staff")</f>
        <v>Staff</v>
      </c>
      <c r="F34" s="2" t="str">
        <f>IFERROR(__xludf.DUMMYFUNCTION("""COMPUTED_VALUE"""),"elizabeth@northwestern.edu")</f>
        <v>elizabeth@northwestern.edu</v>
      </c>
      <c r="G34" s="2" t="str">
        <f>IFERROR(__xludf.DUMMYFUNCTION("""COMPUTED_VALUE"""),"0000-0003-2388-6003")</f>
        <v>0000-0003-2388-6003</v>
      </c>
    </row>
    <row r="35">
      <c r="A35" s="2" t="str">
        <f>IFERROR(__xludf.DUMMYFUNCTION("""COMPUTED_VALUE"""),"Rubino")</f>
        <v>Rubino</v>
      </c>
      <c r="B35" s="2" t="str">
        <f>IFERROR(__xludf.DUMMYFUNCTION("""COMPUTED_VALUE"""),"Eleonora")</f>
        <v>Eleonora</v>
      </c>
      <c r="C35" s="2" t="str">
        <f>IFERROR(__xludf.DUMMYFUNCTION("""COMPUTED_VALUE"""),"Key Personnel")</f>
        <v>Key Personnel</v>
      </c>
      <c r="D35" s="2" t="str">
        <f>IFERROR(__xludf.DUMMYFUNCTION("""COMPUTED_VALUE"""),"Wallén-Mackenzie")</f>
        <v>Wallén-Mackenzie</v>
      </c>
      <c r="E35" s="2"/>
      <c r="F35" s="2" t="str">
        <f>IFERROR(__xludf.DUMMYFUNCTION("""COMPUTED_VALUE"""),"eleonora.rubino@ebc.uu.se")</f>
        <v>eleonora.rubino@ebc.uu.se</v>
      </c>
      <c r="G35" s="2" t="str">
        <f>IFERROR(__xludf.DUMMYFUNCTION("""COMPUTED_VALUE"""),"0000-0002-5248-505X")</f>
        <v>0000-0002-5248-505X</v>
      </c>
    </row>
    <row r="36">
      <c r="A36" s="2" t="str">
        <f>IFERROR(__xludf.DUMMYFUNCTION("""COMPUTED_VALUE"""),"Ricci")</f>
        <v>Ricci</v>
      </c>
      <c r="B36" s="2" t="str">
        <f>IFERROR(__xludf.DUMMYFUNCTION("""COMPUTED_VALUE"""),"Alessia")</f>
        <v>Alessia</v>
      </c>
      <c r="C36" s="2" t="str">
        <f>IFERROR(__xludf.DUMMYFUNCTION("""COMPUTED_VALUE"""),"Key Personnel")</f>
        <v>Key Personnel</v>
      </c>
      <c r="D36" s="2" t="str">
        <f>IFERROR(__xludf.DUMMYFUNCTION("""COMPUTED_VALUE"""),"Wallén-Mackenzie")</f>
        <v>Wallén-Mackenzie</v>
      </c>
      <c r="E36" s="2" t="str">
        <f>IFERROR(__xludf.DUMMYFUNCTION("""COMPUTED_VALUE"""),"Grad student")</f>
        <v>Grad student</v>
      </c>
      <c r="F36" s="2" t="str">
        <f>IFERROR(__xludf.DUMMYFUNCTION("""COMPUTED_VALUE"""),"alessia.ricci@ebc.uu.se")</f>
        <v>alessia.ricci@ebc.uu.se</v>
      </c>
      <c r="G36" s="2" t="str">
        <f>IFERROR(__xludf.DUMMYFUNCTION("""COMPUTED_VALUE"""),"0009-0007-9190-9795")</f>
        <v>0009-0007-9190-9795</v>
      </c>
    </row>
    <row r="37">
      <c r="A37" s="2" t="str">
        <f>IFERROR(__xludf.DUMMYFUNCTION("""COMPUTED_VALUE"""),"Lara-Gonzalez")</f>
        <v>Lara-Gonzalez</v>
      </c>
      <c r="B37" s="2" t="str">
        <f>IFERROR(__xludf.DUMMYFUNCTION("""COMPUTED_VALUE"""),"Esther")</f>
        <v>Esther</v>
      </c>
      <c r="C37" s="2" t="str">
        <f>IFERROR(__xludf.DUMMYFUNCTION("""COMPUTED_VALUE"""),"Key Personnel")</f>
        <v>Key Personnel</v>
      </c>
      <c r="D37" s="2" t="str">
        <f>IFERROR(__xludf.DUMMYFUNCTION("""COMPUTED_VALUE"""),"Bevan")</f>
        <v>Bevan</v>
      </c>
      <c r="E37" s="2" t="str">
        <f>IFERROR(__xludf.DUMMYFUNCTION("""COMPUTED_VALUE"""),"Post-doctoral fellow")</f>
        <v>Post-doctoral fellow</v>
      </c>
      <c r="F37" s="2" t="str">
        <f>IFERROR(__xludf.DUMMYFUNCTION("""COMPUTED_VALUE"""),"e.lara@northwestern.edu")</f>
        <v>e.lara@northwestern.edu</v>
      </c>
      <c r="G37" s="2" t="str">
        <f>IFERROR(__xludf.DUMMYFUNCTION("""COMPUTED_VALUE"""),"0000-0003-2782-4694")</f>
        <v>0000-0003-2782-4694</v>
      </c>
    </row>
    <row r="38">
      <c r="A38" s="2" t="str">
        <f>IFERROR(__xludf.DUMMYFUNCTION("""COMPUTED_VALUE"""),"Serra")</f>
        <v>Serra</v>
      </c>
      <c r="B38" s="2" t="str">
        <f>IFERROR(__xludf.DUMMYFUNCTION("""COMPUTED_VALUE"""),"Gian Pietro")</f>
        <v>Gian Pietro</v>
      </c>
      <c r="C38" s="2" t="str">
        <f>IFERROR(__xludf.DUMMYFUNCTION("""COMPUTED_VALUE"""),"Key Personnel")</f>
        <v>Key Personnel</v>
      </c>
      <c r="D38" s="2" t="str">
        <f>IFERROR(__xludf.DUMMYFUNCTION("""COMPUTED_VALUE"""),"Wallén-Mackenzie")</f>
        <v>Wallén-Mackenzie</v>
      </c>
      <c r="E38" s="2"/>
      <c r="F38" s="2" t="str">
        <f>IFERROR(__xludf.DUMMYFUNCTION("""COMPUTED_VALUE"""),"Gianpietro.serra@ebc.uu.se")</f>
        <v>Gianpietro.serra@ebc.uu.se</v>
      </c>
      <c r="G38" s="2" t="str">
        <f>IFERROR(__xludf.DUMMYFUNCTION("""COMPUTED_VALUE"""),"0000-0001-8782-3162")</f>
        <v>0000-0001-8782-3162</v>
      </c>
    </row>
    <row r="39">
      <c r="A39" s="2" t="str">
        <f>IFERROR(__xludf.DUMMYFUNCTION("""COMPUTED_VALUE"""),"Dix")</f>
        <v>Dix</v>
      </c>
      <c r="B39" s="2" t="str">
        <f>IFERROR(__xludf.DUMMYFUNCTION("""COMPUTED_VALUE"""),"China")</f>
        <v>China</v>
      </c>
      <c r="C39" s="2" t="str">
        <f>IFERROR(__xludf.DUMMYFUNCTION("""COMPUTED_VALUE"""),"Key Personnel")</f>
        <v>Key Personnel</v>
      </c>
      <c r="D39" s="2" t="str">
        <f>IFERROR(__xludf.DUMMYFUNCTION("""COMPUTED_VALUE"""),"Bevan")</f>
        <v>Bevan</v>
      </c>
      <c r="E39" s="2" t="str">
        <f>IFERROR(__xludf.DUMMYFUNCTION("""COMPUTED_VALUE"""),"research technologist")</f>
        <v>research technologist</v>
      </c>
      <c r="F39" s="2" t="str">
        <f>IFERROR(__xludf.DUMMYFUNCTION("""COMPUTED_VALUE"""),"china.dix@northwestern.edu")</f>
        <v>china.dix@northwestern.edu</v>
      </c>
      <c r="G39" s="2" t="str">
        <f>IFERROR(__xludf.DUMMYFUNCTION("""COMPUTED_VALUE"""),"0009-0001-1122-1023")</f>
        <v>0009-0001-1122-1023</v>
      </c>
    </row>
    <row r="40">
      <c r="A40" s="2" t="str">
        <f>IFERROR(__xludf.DUMMYFUNCTION("""COMPUTED_VALUE"""),"Mortel")</f>
        <v>Mortel</v>
      </c>
      <c r="B40" s="2" t="str">
        <f>IFERROR(__xludf.DUMMYFUNCTION("""COMPUTED_VALUE"""),"Jamie Anne")</f>
        <v>Jamie Anne</v>
      </c>
      <c r="C40" s="2" t="str">
        <f>IFERROR(__xludf.DUMMYFUNCTION("""COMPUTED_VALUE"""),"Key Personnel")</f>
        <v>Key Personnel</v>
      </c>
      <c r="D40" s="2" t="str">
        <f>IFERROR(__xludf.DUMMYFUNCTION("""COMPUTED_VALUE"""),"Hnasko")</f>
        <v>Hnasko</v>
      </c>
      <c r="E40" s="2" t="str">
        <f>IFERROR(__xludf.DUMMYFUNCTION("""COMPUTED_VALUE"""),"Staff Research Associate")</f>
        <v>Staff Research Associate</v>
      </c>
      <c r="F40" s="2" t="str">
        <f>IFERROR(__xludf.DUMMYFUNCTION("""COMPUTED_VALUE"""),"jmortel@health.ucsd.edu")</f>
        <v>jmortel@health.ucsd.edu</v>
      </c>
      <c r="G40" s="2" t="str">
        <f>IFERROR(__xludf.DUMMYFUNCTION("""COMPUTED_VALUE"""),"0009-0000-1634-3380")</f>
        <v>0009-0000-1634-3380</v>
      </c>
    </row>
    <row r="41">
      <c r="A41" s="2" t="str">
        <f>IFERROR(__xludf.DUMMYFUNCTION("""COMPUTED_VALUE"""),"Levy")</f>
        <v>Levy</v>
      </c>
      <c r="B41" s="2" t="str">
        <f>IFERROR(__xludf.DUMMYFUNCTION("""COMPUTED_VALUE"""),"Emily")</f>
        <v>Emily</v>
      </c>
      <c r="C41" s="2" t="str">
        <f>IFERROR(__xludf.DUMMYFUNCTION("""COMPUTED_VALUE"""),"Key Personnel")</f>
        <v>Key Personnel</v>
      </c>
      <c r="D41" s="2" t="str">
        <f>IFERROR(__xludf.DUMMYFUNCTION("""COMPUTED_VALUE"""),"Hnasko")</f>
        <v>Hnasko</v>
      </c>
      <c r="E41" s="2" t="str">
        <f>IFERROR(__xludf.DUMMYFUNCTION("""COMPUTED_VALUE"""),"Staff Research Associate")</f>
        <v>Staff Research Associate</v>
      </c>
      <c r="F41" s="2" t="str">
        <f>IFERROR(__xludf.DUMMYFUNCTION("""COMPUTED_VALUE"""),"eslevy@health.ucsd.edu")</f>
        <v>eslevy@health.ucsd.edu</v>
      </c>
      <c r="G41" s="2" t="str">
        <f>IFERROR(__xludf.DUMMYFUNCTION("""COMPUTED_VALUE"""),"0000-0002-3139-8838")</f>
        <v>0000-0002-3139-8838</v>
      </c>
    </row>
    <row r="42">
      <c r="A42" s="2" t="str">
        <f>IFERROR(__xludf.DUMMYFUNCTION("""COMPUTED_VALUE"""),"Datunashvili")</f>
        <v>Datunashvili</v>
      </c>
      <c r="B42" s="2" t="str">
        <f>IFERROR(__xludf.DUMMYFUNCTION("""COMPUTED_VALUE"""),"Maia")</f>
        <v>Maia</v>
      </c>
      <c r="C42" s="2" t="str">
        <f>IFERROR(__xludf.DUMMYFUNCTION("""COMPUTED_VALUE"""),"Key Personnel")</f>
        <v>Key Personnel</v>
      </c>
      <c r="D42" s="2" t="str">
        <f>IFERROR(__xludf.DUMMYFUNCTION("""COMPUTED_VALUE"""),"Bevan")</f>
        <v>Bevan</v>
      </c>
      <c r="E42" s="2" t="str">
        <f>IFERROR(__xludf.DUMMYFUNCTION("""COMPUTED_VALUE"""),"Post-doctoral fellow")</f>
        <v>Post-doctoral fellow</v>
      </c>
      <c r="F42" s="2" t="str">
        <f>IFERROR(__xludf.DUMMYFUNCTION("""COMPUTED_VALUE"""),"maia.datunashvili@northwestern.edu")</f>
        <v>maia.datunashvili@northwestern.edu</v>
      </c>
      <c r="G42" s="2" t="str">
        <f>IFERROR(__xludf.DUMMYFUNCTION("""COMPUTED_VALUE"""),"0000-0003-4245-779X")</f>
        <v>0000-0003-4245-779X</v>
      </c>
    </row>
    <row r="43">
      <c r="A43" s="2" t="str">
        <f>IFERROR(__xludf.DUMMYFUNCTION("""COMPUTED_VALUE"""),"Tombesi")</f>
        <v>Tombesi</v>
      </c>
      <c r="B43" s="2" t="str">
        <f>IFERROR(__xludf.DUMMYFUNCTION("""COMPUTED_VALUE"""),"Giulia ")</f>
        <v>Giulia </v>
      </c>
      <c r="C43" s="2" t="str">
        <f>IFERROR(__xludf.DUMMYFUNCTION("""COMPUTED_VALUE"""),"Key Personnel")</f>
        <v>Key Personnel</v>
      </c>
      <c r="D43" s="2" t="str">
        <f>IFERROR(__xludf.DUMMYFUNCTION("""COMPUTED_VALUE"""),"Parisiadou")</f>
        <v>Parisiadou</v>
      </c>
      <c r="E43" s="2" t="str">
        <f>IFERROR(__xludf.DUMMYFUNCTION("""COMPUTED_VALUE"""),"Post-Doc")</f>
        <v>Post-Doc</v>
      </c>
      <c r="F43" s="2" t="str">
        <f>IFERROR(__xludf.DUMMYFUNCTION("""COMPUTED_VALUE"""),"giulia.tombesi@northwestern.edu")</f>
        <v>giulia.tombesi@northwestern.edu</v>
      </c>
      <c r="G43" s="2" t="str">
        <f>IFERROR(__xludf.DUMMYFUNCTION("""COMPUTED_VALUE"""),"0000-0003-0683-8050")</f>
        <v>0000-0003-0683-8050</v>
      </c>
    </row>
    <row r="44">
      <c r="A44" s="2" t="str">
        <f>IFERROR(__xludf.DUMMYFUNCTION("""COMPUTED_VALUE"""),"Member")</f>
        <v>Member</v>
      </c>
      <c r="B44" s="2" t="str">
        <f>IFERROR(__xludf.DUMMYFUNCTION("""COMPUTED_VALUE"""),"Example")</f>
        <v>Example</v>
      </c>
      <c r="C44" s="2" t="str">
        <f>IFERROR(__xludf.DUMMYFUNCTION("""COMPUTED_VALUE"""),"Members Role")</f>
        <v>Members Role</v>
      </c>
      <c r="D44" s="2" t="str">
        <f>IFERROR(__xludf.DUMMYFUNCTION("""COMPUTED_VALUE"""),"Lab Name")</f>
        <v>Lab Name</v>
      </c>
      <c r="E44" s="2" t="str">
        <f>IFERROR(__xludf.DUMMYFUNCTION("""COMPUTED_VALUE"""),"Member's Lab Role")</f>
        <v>Member's Lab Role</v>
      </c>
      <c r="F44" s="2" t="str">
        <f>IFERROR(__xludf.DUMMYFUNCTION("""COMPUTED_VALUE"""),"member@example.edu")</f>
        <v>member@example.edu</v>
      </c>
      <c r="G44" s="2" t="str">
        <f>IFERROR(__xludf.DUMMYFUNCTION("""COMPUTED_VALUE"""),"123-4567-890-4311")</f>
        <v>123-4567-890-4311</v>
      </c>
    </row>
    <row r="45">
      <c r="A45" s="2" t="str">
        <f>IFERROR(__xludf.DUMMYFUNCTION("""COMPUTED_VALUE"""),"Stiso")</f>
        <v>Stiso</v>
      </c>
      <c r="B45" s="2" t="str">
        <f>IFERROR(__xludf.DUMMYFUNCTION("""COMPUTED_VALUE"""),"Jennifer")</f>
        <v>Jennifer</v>
      </c>
      <c r="C45" s="2" t="str">
        <f>IFERROR(__xludf.DUMMYFUNCTION("""COMPUTED_VALUE"""),"Key Personnel")</f>
        <v>Key Personnel</v>
      </c>
      <c r="D45" s="2" t="str">
        <f>IFERROR(__xludf.DUMMYFUNCTION("""COMPUTED_VALUE"""),"Bassett")</f>
        <v>Bassett</v>
      </c>
      <c r="E45" s="2" t="str">
        <f>IFERROR(__xludf.DUMMYFUNCTION("""COMPUTED_VALUE"""),"Postdoc")</f>
        <v>Postdoc</v>
      </c>
      <c r="F45" s="2" t="str">
        <f>IFERROR(__xludf.DUMMYFUNCTION("""COMPUTED_VALUE"""),"jeni.stiso@gmail.com")</f>
        <v>jeni.stiso@gmail.com</v>
      </c>
      <c r="G45" s="2" t="str">
        <f>IFERROR(__xludf.DUMMYFUNCTION("""COMPUTED_VALUE"""),"0000-0002-3295-586X")</f>
        <v>0000-0002-3295-586X</v>
      </c>
    </row>
    <row r="46">
      <c r="A46" s="2" t="str">
        <f>IFERROR(__xludf.DUMMYFUNCTION("""COMPUTED_VALUE"""),"Lubben")</f>
        <v>Lubben</v>
      </c>
      <c r="B46" s="2" t="str">
        <f>IFERROR(__xludf.DUMMYFUNCTION("""COMPUTED_VALUE"""),"Noah")</f>
        <v>Noah</v>
      </c>
      <c r="C46" s="2" t="str">
        <f>IFERROR(__xludf.DUMMYFUNCTION("""COMPUTED_VALUE"""),"Key Personnel")</f>
        <v>Key Personnel</v>
      </c>
      <c r="D46" s="2" t="str">
        <f>IFERROR(__xludf.DUMMYFUNCTION("""COMPUTED_VALUE"""),"Henderson")</f>
        <v>Henderson</v>
      </c>
      <c r="E46" s="2" t="str">
        <f>IFERROR(__xludf.DUMMYFUNCTION("""COMPUTED_VALUE"""),"tech")</f>
        <v>tech</v>
      </c>
      <c r="F46" s="2" t="str">
        <f>IFERROR(__xludf.DUMMYFUNCTION("""COMPUTED_VALUE"""),"noah.lubben@vai.org")</f>
        <v>noah.lubben@vai.org</v>
      </c>
      <c r="G46" s="2" t="str">
        <f>IFERROR(__xludf.DUMMYFUNCTION("""COMPUTED_VALUE"""),"0000-0002-5266-5472")</f>
        <v>0000-0002-5266-5472</v>
      </c>
    </row>
    <row r="47">
      <c r="A47" s="2" t="str">
        <f>IFERROR(__xludf.DUMMYFUNCTION("""COMPUTED_VALUE"""),"Nobili")</f>
        <v>Nobili</v>
      </c>
      <c r="B47" s="2" t="str">
        <f>IFERROR(__xludf.DUMMYFUNCTION("""COMPUTED_VALUE"""),"Alberto Maria")</f>
        <v>Alberto Maria</v>
      </c>
      <c r="C47" s="2" t="str">
        <f>IFERROR(__xludf.DUMMYFUNCTION("""COMPUTED_VALUE"""),"Key Personnel")</f>
        <v>Key Personnel</v>
      </c>
      <c r="D47" s="2" t="str">
        <f>IFERROR(__xludf.DUMMYFUNCTION("""COMPUTED_VALUE"""),"Pasqualetti")</f>
        <v>Pasqualetti</v>
      </c>
      <c r="E47" s="2" t="str">
        <f>IFERROR(__xludf.DUMMYFUNCTION("""COMPUTED_VALUE"""),"Grad student")</f>
        <v>Grad student</v>
      </c>
      <c r="F47" s="2" t="str">
        <f>IFERROR(__xludf.DUMMYFUNCTION("""COMPUTED_VALUE"""),"a.nobili5@studenti.unipi.it")</f>
        <v>a.nobili5@studenti.unipi.it</v>
      </c>
      <c r="G47" s="2" t="str">
        <f>IFERROR(__xludf.DUMMYFUNCTION("""COMPUTED_VALUE"""),"0000-0002-3073-8503")</f>
        <v>0000-0002-3073-8503</v>
      </c>
    </row>
    <row r="48">
      <c r="A48" s="2" t="str">
        <f>IFERROR(__xludf.DUMMYFUNCTION("""COMPUTED_VALUE"""),"Thrasher")</f>
        <v>Thrasher</v>
      </c>
      <c r="B48" s="2" t="str">
        <f>IFERROR(__xludf.DUMMYFUNCTION("""COMPUTED_VALUE"""),"Drake")</f>
        <v>Drake</v>
      </c>
      <c r="C48" s="2" t="str">
        <f>IFERROR(__xludf.DUMMYFUNCTION("""COMPUTED_VALUE"""),"Key Personnel")</f>
        <v>Key Personnel</v>
      </c>
      <c r="D48" s="2" t="str">
        <f>IFERROR(__xludf.DUMMYFUNCTION("""COMPUTED_VALUE"""),"Volpicelli‐Daley")</f>
        <v>Volpicelli‐Daley</v>
      </c>
      <c r="E48" s="2" t="str">
        <f>IFERROR(__xludf.DUMMYFUNCTION("""COMPUTED_VALUE"""),"tech")</f>
        <v>tech</v>
      </c>
      <c r="F48" s="2" t="str">
        <f>IFERROR(__xludf.DUMMYFUNCTION("""COMPUTED_VALUE"""),"draketh@uab.edu")</f>
        <v>draketh@uab.edu</v>
      </c>
      <c r="G48" s="2" t="str">
        <f>IFERROR(__xludf.DUMMYFUNCTION("""COMPUTED_VALUE"""),"0000-0001-5610-8828")</f>
        <v>0000-0001-5610-8828</v>
      </c>
    </row>
    <row r="49">
      <c r="A49" s="2" t="str">
        <f>IFERROR(__xludf.DUMMYFUNCTION("""COMPUTED_VALUE"""),"Srivastava")</f>
        <v>Srivastava</v>
      </c>
      <c r="B49" s="2" t="str">
        <f>IFERROR(__xludf.DUMMYFUNCTION("""COMPUTED_VALUE"""),"Pragya")</f>
        <v>Pragya</v>
      </c>
      <c r="C49" s="2" t="str">
        <f>IFERROR(__xludf.DUMMYFUNCTION("""COMPUTED_VALUE"""),"Key Personnel")</f>
        <v>Key Personnel</v>
      </c>
      <c r="D49" s="2" t="str">
        <f>IFERROR(__xludf.DUMMYFUNCTION("""COMPUTED_VALUE"""),"Bassett")</f>
        <v>Bassett</v>
      </c>
      <c r="E49" s="2" t="str">
        <f>IFERROR(__xludf.DUMMYFUNCTION("""COMPUTED_VALUE"""),"postdoc")</f>
        <v>postdoc</v>
      </c>
      <c r="F49" s="2" t="str">
        <f>IFERROR(__xludf.DUMMYFUNCTION("""COMPUTED_VALUE"""),"pragyasr@seas.upenn.edu")</f>
        <v>pragyasr@seas.upenn.edu</v>
      </c>
      <c r="G49" s="2" t="str">
        <f>IFERROR(__xludf.DUMMYFUNCTION("""COMPUTED_VALUE"""),"0000-0002-8547-1244")</f>
        <v>0000-0002-8547-1244</v>
      </c>
    </row>
    <row r="50">
      <c r="A50" s="2" t="str">
        <f>IFERROR(__xludf.DUMMYFUNCTION("""COMPUTED_VALUE"""),"Evans")</f>
        <v>Evans</v>
      </c>
      <c r="B50" s="2" t="str">
        <f>IFERROR(__xludf.DUMMYFUNCTION("""COMPUTED_VALUE"""),"Shani")</f>
        <v>Shani</v>
      </c>
      <c r="C50" s="2" t="str">
        <f>IFERROR(__xludf.DUMMYFUNCTION("""COMPUTED_VALUE"""),"Key Personnel")</f>
        <v>Key Personnel</v>
      </c>
      <c r="D50" s="2" t="str">
        <f>IFERROR(__xludf.DUMMYFUNCTION("""COMPUTED_VALUE"""),"Biederer")</f>
        <v>Biederer</v>
      </c>
      <c r="E50" s="2" t="str">
        <f>IFERROR(__xludf.DUMMYFUNCTION("""COMPUTED_VALUE"""),"postgrad trainee")</f>
        <v>postgrad trainee</v>
      </c>
      <c r="F50" s="2" t="str">
        <f>IFERROR(__xludf.DUMMYFUNCTION("""COMPUTED_VALUE"""),"shani.evans@yale.edu")</f>
        <v>shani.evans@yale.edu</v>
      </c>
      <c r="G50" s="2" t="str">
        <f>IFERROR(__xludf.DUMMYFUNCTION("""COMPUTED_VALUE"""),"0000-0002-5014-1085")</f>
        <v>0000-0002-5014-1085</v>
      </c>
    </row>
    <row r="51">
      <c r="A51" s="2" t="str">
        <f>IFERROR(__xludf.DUMMYFUNCTION("""COMPUTED_VALUE"""),"Murphy")</f>
        <v>Murphy</v>
      </c>
      <c r="B51" s="2" t="str">
        <f>IFERROR(__xludf.DUMMYFUNCTION("""COMPUTED_VALUE"""),"Lyle")</f>
        <v>Lyle</v>
      </c>
      <c r="C51" s="2" t="str">
        <f>IFERROR(__xludf.DUMMYFUNCTION("""COMPUTED_VALUE"""),"Key Personnel")</f>
        <v>Key Personnel</v>
      </c>
      <c r="D51" s="2" t="str">
        <f>IFERROR(__xludf.DUMMYFUNCTION("""COMPUTED_VALUE"""),"Gracheva")</f>
        <v>Gracheva</v>
      </c>
      <c r="E51" s="2" t="str">
        <f>IFERROR(__xludf.DUMMYFUNCTION("""COMPUTED_VALUE"""),"postgrad trainee")</f>
        <v>postgrad trainee</v>
      </c>
      <c r="F51" s="2" t="str">
        <f>IFERROR(__xludf.DUMMYFUNCTION("""COMPUTED_VALUE"""),"lyle.murphy@yale.edu")</f>
        <v>lyle.murphy@yale.edu</v>
      </c>
      <c r="G51" s="2" t="str">
        <f>IFERROR(__xludf.DUMMYFUNCTION("""COMPUTED_VALUE"""),"0000-0001-8761-212X")</f>
        <v>0000-0001-8761-212X</v>
      </c>
    </row>
    <row r="52">
      <c r="A52" s="2" t="str">
        <f>IFERROR(__xludf.DUMMYFUNCTION("""COMPUTED_VALUE"""),"Chowdhury")</f>
        <v>Chowdhury</v>
      </c>
      <c r="B52" s="2" t="str">
        <f>IFERROR(__xludf.DUMMYFUNCTION("""COMPUTED_VALUE"""),"Dhruba")</f>
        <v>Dhruba</v>
      </c>
      <c r="C52" s="2" t="str">
        <f>IFERROR(__xludf.DUMMYFUNCTION("""COMPUTED_VALUE"""),"Key Personnel")</f>
        <v>Key Personnel</v>
      </c>
      <c r="D52" s="2" t="str">
        <f>IFERROR(__xludf.DUMMYFUNCTION("""COMPUTED_VALUE"""),"Biederer")</f>
        <v>Biederer</v>
      </c>
      <c r="E52" s="2" t="str">
        <f>IFERROR(__xludf.DUMMYFUNCTION("""COMPUTED_VALUE"""),"Reseaerch scientist")</f>
        <v>Reseaerch scientist</v>
      </c>
      <c r="F52" s="2" t="str">
        <f>IFERROR(__xludf.DUMMYFUNCTION("""COMPUTED_VALUE"""),"dhrubajyoti.chowdhury@yale.edu")</f>
        <v>dhrubajyoti.chowdhury@yale.edu</v>
      </c>
      <c r="G52" s="2" t="str">
        <f>IFERROR(__xludf.DUMMYFUNCTION("""COMPUTED_VALUE"""),"0000-0002-7165-5835")</f>
        <v>0000-0002-7165-5835</v>
      </c>
    </row>
    <row r="53">
      <c r="A53" s="2" t="str">
        <f>IFERROR(__xludf.DUMMYFUNCTION("""COMPUTED_VALUE"""),"Lee")</f>
        <v>Lee</v>
      </c>
      <c r="B53" s="2" t="str">
        <f>IFERROR(__xludf.DUMMYFUNCTION("""COMPUTED_VALUE"""),"Youngmi")</f>
        <v>Youngmi</v>
      </c>
      <c r="C53" s="2" t="str">
        <f>IFERROR(__xludf.DUMMYFUNCTION("""COMPUTED_VALUE"""),"Key Personnel")</f>
        <v>Key Personnel</v>
      </c>
      <c r="D53" s="2" t="str">
        <f>IFERROR(__xludf.DUMMYFUNCTION("""COMPUTED_VALUE"""),"Boyden")</f>
        <v>Boyden</v>
      </c>
      <c r="E53" s="2" t="str">
        <f>IFERROR(__xludf.DUMMYFUNCTION("""COMPUTED_VALUE"""),"technician")</f>
        <v>technician</v>
      </c>
      <c r="F53" s="2" t="str">
        <f>IFERROR(__xludf.DUMMYFUNCTION("""COMPUTED_VALUE"""),"milkyway237@gmail.com")</f>
        <v>milkyway237@gmail.com</v>
      </c>
      <c r="G53" s="2" t="str">
        <f>IFERROR(__xludf.DUMMYFUNCTION("""COMPUTED_VALUE"""),"0000-0001-5628-3861")</f>
        <v>0000-0001-5628-3861</v>
      </c>
    </row>
    <row r="54">
      <c r="A54" s="2" t="str">
        <f>IFERROR(__xludf.DUMMYFUNCTION("""COMPUTED_VALUE"""),"Zhang")</f>
        <v>Zhang</v>
      </c>
      <c r="B54" s="2" t="str">
        <f>IFERROR(__xludf.DUMMYFUNCTION("""COMPUTED_VALUE"""),"Chi")</f>
        <v>Chi</v>
      </c>
      <c r="C54" s="2" t="str">
        <f>IFERROR(__xludf.DUMMYFUNCTION("""COMPUTED_VALUE"""),"Key Personnel")</f>
        <v>Key Personnel</v>
      </c>
      <c r="D54" s="2" t="str">
        <f>IFERROR(__xludf.DUMMYFUNCTION("""COMPUTED_VALUE"""),"Boyden")</f>
        <v>Boyden</v>
      </c>
      <c r="E54" s="2" t="str">
        <f>IFERROR(__xludf.DUMMYFUNCTION("""COMPUTED_VALUE"""),"research scientist")</f>
        <v>research scientist</v>
      </c>
      <c r="F54" s="2" t="str">
        <f>IFERROR(__xludf.DUMMYFUNCTION("""COMPUTED_VALUE"""),"chizhangchem@gmail.com")</f>
        <v>chizhangchem@gmail.com</v>
      </c>
      <c r="G54" s="2" t="str">
        <f>IFERROR(__xludf.DUMMYFUNCTION("""COMPUTED_VALUE"""),"0000-0001-9519-7456")</f>
        <v>0000-0001-9519-7456</v>
      </c>
    </row>
    <row r="55">
      <c r="A55" s="2" t="str">
        <f>IFERROR(__xludf.DUMMYFUNCTION("""COMPUTED_VALUE"""),"Qin")</f>
        <v>Qin</v>
      </c>
      <c r="B55" s="2" t="str">
        <f>IFERROR(__xludf.DUMMYFUNCTION("""COMPUTED_VALUE"""),"Yuzhen")</f>
        <v>Yuzhen</v>
      </c>
      <c r="C55" s="2" t="str">
        <f>IFERROR(__xludf.DUMMYFUNCTION("""COMPUTED_VALUE"""),"Key Personnel")</f>
        <v>Key Personnel</v>
      </c>
      <c r="D55" s="2" t="str">
        <f>IFERROR(__xludf.DUMMYFUNCTION("""COMPUTED_VALUE"""),"Pasqualetti")</f>
        <v>Pasqualetti</v>
      </c>
      <c r="E55" s="2" t="str">
        <f>IFERROR(__xludf.DUMMYFUNCTION("""COMPUTED_VALUE"""),"Postdoc")</f>
        <v>Postdoc</v>
      </c>
      <c r="F55" s="2" t="str">
        <f>IFERROR(__xludf.DUMMYFUNCTION("""COMPUTED_VALUE"""),"yuzhenq@ucr.edu")</f>
        <v>yuzhenq@ucr.edu</v>
      </c>
      <c r="G55" s="2" t="str">
        <f>IFERROR(__xludf.DUMMYFUNCTION("""COMPUTED_VALUE"""),"0000-0003-1851-1370")</f>
        <v>0000-0003-1851-1370</v>
      </c>
    </row>
    <row r="56">
      <c r="A56" s="2" t="str">
        <f>IFERROR(__xludf.DUMMYFUNCTION("""COMPUTED_VALUE"""),"Sauline")</f>
        <v>Sauline</v>
      </c>
      <c r="B56" s="2" t="str">
        <f>IFERROR(__xludf.DUMMYFUNCTION("""COMPUTED_VALUE"""),"Lilly")</f>
        <v>Lilly</v>
      </c>
      <c r="C56" s="2" t="str">
        <f>IFERROR(__xludf.DUMMYFUNCTION("""COMPUTED_VALUE"""),"Key Personnel")</f>
        <v>Key Personnel</v>
      </c>
      <c r="D56" s="2" t="str">
        <f>IFERROR(__xludf.DUMMYFUNCTION("""COMPUTED_VALUE"""),"Henderson")</f>
        <v>Henderson</v>
      </c>
      <c r="E56" s="2" t="str">
        <f>IFERROR(__xludf.DUMMYFUNCTION("""COMPUTED_VALUE"""),"Intern")</f>
        <v>Intern</v>
      </c>
      <c r="F56" s="2" t="str">
        <f>IFERROR(__xludf.DUMMYFUNCTION("""COMPUTED_VALUE"""),"lillian.sauline@vai.org")</f>
        <v>lillian.sauline@vai.org</v>
      </c>
      <c r="G56" s="2" t="str">
        <f>IFERROR(__xludf.DUMMYFUNCTION("""COMPUTED_VALUE"""),"0000-0001-7580-2663")</f>
        <v>0000-0001-7580-2663</v>
      </c>
    </row>
    <row r="57">
      <c r="A57" s="2" t="str">
        <f>IFERROR(__xludf.DUMMYFUNCTION("""COMPUTED_VALUE"""),"Pasqualetti")</f>
        <v>Pasqualetti</v>
      </c>
      <c r="B57" s="2" t="str">
        <f>IFERROR(__xludf.DUMMYFUNCTION("""COMPUTED_VALUE"""),"Fabio")</f>
        <v>Fabio</v>
      </c>
      <c r="C57" s="2" t="str">
        <f>IFERROR(__xludf.DUMMYFUNCTION("""COMPUTED_VALUE"""),"Collaborating PI")</f>
        <v>Collaborating PI</v>
      </c>
      <c r="D57" s="2" t="str">
        <f>IFERROR(__xludf.DUMMYFUNCTION("""COMPUTED_VALUE"""),"Pasqualetti")</f>
        <v>Pasqualetti</v>
      </c>
      <c r="E57" s="2"/>
      <c r="F57" s="2" t="str">
        <f>IFERROR(__xludf.DUMMYFUNCTION("""COMPUTED_VALUE"""),"fabiopas@engr.ucr.edu")</f>
        <v>fabiopas@engr.ucr.edu</v>
      </c>
      <c r="G57" s="2" t="str">
        <f>IFERROR(__xludf.DUMMYFUNCTION("""COMPUTED_VALUE"""),"0000-0002-8457-8656")</f>
        <v>0000-0002-8457-8656</v>
      </c>
    </row>
    <row r="58">
      <c r="A58" s="2" t="str">
        <f>IFERROR(__xludf.DUMMYFUNCTION("""COMPUTED_VALUE"""),"Beach")</f>
        <v>Beach</v>
      </c>
      <c r="B58" s="2" t="str">
        <f>IFERROR(__xludf.DUMMYFUNCTION("""COMPUTED_VALUE"""),"Thomas")</f>
        <v>Thomas</v>
      </c>
      <c r="C58" s="2" t="str">
        <f>IFERROR(__xludf.DUMMYFUNCTION("""COMPUTED_VALUE"""),"Collaborating PI")</f>
        <v>Collaborating PI</v>
      </c>
      <c r="D58" s="2" t="str">
        <f>IFERROR(__xludf.DUMMYFUNCTION("""COMPUTED_VALUE"""),"Civin Laboratory for Neuropathology")</f>
        <v>Civin Laboratory for Neuropathology</v>
      </c>
      <c r="E58" s="2"/>
      <c r="F58" s="2" t="str">
        <f>IFERROR(__xludf.DUMMYFUNCTION("""COMPUTED_VALUE"""),"thomas.beach@bannerhealth.com")</f>
        <v>thomas.beach@bannerhealth.com</v>
      </c>
      <c r="G58" s="2" t="str">
        <f>IFERROR(__xludf.DUMMYFUNCTION("""COMPUTED_VALUE"""),"0000-0003-3296-6128")</f>
        <v>0000-0003-3296-6128</v>
      </c>
    </row>
    <row r="59">
      <c r="A59" s="2" t="str">
        <f>IFERROR(__xludf.DUMMYFUNCTION("""COMPUTED_VALUE"""),"Serrano")</f>
        <v>Serrano</v>
      </c>
      <c r="B59" s="2" t="str">
        <f>IFERROR(__xludf.DUMMYFUNCTION("""COMPUTED_VALUE"""),"Geidy")</f>
        <v>Geidy</v>
      </c>
      <c r="C59" s="2" t="str">
        <f>IFERROR(__xludf.DUMMYFUNCTION("""COMPUTED_VALUE"""),"Key Personnel")</f>
        <v>Key Personnel</v>
      </c>
      <c r="D59" s="2" t="str">
        <f>IFERROR(__xludf.DUMMYFUNCTION("""COMPUTED_VALUE"""),"Civin Laboratory for Neuropathology")</f>
        <v>Civin Laboratory for Neuropathology</v>
      </c>
      <c r="E59" s="2"/>
      <c r="F59" s="2" t="str">
        <f>IFERROR(__xludf.DUMMYFUNCTION("""COMPUTED_VALUE"""),"Geidy.serrano@bannerhealth.com")</f>
        <v>Geidy.serrano@bannerhealth.com</v>
      </c>
      <c r="G59" s="2" t="str">
        <f>IFERROR(__xludf.DUMMYFUNCTION("""COMPUTED_VALUE"""),"0000-0002-9527-2011")</f>
        <v>0000-0002-9527-2011</v>
      </c>
    </row>
    <row r="60">
      <c r="A60" s="2" t="str">
        <f>IFERROR(__xludf.DUMMYFUNCTION("""COMPUTED_VALUE"""),"Gcwensa")</f>
        <v>Gcwensa</v>
      </c>
      <c r="B60" s="2" t="str">
        <f>IFERROR(__xludf.DUMMYFUNCTION("""COMPUTED_VALUE"""),"Nolwazi")</f>
        <v>Nolwazi</v>
      </c>
      <c r="C60" s="2" t="str">
        <f>IFERROR(__xludf.DUMMYFUNCTION("""COMPUTED_VALUE"""),"Key Personnel")</f>
        <v>Key Personnel</v>
      </c>
      <c r="D60" s="2" t="str">
        <f>IFERROR(__xludf.DUMMYFUNCTION("""COMPUTED_VALUE"""),"Volpicelli-Daley")</f>
        <v>Volpicelli-Daley</v>
      </c>
      <c r="E60" s="2" t="str">
        <f>IFERROR(__xludf.DUMMYFUNCTION("""COMPUTED_VALUE"""),"Grad student")</f>
        <v>Grad student</v>
      </c>
      <c r="F60" s="2" t="str">
        <f>IFERROR(__xludf.DUMMYFUNCTION("""COMPUTED_VALUE"""),"gcwenolw@uab.edu")</f>
        <v>gcwenolw@uab.edu</v>
      </c>
      <c r="G60" s="2" t="str">
        <f>IFERROR(__xludf.DUMMYFUNCTION("""COMPUTED_VALUE"""),"0000-0001-9708-6119")</f>
        <v>0000-0001-9708-6119</v>
      </c>
    </row>
    <row r="61">
      <c r="A61" s="2" t="str">
        <f>IFERROR(__xludf.DUMMYFUNCTION("""COMPUTED_VALUE"""),"DeWeerd")</f>
        <v>DeWeerd</v>
      </c>
      <c r="B61" s="2" t="str">
        <f>IFERROR(__xludf.DUMMYFUNCTION("""COMPUTED_VALUE"""),"Daniella")</f>
        <v>Daniella</v>
      </c>
      <c r="C61" s="2" t="str">
        <f>IFERROR(__xludf.DUMMYFUNCTION("""COMPUTED_VALUE"""),"Key Personnel")</f>
        <v>Key Personnel</v>
      </c>
      <c r="D61" s="2" t="str">
        <f>IFERROR(__xludf.DUMMYFUNCTION("""COMPUTED_VALUE"""),"Henderson")</f>
        <v>Henderson</v>
      </c>
      <c r="E61" s="2" t="str">
        <f>IFERROR(__xludf.DUMMYFUNCTION("""COMPUTED_VALUE"""),"Graduate Student intern")</f>
        <v>Graduate Student intern</v>
      </c>
      <c r="F61" s="2" t="str">
        <f>IFERROR(__xludf.DUMMYFUNCTION("""COMPUTED_VALUE"""),"daniella.deweerd@vai.org")</f>
        <v>daniella.deweerd@vai.org</v>
      </c>
      <c r="G61" s="2" t="str">
        <f>IFERROR(__xludf.DUMMYFUNCTION("""COMPUTED_VALUE"""),"0000-0002-2675-5132")</f>
        <v>0000-0002-2675-5132</v>
      </c>
    </row>
    <row r="62">
      <c r="A62" s="2" t="str">
        <f>IFERROR(__xludf.DUMMYFUNCTION("""COMPUTED_VALUE"""),"Member")</f>
        <v>Member</v>
      </c>
      <c r="B62" s="2" t="str">
        <f>IFERROR(__xludf.DUMMYFUNCTION("""COMPUTED_VALUE"""),"Example")</f>
        <v>Example</v>
      </c>
      <c r="C62" s="2" t="str">
        <f>IFERROR(__xludf.DUMMYFUNCTION("""COMPUTED_VALUE"""),"Members Role")</f>
        <v>Members Role</v>
      </c>
      <c r="D62" s="2" t="str">
        <f>IFERROR(__xludf.DUMMYFUNCTION("""COMPUTED_VALUE"""),"Lab Name")</f>
        <v>Lab Name</v>
      </c>
      <c r="E62" s="2" t="str">
        <f>IFERROR(__xludf.DUMMYFUNCTION("""COMPUTED_VALUE"""),"Member's Lab Role")</f>
        <v>Member's Lab Role</v>
      </c>
      <c r="F62" s="2" t="str">
        <f>IFERROR(__xludf.DUMMYFUNCTION("""COMPUTED_VALUE"""),"member@example.edu")</f>
        <v>member@example.edu</v>
      </c>
      <c r="G62" s="2" t="str">
        <f>IFERROR(__xludf.DUMMYFUNCTION("""COMPUTED_VALUE"""),"123-4567-890-4311")</f>
        <v>123-4567-890-4311</v>
      </c>
    </row>
    <row r="63">
      <c r="A63" s="2" t="str">
        <f>IFERROR(__xludf.DUMMYFUNCTION("""COMPUTED_VALUE"""),"King")</f>
        <v>King</v>
      </c>
      <c r="B63" s="2" t="str">
        <f>IFERROR(__xludf.DUMMYFUNCTION("""COMPUTED_VALUE"""),"Connor")</f>
        <v>Connor</v>
      </c>
      <c r="C63" s="2" t="str">
        <f>IFERROR(__xludf.DUMMYFUNCTION("""COMPUTED_VALUE"""),"Key Personnel")</f>
        <v>Key Personnel</v>
      </c>
      <c r="D63" s="2" t="str">
        <f>IFERROR(__xludf.DUMMYFUNCTION("""COMPUTED_VALUE"""),"Calakos")</f>
        <v>Calakos</v>
      </c>
      <c r="E63" s="2"/>
      <c r="F63" s="2" t="str">
        <f>IFERROR(__xludf.DUMMYFUNCTION("""COMPUTED_VALUE"""),"connor.king@duke.edu")</f>
        <v>connor.king@duke.edu</v>
      </c>
      <c r="G63" s="2" t="str">
        <f>IFERROR(__xludf.DUMMYFUNCTION("""COMPUTED_VALUE"""),"0000-0002-3740-9817")</f>
        <v>0000-0002-3740-9817</v>
      </c>
    </row>
    <row r="64">
      <c r="A64" s="2" t="str">
        <f>IFERROR(__xludf.DUMMYFUNCTION("""COMPUTED_VALUE"""),"Choudhury")</f>
        <v>Choudhury</v>
      </c>
      <c r="B64" s="2" t="str">
        <f>IFERROR(__xludf.DUMMYFUNCTION("""COMPUTED_VALUE"""),"Ankit")</f>
        <v>Ankit</v>
      </c>
      <c r="C64" s="2" t="str">
        <f>IFERROR(__xludf.DUMMYFUNCTION("""COMPUTED_VALUE"""),"Key Personnel")</f>
        <v>Key Personnel</v>
      </c>
      <c r="D64" s="2" t="str">
        <f>IFERROR(__xludf.DUMMYFUNCTION("""COMPUTED_VALUE"""),"Tadross")</f>
        <v>Tadross</v>
      </c>
      <c r="E64" s="2"/>
      <c r="F64" s="2" t="str">
        <f>IFERROR(__xludf.DUMMYFUNCTION("""COMPUTED_VALUE"""),"ankit.choudhury@duke.edu")</f>
        <v>ankit.choudhury@duke.edu</v>
      </c>
      <c r="G64" s="2" t="str">
        <f>IFERROR(__xludf.DUMMYFUNCTION("""COMPUTED_VALUE"""),"0000-0001-9863-9862")</f>
        <v>0000-0001-9863-9862</v>
      </c>
    </row>
    <row r="65">
      <c r="A65" s="2" t="str">
        <f>IFERROR(__xludf.DUMMYFUNCTION("""COMPUTED_VALUE"""),"Lamp")</f>
        <v>Lamp</v>
      </c>
      <c r="B65" s="2" t="str">
        <f>IFERROR(__xludf.DUMMYFUNCTION("""COMPUTED_VALUE"""),"James ")</f>
        <v>James </v>
      </c>
      <c r="C65" s="2" t="str">
        <f>IFERROR(__xludf.DUMMYFUNCTION("""COMPUTED_VALUE"""),"Key Personnel")</f>
        <v>Key Personnel</v>
      </c>
      <c r="D65" s="2" t="str">
        <f>IFERROR(__xludf.DUMMYFUNCTION("""COMPUTED_VALUE"""),"Tadross")</f>
        <v>Tadross</v>
      </c>
      <c r="E65" s="2"/>
      <c r="F65" s="2" t="str">
        <f>IFERROR(__xludf.DUMMYFUNCTION("""COMPUTED_VALUE"""),"jg.lamp@duke.edu")</f>
        <v>jg.lamp@duke.edu</v>
      </c>
      <c r="G65" s="2" t="str">
        <f>IFERROR(__xludf.DUMMYFUNCTION("""COMPUTED_VALUE"""),"0009-0006-0560-8834")</f>
        <v>0009-0006-0560-8834</v>
      </c>
    </row>
    <row r="66">
      <c r="A66" s="2" t="str">
        <f>IFERROR(__xludf.DUMMYFUNCTION("""COMPUTED_VALUE"""),"Tennison")</f>
        <v>Tennison</v>
      </c>
      <c r="B66" s="2" t="str">
        <f>IFERROR(__xludf.DUMMYFUNCTION("""COMPUTED_VALUE"""),"Alden")</f>
        <v>Alden</v>
      </c>
      <c r="C66" s="2" t="str">
        <f>IFERROR(__xludf.DUMMYFUNCTION("""COMPUTED_VALUE"""),"Key Personnel")</f>
        <v>Key Personnel</v>
      </c>
      <c r="D66" s="2" t="str">
        <f>IFERROR(__xludf.DUMMYFUNCTION("""COMPUTED_VALUE"""),"Sanders")</f>
        <v>Sanders</v>
      </c>
      <c r="E66" s="2"/>
      <c r="F66" s="2" t="str">
        <f>IFERROR(__xludf.DUMMYFUNCTION("""COMPUTED_VALUE"""),"alden.tennison@duke.edu")</f>
        <v>alden.tennison@duke.edu</v>
      </c>
      <c r="G66" s="2" t="str">
        <f>IFERROR(__xludf.DUMMYFUNCTION("""COMPUTED_VALUE"""),"0000-0002-6883-1017")</f>
        <v>0000-0002-6883-1017</v>
      </c>
    </row>
    <row r="67">
      <c r="A67" s="2" t="str">
        <f>IFERROR(__xludf.DUMMYFUNCTION("""COMPUTED_VALUE"""),"Burwell")</f>
        <v>Burwell</v>
      </c>
      <c r="B67" s="2" t="str">
        <f>IFERROR(__xludf.DUMMYFUNCTION("""COMPUTED_VALUE"""),"Sasha")</f>
        <v>Sasha</v>
      </c>
      <c r="C67" s="2" t="str">
        <f>IFERROR(__xludf.DUMMYFUNCTION("""COMPUTED_VALUE"""),"Key Personnel")</f>
        <v>Key Personnel</v>
      </c>
      <c r="D67" s="2" t="str">
        <f>IFERROR(__xludf.DUMMYFUNCTION("""COMPUTED_VALUE"""),"Tadross")</f>
        <v>Tadross</v>
      </c>
      <c r="E67" s="2"/>
      <c r="F67" s="2" t="str">
        <f>IFERROR(__xludf.DUMMYFUNCTION("""COMPUTED_VALUE"""),"sasha.burwell@duke.edu")</f>
        <v>sasha.burwell@duke.edu</v>
      </c>
      <c r="G67" s="2" t="str">
        <f>IFERROR(__xludf.DUMMYFUNCTION("""COMPUTED_VALUE"""),"0000-0003-3553-1365")</f>
        <v>0000-0003-3553-1365</v>
      </c>
    </row>
    <row r="68">
      <c r="A68" s="2" t="str">
        <f>IFERROR(__xludf.DUMMYFUNCTION("""COMPUTED_VALUE"""),"Eatman")</f>
        <v>Eatman</v>
      </c>
      <c r="B68" s="2" t="str">
        <f>IFERROR(__xludf.DUMMYFUNCTION("""COMPUTED_VALUE"""),"Callie ")</f>
        <v>Callie </v>
      </c>
      <c r="C68" s="2" t="str">
        <f>IFERROR(__xludf.DUMMYFUNCTION("""COMPUTED_VALUE"""),"Key Personnel")</f>
        <v>Key Personnel</v>
      </c>
      <c r="D68" s="2" t="str">
        <f>IFERROR(__xludf.DUMMYFUNCTION("""COMPUTED_VALUE"""),"Calakos")</f>
        <v>Calakos</v>
      </c>
      <c r="E68" s="2"/>
      <c r="F68" s="2" t="str">
        <f>IFERROR(__xludf.DUMMYFUNCTION("""COMPUTED_VALUE"""),"callie.eatman@duke.edu")</f>
        <v>callie.eatman@duke.edu</v>
      </c>
      <c r="G68" s="2" t="str">
        <f>IFERROR(__xludf.DUMMYFUNCTION("""COMPUTED_VALUE"""),"0000-0003-0437-0466")</f>
        <v>0000-0003-0437-0466</v>
      </c>
    </row>
    <row r="69">
      <c r="A69" s="2" t="str">
        <f>IFERROR(__xludf.DUMMYFUNCTION("""COMPUTED_VALUE"""),"Hope-Gill")</f>
        <v>Hope-Gill</v>
      </c>
      <c r="B69" s="2" t="str">
        <f>IFERROR(__xludf.DUMMYFUNCTION("""COMPUTED_VALUE"""),"Kaley")</f>
        <v>Kaley</v>
      </c>
      <c r="C69" s="2" t="str">
        <f>IFERROR(__xludf.DUMMYFUNCTION("""COMPUTED_VALUE"""),"Key Personnel")</f>
        <v>Key Personnel</v>
      </c>
      <c r="D69" s="2" t="str">
        <f>IFERROR(__xludf.DUMMYFUNCTION("""COMPUTED_VALUE"""),"Sanders")</f>
        <v>Sanders</v>
      </c>
      <c r="E69" s="2"/>
      <c r="F69" s="2" t="str">
        <f>IFERROR(__xludf.DUMMYFUNCTION("""COMPUTED_VALUE"""),"kaley.hopegill@duke.edu")</f>
        <v>kaley.hopegill@duke.edu</v>
      </c>
      <c r="G69" s="2" t="str">
        <f>IFERROR(__xludf.DUMMYFUNCTION("""COMPUTED_VALUE"""),"0000-0002-7669-4446")</f>
        <v>0000-0002-7669-4446</v>
      </c>
    </row>
    <row r="70">
      <c r="A70" s="2" t="str">
        <f>IFERROR(__xludf.DUMMYFUNCTION("""COMPUTED_VALUE"""),"Perez")</f>
        <v>Perez</v>
      </c>
      <c r="B70" s="2" t="str">
        <f>IFERROR(__xludf.DUMMYFUNCTION("""COMPUTED_VALUE"""),"Elena")</f>
        <v>Elena</v>
      </c>
      <c r="C70" s="2" t="str">
        <f>IFERROR(__xludf.DUMMYFUNCTION("""COMPUTED_VALUE"""),"Key Personnel")</f>
        <v>Key Personnel</v>
      </c>
      <c r="D70" s="2" t="str">
        <f>IFERROR(__xludf.DUMMYFUNCTION("""COMPUTED_VALUE"""),"Sanders")</f>
        <v>Sanders</v>
      </c>
      <c r="E70" s="2"/>
      <c r="F70" s="2" t="str">
        <f>IFERROR(__xludf.DUMMYFUNCTION("""COMPUTED_VALUE"""),"erp39@duke.edu")</f>
        <v>erp39@duke.edu</v>
      </c>
      <c r="G70" s="2" t="str">
        <f>IFERROR(__xludf.DUMMYFUNCTION("""COMPUTED_VALUE"""),"0009-0001-3454-5418")</f>
        <v>0009-0001-3454-5418</v>
      </c>
    </row>
    <row r="71">
      <c r="A71" s="2" t="str">
        <f>IFERROR(__xludf.DUMMYFUNCTION("""COMPUTED_VALUE"""),"Gonzalez-Hunt")</f>
        <v>Gonzalez-Hunt</v>
      </c>
      <c r="B71" s="2" t="str">
        <f>IFERROR(__xludf.DUMMYFUNCTION("""COMPUTED_VALUE"""),"Claudia")</f>
        <v>Claudia</v>
      </c>
      <c r="C71" s="2" t="str">
        <f>IFERROR(__xludf.DUMMYFUNCTION("""COMPUTED_VALUE"""),"Key Personnel")</f>
        <v>Key Personnel</v>
      </c>
      <c r="D71" s="2" t="str">
        <f>IFERROR(__xludf.DUMMYFUNCTION("""COMPUTED_VALUE"""),"Sanders")</f>
        <v>Sanders</v>
      </c>
      <c r="E71" s="2"/>
      <c r="F71" s="2" t="str">
        <f>IFERROR(__xludf.DUMMYFUNCTION("""COMPUTED_VALUE"""),"claudia.gonzalez@duke.edu")</f>
        <v>claudia.gonzalez@duke.edu</v>
      </c>
      <c r="G71" s="2" t="str">
        <f>IFERROR(__xludf.DUMMYFUNCTION("""COMPUTED_VALUE"""),"0000-0002-2736-0001")</f>
        <v>0000-0002-2736-0001</v>
      </c>
    </row>
    <row r="72">
      <c r="A72" s="2" t="str">
        <f>IFERROR(__xludf.DUMMYFUNCTION("""COMPUTED_VALUE"""),"Khoury")</f>
        <v>Khoury</v>
      </c>
      <c r="B72" s="2" t="str">
        <f>IFERROR(__xludf.DUMMYFUNCTION("""COMPUTED_VALUE"""),"Oula")</f>
        <v>Oula</v>
      </c>
      <c r="C72" s="2" t="str">
        <f>IFERROR(__xludf.DUMMYFUNCTION("""COMPUTED_VALUE"""),"Project Manager")</f>
        <v>Project Manager</v>
      </c>
      <c r="D72" s="2" t="str">
        <f>IFERROR(__xludf.DUMMYFUNCTION("""COMPUTED_VALUE"""),"Calakos")</f>
        <v>Calakos</v>
      </c>
      <c r="E72" s="2"/>
      <c r="F72" s="2" t="str">
        <f>IFERROR(__xludf.DUMMYFUNCTION("""COMPUTED_VALUE"""),"oula.khoury@duke.edu")</f>
        <v>oula.khoury@duke.edu</v>
      </c>
      <c r="G72" s="2" t="str">
        <f>IFERROR(__xludf.DUMMYFUNCTION("""COMPUTED_VALUE"""),"0000-0002-8432-9588. ")</f>
        <v>0000-0002-8432-9588. </v>
      </c>
    </row>
    <row r="73">
      <c r="A73" s="2" t="str">
        <f>IFERROR(__xludf.DUMMYFUNCTION("""COMPUTED_VALUE"""),"Brito")</f>
        <v>Brito</v>
      </c>
      <c r="B73" s="2" t="str">
        <f>IFERROR(__xludf.DUMMYFUNCTION("""COMPUTED_VALUE"""),"Giselle")</f>
        <v>Giselle</v>
      </c>
      <c r="C73" s="2" t="str">
        <f>IFERROR(__xludf.DUMMYFUNCTION("""COMPUTED_VALUE"""),"Key Personnel")</f>
        <v>Key Personnel</v>
      </c>
      <c r="D73" s="2" t="str">
        <f>IFERROR(__xludf.DUMMYFUNCTION("""COMPUTED_VALUE"""),"Chen")</f>
        <v>Chen</v>
      </c>
      <c r="E73" s="2" t="str">
        <f>IFERROR(__xludf.DUMMYFUNCTION("""COMPUTED_VALUE"""),"Research Assistant")</f>
        <v>Research Assistant</v>
      </c>
      <c r="F73" s="2" t="str">
        <f>IFERROR(__xludf.DUMMYFUNCTION("""COMPUTED_VALUE"""),"GABRITO@mgh.harvard.edu")</f>
        <v>GABRITO@mgh.harvard.edu</v>
      </c>
      <c r="G73" s="2"/>
    </row>
    <row r="74">
      <c r="A74" s="2" t="str">
        <f>IFERROR(__xludf.DUMMYFUNCTION("""COMPUTED_VALUE"""),"Hwu")</f>
        <v>Hwu</v>
      </c>
      <c r="B74" s="2" t="str">
        <f>IFERROR(__xludf.DUMMYFUNCTION("""COMPUTED_VALUE"""),"Patrick")</f>
        <v>Patrick</v>
      </c>
      <c r="C74" s="2" t="str">
        <f>IFERROR(__xludf.DUMMYFUNCTION("""COMPUTED_VALUE"""),"Key Personnel")</f>
        <v>Key Personnel</v>
      </c>
      <c r="D74" s="2" t="str">
        <f>IFERROR(__xludf.DUMMYFUNCTION("""COMPUTED_VALUE"""),"Hussein ")</f>
        <v>Hussein </v>
      </c>
      <c r="E74" s="2" t="str">
        <f>IFERROR(__xludf.DUMMYFUNCTION("""COMPUTED_VALUE"""),"Collaborator ")</f>
        <v>Collaborator </v>
      </c>
      <c r="F74" s="2" t="str">
        <f>IFERROR(__xludf.DUMMYFUNCTION("""COMPUTED_VALUE"""),"phwu@mdanderson.org")</f>
        <v>phwu@mdanderson.org</v>
      </c>
      <c r="G74" s="2"/>
    </row>
    <row r="75">
      <c r="A75" s="2" t="str">
        <f>IFERROR(__xludf.DUMMYFUNCTION("""COMPUTED_VALUE"""),"Madore")</f>
        <v>Madore</v>
      </c>
      <c r="B75" s="2" t="str">
        <f>IFERROR(__xludf.DUMMYFUNCTION("""COMPUTED_VALUE"""),"Victoria")</f>
        <v>Victoria</v>
      </c>
      <c r="C75" s="2" t="str">
        <f>IFERROR(__xludf.DUMMYFUNCTION("""COMPUTED_VALUE"""),"Key Personnel")</f>
        <v>Key Personnel</v>
      </c>
      <c r="D75" s="2" t="str">
        <f>IFERROR(__xludf.DUMMYFUNCTION("""COMPUTED_VALUE"""),"Chen")</f>
        <v>Chen</v>
      </c>
      <c r="E75" s="2" t="str">
        <f>IFERROR(__xludf.DUMMYFUNCTION("""COMPUTED_VALUE"""),"Research Technician")</f>
        <v>Research Technician</v>
      </c>
      <c r="F75" s="2" t="str">
        <f>IFERROR(__xludf.DUMMYFUNCTION("""COMPUTED_VALUE"""),"VMADORE@mgh.harvard.edu")</f>
        <v>VMADORE@mgh.harvard.edu</v>
      </c>
      <c r="G75" s="2"/>
    </row>
    <row r="76">
      <c r="A76" s="2" t="str">
        <f>IFERROR(__xludf.DUMMYFUNCTION("""COMPUTED_VALUE"""),"Donahue")</f>
        <v>Donahue</v>
      </c>
      <c r="B76" s="2" t="str">
        <f>IFERROR(__xludf.DUMMYFUNCTION("""COMPUTED_VALUE"""),"Katharine")</f>
        <v>Katharine</v>
      </c>
      <c r="C76" s="2" t="str">
        <f>IFERROR(__xludf.DUMMYFUNCTION("""COMPUTED_VALUE"""),"Project Manager")</f>
        <v>Project Manager</v>
      </c>
      <c r="D76" s="2" t="str">
        <f>IFERROR(__xludf.DUMMYFUNCTION("""COMPUTED_VALUE"""),"Chen")</f>
        <v>Chen</v>
      </c>
      <c r="E76" s="2" t="str">
        <f>IFERROR(__xludf.DUMMYFUNCTION("""COMPUTED_VALUE"""),"Project Manager")</f>
        <v>Project Manager</v>
      </c>
      <c r="F76" s="2" t="str">
        <f>IFERROR(__xludf.DUMMYFUNCTION("""COMPUTED_VALUE"""),"Katharine Donahue")</f>
        <v>Katharine Donahue</v>
      </c>
      <c r="G76" s="2" t="str">
        <f>IFERROR(__xludf.DUMMYFUNCTION("""COMPUTED_VALUE"""),"0000-0002-6911-7333")</f>
        <v>0000-0002-6911-7333</v>
      </c>
    </row>
    <row r="77">
      <c r="A77" s="2" t="str">
        <f>IFERROR(__xludf.DUMMYFUNCTION("""COMPUTED_VALUE"""),"Srivastava")</f>
        <v>Srivastava</v>
      </c>
      <c r="B77" s="2" t="str">
        <f>IFERROR(__xludf.DUMMYFUNCTION("""COMPUTED_VALUE"""),"Pranay")</f>
        <v>Pranay</v>
      </c>
      <c r="C77" s="2" t="str">
        <f>IFERROR(__xludf.DUMMYFUNCTION("""COMPUTED_VALUE"""),"Key Personnel")</f>
        <v>Key Personnel</v>
      </c>
      <c r="D77" s="2" t="str">
        <f>IFERROR(__xludf.DUMMYFUNCTION("""COMPUTED_VALUE"""),"Chen")</f>
        <v>Chen</v>
      </c>
      <c r="E77" s="2" t="str">
        <f>IFERROR(__xludf.DUMMYFUNCTION("""COMPUTED_VALUE"""),"Postdoc ")</f>
        <v>Postdoc </v>
      </c>
      <c r="F77" s="2" t="str">
        <f>IFERROR(__xludf.DUMMYFUNCTION("""COMPUTED_VALUE"""),"psrivastava3@mgh.harvard.edu")</f>
        <v>psrivastava3@mgh.harvard.edu</v>
      </c>
      <c r="G77" s="2" t="str">
        <f>IFERROR(__xludf.DUMMYFUNCTION("""COMPUTED_VALUE"""),"0000-0002-9289-2696")</f>
        <v>0000-0002-9289-2696</v>
      </c>
    </row>
    <row r="78">
      <c r="A78" s="2" t="str">
        <f>IFERROR(__xludf.DUMMYFUNCTION("""COMPUTED_VALUE"""),"Ali")</f>
        <v>Ali</v>
      </c>
      <c r="B78" s="2" t="str">
        <f>IFERROR(__xludf.DUMMYFUNCTION("""COMPUTED_VALUE"""),"Albalakhi")</f>
        <v>Albalakhi</v>
      </c>
      <c r="C78" s="2" t="str">
        <f>IFERROR(__xludf.DUMMYFUNCTION("""COMPUTED_VALUE"""),"Key Personnel")</f>
        <v>Key Personnel</v>
      </c>
      <c r="D78" s="2" t="str">
        <f>IFERROR(__xludf.DUMMYFUNCTION("""COMPUTED_VALUE"""),"Schwarzschild")</f>
        <v>Schwarzschild</v>
      </c>
      <c r="E78" s="2" t="str">
        <f>IFERROR(__xludf.DUMMYFUNCTION("""COMPUTED_VALUE"""),"Research Technician")</f>
        <v>Research Technician</v>
      </c>
      <c r="F78" s="2" t="str">
        <f>IFERROR(__xludf.DUMMYFUNCTION("""COMPUTED_VALUE"""),"aalbalakhi@mgh.harvard.edu")</f>
        <v>aalbalakhi@mgh.harvard.edu</v>
      </c>
      <c r="G78" s="2" t="str">
        <f>IFERROR(__xludf.DUMMYFUNCTION("""COMPUTED_VALUE"""),"0000-0001-6678-6454")</f>
        <v>0000-0001-6678-6454</v>
      </c>
    </row>
    <row r="79">
      <c r="A79" s="2" t="str">
        <f>IFERROR(__xludf.DUMMYFUNCTION("""COMPUTED_VALUE"""),"Ovington")</f>
        <v>Ovington</v>
      </c>
      <c r="B79" s="2" t="str">
        <f>IFERROR(__xludf.DUMMYFUNCTION("""COMPUTED_VALUE"""),"Katy")</f>
        <v>Katy</v>
      </c>
      <c r="C79" s="2" t="str">
        <f>IFERROR(__xludf.DUMMYFUNCTION("""COMPUTED_VALUE"""),"Key Personnel")</f>
        <v>Key Personnel</v>
      </c>
      <c r="D79" s="2" t="str">
        <f>IFERROR(__xludf.DUMMYFUNCTION("""COMPUTED_VALUE"""),"Chen")</f>
        <v>Chen</v>
      </c>
      <c r="E79" s="2" t="str">
        <f>IFERROR(__xludf.DUMMYFUNCTION("""COMPUTED_VALUE"""),"Postdoc")</f>
        <v>Postdoc</v>
      </c>
      <c r="F79" s="2" t="str">
        <f>IFERROR(__xludf.DUMMYFUNCTION("""COMPUTED_VALUE"""),"kovington@mgh.harvard.edu")</f>
        <v>kovington@mgh.harvard.edu</v>
      </c>
      <c r="G79" s="2" t="str">
        <f>IFERROR(__xludf.DUMMYFUNCTION("""COMPUTED_VALUE"""),"0000-0001-9217-8073")</f>
        <v>0000-0001-9217-8073</v>
      </c>
    </row>
    <row r="80">
      <c r="A80" s="2" t="str">
        <f>IFERROR(__xludf.DUMMYFUNCTION("""COMPUTED_VALUE"""),"O'Malley")</f>
        <v>O'Malley</v>
      </c>
      <c r="B80" s="2" t="str">
        <f>IFERROR(__xludf.DUMMYFUNCTION("""COMPUTED_VALUE"""),"Kimbal")</f>
        <v>Kimbal</v>
      </c>
      <c r="C80" s="2" t="str">
        <f>IFERROR(__xludf.DUMMYFUNCTION("""COMPUTED_VALUE"""),"Key Personnel")</f>
        <v>Key Personnel</v>
      </c>
      <c r="D80" s="2" t="str">
        <f>IFERROR(__xludf.DUMMYFUNCTION("""COMPUTED_VALUE"""),"Chen")</f>
        <v>Chen</v>
      </c>
      <c r="E80" s="2" t="str">
        <f>IFERROR(__xludf.DUMMYFUNCTION("""COMPUTED_VALUE"""),"Research Technician")</f>
        <v>Research Technician</v>
      </c>
      <c r="F80" s="2" t="str">
        <f>IFERROR(__xludf.DUMMYFUNCTION("""COMPUTED_VALUE"""),"kjomalley@partners.org")</f>
        <v>kjomalley@partners.org</v>
      </c>
      <c r="G80" s="2" t="str">
        <f>IFERROR(__xludf.DUMMYFUNCTION("""COMPUTED_VALUE"""),"0000-0002-9858-3667")</f>
        <v>0000-0002-9858-3667</v>
      </c>
    </row>
    <row r="81">
      <c r="A81" s="2" t="str">
        <f>IFERROR(__xludf.DUMMYFUNCTION("""COMPUTED_VALUE"""),"Choo")</f>
        <v>Choo</v>
      </c>
      <c r="B81" s="2" t="str">
        <f>IFERROR(__xludf.DUMMYFUNCTION("""COMPUTED_VALUE"""),"Daniel Jinyoung")</f>
        <v>Daniel Jinyoung</v>
      </c>
      <c r="C81" s="2" t="str">
        <f>IFERROR(__xludf.DUMMYFUNCTION("""COMPUTED_VALUE"""),"Project Manager")</f>
        <v>Project Manager</v>
      </c>
      <c r="D81" s="2" t="str">
        <f>IFERROR(__xludf.DUMMYFUNCTION("""COMPUTED_VALUE"""),"Chen")</f>
        <v>Chen</v>
      </c>
      <c r="E81" s="2" t="str">
        <f>IFERROR(__xludf.DUMMYFUNCTION("""COMPUTED_VALUE"""),"Research Technician")</f>
        <v>Research Technician</v>
      </c>
      <c r="F81" s="2" t="str">
        <f>IFERROR(__xludf.DUMMYFUNCTION("""COMPUTED_VALUE"""),"dchoo@mgh.harvard.edu")</f>
        <v>dchoo@mgh.harvard.edu</v>
      </c>
      <c r="G81" s="2" t="str">
        <f>IFERROR(__xludf.DUMMYFUNCTION("""COMPUTED_VALUE"""),"0000-0003-4750-900X")</f>
        <v>0000-0003-4750-900X</v>
      </c>
    </row>
    <row r="82">
      <c r="A82" s="2" t="str">
        <f>IFERROR(__xludf.DUMMYFUNCTION("""COMPUTED_VALUE"""),"Zhang")</f>
        <v>Zhang</v>
      </c>
      <c r="B82" s="2" t="str">
        <f>IFERROR(__xludf.DUMMYFUNCTION("""COMPUTED_VALUE"""),"Yanfeng")</f>
        <v>Yanfeng</v>
      </c>
      <c r="C82" s="2" t="str">
        <f>IFERROR(__xludf.DUMMYFUNCTION("""COMPUTED_VALUE"""),"Key Personnel")</f>
        <v>Key Personnel</v>
      </c>
      <c r="D82" s="2" t="str">
        <f>IFERROR(__xludf.DUMMYFUNCTION("""COMPUTED_VALUE"""),"Cragg")</f>
        <v>Cragg</v>
      </c>
      <c r="E82" s="2" t="str">
        <f>IFERROR(__xludf.DUMMYFUNCTION("""COMPUTED_VALUE"""),"Post-doctoral researcher ")</f>
        <v>Post-doctoral researcher </v>
      </c>
      <c r="F82" s="2" t="str">
        <f>IFERROR(__xludf.DUMMYFUNCTION("""COMPUTED_VALUE"""),"yanfeng.zhang@dpag.ox.ac.uk")</f>
        <v>yanfeng.zhang@dpag.ox.ac.uk</v>
      </c>
      <c r="G82" s="2" t="str">
        <f>IFERROR(__xludf.DUMMYFUNCTION("""COMPUTED_VALUE"""),"0000-0001-7815-6492")</f>
        <v>0000-0001-7815-6492</v>
      </c>
    </row>
    <row r="83">
      <c r="A83" s="2" t="str">
        <f>IFERROR(__xludf.DUMMYFUNCTION("""COMPUTED_VALUE"""),"Anand")</f>
        <v>Anand</v>
      </c>
      <c r="B83" s="2" t="str">
        <f>IFERROR(__xludf.DUMMYFUNCTION("""COMPUTED_VALUE"""),"Rishi")</f>
        <v>Rishi</v>
      </c>
      <c r="C83" s="2" t="str">
        <f>IFERROR(__xludf.DUMMYFUNCTION("""COMPUTED_VALUE"""),"Key Personnel")</f>
        <v>Key Personnel</v>
      </c>
      <c r="D83" s="2" t="str">
        <f>IFERROR(__xludf.DUMMYFUNCTION("""COMPUTED_VALUE"""),"Cragg")</f>
        <v>Cragg</v>
      </c>
      <c r="E83" s="2" t="str">
        <f>IFERROR(__xludf.DUMMYFUNCTION("""COMPUTED_VALUE"""),"Graduate student")</f>
        <v>Graduate student</v>
      </c>
      <c r="F83" s="2" t="str">
        <f>IFERROR(__xludf.DUMMYFUNCTION("""COMPUTED_VALUE"""),"rishi.anand@wadham.ox.ac.uk")</f>
        <v>rishi.anand@wadham.ox.ac.uk</v>
      </c>
      <c r="G83" s="2" t="str">
        <f>IFERROR(__xludf.DUMMYFUNCTION("""COMPUTED_VALUE"""),"0000-0002-7732-6506")</f>
        <v>0000-0002-7732-6506</v>
      </c>
    </row>
    <row r="84">
      <c r="A84" s="2" t="str">
        <f>IFERROR(__xludf.DUMMYFUNCTION("""COMPUTED_VALUE"""),"Weglage")</f>
        <v>Weglage</v>
      </c>
      <c r="B84" s="2" t="str">
        <f>IFERROR(__xludf.DUMMYFUNCTION("""COMPUTED_VALUE"""),"Moritz")</f>
        <v>Moritz</v>
      </c>
      <c r="C84" s="2" t="str">
        <f>IFERROR(__xludf.DUMMYFUNCTION("""COMPUTED_VALUE"""),"Key Personnel")</f>
        <v>Key Personnel</v>
      </c>
      <c r="D84" s="2" t="str">
        <f>IFERROR(__xludf.DUMMYFUNCTION("""COMPUTED_VALUE"""),"Meletis")</f>
        <v>Meletis</v>
      </c>
      <c r="E84" s="2"/>
      <c r="F84" s="2" t="str">
        <f>IFERROR(__xludf.DUMMYFUNCTION("""COMPUTED_VALUE"""),"mweglage@fas.harvard.edu")</f>
        <v>mweglage@fas.harvard.edu</v>
      </c>
      <c r="G84" s="2" t="str">
        <f>IFERROR(__xludf.DUMMYFUNCTION("""COMPUTED_VALUE"""),"0000-0002-9173-7459")</f>
        <v>0000-0002-9173-7459</v>
      </c>
    </row>
    <row r="85">
      <c r="A85" s="2" t="str">
        <f>IFERROR(__xludf.DUMMYFUNCTION("""COMPUTED_VALUE"""),"Yates")</f>
        <v>Yates</v>
      </c>
      <c r="B85" s="2" t="str">
        <f>IFERROR(__xludf.DUMMYFUNCTION("""COMPUTED_VALUE"""),"Elliot")</f>
        <v>Elliot</v>
      </c>
      <c r="C85" s="2" t="str">
        <f>IFERROR(__xludf.DUMMYFUNCTION("""COMPUTED_VALUE"""),"Key Personnel")</f>
        <v>Key Personnel</v>
      </c>
      <c r="D85" s="2" t="str">
        <f>IFERROR(__xludf.DUMMYFUNCTION("""COMPUTED_VALUE"""),"Cragg")</f>
        <v>Cragg</v>
      </c>
      <c r="E85" s="2"/>
      <c r="F85" s="2"/>
      <c r="G85" s="2" t="str">
        <f>IFERROR(__xludf.DUMMYFUNCTION("""COMPUTED_VALUE"""),"0000-0002-6144-9384")</f>
        <v>0000-0002-6144-9384</v>
      </c>
    </row>
    <row r="86">
      <c r="A86" s="2" t="str">
        <f>IFERROR(__xludf.DUMMYFUNCTION("""COMPUTED_VALUE"""),"Oakley")</f>
        <v>Oakley</v>
      </c>
      <c r="B86" s="2" t="str">
        <f>IFERROR(__xludf.DUMMYFUNCTION("""COMPUTED_VALUE"""),"Sophie")</f>
        <v>Sophie</v>
      </c>
      <c r="C86" s="2" t="str">
        <f>IFERROR(__xludf.DUMMYFUNCTION("""COMPUTED_VALUE"""),"Project Manager")</f>
        <v>Project Manager</v>
      </c>
      <c r="D86" s="2" t="str">
        <f>IFERROR(__xludf.DUMMYFUNCTION("""COMPUTED_VALUE"""),"Cragg")</f>
        <v>Cragg</v>
      </c>
      <c r="E86" s="2"/>
      <c r="F86" s="2"/>
      <c r="G86" s="2"/>
    </row>
    <row r="87">
      <c r="A87" s="2" t="str">
        <f>IFERROR(__xludf.DUMMYFUNCTION("""COMPUTED_VALUE"""),"Kilfeather")</f>
        <v>Kilfeather</v>
      </c>
      <c r="B87" s="2" t="str">
        <f>IFERROR(__xludf.DUMMYFUNCTION("""COMPUTED_VALUE"""),"Peter")</f>
        <v>Peter</v>
      </c>
      <c r="C87" s="2" t="str">
        <f>IFERROR(__xludf.DUMMYFUNCTION("""COMPUTED_VALUE"""),"Key Personnel")</f>
        <v>Key Personnel</v>
      </c>
      <c r="D87" s="2" t="str">
        <f>IFERROR(__xludf.DUMMYFUNCTION("""COMPUTED_VALUE"""),"Wade-Martins")</f>
        <v>Wade-Martins</v>
      </c>
      <c r="E87" s="2" t="str">
        <f>IFERROR(__xludf.DUMMYFUNCTION("""COMPUTED_VALUE"""),"Post-doctoral researcher ")</f>
        <v>Post-doctoral researcher </v>
      </c>
      <c r="F87" s="2"/>
      <c r="G87" s="2" t="str">
        <f>IFERROR(__xludf.DUMMYFUNCTION("""COMPUTED_VALUE"""),"0000-0002-9882-8417")</f>
        <v>0000-0002-9882-8417</v>
      </c>
    </row>
    <row r="88">
      <c r="A88" s="2" t="str">
        <f>IFERROR(__xludf.DUMMYFUNCTION("""COMPUTED_VALUE"""),"Storey")</f>
        <v>Storey</v>
      </c>
      <c r="B88" s="2" t="str">
        <f>IFERROR(__xludf.DUMMYFUNCTION("""COMPUTED_VALUE"""),"Morgane")</f>
        <v>Morgane</v>
      </c>
      <c r="C88" s="2" t="str">
        <f>IFERROR(__xludf.DUMMYFUNCTION("""COMPUTED_VALUE"""),"Key Personnel")</f>
        <v>Key Personnel</v>
      </c>
      <c r="D88" s="2" t="str">
        <f>IFERROR(__xludf.DUMMYFUNCTION("""COMPUTED_VALUE"""),"Magill")</f>
        <v>Magill</v>
      </c>
      <c r="E88" s="2"/>
      <c r="F88" s="2"/>
      <c r="G88" s="2" t="str">
        <f>IFERROR(__xludf.DUMMYFUNCTION("""COMPUTED_VALUE"""),"0000-0003-3442-6475")</f>
        <v>0000-0003-3442-6475</v>
      </c>
    </row>
    <row r="89">
      <c r="A89" s="2" t="str">
        <f>IFERROR(__xludf.DUMMYFUNCTION("""COMPUTED_VALUE"""),"Petty")</f>
        <v>Petty</v>
      </c>
      <c r="B89" s="2" t="str">
        <f>IFERROR(__xludf.DUMMYFUNCTION("""COMPUTED_VALUE"""),"Alice")</f>
        <v>Alice</v>
      </c>
      <c r="C89" s="2" t="str">
        <f>IFERROR(__xludf.DUMMYFUNCTION("""COMPUTED_VALUE"""),"Key Personnel")</f>
        <v>Key Personnel</v>
      </c>
      <c r="D89" s="2" t="str">
        <f>IFERROR(__xludf.DUMMYFUNCTION("""COMPUTED_VALUE"""),"Cragg")</f>
        <v>Cragg</v>
      </c>
      <c r="E89" s="2" t="str">
        <f>IFERROR(__xludf.DUMMYFUNCTION("""COMPUTED_VALUE"""),"Post-doctoral researcher ")</f>
        <v>Post-doctoral researcher </v>
      </c>
      <c r="F89" s="2" t="str">
        <f>IFERROR(__xludf.DUMMYFUNCTION("""COMPUTED_VALUE"""),"a.petty@neura.edu.au")</f>
        <v>a.petty@neura.edu.au</v>
      </c>
      <c r="G89" s="2" t="str">
        <f>IFERROR(__xludf.DUMMYFUNCTION("""COMPUTED_VALUE"""),"0000-0001-7058-4185")</f>
        <v>0000-0001-7058-4185</v>
      </c>
    </row>
    <row r="90">
      <c r="A90" s="2" t="str">
        <f>IFERROR(__xludf.DUMMYFUNCTION("""COMPUTED_VALUE"""),"Carponcy")</f>
        <v>Carponcy</v>
      </c>
      <c r="B90" s="2" t="str">
        <f>IFERROR(__xludf.DUMMYFUNCTION("""COMPUTED_VALUE"""),"Julien")</f>
        <v>Julien</v>
      </c>
      <c r="C90" s="2" t="str">
        <f>IFERROR(__xludf.DUMMYFUNCTION("""COMPUTED_VALUE"""),"Key Personnel")</f>
        <v>Key Personnel</v>
      </c>
      <c r="D90" s="2" t="str">
        <f>IFERROR(__xludf.DUMMYFUNCTION("""COMPUTED_VALUE"""),"Magill")</f>
        <v>Magill</v>
      </c>
      <c r="E90" s="2" t="str">
        <f>IFERROR(__xludf.DUMMYFUNCTION("""COMPUTED_VALUE"""),"Post-doctoral researcher ")</f>
        <v>Post-doctoral researcher </v>
      </c>
      <c r="F90" s="2"/>
      <c r="G90" s="2" t="str">
        <f>IFERROR(__xludf.DUMMYFUNCTION("""COMPUTED_VALUE"""),"0000-0002-3605-4727")</f>
        <v>0000-0002-3605-4727</v>
      </c>
    </row>
    <row r="91">
      <c r="A91" s="2" t="str">
        <f>IFERROR(__xludf.DUMMYFUNCTION("""COMPUTED_VALUE"""),"Do")</f>
        <v>Do</v>
      </c>
      <c r="B91" s="2" t="str">
        <f>IFERROR(__xludf.DUMMYFUNCTION("""COMPUTED_VALUE"""),"Quyen")</f>
        <v>Quyen</v>
      </c>
      <c r="C91" s="2" t="str">
        <f>IFERROR(__xludf.DUMMYFUNCTION("""COMPUTED_VALUE"""),"Key Personnel")</f>
        <v>Key Personnel</v>
      </c>
      <c r="D91" s="2" t="str">
        <f>IFERROR(__xludf.DUMMYFUNCTION("""COMPUTED_VALUE"""),"Wade-Martins")</f>
        <v>Wade-Martins</v>
      </c>
      <c r="E91" s="2"/>
      <c r="F91" s="2" t="str">
        <f>IFERROR(__xludf.DUMMYFUNCTION("""COMPUTED_VALUE"""),"do_bao_quyen@gis.a-star.edu.sg")</f>
        <v>do_bao_quyen@gis.a-star.edu.sg</v>
      </c>
      <c r="G91" s="2" t="str">
        <f>IFERROR(__xludf.DUMMYFUNCTION("""COMPUTED_VALUE"""),"0000-0003-4223-0886.")</f>
        <v>0000-0003-4223-0886.</v>
      </c>
    </row>
    <row r="92">
      <c r="A92" s="2" t="str">
        <f>IFERROR(__xludf.DUMMYFUNCTION("""COMPUTED_VALUE"""),"Lopes")</f>
        <v>Lopes</v>
      </c>
      <c r="B92" s="2" t="str">
        <f>IFERROR(__xludf.DUMMYFUNCTION("""COMPUTED_VALUE"""),"Emanuel")</f>
        <v>Emanuel</v>
      </c>
      <c r="C92" s="2" t="str">
        <f>IFERROR(__xludf.DUMMYFUNCTION("""COMPUTED_VALUE"""),"Key Personnel")</f>
        <v>Key Personnel</v>
      </c>
      <c r="D92" s="2" t="str">
        <f>IFERROR(__xludf.DUMMYFUNCTION("""COMPUTED_VALUE"""),"Cragg")</f>
        <v>Cragg</v>
      </c>
      <c r="E92" s="2" t="str">
        <f>IFERROR(__xludf.DUMMYFUNCTION("""COMPUTED_VALUE"""),"Post-doctoral researcher ")</f>
        <v>Post-doctoral researcher </v>
      </c>
      <c r="F92" s="2"/>
      <c r="G92" s="2" t="str">
        <f>IFERROR(__xludf.DUMMYFUNCTION("""COMPUTED_VALUE"""),"0000-0003-1426-8350")</f>
        <v>0000-0003-1426-8350</v>
      </c>
    </row>
    <row r="93">
      <c r="A93" s="2" t="str">
        <f>IFERROR(__xludf.DUMMYFUNCTION("""COMPUTED_VALUE"""),"Rial")</f>
        <v>Rial</v>
      </c>
      <c r="B93" s="2" t="str">
        <f>IFERROR(__xludf.DUMMYFUNCTION("""COMPUTED_VALUE"""),"Daniel")</f>
        <v>Daniel</v>
      </c>
      <c r="C93" s="2" t="str">
        <f>IFERROR(__xludf.DUMMYFUNCTION("""COMPUTED_VALUE"""),"Key Personnel")</f>
        <v>Key Personnel</v>
      </c>
      <c r="D93" s="2" t="str">
        <f>IFERROR(__xludf.DUMMYFUNCTION("""COMPUTED_VALUE"""),"Cragg")</f>
        <v>Cragg</v>
      </c>
      <c r="E93" s="2" t="str">
        <f>IFERROR(__xludf.DUMMYFUNCTION("""COMPUTED_VALUE"""),"Post-doctoral researcher ")</f>
        <v>Post-doctoral researcher </v>
      </c>
      <c r="F93" s="2" t="str">
        <f>IFERROR(__xludf.DUMMYFUNCTION("""COMPUTED_VALUE"""),"rialdaniel@gmail.com")</f>
        <v>rialdaniel@gmail.com</v>
      </c>
      <c r="G93" s="2" t="str">
        <f>IFERROR(__xludf.DUMMYFUNCTION("""COMPUTED_VALUE"""),"0000-0002-2079-7331")</f>
        <v>0000-0002-2079-7331</v>
      </c>
    </row>
    <row r="94">
      <c r="A94" s="2" t="str">
        <f>IFERROR(__xludf.DUMMYFUNCTION("""COMPUTED_VALUE"""),"Sousa")</f>
        <v>Sousa</v>
      </c>
      <c r="B94" s="2" t="str">
        <f>IFERROR(__xludf.DUMMYFUNCTION("""COMPUTED_VALUE"""),"Ana")</f>
        <v>Ana</v>
      </c>
      <c r="C94" s="2" t="str">
        <f>IFERROR(__xludf.DUMMYFUNCTION("""COMPUTED_VALUE"""),"Key Personnel")</f>
        <v>Key Personnel</v>
      </c>
      <c r="D94" s="2" t="str">
        <f>IFERROR(__xludf.DUMMYFUNCTION("""COMPUTED_VALUE"""),"Cragg")</f>
        <v>Cragg</v>
      </c>
      <c r="E94" s="2" t="str">
        <f>IFERROR(__xludf.DUMMYFUNCTION("""COMPUTED_VALUE"""),"Research assistant")</f>
        <v>Research assistant</v>
      </c>
      <c r="F94" s="2" t="str">
        <f>IFERROR(__xludf.DUMMYFUNCTION("""COMPUTED_VALUE"""),"ana.silvadesousa@dpag.ox.ac.uk")</f>
        <v>ana.silvadesousa@dpag.ox.ac.uk</v>
      </c>
      <c r="G94" s="2" t="str">
        <f>IFERROR(__xludf.DUMMYFUNCTION("""COMPUTED_VALUE"""),"0000-0003-3749-043X")</f>
        <v>0000-0003-3749-043X</v>
      </c>
    </row>
    <row r="95">
      <c r="A95" s="2" t="str">
        <f>IFERROR(__xludf.DUMMYFUNCTION("""COMPUTED_VALUE"""),"Wu")</f>
        <v>Wu</v>
      </c>
      <c r="B95" s="2" t="str">
        <f>IFERROR(__xludf.DUMMYFUNCTION("""COMPUTED_VALUE"""),"Wenhui")</f>
        <v>Wenhui</v>
      </c>
      <c r="C95" s="2" t="str">
        <f>IFERROR(__xludf.DUMMYFUNCTION("""COMPUTED_VALUE"""),"Key Personnel")</f>
        <v>Key Personnel</v>
      </c>
      <c r="D95" s="2" t="str">
        <f>IFERROR(__xludf.DUMMYFUNCTION("""COMPUTED_VALUE"""),"Cragg")</f>
        <v>Cragg</v>
      </c>
      <c r="E95" s="2" t="str">
        <f>IFERROR(__xludf.DUMMYFUNCTION("""COMPUTED_VALUE"""),"Research assistant")</f>
        <v>Research assistant</v>
      </c>
      <c r="F95" s="2" t="str">
        <f>IFERROR(__xludf.DUMMYFUNCTION("""COMPUTED_VALUE"""),"wenhui.wu@dpag.ox.ac.uk")</f>
        <v>wenhui.wu@dpag.ox.ac.uk</v>
      </c>
      <c r="G95" s="2" t="str">
        <f>IFERROR(__xludf.DUMMYFUNCTION("""COMPUTED_VALUE"""),"0009-0008-9347-7524")</f>
        <v>0009-0008-9347-7524</v>
      </c>
    </row>
    <row r="96">
      <c r="A96" s="2" t="str">
        <f>IFERROR(__xludf.DUMMYFUNCTION("""COMPUTED_VALUE"""),"Choudhuri")</f>
        <v>Choudhuri</v>
      </c>
      <c r="B96" s="2" t="str">
        <f>IFERROR(__xludf.DUMMYFUNCTION("""COMPUTED_VALUE"""),"Sayon")</f>
        <v>Sayon</v>
      </c>
      <c r="C96" s="2" t="str">
        <f>IFERROR(__xludf.DUMMYFUNCTION("""COMPUTED_VALUE"""),"Key Personnel")</f>
        <v>Key Personnel</v>
      </c>
      <c r="D96" s="2" t="str">
        <f>IFERROR(__xludf.DUMMYFUNCTION("""COMPUTED_VALUE"""),"Cragg")</f>
        <v>Cragg</v>
      </c>
      <c r="E96" s="2" t="str">
        <f>IFERROR(__xludf.DUMMYFUNCTION("""COMPUTED_VALUE"""),"Undergraduate Student")</f>
        <v>Undergraduate Student</v>
      </c>
      <c r="F96" s="2" t="str">
        <f>IFERROR(__xludf.DUMMYFUNCTION("""COMPUTED_VALUE"""),"sayon.choudhuri@exeter.ox.ac.uk")</f>
        <v>sayon.choudhuri@exeter.ox.ac.uk</v>
      </c>
      <c r="G96" s="2" t="str">
        <f>IFERROR(__xludf.DUMMYFUNCTION("""COMPUTED_VALUE"""),"0000-0001-9530-3220")</f>
        <v>0000-0001-9530-3220</v>
      </c>
    </row>
    <row r="97">
      <c r="A97" s="2" t="str">
        <f>IFERROR(__xludf.DUMMYFUNCTION("""COMPUTED_VALUE"""),"Winiarski")</f>
        <v>Winiarski</v>
      </c>
      <c r="B97" s="2" t="str">
        <f>IFERROR(__xludf.DUMMYFUNCTION("""COMPUTED_VALUE"""),"Samuel")</f>
        <v>Samuel</v>
      </c>
      <c r="C97" s="2" t="str">
        <f>IFERROR(__xludf.DUMMYFUNCTION("""COMPUTED_VALUE"""),"Key Personnel")</f>
        <v>Key Personnel</v>
      </c>
      <c r="D97" s="2" t="str">
        <f>IFERROR(__xludf.DUMMYFUNCTION("""COMPUTED_VALUE"""),"Cragg")</f>
        <v>Cragg</v>
      </c>
      <c r="E97" s="2" t="str">
        <f>IFERROR(__xludf.DUMMYFUNCTION("""COMPUTED_VALUE"""),"Undergraduate Student")</f>
        <v>Undergraduate Student</v>
      </c>
      <c r="F97" s="2" t="str">
        <f>IFERROR(__xludf.DUMMYFUNCTION("""COMPUTED_VALUE"""),"samuel.winiarski@bnc.ox.ac.uk")</f>
        <v>samuel.winiarski@bnc.ox.ac.uk</v>
      </c>
      <c r="G97" s="2" t="str">
        <f>IFERROR(__xludf.DUMMYFUNCTION("""COMPUTED_VALUE"""),"0000-0002-8204-1951")</f>
        <v>0000-0002-8204-1951</v>
      </c>
    </row>
    <row r="98">
      <c r="A98" s="2" t="str">
        <f>IFERROR(__xludf.DUMMYFUNCTION("""COMPUTED_VALUE"""),"Lang")</f>
        <v>Lang</v>
      </c>
      <c r="B98" s="2" t="str">
        <f>IFERROR(__xludf.DUMMYFUNCTION("""COMPUTED_VALUE"""),"Charmaine")</f>
        <v>Charmaine</v>
      </c>
      <c r="C98" s="2" t="str">
        <f>IFERROR(__xludf.DUMMYFUNCTION("""COMPUTED_VALUE"""),"Key Personnel")</f>
        <v>Key Personnel</v>
      </c>
      <c r="D98" s="2" t="str">
        <f>IFERROR(__xludf.DUMMYFUNCTION("""COMPUTED_VALUE"""),"Wade-Martins")</f>
        <v>Wade-Martins</v>
      </c>
      <c r="E98" s="2" t="str">
        <f>IFERROR(__xludf.DUMMYFUNCTION("""COMPUTED_VALUE"""),"Post-doctoral researcher ")</f>
        <v>Post-doctoral researcher </v>
      </c>
      <c r="F98" s="2"/>
      <c r="G98" s="2" t="str">
        <f>IFERROR(__xludf.DUMMYFUNCTION("""COMPUTED_VALUE"""),"0000-0001-8190-4850")</f>
        <v>0000-0001-8190-4850</v>
      </c>
    </row>
    <row r="99">
      <c r="A99" s="2" t="str">
        <f>IFERROR(__xludf.DUMMYFUNCTION("""COMPUTED_VALUE"""),"Szydlowski")</f>
        <v>Szydlowski</v>
      </c>
      <c r="B99" s="2" t="str">
        <f>IFERROR(__xludf.DUMMYFUNCTION("""COMPUTED_VALUE"""),"Susanne")</f>
        <v>Susanne</v>
      </c>
      <c r="C99" s="2" t="str">
        <f>IFERROR(__xludf.DUMMYFUNCTION("""COMPUTED_VALUE"""),"Key Personnel")</f>
        <v>Key Personnel</v>
      </c>
      <c r="D99" s="2" t="str">
        <f>IFERROR(__xludf.DUMMYFUNCTION("""COMPUTED_VALUE"""),"Cragg")</f>
        <v>Cragg</v>
      </c>
      <c r="E99" s="2" t="str">
        <f>IFERROR(__xludf.DUMMYFUNCTION("""COMPUTED_VALUE"""),"Post-doctoral Researcher ")</f>
        <v>Post-doctoral Researcher </v>
      </c>
      <c r="F99" s="2" t="str">
        <f>IFERROR(__xludf.DUMMYFUNCTION("""COMPUTED_VALUE"""),"susanne.szydlowski@dpag.ox.ac.uk")</f>
        <v>susanne.szydlowski@dpag.ox.ac.uk</v>
      </c>
      <c r="G99" s="2" t="str">
        <f>IFERROR(__xludf.DUMMYFUNCTION("""COMPUTED_VALUE"""),"0000-0003-4628-462X")</f>
        <v>0000-0003-4628-462X</v>
      </c>
    </row>
    <row r="100">
      <c r="A100" s="2" t="str">
        <f>IFERROR(__xludf.DUMMYFUNCTION("""COMPUTED_VALUE"""),"Nakamura")</f>
        <v>Nakamura</v>
      </c>
      <c r="B100" s="2" t="str">
        <f>IFERROR(__xludf.DUMMYFUNCTION("""COMPUTED_VALUE"""),"Kouichi")</f>
        <v>Kouichi</v>
      </c>
      <c r="C100" s="2" t="str">
        <f>IFERROR(__xludf.DUMMYFUNCTION("""COMPUTED_VALUE"""),"Key Personnel")</f>
        <v>Key Personnel</v>
      </c>
      <c r="D100" s="2" t="str">
        <f>IFERROR(__xludf.DUMMYFUNCTION("""COMPUTED_VALUE"""),"Magill")</f>
        <v>Magill</v>
      </c>
      <c r="E100" s="2" t="str">
        <f>IFERROR(__xludf.DUMMYFUNCTION("""COMPUTED_VALUE"""),"Post-doctoral researcher ")</f>
        <v>Post-doctoral researcher </v>
      </c>
      <c r="F100" s="2" t="str">
        <f>IFERROR(__xludf.DUMMYFUNCTION("""COMPUTED_VALUE"""),"kouichi.nakamura@ndcn.ox.ac.uk")</f>
        <v>kouichi.nakamura@ndcn.ox.ac.uk</v>
      </c>
      <c r="G100" s="2" t="str">
        <f>IFERROR(__xludf.DUMMYFUNCTION("""COMPUTED_VALUE"""),"0000-0001-7053-0507")</f>
        <v>0000-0001-7053-0507</v>
      </c>
    </row>
    <row r="101">
      <c r="A101" s="2" t="str">
        <f>IFERROR(__xludf.DUMMYFUNCTION("""COMPUTED_VALUE"""),"Tebbenkamp")</f>
        <v>Tebbenkamp</v>
      </c>
      <c r="B101" s="2" t="str">
        <f>IFERROR(__xludf.DUMMYFUNCTION("""COMPUTED_VALUE"""),"Candace ")</f>
        <v>Candace </v>
      </c>
      <c r="C101" s="2" t="str">
        <f>IFERROR(__xludf.DUMMYFUNCTION("""COMPUTED_VALUE"""),"Project Manager")</f>
        <v>Project Manager</v>
      </c>
      <c r="D101" s="2"/>
      <c r="E101" s="2"/>
      <c r="F101" s="2" t="str">
        <f>IFERROR(__xludf.DUMMYFUNCTION("""COMPUTED_VALUE"""),"candace.bichsel@yale.edu")</f>
        <v>candace.bichsel@yale.edu</v>
      </c>
      <c r="G101" s="2" t="str">
        <f>IFERROR(__xludf.DUMMYFUNCTION("""COMPUTED_VALUE"""),"0000-0002-6988-2377")</f>
        <v>0000-0002-6988-2377</v>
      </c>
    </row>
    <row r="102">
      <c r="A102" s="2" t="str">
        <f>IFERROR(__xludf.DUMMYFUNCTION("""COMPUTED_VALUE"""),"Leonzino")</f>
        <v>Leonzino</v>
      </c>
      <c r="B102" s="2" t="str">
        <f>IFERROR(__xludf.DUMMYFUNCTION("""COMPUTED_VALUE"""),"Marianna ")</f>
        <v>Marianna </v>
      </c>
      <c r="C102" s="2" t="str">
        <f>IFERROR(__xludf.DUMMYFUNCTION("""COMPUTED_VALUE"""),"Key Personnel")</f>
        <v>Key Personnel</v>
      </c>
      <c r="D102" s="2" t="str">
        <f>IFERROR(__xludf.DUMMYFUNCTION("""COMPUTED_VALUE"""),"De Camilli")</f>
        <v>De Camilli</v>
      </c>
      <c r="E102" s="2" t="str">
        <f>IFERROR(__xludf.DUMMYFUNCTION("""COMPUTED_VALUE"""),"postdoc")</f>
        <v>postdoc</v>
      </c>
      <c r="F102" s="2" t="str">
        <f>IFERROR(__xludf.DUMMYFUNCTION("""COMPUTED_VALUE"""),"marianna.leonzino@yale.edu")</f>
        <v>marianna.leonzino@yale.edu</v>
      </c>
      <c r="G102" s="2" t="str">
        <f>IFERROR(__xludf.DUMMYFUNCTION("""COMPUTED_VALUE"""),"0000-0002-3277-1112")</f>
        <v>0000-0002-3277-1112</v>
      </c>
    </row>
    <row r="103">
      <c r="A103" s="2" t="str">
        <f>IFERROR(__xludf.DUMMYFUNCTION("""COMPUTED_VALUE"""),"Bownes")</f>
        <v>Bownes</v>
      </c>
      <c r="B103" s="2" t="str">
        <f>IFERROR(__xludf.DUMMYFUNCTION("""COMPUTED_VALUE"""),"Katherine")</f>
        <v>Katherine</v>
      </c>
      <c r="C103" s="2" t="str">
        <f>IFERROR(__xludf.DUMMYFUNCTION("""COMPUTED_VALUE"""),"Exec Assistant")</f>
        <v>Exec Assistant</v>
      </c>
      <c r="D103" s="2" t="str">
        <f>IFERROR(__xludf.DUMMYFUNCTION("""COMPUTED_VALUE"""),"De Camilli")</f>
        <v>De Camilli</v>
      </c>
      <c r="E103" s="2"/>
      <c r="F103" s="2" t="str">
        <f>IFERROR(__xludf.DUMMYFUNCTION("""COMPUTED_VALUE"""),"katherine.bownes@yale.edu")</f>
        <v>katherine.bownes@yale.edu</v>
      </c>
      <c r="G103" s="2" t="str">
        <f>IFERROR(__xludf.DUMMYFUNCTION("""COMPUTED_VALUE"""),"0000-0003-2407-3311")</f>
        <v>0000-0003-2407-3311</v>
      </c>
    </row>
    <row r="104">
      <c r="A104" s="2" t="str">
        <f>IFERROR(__xludf.DUMMYFUNCTION("""COMPUTED_VALUE"""),"Hancock-Cerutti ")</f>
        <v>Hancock-Cerutti </v>
      </c>
      <c r="B104" s="2" t="str">
        <f>IFERROR(__xludf.DUMMYFUNCTION("""COMPUTED_VALUE"""),"William")</f>
        <v>William</v>
      </c>
      <c r="C104" s="2" t="str">
        <f>IFERROR(__xludf.DUMMYFUNCTION("""COMPUTED_VALUE"""),"Key Personnel")</f>
        <v>Key Personnel</v>
      </c>
      <c r="D104" s="2" t="str">
        <f>IFERROR(__xludf.DUMMYFUNCTION("""COMPUTED_VALUE"""),"De Camilli")</f>
        <v>De Camilli</v>
      </c>
      <c r="E104" s="2" t="str">
        <f>IFERROR(__xludf.DUMMYFUNCTION("""COMPUTED_VALUE"""),"grad student")</f>
        <v>grad student</v>
      </c>
      <c r="F104" s="2" t="str">
        <f>IFERROR(__xludf.DUMMYFUNCTION("""COMPUTED_VALUE"""),"william.hancock-cerutti@yale.edu")</f>
        <v>william.hancock-cerutti@yale.edu</v>
      </c>
      <c r="G104" s="2" t="str">
        <f>IFERROR(__xludf.DUMMYFUNCTION("""COMPUTED_VALUE"""),"0000-0002-8051-1112")</f>
        <v>0000-0002-8051-1112</v>
      </c>
    </row>
    <row r="105">
      <c r="A105" s="2" t="str">
        <f>IFERROR(__xludf.DUMMYFUNCTION("""COMPUTED_VALUE"""),"Park")</f>
        <v>Park</v>
      </c>
      <c r="B105" s="2" t="str">
        <f>IFERROR(__xludf.DUMMYFUNCTION("""COMPUTED_VALUE"""),"Daehun ")</f>
        <v>Daehun </v>
      </c>
      <c r="C105" s="2" t="str">
        <f>IFERROR(__xludf.DUMMYFUNCTION("""COMPUTED_VALUE"""),"Key Personnel")</f>
        <v>Key Personnel</v>
      </c>
      <c r="D105" s="2" t="str">
        <f>IFERROR(__xludf.DUMMYFUNCTION("""COMPUTED_VALUE"""),"De Camilli")</f>
        <v>De Camilli</v>
      </c>
      <c r="E105" s="2" t="str">
        <f>IFERROR(__xludf.DUMMYFUNCTION("""COMPUTED_VALUE"""),"postdoc")</f>
        <v>postdoc</v>
      </c>
      <c r="F105" s="2" t="str">
        <f>IFERROR(__xludf.DUMMYFUNCTION("""COMPUTED_VALUE"""),"daehun.park@yale.edu")</f>
        <v>daehun.park@yale.edu</v>
      </c>
      <c r="G105" s="2" t="str">
        <f>IFERROR(__xludf.DUMMYFUNCTION("""COMPUTED_VALUE"""),"0000-0002-2829-1319")</f>
        <v>0000-0002-2829-1319</v>
      </c>
    </row>
    <row r="106">
      <c r="A106" s="2" t="str">
        <f>IFERROR(__xludf.DUMMYFUNCTION("""COMPUTED_VALUE"""),"Sindhwani")</f>
        <v>Sindhwani</v>
      </c>
      <c r="B106" s="2" t="str">
        <f>IFERROR(__xludf.DUMMYFUNCTION("""COMPUTED_VALUE"""),"Aastha ")</f>
        <v>Aastha </v>
      </c>
      <c r="C106" s="2" t="str">
        <f>IFERROR(__xludf.DUMMYFUNCTION("""COMPUTED_VALUE"""),"Key Personnel")</f>
        <v>Key Personnel</v>
      </c>
      <c r="D106" s="2" t="str">
        <f>IFERROR(__xludf.DUMMYFUNCTION("""COMPUTED_VALUE"""),"Ferguson")</f>
        <v>Ferguson</v>
      </c>
      <c r="E106" s="2" t="str">
        <f>IFERROR(__xludf.DUMMYFUNCTION("""COMPUTED_VALUE"""),"postdoc")</f>
        <v>postdoc</v>
      </c>
      <c r="F106" s="2" t="str">
        <f>IFERROR(__xludf.DUMMYFUNCTION("""COMPUTED_VALUE"""),"aastha.sindhwani@yale.edu")</f>
        <v>aastha.sindhwani@yale.edu</v>
      </c>
      <c r="G106" s="2" t="str">
        <f>IFERROR(__xludf.DUMMYFUNCTION("""COMPUTED_VALUE"""),"0000-0001-6719-8443")</f>
        <v>0000-0001-6719-8443</v>
      </c>
    </row>
    <row r="107">
      <c r="A107" s="2" t="str">
        <f>IFERROR(__xludf.DUMMYFUNCTION("""COMPUTED_VALUE"""),"Li")</f>
        <v>Li</v>
      </c>
      <c r="B107" s="2" t="str">
        <f>IFERROR(__xludf.DUMMYFUNCTION("""COMPUTED_VALUE"""),"PeiQi")</f>
        <v>PeiQi</v>
      </c>
      <c r="C107" s="2" t="str">
        <f>IFERROR(__xludf.DUMMYFUNCTION("""COMPUTED_VALUE"""),"Key Personnel")</f>
        <v>Key Personnel</v>
      </c>
      <c r="D107" s="2" t="str">
        <f>IFERROR(__xludf.DUMMYFUNCTION("""COMPUTED_VALUE"""),"Reinisch")</f>
        <v>Reinisch</v>
      </c>
      <c r="E107" s="2" t="str">
        <f>IFERROR(__xludf.DUMMYFUNCTION("""COMPUTED_VALUE"""),"grad student")</f>
        <v>grad student</v>
      </c>
      <c r="F107" s="2" t="str">
        <f>IFERROR(__xludf.DUMMYFUNCTION("""COMPUTED_VALUE"""),"peiqi.li@yale.edu")</f>
        <v>peiqi.li@yale.edu</v>
      </c>
      <c r="G107" s="2" t="str">
        <f>IFERROR(__xludf.DUMMYFUNCTION("""COMPUTED_VALUE"""),"0000-0002-6958-1646")</f>
        <v>0000-0002-6958-1646</v>
      </c>
    </row>
    <row r="108">
      <c r="A108" s="2" t="str">
        <f>IFERROR(__xludf.DUMMYFUNCTION("""COMPUTED_VALUE"""),"Giska")</f>
        <v>Giska</v>
      </c>
      <c r="B108" s="2" t="str">
        <f>IFERROR(__xludf.DUMMYFUNCTION("""COMPUTED_VALUE"""),"Fabian ")</f>
        <v>Fabian </v>
      </c>
      <c r="C108" s="2" t="str">
        <f>IFERROR(__xludf.DUMMYFUNCTION("""COMPUTED_VALUE"""),"Key Personnel")</f>
        <v>Key Personnel</v>
      </c>
      <c r="D108" s="2" t="str">
        <f>IFERROR(__xludf.DUMMYFUNCTION("""COMPUTED_VALUE"""),"Gupta")</f>
        <v>Gupta</v>
      </c>
      <c r="E108" s="2" t="str">
        <f>IFERROR(__xludf.DUMMYFUNCTION("""COMPUTED_VALUE"""),"assoc research scientist")</f>
        <v>assoc research scientist</v>
      </c>
      <c r="F108" s="2" t="str">
        <f>IFERROR(__xludf.DUMMYFUNCTION("""COMPUTED_VALUE"""),"fabian.giska@yale.edu")</f>
        <v>fabian.giska@yale.edu</v>
      </c>
      <c r="G108" s="2" t="str">
        <f>IFERROR(__xludf.DUMMYFUNCTION("""COMPUTED_VALUE"""),"0000-0003-4454-7983")</f>
        <v>0000-0003-4454-7983</v>
      </c>
    </row>
    <row r="109">
      <c r="A109" s="2" t="str">
        <f>IFERROR(__xludf.DUMMYFUNCTION("""COMPUTED_VALUE"""),"Guillen Samander")</f>
        <v>Guillen Samander</v>
      </c>
      <c r="B109" s="2" t="str">
        <f>IFERROR(__xludf.DUMMYFUNCTION("""COMPUTED_VALUE"""),"Andres")</f>
        <v>Andres</v>
      </c>
      <c r="C109" s="2" t="str">
        <f>IFERROR(__xludf.DUMMYFUNCTION("""COMPUTED_VALUE"""),"Key Personnel")</f>
        <v>Key Personnel</v>
      </c>
      <c r="D109" s="2" t="str">
        <f>IFERROR(__xludf.DUMMYFUNCTION("""COMPUTED_VALUE"""),"De Camilli")</f>
        <v>De Camilli</v>
      </c>
      <c r="E109" s="2"/>
      <c r="F109" s="2" t="str">
        <f>IFERROR(__xludf.DUMMYFUNCTION("""COMPUTED_VALUE"""),"andres.guillen@yale.edu")</f>
        <v>andres.guillen@yale.edu</v>
      </c>
      <c r="G109" s="2" t="str">
        <f>IFERROR(__xludf.DUMMYFUNCTION("""COMPUTED_VALUE"""),"0000-0002-6882-3850")</f>
        <v>0000-0002-6882-3850</v>
      </c>
    </row>
    <row r="110">
      <c r="A110" s="2" t="str">
        <f>IFERROR(__xludf.DUMMYFUNCTION("""COMPUTED_VALUE"""),"Cai")</f>
        <v>Cai</v>
      </c>
      <c r="B110" s="2" t="str">
        <f>IFERROR(__xludf.DUMMYFUNCTION("""COMPUTED_VALUE"""),"Shujun ")</f>
        <v>Shujun </v>
      </c>
      <c r="C110" s="2" t="str">
        <f>IFERROR(__xludf.DUMMYFUNCTION("""COMPUTED_VALUE"""),"Key Personnel")</f>
        <v>Key Personnel</v>
      </c>
      <c r="D110" s="2" t="str">
        <f>IFERROR(__xludf.DUMMYFUNCTION("""COMPUTED_VALUE"""),"De Camilli")</f>
        <v>De Camilli</v>
      </c>
      <c r="E110" s="2" t="str">
        <f>IFERROR(__xludf.DUMMYFUNCTION("""COMPUTED_VALUE"""),"postdoc")</f>
        <v>postdoc</v>
      </c>
      <c r="F110" s="2" t="str">
        <f>IFERROR(__xludf.DUMMYFUNCTION("""COMPUTED_VALUE"""),"shujun.cai@yale.edu")</f>
        <v>shujun.cai@yale.edu</v>
      </c>
      <c r="G110" s="2" t="str">
        <f>IFERROR(__xludf.DUMMYFUNCTION("""COMPUTED_VALUE"""),"0000-0002-8558-6279")</f>
        <v>0000-0002-8558-6279</v>
      </c>
    </row>
    <row r="111">
      <c r="A111" s="2" t="str">
        <f>IFERROR(__xludf.DUMMYFUNCTION("""COMPUTED_VALUE"""),"Venkata Yadavalli")</f>
        <v>Venkata Yadavalli</v>
      </c>
      <c r="B111" s="2" t="str">
        <f>IFERROR(__xludf.DUMMYFUNCTION("""COMPUTED_VALUE"""),"Narayana ")</f>
        <v>Narayana </v>
      </c>
      <c r="C111" s="2" t="str">
        <f>IFERROR(__xludf.DUMMYFUNCTION("""COMPUTED_VALUE"""),"Key Personnel")</f>
        <v>Key Personnel</v>
      </c>
      <c r="D111" s="2" t="str">
        <f>IFERROR(__xludf.DUMMYFUNCTION("""COMPUTED_VALUE"""),"Ferguson")</f>
        <v>Ferguson</v>
      </c>
      <c r="E111" s="2" t="str">
        <f>IFERROR(__xludf.DUMMYFUNCTION("""COMPUTED_VALUE"""),"postdoc")</f>
        <v>postdoc</v>
      </c>
      <c r="F111" s="2" t="str">
        <f>IFERROR(__xludf.DUMMYFUNCTION("""COMPUTED_VALUE"""),"narayana.yadavalli@yale.edu")</f>
        <v>narayana.yadavalli@yale.edu</v>
      </c>
      <c r="G111" s="2"/>
    </row>
    <row r="112">
      <c r="A112" s="2" t="str">
        <f>IFERROR(__xludf.DUMMYFUNCTION("""COMPUTED_VALUE"""),"Adlakha")</f>
        <v>Adlakha</v>
      </c>
      <c r="B112" s="2" t="str">
        <f>IFERROR(__xludf.DUMMYFUNCTION("""COMPUTED_VALUE"""),"Jyoti")</f>
        <v>Jyoti</v>
      </c>
      <c r="C112" s="2" t="str">
        <f>IFERROR(__xludf.DUMMYFUNCTION("""COMPUTED_VALUE"""),"Key Personnel")</f>
        <v>Key Personnel</v>
      </c>
      <c r="D112" s="2" t="str">
        <f>IFERROR(__xludf.DUMMYFUNCTION("""COMPUTED_VALUE"""),"Reinisch")</f>
        <v>Reinisch</v>
      </c>
      <c r="E112" s="2" t="str">
        <f>IFERROR(__xludf.DUMMYFUNCTION("""COMPUTED_VALUE"""),"postdoc")</f>
        <v>postdoc</v>
      </c>
      <c r="F112" s="2" t="str">
        <f>IFERROR(__xludf.DUMMYFUNCTION("""COMPUTED_VALUE"""),"jyoti.adlakha@yale.edu")</f>
        <v>jyoti.adlakha@yale.edu</v>
      </c>
      <c r="G112" s="2"/>
    </row>
    <row r="113">
      <c r="A113" s="2" t="str">
        <f>IFERROR(__xludf.DUMMYFUNCTION("""COMPUTED_VALUE"""),"Mohd Rafiq")</f>
        <v>Mohd Rafiq</v>
      </c>
      <c r="B113" s="2" t="str">
        <f>IFERROR(__xludf.DUMMYFUNCTION("""COMPUTED_VALUE"""),"Nisha")</f>
        <v>Nisha</v>
      </c>
      <c r="C113" s="2" t="str">
        <f>IFERROR(__xludf.DUMMYFUNCTION("""COMPUTED_VALUE"""),"Key Personnel")</f>
        <v>Key Personnel</v>
      </c>
      <c r="D113" s="2" t="str">
        <f>IFERROR(__xludf.DUMMYFUNCTION("""COMPUTED_VALUE"""),"De Camilli")</f>
        <v>De Camilli</v>
      </c>
      <c r="E113" s="2" t="str">
        <f>IFERROR(__xludf.DUMMYFUNCTION("""COMPUTED_VALUE"""),"postdoc")</f>
        <v>postdoc</v>
      </c>
      <c r="F113" s="2" t="str">
        <f>IFERROR(__xludf.DUMMYFUNCTION("""COMPUTED_VALUE"""),"nisha.mohdrafiq@yale.edu")</f>
        <v>nisha.mohdrafiq@yale.edu</v>
      </c>
      <c r="G113" s="2" t="str">
        <f>IFERROR(__xludf.DUMMYFUNCTION("""COMPUTED_VALUE"""),"0000-0002-4434-0504")</f>
        <v>0000-0002-4434-0504</v>
      </c>
    </row>
    <row r="114">
      <c r="A114" s="2" t="str">
        <f>IFERROR(__xludf.DUMMYFUNCTION("""COMPUTED_VALUE"""),"Isiktas")</f>
        <v>Isiktas</v>
      </c>
      <c r="B114" s="2" t="str">
        <f>IFERROR(__xludf.DUMMYFUNCTION("""COMPUTED_VALUE"""),"Ata")</f>
        <v>Ata</v>
      </c>
      <c r="C114" s="2" t="str">
        <f>IFERROR(__xludf.DUMMYFUNCTION("""COMPUTED_VALUE"""),"Key Personnel")</f>
        <v>Key Personnel</v>
      </c>
      <c r="D114" s="2" t="str">
        <f>IFERROR(__xludf.DUMMYFUNCTION("""COMPUTED_VALUE"""),"De Camilli")</f>
        <v>De Camilli</v>
      </c>
      <c r="E114" s="2" t="str">
        <f>IFERROR(__xludf.DUMMYFUNCTION("""COMPUTED_VALUE"""),"grad student")</f>
        <v>grad student</v>
      </c>
      <c r="F114" s="2" t="str">
        <f>IFERROR(__xludf.DUMMYFUNCTION("""COMPUTED_VALUE"""),"atagun.isiktas@yale.edu")</f>
        <v>atagun.isiktas@yale.edu</v>
      </c>
      <c r="G114" s="2" t="str">
        <f>IFERROR(__xludf.DUMMYFUNCTION("""COMPUTED_VALUE"""),"0000-0002-5459-6810")</f>
        <v>0000-0002-5459-6810</v>
      </c>
    </row>
    <row r="115">
      <c r="A115" s="2" t="str">
        <f>IFERROR(__xludf.DUMMYFUNCTION("""COMPUTED_VALUE"""),"Shao")</f>
        <v>Shao</v>
      </c>
      <c r="B115" s="2" t="str">
        <f>IFERROR(__xludf.DUMMYFUNCTION("""COMPUTED_VALUE"""),"Lin")</f>
        <v>Lin</v>
      </c>
      <c r="C115" s="2" t="str">
        <f>IFERROR(__xludf.DUMMYFUNCTION("""COMPUTED_VALUE"""),"Key Personnel")</f>
        <v>Key Personnel</v>
      </c>
      <c r="D115" s="2"/>
      <c r="E115" s="2" t="str">
        <f>IFERROR(__xludf.DUMMYFUNCTION("""COMPUTED_VALUE"""),"research scientist")</f>
        <v>research scientist</v>
      </c>
      <c r="F115" s="2" t="str">
        <f>IFERROR(__xludf.DUMMYFUNCTION("""COMPUTED_VALUE"""),"lin.shao@yale.edu")</f>
        <v>lin.shao@yale.edu</v>
      </c>
      <c r="G115" s="2" t="str">
        <f>IFERROR(__xludf.DUMMYFUNCTION("""COMPUTED_VALUE"""),"0000-0002-1905-4442")</f>
        <v>0000-0002-1905-4442</v>
      </c>
    </row>
    <row r="116">
      <c r="A116" s="2" t="str">
        <f>IFERROR(__xludf.DUMMYFUNCTION("""COMPUTED_VALUE"""),"Vulpe")</f>
        <v>Vulpe</v>
      </c>
      <c r="B116" s="2" t="str">
        <f>IFERROR(__xludf.DUMMYFUNCTION("""COMPUTED_VALUE"""),"Alina")</f>
        <v>Alina</v>
      </c>
      <c r="C116" s="2" t="str">
        <f>IFERROR(__xludf.DUMMYFUNCTION("""COMPUTED_VALUE"""),"non-key personnel")</f>
        <v>non-key personnel</v>
      </c>
      <c r="D116" s="2" t="str">
        <f>IFERROR(__xludf.DUMMYFUNCTION("""COMPUTED_VALUE"""),"De Camilli")</f>
        <v>De Camilli</v>
      </c>
      <c r="E116" s="2" t="str">
        <f>IFERROR(__xludf.DUMMYFUNCTION("""COMPUTED_VALUE"""),"admin")</f>
        <v>admin</v>
      </c>
      <c r="F116" s="2" t="str">
        <f>IFERROR(__xludf.DUMMYFUNCTION("""COMPUTED_VALUE"""),"alina.vulpe@yale.edu")</f>
        <v>alina.vulpe@yale.edu</v>
      </c>
      <c r="G116" s="2" t="str">
        <f>IFERROR(__xludf.DUMMYFUNCTION("""COMPUTED_VALUE"""),"0000-0001-5385-3072")</f>
        <v>0000-0001-5385-3072</v>
      </c>
    </row>
    <row r="117">
      <c r="A117" s="2" t="str">
        <f>IFERROR(__xludf.DUMMYFUNCTION("""COMPUTED_VALUE"""),"Cannon")</f>
        <v>Cannon</v>
      </c>
      <c r="B117" s="2" t="str">
        <f>IFERROR(__xludf.DUMMYFUNCTION("""COMPUTED_VALUE"""),"Tyler")</f>
        <v>Tyler</v>
      </c>
      <c r="C117" s="2" t="str">
        <f>IFERROR(__xludf.DUMMYFUNCTION("""COMPUTED_VALUE"""),"Key Personnel")</f>
        <v>Key Personnel</v>
      </c>
      <c r="D117" s="2" t="str">
        <f>IFERROR(__xludf.DUMMYFUNCTION("""COMPUTED_VALUE"""),"Gruenheid")</f>
        <v>Gruenheid</v>
      </c>
      <c r="E117" s="2" t="str">
        <f>IFERROR(__xludf.DUMMYFUNCTION("""COMPUTED_VALUE"""),"PhD trainee")</f>
        <v>PhD trainee</v>
      </c>
      <c r="F117" s="2" t="str">
        <f>IFERROR(__xludf.DUMMYFUNCTION("""COMPUTED_VALUE"""),"tyler.cannon2@mail.mcgill.ca")</f>
        <v>tyler.cannon2@mail.mcgill.ca</v>
      </c>
      <c r="G117" s="2"/>
    </row>
    <row r="118">
      <c r="A118" s="2" t="str">
        <f>IFERROR(__xludf.DUMMYFUNCTION("""COMPUTED_VALUE"""),"Cueva-Vargas")</f>
        <v>Cueva-Vargas</v>
      </c>
      <c r="B118" s="2" t="str">
        <f>IFERROR(__xludf.DUMMYFUNCTION("""COMPUTED_VALUE"""),"Jorge")</f>
        <v>Jorge</v>
      </c>
      <c r="C118" s="2" t="str">
        <f>IFERROR(__xludf.DUMMYFUNCTION("""COMPUTED_VALUE"""),"Key Personnel")</f>
        <v>Key Personnel</v>
      </c>
      <c r="D118" s="2" t="str">
        <f>IFERROR(__xludf.DUMMYFUNCTION("""COMPUTED_VALUE"""),"Desjardins")</f>
        <v>Desjardins</v>
      </c>
      <c r="E118" s="2" t="str">
        <f>IFERROR(__xludf.DUMMYFUNCTION("""COMPUTED_VALUE"""),"Research Assistant")</f>
        <v>Research Assistant</v>
      </c>
      <c r="F118" s="2" t="str">
        <f>IFERROR(__xludf.DUMMYFUNCTION("""COMPUTED_VALUE"""),"jl.cueva.vargas@umontreal.ca")</f>
        <v>jl.cueva.vargas@umontreal.ca</v>
      </c>
      <c r="G118" s="2"/>
    </row>
    <row r="119">
      <c r="A119" s="2" t="str">
        <f>IFERROR(__xludf.DUMMYFUNCTION("""COMPUTED_VALUE"""),"Arango Duque")</f>
        <v>Arango Duque</v>
      </c>
      <c r="B119" s="2" t="str">
        <f>IFERROR(__xludf.DUMMYFUNCTION("""COMPUTED_VALUE"""),"Guillermo")</f>
        <v>Guillermo</v>
      </c>
      <c r="C119" s="2" t="str">
        <f>IFERROR(__xludf.DUMMYFUNCTION("""COMPUTED_VALUE"""),"Key Personnel")</f>
        <v>Key Personnel</v>
      </c>
      <c r="D119" s="2" t="str">
        <f>IFERROR(__xludf.DUMMYFUNCTION("""COMPUTED_VALUE"""),"Desjardins")</f>
        <v>Desjardins</v>
      </c>
      <c r="E119" s="2" t="str">
        <f>IFERROR(__xludf.DUMMYFUNCTION("""COMPUTED_VALUE"""),"Post-doc")</f>
        <v>Post-doc</v>
      </c>
      <c r="F119" s="2" t="str">
        <f>IFERROR(__xludf.DUMMYFUNCTION("""COMPUTED_VALUE"""),"guillermo.arango.duque@umontreal.ca")</f>
        <v>guillermo.arango.duque@umontreal.ca</v>
      </c>
      <c r="G119" s="2"/>
    </row>
    <row r="120">
      <c r="A120" s="2" t="str">
        <f>IFERROR(__xludf.DUMMYFUNCTION("""COMPUTED_VALUE"""),"Krylova")</f>
        <v>Krylova</v>
      </c>
      <c r="B120" s="2" t="str">
        <f>IFERROR(__xludf.DUMMYFUNCTION("""COMPUTED_VALUE"""),"Kateryna")</f>
        <v>Kateryna</v>
      </c>
      <c r="C120" s="2" t="str">
        <f>IFERROR(__xludf.DUMMYFUNCTION("""COMPUTED_VALUE"""),"Key Personnel")</f>
        <v>Key Personnel</v>
      </c>
      <c r="D120" s="2" t="str">
        <f>IFERROR(__xludf.DUMMYFUNCTION("""COMPUTED_VALUE"""),"Labrecque")</f>
        <v>Labrecque</v>
      </c>
      <c r="E120" s="2" t="str">
        <f>IFERROR(__xludf.DUMMYFUNCTION("""COMPUTED_VALUE"""),"Research Associate")</f>
        <v>Research Associate</v>
      </c>
      <c r="F120" s="2" t="str">
        <f>IFERROR(__xludf.DUMMYFUNCTION("""COMPUTED_VALUE"""),"kateryna.krylova.cemtl@ssss.gouv.qc.ca")</f>
        <v>kateryna.krylova.cemtl@ssss.gouv.qc.ca</v>
      </c>
      <c r="G120" s="2" t="str">
        <f>IFERROR(__xludf.DUMMYFUNCTION("""COMPUTED_VALUE"""),"0000-0003-3315-5634")</f>
        <v>0000-0003-3315-5634</v>
      </c>
    </row>
    <row r="121">
      <c r="A121" s="2" t="str">
        <f>IFERROR(__xludf.DUMMYFUNCTION("""COMPUTED_VALUE"""),"Chaleil")</f>
        <v>Chaleil</v>
      </c>
      <c r="B121" s="2" t="str">
        <f>IFERROR(__xludf.DUMMYFUNCTION("""COMPUTED_VALUE"""),"Maxence")</f>
        <v>Maxence</v>
      </c>
      <c r="C121" s="2" t="str">
        <f>IFERROR(__xludf.DUMMYFUNCTION("""COMPUTED_VALUE"""),"Key Personnel")</f>
        <v>Key Personnel</v>
      </c>
      <c r="D121" s="2" t="str">
        <f>IFERROR(__xludf.DUMMYFUNCTION("""COMPUTED_VALUE"""),"Desjardins")</f>
        <v>Desjardins</v>
      </c>
      <c r="E121" s="2" t="str">
        <f>IFERROR(__xludf.DUMMYFUNCTION("""COMPUTED_VALUE"""),"Grad student")</f>
        <v>Grad student</v>
      </c>
      <c r="F121" s="2" t="str">
        <f>IFERROR(__xludf.DUMMYFUNCTION("""COMPUTED_VALUE"""),"maxence.chaleil@umontreal.ca")</f>
        <v>maxence.chaleil@umontreal.ca</v>
      </c>
      <c r="G121" s="2" t="str">
        <f>IFERROR(__xludf.DUMMYFUNCTION("""COMPUTED_VALUE"""),"0000-0001-7257-5370")</f>
        <v>0000-0001-7257-5370</v>
      </c>
    </row>
    <row r="122">
      <c r="A122" s="2" t="str">
        <f>IFERROR(__xludf.DUMMYFUNCTION("""COMPUTED_VALUE"""),"Bessaiah")</f>
        <v>Bessaiah</v>
      </c>
      <c r="B122" s="2" t="str">
        <f>IFERROR(__xludf.DUMMYFUNCTION("""COMPUTED_VALUE"""),"Hicham")</f>
        <v>Hicham</v>
      </c>
      <c r="C122" s="2" t="str">
        <f>IFERROR(__xludf.DUMMYFUNCTION("""COMPUTED_VALUE"""),"Key Personnel")</f>
        <v>Key Personnel</v>
      </c>
      <c r="D122" s="2" t="str">
        <f>IFERROR(__xludf.DUMMYFUNCTION("""COMPUTED_VALUE"""),"Gruenheid")</f>
        <v>Gruenheid</v>
      </c>
      <c r="E122" s="2" t="str">
        <f>IFERROR(__xludf.DUMMYFUNCTION("""COMPUTED_VALUE"""),"Post-doc")</f>
        <v>Post-doc</v>
      </c>
      <c r="F122" s="2" t="str">
        <f>IFERROR(__xludf.DUMMYFUNCTION("""COMPUTED_VALUE"""),"hicham.bessaiah@mail.mcgill.ca")</f>
        <v>hicham.bessaiah@mail.mcgill.ca</v>
      </c>
      <c r="G122" s="2" t="str">
        <f>IFERROR(__xludf.DUMMYFUNCTION("""COMPUTED_VALUE"""),"0000-0001-7333-2581")</f>
        <v>0000-0001-7333-2581</v>
      </c>
    </row>
    <row r="123">
      <c r="A123" s="2" t="str">
        <f>IFERROR(__xludf.DUMMYFUNCTION("""COMPUTED_VALUE"""),"Durette")</f>
        <v>Durette</v>
      </c>
      <c r="B123" s="2" t="str">
        <f>IFERROR(__xludf.DUMMYFUNCTION("""COMPUTED_VALUE"""),"Chantal ")</f>
        <v>Chantal </v>
      </c>
      <c r="C123" s="2" t="str">
        <f>IFERROR(__xludf.DUMMYFUNCTION("""COMPUTED_VALUE"""),"Key Personnel")</f>
        <v>Key Personnel</v>
      </c>
      <c r="D123" s="2" t="str">
        <f>IFERROR(__xludf.DUMMYFUNCTION("""COMPUTED_VALUE"""),"Thibault")</f>
        <v>Thibault</v>
      </c>
      <c r="E123" s="2" t="str">
        <f>IFERROR(__xludf.DUMMYFUNCTION("""COMPUTED_VALUE"""),"Research Assistant")</f>
        <v>Research Assistant</v>
      </c>
      <c r="F123" s="2" t="str">
        <f>IFERROR(__xludf.DUMMYFUNCTION("""COMPUTED_VALUE"""),"chantal.durette@umontreal.ca")</f>
        <v>chantal.durette@umontreal.ca</v>
      </c>
      <c r="G123" s="2" t="str">
        <f>IFERROR(__xludf.DUMMYFUNCTION("""COMPUTED_VALUE"""),"0000-0002-6692-1262")</f>
        <v>0000-0002-6692-1262</v>
      </c>
    </row>
    <row r="124">
      <c r="A124" s="2" t="str">
        <f>IFERROR(__xludf.DUMMYFUNCTION("""COMPUTED_VALUE"""),"Daudelin")</f>
        <v>Daudelin</v>
      </c>
      <c r="B124" s="2" t="str">
        <f>IFERROR(__xludf.DUMMYFUNCTION("""COMPUTED_VALUE"""),"Jean-François")</f>
        <v>Jean-François</v>
      </c>
      <c r="C124" s="2" t="str">
        <f>IFERROR(__xludf.DUMMYFUNCTION("""COMPUTED_VALUE"""),"Key Personnel")</f>
        <v>Key Personnel</v>
      </c>
      <c r="D124" s="2" t="str">
        <f>IFERROR(__xludf.DUMMYFUNCTION("""COMPUTED_VALUE"""),"Labrecque")</f>
        <v>Labrecque</v>
      </c>
      <c r="E124" s="2" t="str">
        <f>IFERROR(__xludf.DUMMYFUNCTION("""COMPUTED_VALUE"""),"Research Assistant")</f>
        <v>Research Assistant</v>
      </c>
      <c r="F124" s="2" t="str">
        <f>IFERROR(__xludf.DUMMYFUNCTION("""COMPUTED_VALUE"""),"labonl.hmr@ssss.gouv.qc.ca")</f>
        <v>labonl.hmr@ssss.gouv.qc.ca</v>
      </c>
      <c r="G124" s="2" t="str">
        <f>IFERROR(__xludf.DUMMYFUNCTION("""COMPUTED_VALUE"""),"0000-0002-0517-8794")</f>
        <v>0000-0002-0517-8794</v>
      </c>
    </row>
    <row r="125">
      <c r="A125" s="2" t="str">
        <f>IFERROR(__xludf.DUMMYFUNCTION("""COMPUTED_VALUE"""),"Collier")</f>
        <v>Collier</v>
      </c>
      <c r="B125" s="2" t="str">
        <f>IFERROR(__xludf.DUMMYFUNCTION("""COMPUTED_VALUE"""),"Jack")</f>
        <v>Jack</v>
      </c>
      <c r="C125" s="2" t="str">
        <f>IFERROR(__xludf.DUMMYFUNCTION("""COMPUTED_VALUE"""),"Key Personnel")</f>
        <v>Key Personnel</v>
      </c>
      <c r="D125" s="2" t="str">
        <f>IFERROR(__xludf.DUMMYFUNCTION("""COMPUTED_VALUE"""),"McBride")</f>
        <v>McBride</v>
      </c>
      <c r="E125" s="2" t="str">
        <f>IFERROR(__xludf.DUMMYFUNCTION("""COMPUTED_VALUE"""),"Post-doc")</f>
        <v>Post-doc</v>
      </c>
      <c r="F125" s="2" t="str">
        <f>IFERROR(__xludf.DUMMYFUNCTION("""COMPUTED_VALUE"""),"Jack.collier@mail.mcgill.ca")</f>
        <v>Jack.collier@mail.mcgill.ca</v>
      </c>
      <c r="G125" s="2" t="str">
        <f>IFERROR(__xludf.DUMMYFUNCTION("""COMPUTED_VALUE"""),"0000-0001-6282-0301")</f>
        <v>0000-0001-6282-0301</v>
      </c>
    </row>
    <row r="126">
      <c r="A126" s="2" t="str">
        <f>IFERROR(__xludf.DUMMYFUNCTION("""COMPUTED_VALUE"""),"Ignatenko")</f>
        <v>Ignatenko</v>
      </c>
      <c r="B126" s="2" t="str">
        <f>IFERROR(__xludf.DUMMYFUNCTION("""COMPUTED_VALUE"""),"Olesia")</f>
        <v>Olesia</v>
      </c>
      <c r="C126" s="2" t="str">
        <f>IFERROR(__xludf.DUMMYFUNCTION("""COMPUTED_VALUE"""),"Key Personnel")</f>
        <v>Key Personnel</v>
      </c>
      <c r="D126" s="2" t="str">
        <f>IFERROR(__xludf.DUMMYFUNCTION("""COMPUTED_VALUE"""),"McBride")</f>
        <v>McBride</v>
      </c>
      <c r="E126" s="2" t="str">
        <f>IFERROR(__xludf.DUMMYFUNCTION("""COMPUTED_VALUE"""),"Post-doc")</f>
        <v>Post-doc</v>
      </c>
      <c r="F126" s="2" t="str">
        <f>IFERROR(__xludf.DUMMYFUNCTION("""COMPUTED_VALUE"""),"olesia.ignatenko@mail.mcgill.ca")</f>
        <v>olesia.ignatenko@mail.mcgill.ca</v>
      </c>
      <c r="G126" s="2" t="str">
        <f>IFERROR(__xludf.DUMMYFUNCTION("""COMPUTED_VALUE"""),"0000-0002-1510-6153")</f>
        <v>0000-0002-1510-6153</v>
      </c>
    </row>
    <row r="127">
      <c r="A127" s="2" t="str">
        <f>IFERROR(__xludf.DUMMYFUNCTION("""COMPUTED_VALUE"""),"Gavino")</f>
        <v>Gavino</v>
      </c>
      <c r="B127" s="2" t="str">
        <f>IFERROR(__xludf.DUMMYFUNCTION("""COMPUTED_VALUE"""),"Christina")</f>
        <v>Christina</v>
      </c>
      <c r="C127" s="2" t="str">
        <f>IFERROR(__xludf.DUMMYFUNCTION("""COMPUTED_VALUE"""),"Key Personnel")</f>
        <v>Key Personnel</v>
      </c>
      <c r="D127" s="2" t="str">
        <f>IFERROR(__xludf.DUMMYFUNCTION("""COMPUTED_VALUE"""),"Gruenheid")</f>
        <v>Gruenheid</v>
      </c>
      <c r="E127" s="2" t="str">
        <f>IFERROR(__xludf.DUMMYFUNCTION("""COMPUTED_VALUE"""),"Research Assistant")</f>
        <v>Research Assistant</v>
      </c>
      <c r="F127" s="2" t="str">
        <f>IFERROR(__xludf.DUMMYFUNCTION("""COMPUTED_VALUE"""),"christina.gavino@gmail.com")</f>
        <v>christina.gavino@gmail.com</v>
      </c>
      <c r="G127" s="2" t="str">
        <f>IFERROR(__xludf.DUMMYFUNCTION("""COMPUTED_VALUE"""),"0000-0002-3487-334X")</f>
        <v>0000-0002-3487-334X</v>
      </c>
    </row>
    <row r="128">
      <c r="A128" s="2" t="str">
        <f>IFERROR(__xludf.DUMMYFUNCTION("""COMPUTED_VALUE"""),"Poskanzer")</f>
        <v>Poskanzer</v>
      </c>
      <c r="B128" s="2" t="str">
        <f>IFERROR(__xludf.DUMMYFUNCTION("""COMPUTED_VALUE"""),"Kira")</f>
        <v>Kira</v>
      </c>
      <c r="C128" s="2" t="str">
        <f>IFERROR(__xludf.DUMMYFUNCTION("""COMPUTED_VALUE"""),"Co-PI")</f>
        <v>Co-PI</v>
      </c>
      <c r="D128" s="2" t="str">
        <f>IFERROR(__xludf.DUMMYFUNCTION("""COMPUTED_VALUE"""),"Poskanzer")</f>
        <v>Poskanzer</v>
      </c>
      <c r="E128" s="2"/>
      <c r="F128" s="2" t="str">
        <f>IFERROR(__xludf.DUMMYFUNCTION("""COMPUTED_VALUE"""),"Kira.Poskanzer@ucsf.edu")</f>
        <v>Kira.Poskanzer@ucsf.edu</v>
      </c>
      <c r="G128" s="2" t="str">
        <f>IFERROR(__xludf.DUMMYFUNCTION("""COMPUTED_VALUE"""),"0000-0003-4830-8891")</f>
        <v>0000-0003-4830-8891</v>
      </c>
    </row>
    <row r="129">
      <c r="A129" s="2" t="str">
        <f>IFERROR(__xludf.DUMMYFUNCTION("""COMPUTED_VALUE"""),"Vahidi Ferdowsi ")</f>
        <v>Vahidi Ferdowsi </v>
      </c>
      <c r="B129" s="2" t="str">
        <f>IFERROR(__xludf.DUMMYFUNCTION("""COMPUTED_VALUE"""),"Parisa")</f>
        <v>Parisa</v>
      </c>
      <c r="C129" s="2" t="str">
        <f>IFERROR(__xludf.DUMMYFUNCTION("""COMPUTED_VALUE"""),"Key Personnel")</f>
        <v>Key Personnel</v>
      </c>
      <c r="D129" s="2" t="str">
        <f>IFERROR(__xludf.DUMMYFUNCTION("""COMPUTED_VALUE"""),"Halliday")</f>
        <v>Halliday</v>
      </c>
      <c r="E129" s="2" t="str">
        <f>IFERROR(__xludf.DUMMYFUNCTION("""COMPUTED_VALUE"""),"Research Assistant")</f>
        <v>Research Assistant</v>
      </c>
      <c r="F129" s="2" t="str">
        <f>IFERROR(__xludf.DUMMYFUNCTION("""COMPUTED_VALUE"""),"parisa.vahidiferdowsi@sydney.edu.au")</f>
        <v>parisa.vahidiferdowsi@sydney.edu.au</v>
      </c>
      <c r="G129" s="2" t="str">
        <f>IFERROR(__xludf.DUMMYFUNCTION("""COMPUTED_VALUE"""),"0000-0002-6698-2823")</f>
        <v>0000-0002-6698-2823</v>
      </c>
    </row>
    <row r="130">
      <c r="A130" s="2" t="str">
        <f>IFERROR(__xludf.DUMMYFUNCTION("""COMPUTED_VALUE"""),"Stansil")</f>
        <v>Stansil</v>
      </c>
      <c r="B130" s="2" t="str">
        <f>IFERROR(__xludf.DUMMYFUNCTION("""COMPUTED_VALUE"""),"Jasmine")</f>
        <v>Jasmine</v>
      </c>
      <c r="C130" s="2" t="str">
        <f>IFERROR(__xludf.DUMMYFUNCTION("""COMPUTED_VALUE"""),"Key Personnel")</f>
        <v>Key Personnel</v>
      </c>
      <c r="D130" s="2" t="str">
        <f>IFERROR(__xludf.DUMMYFUNCTION("""COMPUTED_VALUE"""),"Nelson")</f>
        <v>Nelson</v>
      </c>
      <c r="E130" s="2" t="str">
        <f>IFERROR(__xludf.DUMMYFUNCTION("""COMPUTED_VALUE"""),"Research Assistant")</f>
        <v>Research Assistant</v>
      </c>
      <c r="F130" s="2" t="str">
        <f>IFERROR(__xludf.DUMMYFUNCTION("""COMPUTED_VALUE"""),"Jasmine.Stansil@ucsf.edu")</f>
        <v>Jasmine.Stansil@ucsf.edu</v>
      </c>
      <c r="G130" s="2" t="str">
        <f>IFERROR(__xludf.DUMMYFUNCTION("""COMPUTED_VALUE"""),"0000-0002-3019-8551")</f>
        <v>0000-0002-3019-8551</v>
      </c>
    </row>
    <row r="131">
      <c r="A131" s="2" t="str">
        <f>IFERROR(__xludf.DUMMYFUNCTION("""COMPUTED_VALUE"""),"Lemak")</f>
        <v>Lemak</v>
      </c>
      <c r="B131" s="2" t="str">
        <f>IFERROR(__xludf.DUMMYFUNCTION("""COMPUTED_VALUE"""),"Julia")</f>
        <v>Julia</v>
      </c>
      <c r="C131" s="2" t="str">
        <f>IFERROR(__xludf.DUMMYFUNCTION("""COMPUTED_VALUE"""),"Key Personnel")</f>
        <v>Key Personnel</v>
      </c>
      <c r="D131" s="2" t="str">
        <f>IFERROR(__xludf.DUMMYFUNCTION("""COMPUTED_VALUE"""),"Nelson")</f>
        <v>Nelson</v>
      </c>
      <c r="E131" s="2" t="str">
        <f>IFERROR(__xludf.DUMMYFUNCTION("""COMPUTED_VALUE"""),"Research Assistant")</f>
        <v>Research Assistant</v>
      </c>
      <c r="F131" s="2" t="str">
        <f>IFERROR(__xludf.DUMMYFUNCTION("""COMPUTED_VALUE"""),"jlemak@ucdavis.edu")</f>
        <v>jlemak@ucdavis.edu</v>
      </c>
      <c r="G131" s="2" t="str">
        <f>IFERROR(__xludf.DUMMYFUNCTION("""COMPUTED_VALUE"""),"0000-0003-4224-7805")</f>
        <v>0000-0003-4224-7805</v>
      </c>
    </row>
    <row r="132">
      <c r="A132" s="2" t="str">
        <f>IFERROR(__xludf.DUMMYFUNCTION("""COMPUTED_VALUE"""),"Barcomb")</f>
        <v>Barcomb</v>
      </c>
      <c r="B132" s="2" t="str">
        <f>IFERROR(__xludf.DUMMYFUNCTION("""COMPUTED_VALUE"""),"Kelsey")</f>
        <v>Kelsey</v>
      </c>
      <c r="C132" s="2" t="str">
        <f>IFERROR(__xludf.DUMMYFUNCTION("""COMPUTED_VALUE"""),"Project Manager")</f>
        <v>Project Manager</v>
      </c>
      <c r="D132" s="2" t="str">
        <f>IFERROR(__xludf.DUMMYFUNCTION("""COMPUTED_VALUE"""),"Ford")</f>
        <v>Ford</v>
      </c>
      <c r="E132" s="2"/>
      <c r="F132" s="2" t="str">
        <f>IFERROR(__xludf.DUMMYFUNCTION("""COMPUTED_VALUE"""),"KELSEY.BARCOMB@CUANSCHUTZ.EDU")</f>
        <v>KELSEY.BARCOMB@CUANSCHUTZ.EDU</v>
      </c>
      <c r="G132" s="2" t="str">
        <f>IFERROR(__xludf.DUMMYFUNCTION("""COMPUTED_VALUE"""),"0000-0002-4050-0566")</f>
        <v>0000-0002-4050-0566</v>
      </c>
    </row>
    <row r="133">
      <c r="A133" s="2" t="str">
        <f>IFERROR(__xludf.DUMMYFUNCTION("""COMPUTED_VALUE"""),"Yamanaka")</f>
        <v>Yamanaka</v>
      </c>
      <c r="B133" s="2" t="str">
        <f>IFERROR(__xludf.DUMMYFUNCTION("""COMPUTED_VALUE"""),"Mie")</f>
        <v>Mie</v>
      </c>
      <c r="C133" s="2" t="str">
        <f>IFERROR(__xludf.DUMMYFUNCTION("""COMPUTED_VALUE"""),"Key Personnel")</f>
        <v>Key Personnel</v>
      </c>
      <c r="D133" s="2" t="str">
        <f>IFERROR(__xludf.DUMMYFUNCTION("""COMPUTED_VALUE"""),"Nakamura")</f>
        <v>Nakamura</v>
      </c>
      <c r="E133" s="2" t="str">
        <f>IFERROR(__xludf.DUMMYFUNCTION("""COMPUTED_VALUE"""),"Grad Student")</f>
        <v>Grad Student</v>
      </c>
      <c r="F133" s="2" t="str">
        <f>IFERROR(__xludf.DUMMYFUNCTION("""COMPUTED_VALUE"""),"mie.yamanaka@gladstone.ucsf.edu")</f>
        <v>mie.yamanaka@gladstone.ucsf.edu</v>
      </c>
      <c r="G133" s="2" t="str">
        <f>IFERROR(__xludf.DUMMYFUNCTION("""COMPUTED_VALUE"""),"0000-0001-7464-6232")</f>
        <v>0000-0001-7464-6232</v>
      </c>
    </row>
    <row r="134">
      <c r="A134" s="2" t="str">
        <f>IFERROR(__xludf.DUMMYFUNCTION("""COMPUTED_VALUE"""),"Vance")</f>
        <v>Vance</v>
      </c>
      <c r="B134" s="2" t="str">
        <f>IFERROR(__xludf.DUMMYFUNCTION("""COMPUTED_VALUE"""),"Tori")</f>
        <v>Tori</v>
      </c>
      <c r="C134" s="2" t="str">
        <f>IFERROR(__xludf.DUMMYFUNCTION("""COMPUTED_VALUE"""),"Key Personnel")</f>
        <v>Key Personnel</v>
      </c>
      <c r="D134" s="2" t="str">
        <f>IFERROR(__xludf.DUMMYFUNCTION("""COMPUTED_VALUE"""),"Nakamura")</f>
        <v>Nakamura</v>
      </c>
      <c r="E134" s="2" t="str">
        <f>IFERROR(__xludf.DUMMYFUNCTION("""COMPUTED_VALUE"""),"Undergrad Student")</f>
        <v>Undergrad Student</v>
      </c>
      <c r="F134" s="2" t="str">
        <f>IFERROR(__xludf.DUMMYFUNCTION("""COMPUTED_VALUE"""),"tori.vance@gladstone.ucsf.edu")</f>
        <v>tori.vance@gladstone.ucsf.edu</v>
      </c>
      <c r="G134" s="2" t="str">
        <f>IFERROR(__xludf.DUMMYFUNCTION("""COMPUTED_VALUE"""),"0000-0003-4546-5445")</f>
        <v>0000-0003-4546-5445</v>
      </c>
    </row>
    <row r="135">
      <c r="A135" s="2" t="str">
        <f>IFERROR(__xludf.DUMMYFUNCTION("""COMPUTED_VALUE"""),"Yamamoto")</f>
        <v>Yamamoto</v>
      </c>
      <c r="B135" s="2" t="str">
        <f>IFERROR(__xludf.DUMMYFUNCTION("""COMPUTED_VALUE"""),"Haru")</f>
        <v>Haru</v>
      </c>
      <c r="C135" s="2" t="str">
        <f>IFERROR(__xludf.DUMMYFUNCTION("""COMPUTED_VALUE"""),"Project Manager")</f>
        <v>Project Manager</v>
      </c>
      <c r="D135" s="2" t="str">
        <f>IFERROR(__xludf.DUMMYFUNCTION("""COMPUTED_VALUE"""),"Edwards")</f>
        <v>Edwards</v>
      </c>
      <c r="E135" s="2" t="str">
        <f>IFERROR(__xludf.DUMMYFUNCTION("""COMPUTED_VALUE"""),"Undergraduate Student")</f>
        <v>Undergraduate Student</v>
      </c>
      <c r="F135" s="2" t="str">
        <f>IFERROR(__xludf.DUMMYFUNCTION("""COMPUTED_VALUE"""),"haru.yamamoto@berkeley.edu")</f>
        <v>haru.yamamoto@berkeley.edu</v>
      </c>
      <c r="G135" s="2" t="str">
        <f>IFERROR(__xludf.DUMMYFUNCTION("""COMPUTED_VALUE"""),"0000-0003-4567-6939")</f>
        <v>0000-0003-4567-6939</v>
      </c>
    </row>
    <row r="136">
      <c r="A136" s="2" t="str">
        <f>IFERROR(__xludf.DUMMYFUNCTION("""COMPUTED_VALUE"""),"Lee")</f>
        <v>Lee</v>
      </c>
      <c r="B136" s="2" t="str">
        <f>IFERROR(__xludf.DUMMYFUNCTION("""COMPUTED_VALUE"""),"Megan")</f>
        <v>Megan</v>
      </c>
      <c r="C136" s="2" t="str">
        <f>IFERROR(__xludf.DUMMYFUNCTION("""COMPUTED_VALUE"""),"Key Personnel")</f>
        <v>Key Personnel</v>
      </c>
      <c r="D136" s="2" t="str">
        <f>IFERROR(__xludf.DUMMYFUNCTION("""COMPUTED_VALUE"""),"Nakamura")</f>
        <v>Nakamura</v>
      </c>
      <c r="E136" s="2" t="str">
        <f>IFERROR(__xludf.DUMMYFUNCTION("""COMPUTED_VALUE"""),"Research Assistant")</f>
        <v>Research Assistant</v>
      </c>
      <c r="F136" s="2" t="str">
        <f>IFERROR(__xludf.DUMMYFUNCTION("""COMPUTED_VALUE"""),"megan.lee@gladstone.ucsf.edu")</f>
        <v>megan.lee@gladstone.ucsf.edu</v>
      </c>
      <c r="G136" s="2" t="str">
        <f>IFERROR(__xludf.DUMMYFUNCTION("""COMPUTED_VALUE"""),"0009-0003-5876-8784")</f>
        <v>0009-0003-5876-8784</v>
      </c>
    </row>
    <row r="137">
      <c r="A137" s="2" t="str">
        <f>IFERROR(__xludf.DUMMYFUNCTION("""COMPUTED_VALUE"""),"Ambrosi")</f>
        <v>Ambrosi</v>
      </c>
      <c r="B137" s="2" t="str">
        <f>IFERROR(__xludf.DUMMYFUNCTION("""COMPUTED_VALUE"""),"Priscilla")</f>
        <v>Priscilla</v>
      </c>
      <c r="C137" s="2" t="str">
        <f>IFERROR(__xludf.DUMMYFUNCTION("""COMPUTED_VALUE"""),"Key Personnel")</f>
        <v>Key Personnel</v>
      </c>
      <c r="D137" s="2" t="str">
        <f>IFERROR(__xludf.DUMMYFUNCTION("""COMPUTED_VALUE"""),"Lerner")</f>
        <v>Lerner</v>
      </c>
      <c r="E137" s="2" t="str">
        <f>IFERROR(__xludf.DUMMYFUNCTION("""COMPUTED_VALUE"""),"Grad Student")</f>
        <v>Grad Student</v>
      </c>
      <c r="F137" s="2" t="str">
        <f>IFERROR(__xludf.DUMMYFUNCTION("""COMPUTED_VALUE"""),"PriscillaAmbrosi2014@u.northwestern.edu")</f>
        <v>PriscillaAmbrosi2014@u.northwestern.edu</v>
      </c>
      <c r="G137" s="2" t="str">
        <f>IFERROR(__xludf.DUMMYFUNCTION("""COMPUTED_VALUE"""),"0000-0001-9084-7659")</f>
        <v>0000-0001-9084-7659</v>
      </c>
    </row>
    <row r="138">
      <c r="A138" s="2" t="str">
        <f>IFERROR(__xludf.DUMMYFUNCTION("""COMPUTED_VALUE"""),"Lewis")</f>
        <v>Lewis</v>
      </c>
      <c r="B138" s="2" t="str">
        <f>IFERROR(__xludf.DUMMYFUNCTION("""COMPUTED_VALUE"""),"Dana ")</f>
        <v>Dana </v>
      </c>
      <c r="C138" s="2" t="str">
        <f>IFERROR(__xludf.DUMMYFUNCTION("""COMPUTED_VALUE"""),"Key Personnel")</f>
        <v>Key Personnel</v>
      </c>
      <c r="D138" s="2" t="str">
        <f>IFERROR(__xludf.DUMMYFUNCTION("""COMPUTED_VALUE"""),"Khaliq")</f>
        <v>Khaliq</v>
      </c>
      <c r="E138" s="2" t="str">
        <f>IFERROR(__xludf.DUMMYFUNCTION("""COMPUTED_VALUE"""),"Grad Student")</f>
        <v>Grad Student</v>
      </c>
      <c r="F138" s="2" t="str">
        <f>IFERROR(__xludf.DUMMYFUNCTION("""COMPUTED_VALUE"""),"dana.lewis@nih.gov")</f>
        <v>dana.lewis@nih.gov</v>
      </c>
      <c r="G138" s="2" t="str">
        <f>IFERROR(__xludf.DUMMYFUNCTION("""COMPUTED_VALUE"""),"0000-0002-4104-0311")</f>
        <v>0000-0002-4104-0311</v>
      </c>
    </row>
    <row r="139">
      <c r="A139" s="2" t="str">
        <f>IFERROR(__xludf.DUMMYFUNCTION("""COMPUTED_VALUE"""),"Brill-Weil")</f>
        <v>Brill-Weil</v>
      </c>
      <c r="B139" s="2" t="str">
        <f>IFERROR(__xludf.DUMMYFUNCTION("""COMPUTED_VALUE"""),"Sam")</f>
        <v>Sam</v>
      </c>
      <c r="C139" s="2" t="str">
        <f>IFERROR(__xludf.DUMMYFUNCTION("""COMPUTED_VALUE"""),"Key Personnel")</f>
        <v>Key Personnel</v>
      </c>
      <c r="D139" s="2" t="str">
        <f>IFERROR(__xludf.DUMMYFUNCTION("""COMPUTED_VALUE"""),"Khaliq")</f>
        <v>Khaliq</v>
      </c>
      <c r="E139" s="2" t="str">
        <f>IFERROR(__xludf.DUMMYFUNCTION("""COMPUTED_VALUE"""),"Postbac")</f>
        <v>Postbac</v>
      </c>
      <c r="F139" s="2" t="str">
        <f>IFERROR(__xludf.DUMMYFUNCTION("""COMPUTED_VALUE"""),"samuel.brill-weil@nih.gov")</f>
        <v>samuel.brill-weil@nih.gov</v>
      </c>
      <c r="G139" s="2" t="str">
        <f>IFERROR(__xludf.DUMMYFUNCTION("""COMPUTED_VALUE"""),"0000-0002-9018-7109")</f>
        <v>0000-0002-9018-7109</v>
      </c>
    </row>
    <row r="140">
      <c r="A140" s="2" t="str">
        <f>IFERROR(__xludf.DUMMYFUNCTION("""COMPUTED_VALUE"""),"Kramer")</f>
        <v>Kramer</v>
      </c>
      <c r="B140" s="2" t="str">
        <f>IFERROR(__xludf.DUMMYFUNCTION("""COMPUTED_VALUE"""),"Paul")</f>
        <v>Paul</v>
      </c>
      <c r="C140" s="2" t="str">
        <f>IFERROR(__xludf.DUMMYFUNCTION("""COMPUTED_VALUE"""),"Key Personnel")</f>
        <v>Key Personnel</v>
      </c>
      <c r="D140" s="2" t="str">
        <f>IFERROR(__xludf.DUMMYFUNCTION("""COMPUTED_VALUE"""),"Khaliq")</f>
        <v>Khaliq</v>
      </c>
      <c r="E140" s="2" t="str">
        <f>IFERROR(__xludf.DUMMYFUNCTION("""COMPUTED_VALUE"""),"Postdoc")</f>
        <v>Postdoc</v>
      </c>
      <c r="F140" s="2" t="str">
        <f>IFERROR(__xludf.DUMMYFUNCTION("""COMPUTED_VALUE"""),"paul.kramer@nih.gov")</f>
        <v>paul.kramer@nih.gov</v>
      </c>
      <c r="G140" s="2" t="str">
        <f>IFERROR(__xludf.DUMMYFUNCTION("""COMPUTED_VALUE"""),"0000-0002-0095-3712")</f>
        <v>0000-0002-0095-3712</v>
      </c>
    </row>
    <row r="141">
      <c r="A141" s="2" t="str">
        <f>IFERROR(__xludf.DUMMYFUNCTION("""COMPUTED_VALUE"""),"Clever")</f>
        <v>Clever</v>
      </c>
      <c r="B141" s="2" t="str">
        <f>IFERROR(__xludf.DUMMYFUNCTION("""COMPUTED_VALUE"""),"Faye")</f>
        <v>Faye</v>
      </c>
      <c r="C141" s="2" t="str">
        <f>IFERROR(__xludf.DUMMYFUNCTION("""COMPUTED_VALUE"""),"Key Personnel")</f>
        <v>Key Personnel</v>
      </c>
      <c r="D141" s="2" t="str">
        <f>IFERROR(__xludf.DUMMYFUNCTION("""COMPUTED_VALUE"""),"Khaliq")</f>
        <v>Khaliq</v>
      </c>
      <c r="E141" s="2" t="str">
        <f>IFERROR(__xludf.DUMMYFUNCTION("""COMPUTED_VALUE"""),"Postbac")</f>
        <v>Postbac</v>
      </c>
      <c r="F141" s="2" t="str">
        <f>IFERROR(__xludf.DUMMYFUNCTION("""COMPUTED_VALUE"""),"faye.clever@nih.gov")</f>
        <v>faye.clever@nih.gov</v>
      </c>
      <c r="G141" s="2" t="str">
        <f>IFERROR(__xludf.DUMMYFUNCTION("""COMPUTED_VALUE"""),"0000-0003-4534-2672")</f>
        <v>0000-0003-4534-2672</v>
      </c>
    </row>
    <row r="142">
      <c r="A142" s="2" t="str">
        <f>IFERROR(__xludf.DUMMYFUNCTION("""COMPUTED_VALUE"""),"Seiler")</f>
        <v>Seiler</v>
      </c>
      <c r="B142" s="2" t="str">
        <f>IFERROR(__xludf.DUMMYFUNCTION("""COMPUTED_VALUE"""),"Jillian")</f>
        <v>Jillian</v>
      </c>
      <c r="C142" s="2" t="str">
        <f>IFERROR(__xludf.DUMMYFUNCTION("""COMPUTED_VALUE"""),"Key Personnel")</f>
        <v>Key Personnel</v>
      </c>
      <c r="D142" s="2" t="str">
        <f>IFERROR(__xludf.DUMMYFUNCTION("""COMPUTED_VALUE"""),"Lerner")</f>
        <v>Lerner</v>
      </c>
      <c r="E142" s="2" t="str">
        <f>IFERROR(__xludf.DUMMYFUNCTION("""COMPUTED_VALUE"""),"Postdoc")</f>
        <v>Postdoc</v>
      </c>
      <c r="F142" s="2" t="str">
        <f>IFERROR(__xludf.DUMMYFUNCTION("""COMPUTED_VALUE"""),"jillianseiler@gmail.com")</f>
        <v>jillianseiler@gmail.com</v>
      </c>
      <c r="G142" s="2" t="str">
        <f>IFERROR(__xludf.DUMMYFUNCTION("""COMPUTED_VALUE"""),"0000-0003-4430-4797")</f>
        <v>0000-0003-4430-4797</v>
      </c>
    </row>
    <row r="143">
      <c r="A143" s="2" t="str">
        <f>IFERROR(__xludf.DUMMYFUNCTION("""COMPUTED_VALUE"""),"Goswami")</f>
        <v>Goswami</v>
      </c>
      <c r="B143" s="2" t="str">
        <f>IFERROR(__xludf.DUMMYFUNCTION("""COMPUTED_VALUE"""),"Barkha")</f>
        <v>Barkha</v>
      </c>
      <c r="C143" s="2" t="str">
        <f>IFERROR(__xludf.DUMMYFUNCTION("""COMPUTED_VALUE"""),"Key Personnel")</f>
        <v>Key Personnel</v>
      </c>
      <c r="D143" s="2" t="str">
        <f>IFERROR(__xludf.DUMMYFUNCTION("""COMPUTED_VALUE"""),"Halliday")</f>
        <v>Halliday</v>
      </c>
      <c r="E143" s="2" t="str">
        <f>IFERROR(__xludf.DUMMYFUNCTION("""COMPUTED_VALUE"""),"Research Assistant")</f>
        <v>Research Assistant</v>
      </c>
      <c r="F143" s="2" t="str">
        <f>IFERROR(__xludf.DUMMYFUNCTION("""COMPUTED_VALUE"""),"barkha.goswami@sydney.edu.au")</f>
        <v>barkha.goswami@sydney.edu.au</v>
      </c>
      <c r="G143" s="2" t="str">
        <f>IFERROR(__xludf.DUMMYFUNCTION("""COMPUTED_VALUE"""),"0009-0003-8456-8153")</f>
        <v>0009-0003-8456-8153</v>
      </c>
    </row>
    <row r="144">
      <c r="A144" s="2" t="str">
        <f>IFERROR(__xludf.DUMMYFUNCTION("""COMPUTED_VALUE"""),"Madhivanan")</f>
        <v>Madhivanan</v>
      </c>
      <c r="B144" s="2" t="str">
        <f>IFERROR(__xludf.DUMMYFUNCTION("""COMPUTED_VALUE"""),"Kayalvizhi")</f>
        <v>Kayalvizhi</v>
      </c>
      <c r="C144" s="2" t="str">
        <f>IFERROR(__xludf.DUMMYFUNCTION("""COMPUTED_VALUE"""),"Key Personnel")</f>
        <v>Key Personnel</v>
      </c>
      <c r="D144" s="2" t="str">
        <f>IFERROR(__xludf.DUMMYFUNCTION("""COMPUTED_VALUE"""),"Roy")</f>
        <v>Roy</v>
      </c>
      <c r="E144" s="2" t="str">
        <f>IFERROR(__xludf.DUMMYFUNCTION("""COMPUTED_VALUE"""),"postdoc")</f>
        <v>postdoc</v>
      </c>
      <c r="F144" s="2" t="str">
        <f>IFERROR(__xludf.DUMMYFUNCTION("""COMPUTED_VALUE"""),"kmadhivanan@health.ucsd.edu")</f>
        <v>kmadhivanan@health.ucsd.edu</v>
      </c>
      <c r="G144" s="2" t="str">
        <f>IFERROR(__xludf.DUMMYFUNCTION("""COMPUTED_VALUE"""),"0000-0002-4241-2922")</f>
        <v>0000-0002-4241-2922</v>
      </c>
    </row>
    <row r="145">
      <c r="A145" s="2" t="str">
        <f>IFERROR(__xludf.DUMMYFUNCTION("""COMPUTED_VALUE"""),"Chuapoco")</f>
        <v>Chuapoco</v>
      </c>
      <c r="B145" s="2" t="str">
        <f>IFERROR(__xludf.DUMMYFUNCTION("""COMPUTED_VALUE"""),"Miguel Roberto")</f>
        <v>Miguel Roberto</v>
      </c>
      <c r="C145" s="2" t="str">
        <f>IFERROR(__xludf.DUMMYFUNCTION("""COMPUTED_VALUE"""),"Key Personnel")</f>
        <v>Key Personnel</v>
      </c>
      <c r="D145" s="2" t="str">
        <f>IFERROR(__xludf.DUMMYFUNCTION("""COMPUTED_VALUE"""),"Gradinaru")</f>
        <v>Gradinaru</v>
      </c>
      <c r="E145" s="2" t="str">
        <f>IFERROR(__xludf.DUMMYFUNCTION("""COMPUTED_VALUE"""),"grad student")</f>
        <v>grad student</v>
      </c>
      <c r="F145" s="2" t="str">
        <f>IFERROR(__xludf.DUMMYFUNCTION("""COMPUTED_VALUE"""),"mchuapoc@caltech.edu")</f>
        <v>mchuapoc@caltech.edu</v>
      </c>
      <c r="G145" s="2" t="str">
        <f>IFERROR(__xludf.DUMMYFUNCTION("""COMPUTED_VALUE"""),"0000-0001-5397-996X")</f>
        <v>0000-0001-5397-996X</v>
      </c>
    </row>
    <row r="146">
      <c r="A146" s="2" t="str">
        <f>IFERROR(__xludf.DUMMYFUNCTION("""COMPUTED_VALUE"""),"Bostick")</f>
        <v>Bostick</v>
      </c>
      <c r="B146" s="2" t="str">
        <f>IFERROR(__xludf.DUMMYFUNCTION("""COMPUTED_VALUE"""),"John")</f>
        <v>John</v>
      </c>
      <c r="C146" s="2" t="str">
        <f>IFERROR(__xludf.DUMMYFUNCTION("""COMPUTED_VALUE"""),"Key Personnel")</f>
        <v>Key Personnel</v>
      </c>
      <c r="D146" s="2" t="str">
        <f>IFERROR(__xludf.DUMMYFUNCTION("""COMPUTED_VALUE"""),"Mazmanian")</f>
        <v>Mazmanian</v>
      </c>
      <c r="E146" s="2" t="str">
        <f>IFERROR(__xludf.DUMMYFUNCTION("""COMPUTED_VALUE"""),"postdoc")</f>
        <v>postdoc</v>
      </c>
      <c r="F146" s="2" t="str">
        <f>IFERROR(__xludf.DUMMYFUNCTION("""COMPUTED_VALUE"""),"jbostick@caltech.edu")</f>
        <v>jbostick@caltech.edu</v>
      </c>
      <c r="G146" s="2" t="str">
        <f>IFERROR(__xludf.DUMMYFUNCTION("""COMPUTED_VALUE"""),"0000-0001-8925-2447")</f>
        <v>0000-0001-8925-2447</v>
      </c>
    </row>
    <row r="147">
      <c r="A147" s="2" t="str">
        <f>IFERROR(__xludf.DUMMYFUNCTION("""COMPUTED_VALUE"""),"Mahe")</f>
        <v>Mahe</v>
      </c>
      <c r="B147" s="2" t="str">
        <f>IFERROR(__xludf.DUMMYFUNCTION("""COMPUTED_VALUE"""),"Karan")</f>
        <v>Karan</v>
      </c>
      <c r="C147" s="2" t="str">
        <f>IFERROR(__xludf.DUMMYFUNCTION("""COMPUTED_VALUE"""),"Key Personnel")</f>
        <v>Key Personnel</v>
      </c>
      <c r="D147" s="2" t="str">
        <f>IFERROR(__xludf.DUMMYFUNCTION("""COMPUTED_VALUE"""),"Gradinaru")</f>
        <v>Gradinaru</v>
      </c>
      <c r="E147" s="2" t="str">
        <f>IFERROR(__xludf.DUMMYFUNCTION("""COMPUTED_VALUE"""),"grad student")</f>
        <v>grad student</v>
      </c>
      <c r="F147" s="2" t="str">
        <f>IFERROR(__xludf.DUMMYFUNCTION("""COMPUTED_VALUE"""),"kmahe@caltech.edu")</f>
        <v>kmahe@caltech.edu</v>
      </c>
      <c r="G147" s="2" t="str">
        <f>IFERROR(__xludf.DUMMYFUNCTION("""COMPUTED_VALUE"""),"0000-0001-5651-0876")</f>
        <v>0000-0001-5651-0876</v>
      </c>
    </row>
    <row r="148">
      <c r="A148" s="2" t="str">
        <f>IFERROR(__xludf.DUMMYFUNCTION("""COMPUTED_VALUE"""),"Wolfe")</f>
        <v>Wolfe</v>
      </c>
      <c r="B148" s="2" t="str">
        <f>IFERROR(__xludf.DUMMYFUNCTION("""COMPUTED_VALUE"""),"Damien")</f>
        <v>Damien</v>
      </c>
      <c r="C148" s="2" t="str">
        <f>IFERROR(__xludf.DUMMYFUNCTION("""COMPUTED_VALUE"""),"Key Personnel")</f>
        <v>Key Personnel</v>
      </c>
      <c r="D148" s="2" t="str">
        <f>IFERROR(__xludf.DUMMYFUNCTION("""COMPUTED_VALUE"""),"Gradinaru")</f>
        <v>Gradinaru</v>
      </c>
      <c r="E148" s="2" t="str">
        <f>IFERROR(__xludf.DUMMYFUNCTION("""COMPUTED_VALUE"""),"research scientist")</f>
        <v>research scientist</v>
      </c>
      <c r="F148" s="2" t="str">
        <f>IFERROR(__xludf.DUMMYFUNCTION("""COMPUTED_VALUE"""),"dwolfe@caltech.edu")</f>
        <v>dwolfe@caltech.edu</v>
      </c>
      <c r="G148" s="2" t="str">
        <f>IFERROR(__xludf.DUMMYFUNCTION("""COMPUTED_VALUE"""),"0000-0003-3005-6788")</f>
        <v>0000-0003-3005-6788</v>
      </c>
    </row>
    <row r="149">
      <c r="A149" s="2" t="str">
        <f>IFERROR(__xludf.DUMMYFUNCTION("""COMPUTED_VALUE"""),"Ruff")</f>
        <v>Ruff</v>
      </c>
      <c r="B149" s="2" t="str">
        <f>IFERROR(__xludf.DUMMYFUNCTION("""COMPUTED_VALUE"""),"Bill")</f>
        <v>Bill</v>
      </c>
      <c r="C149" s="2" t="str">
        <f>IFERROR(__xludf.DUMMYFUNCTION("""COMPUTED_VALUE"""),"Previous PM")</f>
        <v>Previous PM</v>
      </c>
      <c r="D149" s="2" t="str">
        <f>IFERROR(__xludf.DUMMYFUNCTION("""COMPUTED_VALUE"""),"Hafler")</f>
        <v>Hafler</v>
      </c>
      <c r="E149" s="2" t="str">
        <f>IFERROR(__xludf.DUMMYFUNCTION("""COMPUTED_VALUE"""),"Research Associate")</f>
        <v>Research Associate</v>
      </c>
      <c r="F149" s="2" t="str">
        <f>IFERROR(__xludf.DUMMYFUNCTION("""COMPUTED_VALUE"""),"william.ruff@yale.edu")</f>
        <v>william.ruff@yale.edu</v>
      </c>
      <c r="G149" s="2"/>
    </row>
    <row r="150">
      <c r="A150" s="2" t="str">
        <f>IFERROR(__xludf.DUMMYFUNCTION("""COMPUTED_VALUE"""),"Park")</f>
        <v>Park</v>
      </c>
      <c r="B150" s="2" t="str">
        <f>IFERROR(__xludf.DUMMYFUNCTION("""COMPUTED_VALUE"""),"Jae Min")</f>
        <v>Jae Min</v>
      </c>
      <c r="C150" s="2" t="str">
        <f>IFERROR(__xludf.DUMMYFUNCTION("""COMPUTED_VALUE"""),"Personnel")</f>
        <v>Personnel</v>
      </c>
      <c r="D150" s="2" t="str">
        <f>IFERROR(__xludf.DUMMYFUNCTION("""COMPUTED_VALUE"""),"Chandra")</f>
        <v>Chandra</v>
      </c>
      <c r="E150" s="2" t="str">
        <f>IFERROR(__xludf.DUMMYFUNCTION("""COMPUTED_VALUE"""),"Research Assistant")</f>
        <v>Research Assistant</v>
      </c>
      <c r="F150" s="2" t="str">
        <f>IFERROR(__xludf.DUMMYFUNCTION("""COMPUTED_VALUE"""),"jaemin.park@yale.edu")</f>
        <v>jaemin.park@yale.edu</v>
      </c>
      <c r="G150" s="2" t="str">
        <f>IFERROR(__xludf.DUMMYFUNCTION("""COMPUTED_VALUE"""),"0000-0002-9770-7197")</f>
        <v>0000-0002-9770-7197</v>
      </c>
    </row>
    <row r="151">
      <c r="A151" s="2" t="str">
        <f>IFERROR(__xludf.DUMMYFUNCTION("""COMPUTED_VALUE"""),"Yin")</f>
        <v>Yin</v>
      </c>
      <c r="B151" s="2" t="str">
        <f>IFERROR(__xludf.DUMMYFUNCTION("""COMPUTED_VALUE"""),"Dominic")</f>
        <v>Dominic</v>
      </c>
      <c r="C151" s="2" t="str">
        <f>IFERROR(__xludf.DUMMYFUNCTION("""COMPUTED_VALUE"""),"personnel")</f>
        <v>personnel</v>
      </c>
      <c r="D151" s="2" t="str">
        <f>IFERROR(__xludf.DUMMYFUNCTION("""COMPUTED_VALUE"""),"Hafler")</f>
        <v>Hafler</v>
      </c>
      <c r="E151" s="2" t="str">
        <f>IFERROR(__xludf.DUMMYFUNCTION("""COMPUTED_VALUE"""),"Under-grad")</f>
        <v>Under-grad</v>
      </c>
      <c r="F151" s="2" t="str">
        <f>IFERROR(__xludf.DUMMYFUNCTION("""COMPUTED_VALUE"""),"dominic.yin@yale.edu")</f>
        <v>dominic.yin@yale.edu</v>
      </c>
      <c r="G151" s="2" t="str">
        <f>IFERROR(__xludf.DUMMYFUNCTION("""COMPUTED_VALUE"""),"0000-0001-7733-9326")</f>
        <v>0000-0001-7733-9326</v>
      </c>
    </row>
    <row r="152">
      <c r="A152" s="2" t="str">
        <f>IFERROR(__xludf.DUMMYFUNCTION("""COMPUTED_VALUE"""),"Russo")</f>
        <v>Russo</v>
      </c>
      <c r="B152" s="2" t="str">
        <f>IFERROR(__xludf.DUMMYFUNCTION("""COMPUTED_VALUE"""),"Anthony")</f>
        <v>Anthony</v>
      </c>
      <c r="C152" s="2" t="str">
        <f>IFERROR(__xludf.DUMMYFUNCTION("""COMPUTED_VALUE"""),"personnel")</f>
        <v>personnel</v>
      </c>
      <c r="D152" s="2" t="str">
        <f>IFERROR(__xludf.DUMMYFUNCTION("""COMPUTED_VALUE"""),"Hafler")</f>
        <v>Hafler</v>
      </c>
      <c r="E152" s="2" t="str">
        <f>IFERROR(__xludf.DUMMYFUNCTION("""COMPUTED_VALUE"""),"Research Associate")</f>
        <v>Research Associate</v>
      </c>
      <c r="F152" s="2" t="str">
        <f>IFERROR(__xludf.DUMMYFUNCTION("""COMPUTED_VALUE"""),"anthony.russo@yale.edu")</f>
        <v>anthony.russo@yale.edu</v>
      </c>
      <c r="G152" s="2" t="str">
        <f>IFERROR(__xludf.DUMMYFUNCTION("""COMPUTED_VALUE"""),"0000-0002-0623-6618")</f>
        <v>0000-0002-0623-6618</v>
      </c>
    </row>
    <row r="153">
      <c r="A153" s="2" t="str">
        <f>IFERROR(__xludf.DUMMYFUNCTION("""COMPUTED_VALUE"""),"He")</f>
        <v>He</v>
      </c>
      <c r="B153" s="2" t="str">
        <f>IFERROR(__xludf.DUMMYFUNCTION("""COMPUTED_VALUE"""),"Chuan")</f>
        <v>Chuan</v>
      </c>
      <c r="C153" s="2" t="str">
        <f>IFERROR(__xludf.DUMMYFUNCTION("""COMPUTED_VALUE"""),"personnel")</f>
        <v>personnel</v>
      </c>
      <c r="D153" s="2" t="str">
        <f>IFERROR(__xludf.DUMMYFUNCTION("""COMPUTED_VALUE"""),"Hafler")</f>
        <v>Hafler</v>
      </c>
      <c r="E153" s="2" t="str">
        <f>IFERROR(__xludf.DUMMYFUNCTION("""COMPUTED_VALUE"""),"Research Associate")</f>
        <v>Research Associate</v>
      </c>
      <c r="F153" s="2" t="str">
        <f>IFERROR(__xludf.DUMMYFUNCTION("""COMPUTED_VALUE"""),"chuan.he@yale.edu")</f>
        <v>chuan.he@yale.edu</v>
      </c>
      <c r="G153" s="2"/>
    </row>
    <row r="154">
      <c r="A154" s="2" t="str">
        <f>IFERROR(__xludf.DUMMYFUNCTION("""COMPUTED_VALUE"""),"Giem")</f>
        <v>Giem</v>
      </c>
      <c r="B154" s="2" t="str">
        <f>IFERROR(__xludf.DUMMYFUNCTION("""COMPUTED_VALUE"""),"Colter")</f>
        <v>Colter</v>
      </c>
      <c r="C154" s="2" t="str">
        <f>IFERROR(__xludf.DUMMYFUNCTION("""COMPUTED_VALUE"""),"personnel")</f>
        <v>personnel</v>
      </c>
      <c r="D154" s="2" t="str">
        <f>IFERROR(__xludf.DUMMYFUNCTION("""COMPUTED_VALUE"""),"Ramnik")</f>
        <v>Ramnik</v>
      </c>
      <c r="E154" s="2" t="str">
        <f>IFERROR(__xludf.DUMMYFUNCTION("""COMPUTED_VALUE"""),"Research Associate")</f>
        <v>Research Associate</v>
      </c>
      <c r="F154" s="2" t="str">
        <f>IFERROR(__xludf.DUMMYFUNCTION("""COMPUTED_VALUE"""),"cgiem@broadinstitute.org")</f>
        <v>cgiem@broadinstitute.org</v>
      </c>
      <c r="G154" s="2" t="str">
        <f>IFERROR(__xludf.DUMMYFUNCTION("""COMPUTED_VALUE"""),"0009-0007-9226-2030")</f>
        <v>0009-0007-9226-2030</v>
      </c>
    </row>
    <row r="155">
      <c r="A155" s="2" t="str">
        <f>IFERROR(__xludf.DUMMYFUNCTION("""COMPUTED_VALUE"""),"Caló")</f>
        <v>Caló</v>
      </c>
      <c r="B155" s="2" t="str">
        <f>IFERROR(__xludf.DUMMYFUNCTION("""COMPUTED_VALUE"""),"Laura")</f>
        <v>Laura</v>
      </c>
      <c r="C155" s="2" t="str">
        <f>IFERROR(__xludf.DUMMYFUNCTION("""COMPUTED_VALUE"""),"Key Personnel")</f>
        <v>Key Personnel</v>
      </c>
      <c r="D155" s="2" t="str">
        <f>IFERROR(__xludf.DUMMYFUNCTION("""COMPUTED_VALUE"""),"Spillantini")</f>
        <v>Spillantini</v>
      </c>
      <c r="E155" s="2" t="str">
        <f>IFERROR(__xludf.DUMMYFUNCTION("""COMPUTED_VALUE"""),"Senior Research Associate")</f>
        <v>Senior Research Associate</v>
      </c>
      <c r="F155" s="2" t="str">
        <f>IFERROR(__xludf.DUMMYFUNCTION("""COMPUTED_VALUE"""),"lc232@cam.ac.uk")</f>
        <v>lc232@cam.ac.uk</v>
      </c>
      <c r="G155" s="2"/>
    </row>
    <row r="156">
      <c r="A156" s="2" t="str">
        <f>IFERROR(__xludf.DUMMYFUNCTION("""COMPUTED_VALUE"""),"Ratty")</f>
        <v>Ratty</v>
      </c>
      <c r="B156" s="2" t="str">
        <f>IFERROR(__xludf.DUMMYFUNCTION("""COMPUTED_VALUE"""),"Katerina")</f>
        <v>Katerina</v>
      </c>
      <c r="C156" s="2" t="str">
        <f>IFERROR(__xludf.DUMMYFUNCTION("""COMPUTED_VALUE"""),"Key Personnel")</f>
        <v>Key Personnel</v>
      </c>
      <c r="D156" s="2" t="str">
        <f>IFERROR(__xludf.DUMMYFUNCTION("""COMPUTED_VALUE"""),"Spillantini")</f>
        <v>Spillantini</v>
      </c>
      <c r="E156" s="2" t="str">
        <f>IFERROR(__xludf.DUMMYFUNCTION("""COMPUTED_VALUE"""),"Research Associate")</f>
        <v>Research Associate</v>
      </c>
      <c r="F156" s="2" t="str">
        <f>IFERROR(__xludf.DUMMYFUNCTION("""COMPUTED_VALUE"""),"ka524@cam.ac.uk")</f>
        <v>ka524@cam.ac.uk</v>
      </c>
      <c r="G156" s="2"/>
    </row>
    <row r="157">
      <c r="A157" s="2" t="str">
        <f>IFERROR(__xludf.DUMMYFUNCTION("""COMPUTED_VALUE"""),"Manuel Portela Domingues")</f>
        <v>Manuel Portela Domingues</v>
      </c>
      <c r="B157" s="2" t="str">
        <f>IFERROR(__xludf.DUMMYFUNCTION("""COMPUTED_VALUE"""),"Joana 
")</f>
        <v>Joana 
</v>
      </c>
      <c r="C157" s="2" t="str">
        <f>IFERROR(__xludf.DUMMYFUNCTION("""COMPUTED_VALUE"""),"Key Personnel")</f>
        <v>Key Personnel</v>
      </c>
      <c r="D157" s="2" t="str">
        <f>IFERROR(__xludf.DUMMYFUNCTION("""COMPUTED_VALUE"""),"Spillantini")</f>
        <v>Spillantini</v>
      </c>
      <c r="E157" s="2" t="str">
        <f>IFERROR(__xludf.DUMMYFUNCTION("""COMPUTED_VALUE"""),"Graduate student")</f>
        <v>Graduate student</v>
      </c>
      <c r="F157" s="2" t="str">
        <f>IFERROR(__xludf.DUMMYFUNCTION("""COMPUTED_VALUE"""),"joanampdomingues@gmail.com")</f>
        <v>joanampdomingues@gmail.com</v>
      </c>
      <c r="G157" s="2"/>
    </row>
    <row r="158">
      <c r="A158" s="2" t="str">
        <f>IFERROR(__xludf.DUMMYFUNCTION("""COMPUTED_VALUE"""),"Longhena")</f>
        <v>Longhena</v>
      </c>
      <c r="B158" s="2" t="str">
        <f>IFERROR(__xludf.DUMMYFUNCTION("""COMPUTED_VALUE"""),"Francesca ")</f>
        <v>Francesca </v>
      </c>
      <c r="C158" s="2" t="str">
        <f>IFERROR(__xludf.DUMMYFUNCTION("""COMPUTED_VALUE"""),"Key Personnel")</f>
        <v>Key Personnel</v>
      </c>
      <c r="D158" s="2" t="str">
        <f>IFERROR(__xludf.DUMMYFUNCTION("""COMPUTED_VALUE"""),"Spillantini")</f>
        <v>Spillantini</v>
      </c>
      <c r="E158" s="2" t="str">
        <f>IFERROR(__xludf.DUMMYFUNCTION("""COMPUTED_VALUE"""),"Postdoc")</f>
        <v>Postdoc</v>
      </c>
      <c r="F158" s="2" t="str">
        <f>IFERROR(__xludf.DUMMYFUNCTION("""COMPUTED_VALUE"""),"fl433@cam.ac.uk")</f>
        <v>fl433@cam.ac.uk</v>
      </c>
      <c r="G158" s="2"/>
    </row>
    <row r="159">
      <c r="A159" s="2" t="str">
        <f>IFERROR(__xludf.DUMMYFUNCTION("""COMPUTED_VALUE"""),"Melandri")</f>
        <v>Melandri</v>
      </c>
      <c r="B159" s="2" t="str">
        <f>IFERROR(__xludf.DUMMYFUNCTION("""COMPUTED_VALUE"""),"Daniela")</f>
        <v>Daniela</v>
      </c>
      <c r="C159" s="2" t="str">
        <f>IFERROR(__xludf.DUMMYFUNCTION("""COMPUTED_VALUE"""),"Key Personnel")</f>
        <v>Key Personnel</v>
      </c>
      <c r="D159" s="2" t="str">
        <f>IFERROR(__xludf.DUMMYFUNCTION("""COMPUTED_VALUE"""),"Plun-Favreau")</f>
        <v>Plun-Favreau</v>
      </c>
      <c r="E159" s="2" t="str">
        <f>IFERROR(__xludf.DUMMYFUNCTION("""COMPUTED_VALUE"""),"PhD Student")</f>
        <v>PhD Student</v>
      </c>
      <c r="F159" s="2" t="str">
        <f>IFERROR(__xludf.DUMMYFUNCTION("""COMPUTED_VALUE"""),"daniela.melandri.15@ucl.ac.uk")</f>
        <v>daniela.melandri.15@ucl.ac.uk</v>
      </c>
      <c r="G159" s="2" t="str">
        <f>IFERROR(__xludf.DUMMYFUNCTION("""COMPUTED_VALUE"""),"0000-0002-3630-5143")</f>
        <v>0000-0002-3630-5143</v>
      </c>
    </row>
    <row r="160">
      <c r="A160" s="2" t="str">
        <f>IFERROR(__xludf.DUMMYFUNCTION("""COMPUTED_VALUE"""),"Whiting")</f>
        <v>Whiting</v>
      </c>
      <c r="B160" s="2" t="str">
        <f>IFERROR(__xludf.DUMMYFUNCTION("""COMPUTED_VALUE"""),"Paul")</f>
        <v>Paul</v>
      </c>
      <c r="C160" s="2" t="str">
        <f>IFERROR(__xludf.DUMMYFUNCTION("""COMPUTED_VALUE"""),"Key Personnel")</f>
        <v>Key Personnel</v>
      </c>
      <c r="D160" s="2" t="str">
        <f>IFERROR(__xludf.DUMMYFUNCTION("""COMPUTED_VALUE"""),"own lab (Whiting)")</f>
        <v>own lab (Whiting)</v>
      </c>
      <c r="E160" s="2" t="str">
        <f>IFERROR(__xludf.DUMMYFUNCTION("""COMPUTED_VALUE"""),"Professor")</f>
        <v>Professor</v>
      </c>
      <c r="F160" s="2" t="str">
        <f>IFERROR(__xludf.DUMMYFUNCTION("""COMPUTED_VALUE"""),"p.whiting@ucl.ac.uk")</f>
        <v>p.whiting@ucl.ac.uk</v>
      </c>
      <c r="G160" s="2" t="str">
        <f>IFERROR(__xludf.DUMMYFUNCTION("""COMPUTED_VALUE"""),"0000-0002-4121-1379")</f>
        <v>0000-0002-4121-1379</v>
      </c>
    </row>
    <row r="161">
      <c r="A161" s="2" t="str">
        <f>IFERROR(__xludf.DUMMYFUNCTION("""COMPUTED_VALUE"""),"Rockliffe")</f>
        <v>Rockliffe</v>
      </c>
      <c r="B161" s="2" t="str">
        <f>IFERROR(__xludf.DUMMYFUNCTION("""COMPUTED_VALUE"""),"Alice")</f>
        <v>Alice</v>
      </c>
      <c r="C161" s="2" t="str">
        <f>IFERROR(__xludf.DUMMYFUNCTION("""COMPUTED_VALUE"""),"Key Personnel")</f>
        <v>Key Personnel</v>
      </c>
      <c r="D161" s="2" t="str">
        <f>IFERROR(__xludf.DUMMYFUNCTION("""COMPUTED_VALUE"""),"Jaunmuktane")</f>
        <v>Jaunmuktane</v>
      </c>
      <c r="E161" s="2" t="str">
        <f>IFERROR(__xludf.DUMMYFUNCTION("""COMPUTED_VALUE"""),"Postdoc")</f>
        <v>Postdoc</v>
      </c>
      <c r="F161" s="2" t="str">
        <f>IFERROR(__xludf.DUMMYFUNCTION("""COMPUTED_VALUE"""),"a.rockliffe@ucl.ac.uk")</f>
        <v>a.rockliffe@ucl.ac.uk</v>
      </c>
      <c r="G161" s="2" t="str">
        <f>IFERROR(__xludf.DUMMYFUNCTION("""COMPUTED_VALUE"""),"0000-0002-9148-1262")</f>
        <v>0000-0002-9148-1262</v>
      </c>
    </row>
    <row r="162">
      <c r="A162" s="2" t="str">
        <f>IFERROR(__xludf.DUMMYFUNCTION("""COMPUTED_VALUE"""),"Reynolds")</f>
        <v>Reynolds</v>
      </c>
      <c r="B162" s="2" t="str">
        <f>IFERROR(__xludf.DUMMYFUNCTION("""COMPUTED_VALUE"""),"Regina")</f>
        <v>Regina</v>
      </c>
      <c r="C162" s="2" t="str">
        <f>IFERROR(__xludf.DUMMYFUNCTION("""COMPUTED_VALUE"""),"Key Personnel")</f>
        <v>Key Personnel</v>
      </c>
      <c r="D162" s="2" t="str">
        <f>IFERROR(__xludf.DUMMYFUNCTION("""COMPUTED_VALUE"""),"Ryten")</f>
        <v>Ryten</v>
      </c>
      <c r="E162" s="2" t="str">
        <f>IFERROR(__xludf.DUMMYFUNCTION("""COMPUTED_VALUE"""),"Postdoc")</f>
        <v>Postdoc</v>
      </c>
      <c r="F162" s="2" t="str">
        <f>IFERROR(__xludf.DUMMYFUNCTION("""COMPUTED_VALUE"""),"regina.reynolds.16@ucl.ac.uk")</f>
        <v>regina.reynolds.16@ucl.ac.uk</v>
      </c>
      <c r="G162" s="2" t="str">
        <f>IFERROR(__xludf.DUMMYFUNCTION("""COMPUTED_VALUE"""),"0000-0001-6470-7919")</f>
        <v>0000-0001-6470-7919</v>
      </c>
    </row>
    <row r="163">
      <c r="A163" s="2" t="str">
        <f>IFERROR(__xludf.DUMMYFUNCTION("""COMPUTED_VALUE"""),"Ketteler")</f>
        <v>Ketteler</v>
      </c>
      <c r="B163" s="2" t="str">
        <f>IFERROR(__xludf.DUMMYFUNCTION("""COMPUTED_VALUE"""),"Robin")</f>
        <v>Robin</v>
      </c>
      <c r="C163" s="2" t="str">
        <f>IFERROR(__xludf.DUMMYFUNCTION("""COMPUTED_VALUE"""),"Key Personnel")</f>
        <v>Key Personnel</v>
      </c>
      <c r="D163" s="2" t="str">
        <f>IFERROR(__xludf.DUMMYFUNCTION("""COMPUTED_VALUE"""),"own lab (Ketteler)")</f>
        <v>own lab (Ketteler)</v>
      </c>
      <c r="E163" s="2" t="str">
        <f>IFERROR(__xludf.DUMMYFUNCTION("""COMPUTED_VALUE"""),"Professor")</f>
        <v>Professor</v>
      </c>
      <c r="F163" s="2" t="str">
        <f>IFERROR(__xludf.DUMMYFUNCTION("""COMPUTED_VALUE"""),"r.ketteler@ucl.ac.uk")</f>
        <v>r.ketteler@ucl.ac.uk</v>
      </c>
      <c r="G163" s="2" t="str">
        <f>IFERROR(__xludf.DUMMYFUNCTION("""COMPUTED_VALUE"""),"0000-0002-2786-7291")</f>
        <v>0000-0002-2786-7291</v>
      </c>
    </row>
    <row r="164">
      <c r="A164" s="2" t="str">
        <f>IFERROR(__xludf.DUMMYFUNCTION("""COMPUTED_VALUE"""),"Afentakis")</f>
        <v>Afentakis</v>
      </c>
      <c r="B164" s="2" t="str">
        <f>IFERROR(__xludf.DUMMYFUNCTION("""COMPUTED_VALUE"""),"Maria")</f>
        <v>Maria</v>
      </c>
      <c r="C164" s="2" t="str">
        <f>IFERROR(__xludf.DUMMYFUNCTION("""COMPUTED_VALUE"""),"Key Personnel")</f>
        <v>Key Personnel</v>
      </c>
      <c r="D164" s="2" t="str">
        <f>IFERROR(__xludf.DUMMYFUNCTION("""COMPUTED_VALUE"""),"Jaunmuktane")</f>
        <v>Jaunmuktane</v>
      </c>
      <c r="E164" s="2" t="str">
        <f>IFERROR(__xludf.DUMMYFUNCTION("""COMPUTED_VALUE"""),"Research Technician")</f>
        <v>Research Technician</v>
      </c>
      <c r="F164" s="2" t="str">
        <f>IFERROR(__xludf.DUMMYFUNCTION("""COMPUTED_VALUE"""),"m.afentakis@ucl.ac.uk")</f>
        <v>m.afentakis@ucl.ac.uk</v>
      </c>
      <c r="G164" s="2" t="str">
        <f>IFERROR(__xludf.DUMMYFUNCTION("""COMPUTED_VALUE"""),"0000-0003-3072-6331")</f>
        <v>0000-0003-3072-6331</v>
      </c>
    </row>
    <row r="165">
      <c r="A165" s="2" t="str">
        <f>IFERROR(__xludf.DUMMYFUNCTION("""COMPUTED_VALUE"""),"Sethi")</f>
        <v>Sethi</v>
      </c>
      <c r="B165" s="2" t="str">
        <f>IFERROR(__xludf.DUMMYFUNCTION("""COMPUTED_VALUE"""),"Siddharth (Sid)")</f>
        <v>Siddharth (Sid)</v>
      </c>
      <c r="C165" s="2" t="str">
        <f>IFERROR(__xludf.DUMMYFUNCTION("""COMPUTED_VALUE"""),"Key Personnel")</f>
        <v>Key Personnel</v>
      </c>
      <c r="D165" s="2" t="str">
        <f>IFERROR(__xludf.DUMMYFUNCTION("""COMPUTED_VALUE"""),"Ryten")</f>
        <v>Ryten</v>
      </c>
      <c r="E165" s="2" t="str">
        <f>IFERROR(__xludf.DUMMYFUNCTION("""COMPUTED_VALUE"""),"Postdoctoral Researcher")</f>
        <v>Postdoctoral Researcher</v>
      </c>
      <c r="F165" s="2" t="str">
        <f>IFERROR(__xludf.DUMMYFUNCTION("""COMPUTED_VALUE"""),"siddharth.sethi@astx.com")</f>
        <v>siddharth.sethi@astx.com</v>
      </c>
      <c r="G165" s="2" t="str">
        <f>IFERROR(__xludf.DUMMYFUNCTION("""COMPUTED_VALUE"""),"0000-0002-4398-4295")</f>
        <v>0000-0002-4398-4295</v>
      </c>
    </row>
    <row r="166">
      <c r="A166" s="2" t="str">
        <f>IFERROR(__xludf.DUMMYFUNCTION("""COMPUTED_VALUE"""),"Yu")</f>
        <v>Yu</v>
      </c>
      <c r="B166" s="2" t="str">
        <f>IFERROR(__xludf.DUMMYFUNCTION("""COMPUTED_VALUE"""),"Samantha")</f>
        <v>Samantha</v>
      </c>
      <c r="C166" s="2" t="str">
        <f>IFERROR(__xludf.DUMMYFUNCTION("""COMPUTED_VALUE"""),"Key Personnel")</f>
        <v>Key Personnel</v>
      </c>
      <c r="D166" s="2" t="str">
        <f>IFERROR(__xludf.DUMMYFUNCTION("""COMPUTED_VALUE"""),"Plun-Favreau")</f>
        <v>Plun-Favreau</v>
      </c>
      <c r="E166" s="2" t="str">
        <f>IFERROR(__xludf.DUMMYFUNCTION("""COMPUTED_VALUE"""),"Research Assistant")</f>
        <v>Research Assistant</v>
      </c>
      <c r="F166" s="2" t="str">
        <f>IFERROR(__xludf.DUMMYFUNCTION("""COMPUTED_VALUE"""),"samantha.yu.19@ucl.ac.uk")</f>
        <v>samantha.yu.19@ucl.ac.uk</v>
      </c>
      <c r="G166" s="2" t="str">
        <f>IFERROR(__xludf.DUMMYFUNCTION("""COMPUTED_VALUE"""),"0000-0001-5321-0536")</f>
        <v>0000-0001-5321-0536</v>
      </c>
    </row>
    <row r="167">
      <c r="A167" s="2" t="str">
        <f>IFERROR(__xludf.DUMMYFUNCTION("""COMPUTED_VALUE"""),"Hamilton")</f>
        <v>Hamilton</v>
      </c>
      <c r="B167" s="2" t="str">
        <f>IFERROR(__xludf.DUMMYFUNCTION("""COMPUTED_VALUE"""),"Joe")</f>
        <v>Joe</v>
      </c>
      <c r="C167" s="2" t="str">
        <f>IFERROR(__xludf.DUMMYFUNCTION("""COMPUTED_VALUE"""),"Key Personnel")</f>
        <v>Key Personnel</v>
      </c>
      <c r="D167" s="2" t="str">
        <f>IFERROR(__xludf.DUMMYFUNCTION("""COMPUTED_VALUE"""),"Plun-Favreau")</f>
        <v>Plun-Favreau</v>
      </c>
      <c r="E167" s="2" t="str">
        <f>IFERROR(__xludf.DUMMYFUNCTION("""COMPUTED_VALUE"""),"Postdoctoral Researcher")</f>
        <v>Postdoctoral Researcher</v>
      </c>
      <c r="F167" s="2" t="str">
        <f>IFERROR(__xludf.DUMMYFUNCTION("""COMPUTED_VALUE"""),"joseph.hamilton.17@ucl.ac.uk")</f>
        <v>joseph.hamilton.17@ucl.ac.uk</v>
      </c>
      <c r="G167" s="2" t="str">
        <f>IFERROR(__xludf.DUMMYFUNCTION("""COMPUTED_VALUE"""),"0000-0001-9592-529X")</f>
        <v>0000-0001-9592-529X</v>
      </c>
    </row>
    <row r="168">
      <c r="A168" s="2" t="str">
        <f>IFERROR(__xludf.DUMMYFUNCTION("""COMPUTED_VALUE"""),"Ferreira")</f>
        <v>Ferreira</v>
      </c>
      <c r="B168" s="2" t="str">
        <f>IFERROR(__xludf.DUMMYFUNCTION("""COMPUTED_VALUE"""),"Solène ")</f>
        <v>Solène </v>
      </c>
      <c r="C168" s="2" t="str">
        <f>IFERROR(__xludf.DUMMYFUNCTION("""COMPUTED_VALUE"""),"Key Personnel")</f>
        <v>Key Personnel</v>
      </c>
      <c r="D168" s="2" t="str">
        <f>IFERROR(__xludf.DUMMYFUNCTION("""COMPUTED_VALUE"""),"Spillantini")</f>
        <v>Spillantini</v>
      </c>
      <c r="E168" s="2" t="str">
        <f>IFERROR(__xludf.DUMMYFUNCTION("""COMPUTED_VALUE"""),"Postdoctoral Research Assistant")</f>
        <v>Postdoctoral Research Assistant</v>
      </c>
      <c r="F168" s="2" t="str">
        <f>IFERROR(__xludf.DUMMYFUNCTION("""COMPUTED_VALUE"""),"sf712@cam.ac.uk")</f>
        <v>sf712@cam.ac.uk</v>
      </c>
      <c r="G168" s="2" t="str">
        <f>IFERROR(__xludf.DUMMYFUNCTION("""COMPUTED_VALUE"""),"0000-0002-0401-0615")</f>
        <v>0000-0002-0401-0615</v>
      </c>
    </row>
    <row r="169">
      <c r="A169" s="2" t="str">
        <f>IFERROR(__xludf.DUMMYFUNCTION("""COMPUTED_VALUE"""),"Magno")</f>
        <v>Magno</v>
      </c>
      <c r="B169" s="2" t="str">
        <f>IFERROR(__xludf.DUMMYFUNCTION("""COMPUTED_VALUE"""),"Lorenza")</f>
        <v>Lorenza</v>
      </c>
      <c r="C169" s="2" t="str">
        <f>IFERROR(__xludf.DUMMYFUNCTION("""COMPUTED_VALUE"""),"Collaborating PI")</f>
        <v>Collaborating PI</v>
      </c>
      <c r="D169" s="2" t="str">
        <f>IFERROR(__xludf.DUMMYFUNCTION("""COMPUTED_VALUE"""),"Own lab (Magno)")</f>
        <v>Own lab (Magno)</v>
      </c>
      <c r="E169" s="2" t="str">
        <f>IFERROR(__xludf.DUMMYFUNCTION("""COMPUTED_VALUE"""),"Team Leader")</f>
        <v>Team Leader</v>
      </c>
      <c r="F169" s="2" t="str">
        <f>IFERROR(__xludf.DUMMYFUNCTION("""COMPUTED_VALUE"""),"l.magno@ucl.ac.uk")</f>
        <v>l.magno@ucl.ac.uk</v>
      </c>
      <c r="G169" s="2" t="str">
        <f>IFERROR(__xludf.DUMMYFUNCTION("""COMPUTED_VALUE"""),"0000-0002-2350-9796")</f>
        <v>0000-0002-2350-9796</v>
      </c>
    </row>
    <row r="170">
      <c r="A170" s="2" t="str">
        <f>IFERROR(__xludf.DUMMYFUNCTION("""COMPUTED_VALUE"""),"Rocamora Perez ")</f>
        <v>Rocamora Perez </v>
      </c>
      <c r="B170" s="2" t="str">
        <f>IFERROR(__xludf.DUMMYFUNCTION("""COMPUTED_VALUE"""),"Guillermo ")</f>
        <v>Guillermo </v>
      </c>
      <c r="C170" s="2" t="str">
        <f>IFERROR(__xludf.DUMMYFUNCTION("""COMPUTED_VALUE"""),"Key Personnel")</f>
        <v>Key Personnel</v>
      </c>
      <c r="D170" s="2" t="str">
        <f>IFERROR(__xludf.DUMMYFUNCTION("""COMPUTED_VALUE"""),"Ryten")</f>
        <v>Ryten</v>
      </c>
      <c r="E170" s="2" t="str">
        <f>IFERROR(__xludf.DUMMYFUNCTION("""COMPUTED_VALUE"""),"Contractor")</f>
        <v>Contractor</v>
      </c>
      <c r="F170" s="2" t="str">
        <f>IFERROR(__xludf.DUMMYFUNCTION("""COMPUTED_VALUE"""),"guillermorocamora@gmail.com")</f>
        <v>guillermorocamora@gmail.com</v>
      </c>
      <c r="G170" s="2" t="str">
        <f>IFERROR(__xludf.DUMMYFUNCTION("""COMPUTED_VALUE"""),"Pending")</f>
        <v>Pending</v>
      </c>
    </row>
    <row r="171">
      <c r="A171" s="2" t="str">
        <f>IFERROR(__xludf.DUMMYFUNCTION("""COMPUTED_VALUE"""),"Aguileta ")</f>
        <v>Aguileta </v>
      </c>
      <c r="B171" s="2" t="str">
        <f>IFERROR(__xludf.DUMMYFUNCTION("""COMPUTED_VALUE"""),"Miguel ")</f>
        <v>Miguel </v>
      </c>
      <c r="C171" s="2" t="str">
        <f>IFERROR(__xludf.DUMMYFUNCTION("""COMPUTED_VALUE"""),"Key Personnel")</f>
        <v>Key Personnel</v>
      </c>
      <c r="D171" s="2" t="str">
        <f>IFERROR(__xludf.DUMMYFUNCTION("""COMPUTED_VALUE"""),"Spillantini")</f>
        <v>Spillantini</v>
      </c>
      <c r="E171" s="2" t="str">
        <f>IFERROR(__xludf.DUMMYFUNCTION("""COMPUTED_VALUE"""),"Postdoctoral Researcher")</f>
        <v>Postdoctoral Researcher</v>
      </c>
      <c r="F171" s="2" t="str">
        <f>IFERROR(__xludf.DUMMYFUNCTION("""COMPUTED_VALUE"""),"ma2127@cam.ac.uk")</f>
        <v>ma2127@cam.ac.uk</v>
      </c>
      <c r="G171" s="2" t="str">
        <f>IFERROR(__xludf.DUMMYFUNCTION("""COMPUTED_VALUE"""),"0000-0002-7340-5821")</f>
        <v>0000-0002-7340-5821</v>
      </c>
    </row>
    <row r="172">
      <c r="A172" s="2" t="str">
        <f>IFERROR(__xludf.DUMMYFUNCTION("""COMPUTED_VALUE"""),"Bogacki")</f>
        <v>Bogacki</v>
      </c>
      <c r="B172" s="2" t="str">
        <f>IFERROR(__xludf.DUMMYFUNCTION("""COMPUTED_VALUE"""),"Erin")</f>
        <v>Erin</v>
      </c>
      <c r="C172" s="2" t="str">
        <f>IFERROR(__xludf.DUMMYFUNCTION("""COMPUTED_VALUE"""),"Key Personnel")</f>
        <v>Key Personnel</v>
      </c>
      <c r="D172" s="2" t="str">
        <f>IFERROR(__xludf.DUMMYFUNCTION("""COMPUTED_VALUE"""),"Lewis")</f>
        <v>Lewis</v>
      </c>
      <c r="E172" s="2" t="str">
        <f>IFERROR(__xludf.DUMMYFUNCTION("""COMPUTED_VALUE"""),"0.2 Research Technician ")</f>
        <v>0.2 Research Technician </v>
      </c>
      <c r="F172" s="2" t="str">
        <f>IFERROR(__xludf.DUMMYFUNCTION("""COMPUTED_VALUE"""),"erin.bogacki@nih.gov")</f>
        <v>erin.bogacki@nih.gov</v>
      </c>
      <c r="G172" s="2" t="str">
        <f>IFERROR(__xludf.DUMMYFUNCTION("""COMPUTED_VALUE"""),"0000-0001-9594-8272")</f>
        <v>0000-0001-9594-8272</v>
      </c>
    </row>
    <row r="173">
      <c r="A173" s="2" t="str">
        <f>IFERROR(__xludf.DUMMYFUNCTION("""COMPUTED_VALUE"""),"Strusi ")</f>
        <v>Strusi </v>
      </c>
      <c r="B173" s="2" t="str">
        <f>IFERROR(__xludf.DUMMYFUNCTION("""COMPUTED_VALUE"""),"Gabriele")</f>
        <v>Gabriele</v>
      </c>
      <c r="C173" s="2" t="str">
        <f>IFERROR(__xludf.DUMMYFUNCTION("""COMPUTED_VALUE"""),"Key Personnel")</f>
        <v>Key Personnel</v>
      </c>
      <c r="D173" s="2" t="str">
        <f>IFERROR(__xludf.DUMMYFUNCTION("""COMPUTED_VALUE"""),"Spillantini")</f>
        <v>Spillantini</v>
      </c>
      <c r="E173" s="2" t="str">
        <f>IFERROR(__xludf.DUMMYFUNCTION("""COMPUTED_VALUE"""),"Postdoctoral Researcher")</f>
        <v>Postdoctoral Researcher</v>
      </c>
      <c r="F173" s="2" t="str">
        <f>IFERROR(__xludf.DUMMYFUNCTION("""COMPUTED_VALUE"""),"gs784@cam.ac.uk")</f>
        <v>gs784@cam.ac.uk</v>
      </c>
      <c r="G173" s="2" t="str">
        <f>IFERROR(__xludf.DUMMYFUNCTION("""COMPUTED_VALUE"""),"0000-0002-7022-2480")</f>
        <v>0000-0002-7022-2480</v>
      </c>
    </row>
    <row r="174">
      <c r="A174" s="2" t="str">
        <f>IFERROR(__xludf.DUMMYFUNCTION("""COMPUTED_VALUE"""),"Garcia Ruiz")</f>
        <v>Garcia Ruiz</v>
      </c>
      <c r="B174" s="2" t="str">
        <f>IFERROR(__xludf.DUMMYFUNCTION("""COMPUTED_VALUE"""),"Sonia ")</f>
        <v>Sonia </v>
      </c>
      <c r="C174" s="2" t="str">
        <f>IFERROR(__xludf.DUMMYFUNCTION("""COMPUTED_VALUE"""),"Key Personnel")</f>
        <v>Key Personnel</v>
      </c>
      <c r="D174" s="2" t="str">
        <f>IFERROR(__xludf.DUMMYFUNCTION("""COMPUTED_VALUE"""),"Ryten")</f>
        <v>Ryten</v>
      </c>
      <c r="E174" s="2" t="str">
        <f>IFERROR(__xludf.DUMMYFUNCTION("""COMPUTED_VALUE"""),"Post Doc Research Associate ")</f>
        <v>Post Doc Research Associate </v>
      </c>
      <c r="F174" s="2" t="str">
        <f>IFERROR(__xludf.DUMMYFUNCTION("""COMPUTED_VALUE"""),"sg2173@cam.ac.uk")</f>
        <v>sg2173@cam.ac.uk</v>
      </c>
      <c r="G174" s="2" t="str">
        <f>IFERROR(__xludf.DUMMYFUNCTION("""COMPUTED_VALUE"""),"0000-0003-4913-5312")</f>
        <v>0000-0003-4913-5312</v>
      </c>
    </row>
    <row r="175">
      <c r="A175" s="2" t="str">
        <f>IFERROR(__xludf.DUMMYFUNCTION("""COMPUTED_VALUE"""),"Fairbrother-Browne")</f>
        <v>Fairbrother-Browne</v>
      </c>
      <c r="B175" s="2" t="str">
        <f>IFERROR(__xludf.DUMMYFUNCTION("""COMPUTED_VALUE"""),"Aine")</f>
        <v>Aine</v>
      </c>
      <c r="C175" s="2" t="str">
        <f>IFERROR(__xludf.DUMMYFUNCTION("""COMPUTED_VALUE"""),"Key Personnel")</f>
        <v>Key Personnel</v>
      </c>
      <c r="D175" s="2" t="str">
        <f>IFERROR(__xludf.DUMMYFUNCTION("""COMPUTED_VALUE"""),"Ryten")</f>
        <v>Ryten</v>
      </c>
      <c r="E175" s="2" t="str">
        <f>IFERROR(__xludf.DUMMYFUNCTION("""COMPUTED_VALUE"""),"Research Fellow")</f>
        <v>Research Fellow</v>
      </c>
      <c r="F175" s="2" t="str">
        <f>IFERROR(__xludf.DUMMYFUNCTION("""COMPUTED_VALUE"""),"aine.fairbrother-browne.18@ucl.ac.uk")</f>
        <v>aine.fairbrother-browne.18@ucl.ac.uk</v>
      </c>
      <c r="G175" s="2" t="str">
        <f>IFERROR(__xludf.DUMMYFUNCTION("""COMPUTED_VALUE"""),"0000-0002-7196-1410")</f>
        <v>0000-0002-7196-1410</v>
      </c>
    </row>
    <row r="176">
      <c r="A176" s="2" t="str">
        <f>IFERROR(__xludf.DUMMYFUNCTION("""COMPUTED_VALUE"""),"Kelly")</f>
        <v>Kelly</v>
      </c>
      <c r="B176" s="2" t="str">
        <f>IFERROR(__xludf.DUMMYFUNCTION("""COMPUTED_VALUE"""),"Katie")</f>
        <v>Katie</v>
      </c>
      <c r="C176" s="2" t="str">
        <f>IFERROR(__xludf.DUMMYFUNCTION("""COMPUTED_VALUE"""),"Key Personnel")</f>
        <v>Key Personnel</v>
      </c>
      <c r="D176" s="2" t="str">
        <f>IFERROR(__xludf.DUMMYFUNCTION("""COMPUTED_VALUE"""),"Plun-Favreau")</f>
        <v>Plun-Favreau</v>
      </c>
      <c r="E176" s="2" t="str">
        <f>IFERROR(__xludf.DUMMYFUNCTION("""COMPUTED_VALUE"""),"PhD Student")</f>
        <v>PhD Student</v>
      </c>
      <c r="F176" s="2" t="str">
        <f>IFERROR(__xludf.DUMMYFUNCTION("""COMPUTED_VALUE"""),"katie.kelly.14@ucl.ac.uk")</f>
        <v>katie.kelly.14@ucl.ac.uk</v>
      </c>
      <c r="G176" s="2" t="str">
        <f>IFERROR(__xludf.DUMMYFUNCTION("""COMPUTED_VALUE"""),"0000-0002-9466-1680")</f>
        <v>0000-0002-9466-1680</v>
      </c>
    </row>
    <row r="177">
      <c r="A177" s="2" t="str">
        <f>IFERROR(__xludf.DUMMYFUNCTION("""COMPUTED_VALUE"""),"Martinez-Carrasco")</f>
        <v>Martinez-Carrasco</v>
      </c>
      <c r="B177" s="2" t="str">
        <f>IFERROR(__xludf.DUMMYFUNCTION("""COMPUTED_VALUE"""),"Alejandro")</f>
        <v>Alejandro</v>
      </c>
      <c r="C177" s="2" t="str">
        <f>IFERROR(__xludf.DUMMYFUNCTION("""COMPUTED_VALUE"""),"Key Personnel")</f>
        <v>Key Personnel</v>
      </c>
      <c r="D177" s="2" t="str">
        <f>IFERROR(__xludf.DUMMYFUNCTION("""COMPUTED_VALUE"""),"Morris")</f>
        <v>Morris</v>
      </c>
      <c r="E177" s="2" t="str">
        <f>IFERROR(__xludf.DUMMYFUNCTION("""COMPUTED_VALUE"""),"Postdoc")</f>
        <v>Postdoc</v>
      </c>
      <c r="F177" s="2" t="str">
        <f>IFERROR(__xludf.DUMMYFUNCTION("""COMPUTED_VALUE"""),"alejandro.carrasco.20@ucl.ac.uk")</f>
        <v>alejandro.carrasco.20@ucl.ac.uk</v>
      </c>
      <c r="G177" s="2" t="str">
        <f>IFERROR(__xludf.DUMMYFUNCTION("""COMPUTED_VALUE"""),"0000-0001-6191-1703")</f>
        <v>0000-0001-6191-1703</v>
      </c>
    </row>
    <row r="178">
      <c r="A178" s="2" t="str">
        <f>IFERROR(__xludf.DUMMYFUNCTION("""COMPUTED_VALUE"""),"Avwenagha")</f>
        <v>Avwenagha</v>
      </c>
      <c r="B178" s="2" t="str">
        <f>IFERROR(__xludf.DUMMYFUNCTION("""COMPUTED_VALUE"""),"Oke")</f>
        <v>Oke</v>
      </c>
      <c r="C178" s="2" t="str">
        <f>IFERROR(__xludf.DUMMYFUNCTION("""COMPUTED_VALUE"""),"Project Manager")</f>
        <v>Project Manager</v>
      </c>
      <c r="D178" s="2" t="str">
        <f>IFERROR(__xludf.DUMMYFUNCTION("""COMPUTED_VALUE"""),"Hardy")</f>
        <v>Hardy</v>
      </c>
      <c r="E178" s="2" t="str">
        <f>IFERROR(__xludf.DUMMYFUNCTION("""COMPUTED_VALUE"""),"Project Manager")</f>
        <v>Project Manager</v>
      </c>
      <c r="F178" s="2" t="str">
        <f>IFERROR(__xludf.DUMMYFUNCTION("""COMPUTED_VALUE"""),"o.avwenagha@ucl.ac.uk")</f>
        <v>o.avwenagha@ucl.ac.uk</v>
      </c>
      <c r="G178" s="2" t="str">
        <f>IFERROR(__xludf.DUMMYFUNCTION("""COMPUTED_VALUE"""),"0000-0002-8357-9315")</f>
        <v>0000-0002-8357-9315</v>
      </c>
    </row>
    <row r="179">
      <c r="A179" s="2" t="str">
        <f>IFERROR(__xludf.DUMMYFUNCTION("""COMPUTED_VALUE"""),"Mukherjee")</f>
        <v>Mukherjee</v>
      </c>
      <c r="B179" s="2" t="str">
        <f>IFERROR(__xludf.DUMMYFUNCTION("""COMPUTED_VALUE"""),"Progya")</f>
        <v>Progya</v>
      </c>
      <c r="C179" s="2" t="str">
        <f>IFERROR(__xludf.DUMMYFUNCTION("""COMPUTED_VALUE"""),"Key Personnel")</f>
        <v>Key Personnel</v>
      </c>
      <c r="D179" s="2" t="str">
        <f>IFERROR(__xludf.DUMMYFUNCTION("""COMPUTED_VALUE"""),"Frydman")</f>
        <v>Frydman</v>
      </c>
      <c r="E179" s="2" t="str">
        <f>IFERROR(__xludf.DUMMYFUNCTION("""COMPUTED_VALUE"""),"Research Fellow")</f>
        <v>Research Fellow</v>
      </c>
      <c r="F179" s="2"/>
      <c r="G179" s="2" t="str">
        <f>IFERROR(__xludf.DUMMYFUNCTION("""COMPUTED_VALUE"""),"0000-0002-3704-1207")</f>
        <v>0000-0002-3704-1207</v>
      </c>
    </row>
    <row r="180">
      <c r="A180" s="2" t="str">
        <f>IFERROR(__xludf.DUMMYFUNCTION("""COMPUTED_VALUE"""),"Wan")</f>
        <v>Wan</v>
      </c>
      <c r="B180" s="2" t="str">
        <f>IFERROR(__xludf.DUMMYFUNCTION("""COMPUTED_VALUE"""),"Qiaoqiao")</f>
        <v>Qiaoqiao</v>
      </c>
      <c r="C180" s="2" t="str">
        <f>IFERROR(__xludf.DUMMYFUNCTION("""COMPUTED_VALUE"""),"Key Personnel")</f>
        <v>Key Personnel</v>
      </c>
      <c r="D180" s="2" t="str">
        <f>IFERROR(__xludf.DUMMYFUNCTION("""COMPUTED_VALUE"""),"Harper")</f>
        <v>Harper</v>
      </c>
      <c r="E180" s="2" t="str">
        <f>IFERROR(__xludf.DUMMYFUNCTION("""COMPUTED_VALUE"""),"Post-Doc")</f>
        <v>Post-Doc</v>
      </c>
      <c r="F180" s="2" t="str">
        <f>IFERROR(__xludf.DUMMYFUNCTION("""COMPUTED_VALUE"""),"qiaoqiao_wan@hms.harvard.edu")</f>
        <v>qiaoqiao_wan@hms.harvard.edu</v>
      </c>
      <c r="G180" s="2" t="str">
        <f>IFERROR(__xludf.DUMMYFUNCTION("""COMPUTED_VALUE"""),"0000-0002-3521-1030")</f>
        <v>0000-0002-3521-1030</v>
      </c>
    </row>
    <row r="181">
      <c r="A181" s="2" t="str">
        <f>IFERROR(__xludf.DUMMYFUNCTION("""COMPUTED_VALUE"""),"Gilette")</f>
        <v>Gilette</v>
      </c>
      <c r="B181" s="2" t="str">
        <f>IFERROR(__xludf.DUMMYFUNCTION("""COMPUTED_VALUE"""),"Rebecca")</f>
        <v>Rebecca</v>
      </c>
      <c r="C181" s="2" t="str">
        <f>IFERROR(__xludf.DUMMYFUNCTION("""COMPUTED_VALUE"""),"Key Personnel")</f>
        <v>Key Personnel</v>
      </c>
      <c r="D181" s="2" t="str">
        <f>IFERROR(__xludf.DUMMYFUNCTION("""COMPUTED_VALUE"""),"Harper")</f>
        <v>Harper</v>
      </c>
      <c r="E181" s="2" t="str">
        <f>IFERROR(__xludf.DUMMYFUNCTION("""COMPUTED_VALUE"""),"Exectuive Assistant ")</f>
        <v>Exectuive Assistant </v>
      </c>
      <c r="F181" s="2" t="str">
        <f>IFERROR(__xludf.DUMMYFUNCTION("""COMPUTED_VALUE"""),"Rebecca_Gillette@HMS.HARVARD.EDU")</f>
        <v>Rebecca_Gillette@HMS.HARVARD.EDU</v>
      </c>
      <c r="G181" s="2"/>
    </row>
    <row r="182">
      <c r="A182" s="2" t="str">
        <f>IFERROR(__xludf.DUMMYFUNCTION("""COMPUTED_VALUE"""),"Ordureau")</f>
        <v>Ordureau</v>
      </c>
      <c r="B182" s="2" t="str">
        <f>IFERROR(__xludf.DUMMYFUNCTION("""COMPUTED_VALUE"""),"Alban")</f>
        <v>Alban</v>
      </c>
      <c r="C182" s="2" t="str">
        <f>IFERROR(__xludf.DUMMYFUNCTION("""COMPUTED_VALUE"""),"Key Personnel")</f>
        <v>Key Personnel</v>
      </c>
      <c r="D182" s="2" t="str">
        <f>IFERROR(__xludf.DUMMYFUNCTION("""COMPUTED_VALUE"""),"Harper")</f>
        <v>Harper</v>
      </c>
      <c r="E182" s="2" t="str">
        <f>IFERROR(__xludf.DUMMYFUNCTION("""COMPUTED_VALUE"""),"Research Fellow ")</f>
        <v>Research Fellow </v>
      </c>
      <c r="F182" s="2" t="str">
        <f>IFERROR(__xludf.DUMMYFUNCTION("""COMPUTED_VALUE"""),"Alban_ordureau@hms.harvard.edu")</f>
        <v>Alban_ordureau@hms.harvard.edu</v>
      </c>
      <c r="G182" s="2" t="str">
        <f>IFERROR(__xludf.DUMMYFUNCTION("""COMPUTED_VALUE"""),"0000-0002-4924-8520")</f>
        <v>0000-0002-4924-8520</v>
      </c>
    </row>
    <row r="183">
      <c r="A183" s="2" t="str">
        <f>IFERROR(__xludf.DUMMYFUNCTION("""COMPUTED_VALUE"""),"An")</f>
        <v>An</v>
      </c>
      <c r="B183" s="2" t="str">
        <f>IFERROR(__xludf.DUMMYFUNCTION("""COMPUTED_VALUE"""),"Heeseon")</f>
        <v>Heeseon</v>
      </c>
      <c r="C183" s="2" t="str">
        <f>IFERROR(__xludf.DUMMYFUNCTION("""COMPUTED_VALUE"""),"Key Personnel")</f>
        <v>Key Personnel</v>
      </c>
      <c r="D183" s="2" t="str">
        <f>IFERROR(__xludf.DUMMYFUNCTION("""COMPUTED_VALUE"""),"Harper")</f>
        <v>Harper</v>
      </c>
      <c r="E183" s="2" t="str">
        <f>IFERROR(__xludf.DUMMYFUNCTION("""COMPUTED_VALUE"""),"Research Fellow ")</f>
        <v>Research Fellow </v>
      </c>
      <c r="F183" s="2" t="str">
        <f>IFERROR(__xludf.DUMMYFUNCTION("""COMPUTED_VALUE"""),"Heeseon_An@hms.harvard.edu")</f>
        <v>Heeseon_An@hms.harvard.edu</v>
      </c>
      <c r="G183" s="2" t="str">
        <f>IFERROR(__xludf.DUMMYFUNCTION("""COMPUTED_VALUE"""),"0000-0002-8518-4077")</f>
        <v>0000-0002-8518-4077</v>
      </c>
    </row>
    <row r="184">
      <c r="A184" s="2" t="str">
        <f>IFERROR(__xludf.DUMMYFUNCTION("""COMPUTED_VALUE"""),"Eapen")</f>
        <v>Eapen</v>
      </c>
      <c r="B184" s="2" t="str">
        <f>IFERROR(__xludf.DUMMYFUNCTION("""COMPUTED_VALUE"""),"Vinay")</f>
        <v>Vinay</v>
      </c>
      <c r="C184" s="2" t="str">
        <f>IFERROR(__xludf.DUMMYFUNCTION("""COMPUTED_VALUE"""),"Key Personnel")</f>
        <v>Key Personnel</v>
      </c>
      <c r="D184" s="2" t="str">
        <f>IFERROR(__xludf.DUMMYFUNCTION("""COMPUTED_VALUE"""),"Harper")</f>
        <v>Harper</v>
      </c>
      <c r="E184" s="2" t="str">
        <f>IFERROR(__xludf.DUMMYFUNCTION("""COMPUTED_VALUE"""),"Research Fellow ")</f>
        <v>Research Fellow </v>
      </c>
      <c r="F184" s="2" t="str">
        <f>IFERROR(__xludf.DUMMYFUNCTION("""COMPUTED_VALUE"""),"Vinay_Eapen@hms.harvard.edu")</f>
        <v>Vinay_Eapen@hms.harvard.edu</v>
      </c>
      <c r="G184" s="2" t="str">
        <f>IFERROR(__xludf.DUMMYFUNCTION("""COMPUTED_VALUE"""),"0000-0002-8023-387X")</f>
        <v>0000-0002-8023-387X</v>
      </c>
    </row>
    <row r="185">
      <c r="A185" s="2" t="str">
        <f>IFERROR(__xludf.DUMMYFUNCTION("""COMPUTED_VALUE"""),"Holthusen")</f>
        <v>Holthusen</v>
      </c>
      <c r="B185" s="2" t="str">
        <f>IFERROR(__xludf.DUMMYFUNCTION("""COMPUTED_VALUE"""),"Hauke")</f>
        <v>Hauke</v>
      </c>
      <c r="C185" s="2" t="str">
        <f>IFERROR(__xludf.DUMMYFUNCTION("""COMPUTED_VALUE"""),"Key Personnel")</f>
        <v>Key Personnel</v>
      </c>
      <c r="D185" s="2" t="str">
        <f>IFERROR(__xludf.DUMMYFUNCTION("""COMPUTED_VALUE"""),"Hartl")</f>
        <v>Hartl</v>
      </c>
      <c r="E185" s="2" t="str">
        <f>IFERROR(__xludf.DUMMYFUNCTION("""COMPUTED_VALUE"""),"Grad Student ")</f>
        <v>Grad Student </v>
      </c>
      <c r="F185" s="2" t="str">
        <f>IFERROR(__xludf.DUMMYFUNCTION("""COMPUTED_VALUE"""),"holthusen@biochem.mpg.de")</f>
        <v>holthusen@biochem.mpg.de</v>
      </c>
      <c r="G185" s="2"/>
    </row>
    <row r="186">
      <c r="A186" s="2" t="str">
        <f>IFERROR(__xludf.DUMMYFUNCTION("""COMPUTED_VALUE"""),"Juliana")</f>
        <v>Juliana</v>
      </c>
      <c r="B186" s="2" t="str">
        <f>IFERROR(__xludf.DUMMYFUNCTION("""COMPUTED_VALUE"""),"Abramovich")</f>
        <v>Abramovich</v>
      </c>
      <c r="C186" s="2" t="str">
        <f>IFERROR(__xludf.DUMMYFUNCTION("""COMPUTED_VALUE"""),"Key Personnel")</f>
        <v>Key Personnel</v>
      </c>
      <c r="D186" s="2" t="str">
        <f>IFERROR(__xludf.DUMMYFUNCTION("""COMPUTED_VALUE"""),"Frydman")</f>
        <v>Frydman</v>
      </c>
      <c r="E186" s="2" t="str">
        <f>IFERROR(__xludf.DUMMYFUNCTION("""COMPUTED_VALUE"""),"Grad Student ")</f>
        <v>Grad Student </v>
      </c>
      <c r="F186" s="2" t="str">
        <f>IFERROR(__xludf.DUMMYFUNCTION("""COMPUTED_VALUE"""),"jabramov@stanford.edu")</f>
        <v>jabramov@stanford.edu</v>
      </c>
      <c r="G186" s="2"/>
    </row>
    <row r="187">
      <c r="A187" s="2" t="str">
        <f>IFERROR(__xludf.DUMMYFUNCTION("""COMPUTED_VALUE"""),"Park")</f>
        <v>Park</v>
      </c>
      <c r="B187" s="2" t="str">
        <f>IFERROR(__xludf.DUMMYFUNCTION("""COMPUTED_VALUE"""),"Hankum")</f>
        <v>Hankum</v>
      </c>
      <c r="C187" s="2" t="str">
        <f>IFERROR(__xludf.DUMMYFUNCTION("""COMPUTED_VALUE"""),"Key Personnel")</f>
        <v>Key Personnel</v>
      </c>
      <c r="D187" s="2" t="str">
        <f>IFERROR(__xludf.DUMMYFUNCTION("""COMPUTED_VALUE"""),"Harper")</f>
        <v>Harper</v>
      </c>
      <c r="E187" s="2" t="str">
        <f>IFERROR(__xludf.DUMMYFUNCTION("""COMPUTED_VALUE"""),"Post-Doc")</f>
        <v>Post-Doc</v>
      </c>
      <c r="F187" s="2" t="str">
        <f>IFERROR(__xludf.DUMMYFUNCTION("""COMPUTED_VALUE"""),"hankum_park@hms.harvard.edu")</f>
        <v>hankum_park@hms.harvard.edu</v>
      </c>
      <c r="G187" s="2" t="str">
        <f>IFERROR(__xludf.DUMMYFUNCTION("""COMPUTED_VALUE"""),"0000-0001-5795-3249")</f>
        <v>0000-0001-5795-3249</v>
      </c>
    </row>
    <row r="188">
      <c r="A188" s="2" t="str">
        <f>IFERROR(__xludf.DUMMYFUNCTION("""COMPUTED_VALUE"""),"Collier")</f>
        <v>Collier</v>
      </c>
      <c r="B188" s="2" t="str">
        <f>IFERROR(__xludf.DUMMYFUNCTION("""COMPUTED_VALUE"""),"Miranda")</f>
        <v>Miranda</v>
      </c>
      <c r="C188" s="2" t="str">
        <f>IFERROR(__xludf.DUMMYFUNCTION("""COMPUTED_VALUE"""),"Key Personnel")</f>
        <v>Key Personnel</v>
      </c>
      <c r="D188" s="2" t="str">
        <f>IFERROR(__xludf.DUMMYFUNCTION("""COMPUTED_VALUE"""),"Frydman")</f>
        <v>Frydman</v>
      </c>
      <c r="E188" s="2" t="str">
        <f>IFERROR(__xludf.DUMMYFUNCTION("""COMPUTED_VALUE"""),"Post-Doc")</f>
        <v>Post-Doc</v>
      </c>
      <c r="F188" s="2" t="str">
        <f>IFERROR(__xludf.DUMMYFUNCTION("""COMPUTED_VALUE"""),"mirandacollier@stanford.edu")</f>
        <v>mirandacollier@stanford.edu</v>
      </c>
      <c r="G188" s="2" t="str">
        <f>IFERROR(__xludf.DUMMYFUNCTION("""COMPUTED_VALUE"""),"0000-0002-1258-3173")</f>
        <v>0000-0002-1258-3173</v>
      </c>
    </row>
    <row r="189">
      <c r="A189" s="2" t="str">
        <f>IFERROR(__xludf.DUMMYFUNCTION("""COMPUTED_VALUE"""),"Rainbolt")</f>
        <v>Rainbolt</v>
      </c>
      <c r="B189" s="2" t="str">
        <f>IFERROR(__xludf.DUMMYFUNCTION("""COMPUTED_VALUE"""),"Thomas Kelly")</f>
        <v>Thomas Kelly</v>
      </c>
      <c r="C189" s="2" t="str">
        <f>IFERROR(__xludf.DUMMYFUNCTION("""COMPUTED_VALUE"""),"Key Personnel")</f>
        <v>Key Personnel</v>
      </c>
      <c r="D189" s="2" t="str">
        <f>IFERROR(__xludf.DUMMYFUNCTION("""COMPUTED_VALUE"""),"Frydman")</f>
        <v>Frydman</v>
      </c>
      <c r="E189" s="2" t="str">
        <f>IFERROR(__xludf.DUMMYFUNCTION("""COMPUTED_VALUE"""),"Post-Doc")</f>
        <v>Post-Doc</v>
      </c>
      <c r="F189" s="2" t="str">
        <f>IFERROR(__xludf.DUMMYFUNCTION("""COMPUTED_VALUE"""),"rainbolt@stanford.edu")</f>
        <v>rainbolt@stanford.edu</v>
      </c>
      <c r="G189" s="2" t="str">
        <f>IFERROR(__xludf.DUMMYFUNCTION("""COMPUTED_VALUE"""),"0000-0002-5205-0523")</f>
        <v>0000-0002-5205-0523</v>
      </c>
    </row>
    <row r="190">
      <c r="A190" s="2" t="str">
        <f>IFERROR(__xludf.DUMMYFUNCTION("""COMPUTED_VALUE"""),"Li")</f>
        <v>Li</v>
      </c>
      <c r="B190" s="2" t="str">
        <f>IFERROR(__xludf.DUMMYFUNCTION("""COMPUTED_VALUE"""),"Meijing")</f>
        <v>Meijing</v>
      </c>
      <c r="C190" s="2" t="str">
        <f>IFERROR(__xludf.DUMMYFUNCTION("""COMPUTED_VALUE"""),"Key Personnel")</f>
        <v>Key Personnel</v>
      </c>
      <c r="D190" s="2" t="str">
        <f>IFERROR(__xludf.DUMMYFUNCTION("""COMPUTED_VALUE"""),"Schulman")</f>
        <v>Schulman</v>
      </c>
      <c r="E190" s="2" t="str">
        <f>IFERROR(__xludf.DUMMYFUNCTION("""COMPUTED_VALUE"""),"Post-Doc")</f>
        <v>Post-Doc</v>
      </c>
      <c r="F190" s="2" t="str">
        <f>IFERROR(__xludf.DUMMYFUNCTION("""COMPUTED_VALUE"""),"meijing@biochem.mpg.de")</f>
        <v>meijing@biochem.mpg.de</v>
      </c>
      <c r="G190" s="2" t="str">
        <f>IFERROR(__xludf.DUMMYFUNCTION("""COMPUTED_VALUE""")," 0000-0003-3931-7905")</f>
        <v> 0000-0003-3931-7905</v>
      </c>
    </row>
    <row r="191">
      <c r="A191" s="2" t="str">
        <f>IFERROR(__xludf.DUMMYFUNCTION("""COMPUTED_VALUE"""),"Swarup")</f>
        <v>Swarup</v>
      </c>
      <c r="B191" s="2" t="str">
        <f>IFERROR(__xludf.DUMMYFUNCTION("""COMPUTED_VALUE"""),"Sharan")</f>
        <v>Sharan</v>
      </c>
      <c r="C191" s="2" t="str">
        <f>IFERROR(__xludf.DUMMYFUNCTION("""COMPUTED_VALUE"""),"Key Personnel")</f>
        <v>Key Personnel</v>
      </c>
      <c r="D191" s="2" t="str">
        <f>IFERROR(__xludf.DUMMYFUNCTION("""COMPUTED_VALUE"""),"Harper")</f>
        <v>Harper</v>
      </c>
      <c r="E191" s="2" t="str">
        <f>IFERROR(__xludf.DUMMYFUNCTION("""COMPUTED_VALUE"""),"Research Fellow ")</f>
        <v>Research Fellow </v>
      </c>
      <c r="F191" s="2" t="str">
        <f>IFERROR(__xludf.DUMMYFUNCTION("""COMPUTED_VALUE"""),"sharan_swarup@hms.harvard.edu")</f>
        <v>sharan_swarup@hms.harvard.edu</v>
      </c>
      <c r="G191" s="2" t="str">
        <f>IFERROR(__xludf.DUMMYFUNCTION("""COMPUTED_VALUE"""),"0000-0003-0226-5582")</f>
        <v>0000-0003-0226-5582</v>
      </c>
    </row>
    <row r="192">
      <c r="A192" s="2" t="str">
        <f>IFERROR(__xludf.DUMMYFUNCTION("""COMPUTED_VALUE"""),"Gould")</f>
        <v>Gould</v>
      </c>
      <c r="B192" s="2" t="str">
        <f>IFERROR(__xludf.DUMMYFUNCTION("""COMPUTED_VALUE"""),"Amelia")</f>
        <v>Amelia</v>
      </c>
      <c r="C192" s="2" t="str">
        <f>IFERROR(__xludf.DUMMYFUNCTION("""COMPUTED_VALUE"""),"Key Personnel")</f>
        <v>Key Personnel</v>
      </c>
      <c r="D192" s="2" t="str">
        <f>IFERROR(__xludf.DUMMYFUNCTION("""COMPUTED_VALUE"""),"Harper")</f>
        <v>Harper</v>
      </c>
      <c r="E192" s="2" t="str">
        <f>IFERROR(__xludf.DUMMYFUNCTION("""COMPUTED_VALUE"""),"Staff Assistant")</f>
        <v>Staff Assistant</v>
      </c>
      <c r="F192" s="2" t="str">
        <f>IFERROR(__xludf.DUMMYFUNCTION("""COMPUTED_VALUE"""),"Amelia_Gould@HMS.HARVARD.EDU")</f>
        <v>Amelia_Gould@HMS.HARVARD.EDU</v>
      </c>
      <c r="G192" s="2" t="str">
        <f>IFERROR(__xludf.DUMMYFUNCTION("""COMPUTED_VALUE"""),"0000-0002-0238-8729")</f>
        <v>0000-0002-0238-8729</v>
      </c>
    </row>
    <row r="193">
      <c r="A193" s="2" t="str">
        <f>IFERROR(__xludf.DUMMYFUNCTION("""COMPUTED_VALUE"""),"Trinkaus")</f>
        <v>Trinkaus</v>
      </c>
      <c r="B193" s="2" t="str">
        <f>IFERROR(__xludf.DUMMYFUNCTION("""COMPUTED_VALUE"""),"Victoria")</f>
        <v>Victoria</v>
      </c>
      <c r="C193" s="2" t="str">
        <f>IFERROR(__xludf.DUMMYFUNCTION("""COMPUTED_VALUE"""),"Key Personnel")</f>
        <v>Key Personnel</v>
      </c>
      <c r="D193" s="2" t="str">
        <f>IFERROR(__xludf.DUMMYFUNCTION("""COMPUTED_VALUE"""),"Hartl")</f>
        <v>Hartl</v>
      </c>
      <c r="E193" s="2" t="str">
        <f>IFERROR(__xludf.DUMMYFUNCTION("""COMPUTED_VALUE"""),"Grad Student ")</f>
        <v>Grad Student </v>
      </c>
      <c r="F193" s="2" t="str">
        <f>IFERROR(__xludf.DUMMYFUNCTION("""COMPUTED_VALUE"""),"vtrinkaus@biochem.mpg.de")</f>
        <v>vtrinkaus@biochem.mpg.de</v>
      </c>
      <c r="G193" s="2" t="str">
        <f>IFERROR(__xludf.DUMMYFUNCTION("""COMPUTED_VALUE"""),"0000-0001-8964-6120")</f>
        <v>0000-0001-8964-6120</v>
      </c>
    </row>
    <row r="194">
      <c r="A194" s="2" t="str">
        <f>IFERROR(__xludf.DUMMYFUNCTION("""COMPUTED_VALUE"""),"Paoli")</f>
        <v>Paoli</v>
      </c>
      <c r="B194" s="2" t="str">
        <f>IFERROR(__xludf.DUMMYFUNCTION("""COMPUTED_VALUE"""),"Julia")</f>
        <v>Julia</v>
      </c>
      <c r="C194" s="2" t="str">
        <f>IFERROR(__xludf.DUMMYFUNCTION("""COMPUTED_VALUE"""),"Key Personnel")</f>
        <v>Key Personnel</v>
      </c>
      <c r="D194" s="2" t="str">
        <f>IFERROR(__xludf.DUMMYFUNCTION("""COMPUTED_VALUE"""),"Harper")</f>
        <v>Harper</v>
      </c>
      <c r="E194" s="2" t="str">
        <f>IFERROR(__xludf.DUMMYFUNCTION("""COMPUTED_VALUE"""),"Lab Technician ")</f>
        <v>Lab Technician </v>
      </c>
      <c r="F194" s="2" t="str">
        <f>IFERROR(__xludf.DUMMYFUNCTION("""COMPUTED_VALUE"""),"Julia_Paoli@hms.harvard.edu")</f>
        <v>Julia_Paoli@hms.harvard.edu</v>
      </c>
      <c r="G194" s="2" t="str">
        <f>IFERROR(__xludf.DUMMYFUNCTION("""COMPUTED_VALUE"""),"0000-0001-8266-1766")</f>
        <v>0000-0001-8266-1766</v>
      </c>
    </row>
    <row r="195">
      <c r="A195" s="2" t="str">
        <f>IFERROR(__xludf.DUMMYFUNCTION("""COMPUTED_VALUE"""),"Zhao")</f>
        <v>Zhao</v>
      </c>
      <c r="B195" s="2" t="str">
        <f>IFERROR(__xludf.DUMMYFUNCTION("""COMPUTED_VALUE"""),"Dorothy")</f>
        <v>Dorothy</v>
      </c>
      <c r="C195" s="2" t="str">
        <f>IFERROR(__xludf.DUMMYFUNCTION("""COMPUTED_VALUE"""),"Key Personnel")</f>
        <v>Key Personnel</v>
      </c>
      <c r="D195" s="2" t="str">
        <f>IFERROR(__xludf.DUMMYFUNCTION("""COMPUTED_VALUE"""),"Schulman")</f>
        <v>Schulman</v>
      </c>
      <c r="E195" s="2" t="str">
        <f>IFERROR(__xludf.DUMMYFUNCTION("""COMPUTED_VALUE"""),"Post-Doc")</f>
        <v>Post-Doc</v>
      </c>
      <c r="F195" s="2" t="str">
        <f>IFERROR(__xludf.DUMMYFUNCTION("""COMPUTED_VALUE"""),"dzhao@biochem.mpg.de")</f>
        <v>dzhao@biochem.mpg.de</v>
      </c>
      <c r="G195" s="2" t="str">
        <f>IFERROR(__xludf.DUMMYFUNCTION("""COMPUTED_VALUE"""),"0000-0002-3538-0926")</f>
        <v>0000-0002-3538-0926</v>
      </c>
    </row>
    <row r="196">
      <c r="A196" s="2" t="str">
        <f>IFERROR(__xludf.DUMMYFUNCTION("""COMPUTED_VALUE"""),"Panov")</f>
        <v>Panov</v>
      </c>
      <c r="B196" s="2" t="str">
        <f>IFERROR(__xludf.DUMMYFUNCTION("""COMPUTED_VALUE"""),"Alex")</f>
        <v>Alex</v>
      </c>
      <c r="C196" s="2" t="str">
        <f>IFERROR(__xludf.DUMMYFUNCTION("""COMPUTED_VALUE"""),"Key Personnel")</f>
        <v>Key Personnel</v>
      </c>
      <c r="D196" s="2" t="str">
        <f>IFERROR(__xludf.DUMMYFUNCTION("""COMPUTED_VALUE"""),"Harper")</f>
        <v>Harper</v>
      </c>
      <c r="E196" s="2" t="str">
        <f>IFERROR(__xludf.DUMMYFUNCTION("""COMPUTED_VALUE"""),"Grad Student ")</f>
        <v>Grad Student </v>
      </c>
      <c r="F196" s="2" t="str">
        <f>IFERROR(__xludf.DUMMYFUNCTION("""COMPUTED_VALUE"""),"alex@hms.harvard.edu")</f>
        <v>alex@hms.harvard.edu</v>
      </c>
      <c r="G196" s="2" t="str">
        <f>IFERROR(__xludf.DUMMYFUNCTION("""COMPUTED_VALUE"""),"0000-0002-2960-0291")</f>
        <v>0000-0002-2960-0291</v>
      </c>
    </row>
    <row r="197">
      <c r="A197" s="2" t="str">
        <f>IFERROR(__xludf.DUMMYFUNCTION("""COMPUTED_VALUE"""),"Miguel Whelan")</f>
        <v>Miguel Whelan</v>
      </c>
      <c r="B197" s="2" t="str">
        <f>IFERROR(__xludf.DUMMYFUNCTION("""COMPUTED_VALUE"""),"Enya")</f>
        <v>Enya</v>
      </c>
      <c r="C197" s="2" t="str">
        <f>IFERROR(__xludf.DUMMYFUNCTION("""COMPUTED_VALUE"""),"Key Personnel")</f>
        <v>Key Personnel</v>
      </c>
      <c r="D197" s="2" t="str">
        <f>IFERROR(__xludf.DUMMYFUNCTION("""COMPUTED_VALUE"""),"Harper")</f>
        <v>Harper</v>
      </c>
      <c r="E197" s="2" t="str">
        <f>IFERROR(__xludf.DUMMYFUNCTION("""COMPUTED_VALUE"""),"Lab Technician ")</f>
        <v>Lab Technician </v>
      </c>
      <c r="F197" s="2" t="str">
        <f>IFERROR(__xludf.DUMMYFUNCTION("""COMPUTED_VALUE"""),"Enya_MiguelWhelan@hms.harvard.edu")</f>
        <v>Enya_MiguelWhelan@hms.harvard.edu</v>
      </c>
      <c r="G197" s="2" t="str">
        <f>IFERROR(__xludf.DUMMYFUNCTION("""COMPUTED_VALUE"""),"0000-0003-1525-7207")</f>
        <v>0000-0003-1525-7207</v>
      </c>
    </row>
    <row r="198">
      <c r="A198" s="2" t="str">
        <f>IFERROR(__xludf.DUMMYFUNCTION("""COMPUTED_VALUE"""),"Levent")</f>
        <v>Levent</v>
      </c>
      <c r="B198" s="2" t="str">
        <f>IFERROR(__xludf.DUMMYFUNCTION("""COMPUTED_VALUE"""),"Bas")</f>
        <v>Bas</v>
      </c>
      <c r="C198" s="2" t="str">
        <f>IFERROR(__xludf.DUMMYFUNCTION("""COMPUTED_VALUE"""),"Key Personnel")</f>
        <v>Key Personnel</v>
      </c>
      <c r="D198" s="2" t="str">
        <f>IFERROR(__xludf.DUMMYFUNCTION("""COMPUTED_VALUE"""),"Schulman")</f>
        <v>Schulman</v>
      </c>
      <c r="E198" s="2" t="str">
        <f>IFERROR(__xludf.DUMMYFUNCTION("""COMPUTED_VALUE"""),"Post-Doc")</f>
        <v>Post-Doc</v>
      </c>
      <c r="F198" s="2" t="str">
        <f>IFERROR(__xludf.DUMMYFUNCTION("""COMPUTED_VALUE"""),"bas@biochem.mpg.de")</f>
        <v>bas@biochem.mpg.de</v>
      </c>
      <c r="G198" s="2" t="str">
        <f>IFERROR(__xludf.DUMMYFUNCTION("""COMPUTED_VALUE"""),"0000-0002-9007-012X")</f>
        <v>0000-0002-9007-012X</v>
      </c>
    </row>
    <row r="199">
      <c r="A199" s="2" t="str">
        <f>IFERROR(__xludf.DUMMYFUNCTION("""COMPUTED_VALUE"""),"Hoyer")</f>
        <v>Hoyer</v>
      </c>
      <c r="B199" s="2" t="str">
        <f>IFERROR(__xludf.DUMMYFUNCTION("""COMPUTED_VALUE"""),"Melissa")</f>
        <v>Melissa</v>
      </c>
      <c r="C199" s="2" t="str">
        <f>IFERROR(__xludf.DUMMYFUNCTION("""COMPUTED_VALUE"""),"Key Personnel")</f>
        <v>Key Personnel</v>
      </c>
      <c r="D199" s="2" t="str">
        <f>IFERROR(__xludf.DUMMYFUNCTION("""COMPUTED_VALUE"""),"Harper")</f>
        <v>Harper</v>
      </c>
      <c r="E199" s="2" t="str">
        <f>IFERROR(__xludf.DUMMYFUNCTION("""COMPUTED_VALUE"""),"Post-Doc")</f>
        <v>Post-Doc</v>
      </c>
      <c r="F199" s="2" t="str">
        <f>IFERROR(__xludf.DUMMYFUNCTION("""COMPUTED_VALUE"""),"melissa_hoyer@hms.harvard.edu")</f>
        <v>melissa_hoyer@hms.harvard.edu</v>
      </c>
      <c r="G199" s="2" t="str">
        <f>IFERROR(__xludf.DUMMYFUNCTION("""COMPUTED_VALUE"""),"0000-0003-0858-4998")</f>
        <v>0000-0003-0858-4998</v>
      </c>
    </row>
    <row r="200">
      <c r="A200" s="2" t="str">
        <f>IFERROR(__xludf.DUMMYFUNCTION("""COMPUTED_VALUE"""),"Hollingsworth")</f>
        <v>Hollingsworth</v>
      </c>
      <c r="B200" s="2" t="str">
        <f>IFERROR(__xludf.DUMMYFUNCTION("""COMPUTED_VALUE"""),"Louis ""Bobby""")</f>
        <v>Louis "Bobby"</v>
      </c>
      <c r="C200" s="2" t="str">
        <f>IFERROR(__xludf.DUMMYFUNCTION("""COMPUTED_VALUE"""),"Key Personnel")</f>
        <v>Key Personnel</v>
      </c>
      <c r="D200" s="2" t="str">
        <f>IFERROR(__xludf.DUMMYFUNCTION("""COMPUTED_VALUE"""),"Harper")</f>
        <v>Harper</v>
      </c>
      <c r="E200" s="2" t="str">
        <f>IFERROR(__xludf.DUMMYFUNCTION("""COMPUTED_VALUE"""),"Post-Doc")</f>
        <v>Post-Doc</v>
      </c>
      <c r="F200" s="2" t="str">
        <f>IFERROR(__xludf.DUMMYFUNCTION("""COMPUTED_VALUE"""),"louishollingsworth@g.harvard.edu")</f>
        <v>louishollingsworth@g.harvard.edu</v>
      </c>
      <c r="G200" s="2" t="str">
        <f>IFERROR(__xludf.DUMMYFUNCTION("""COMPUTED_VALUE"""),"0000-0002-4130-3580")</f>
        <v>0000-0002-4130-3580</v>
      </c>
    </row>
    <row r="201">
      <c r="A201" s="2" t="str">
        <f>IFERROR(__xludf.DUMMYFUNCTION("""COMPUTED_VALUE"""),"Kraus")</f>
        <v>Kraus</v>
      </c>
      <c r="B201" s="2" t="str">
        <f>IFERROR(__xludf.DUMMYFUNCTION("""COMPUTED_VALUE"""),"Felix")</f>
        <v>Felix</v>
      </c>
      <c r="C201" s="2" t="str">
        <f>IFERROR(__xludf.DUMMYFUNCTION("""COMPUTED_VALUE"""),"Project Manager")</f>
        <v>Project Manager</v>
      </c>
      <c r="D201" s="2" t="str">
        <f>IFERROR(__xludf.DUMMYFUNCTION("""COMPUTED_VALUE"""),"Harper")</f>
        <v>Harper</v>
      </c>
      <c r="E201" s="2" t="str">
        <f>IFERROR(__xludf.DUMMYFUNCTION("""COMPUTED_VALUE"""),"Project Manager")</f>
        <v>Project Manager</v>
      </c>
      <c r="F201" s="2" t="str">
        <f>IFERROR(__xludf.DUMMYFUNCTION("""COMPUTED_VALUE"""),"felix_kraus@hms.harvard.edu")</f>
        <v>felix_kraus@hms.harvard.edu</v>
      </c>
      <c r="G201" s="2" t="str">
        <f>IFERROR(__xludf.DUMMYFUNCTION("""COMPUTED_VALUE"""),"0000-0002-3757-541X")</f>
        <v>0000-0002-3757-541X</v>
      </c>
    </row>
    <row r="202">
      <c r="A202" s="2" t="str">
        <f>IFERROR(__xludf.DUMMYFUNCTION("""COMPUTED_VALUE"""),"Avenir")</f>
        <v>Avenir</v>
      </c>
      <c r="B202" s="2" t="str">
        <f>IFERROR(__xludf.DUMMYFUNCTION("""COMPUTED_VALUE"""),"Ranen ")</f>
        <v>Ranen </v>
      </c>
      <c r="C202" s="2" t="str">
        <f>IFERROR(__xludf.DUMMYFUNCTION("""COMPUTED_VALUE"""),"Key Personnel")</f>
        <v>Key Personnel</v>
      </c>
      <c r="D202" s="2" t="str">
        <f>IFERROR(__xludf.DUMMYFUNCTION("""COMPUTED_VALUE"""),"Frydman")</f>
        <v>Frydman</v>
      </c>
      <c r="E202" s="2" t="str">
        <f>IFERROR(__xludf.DUMMYFUNCTION("""COMPUTED_VALUE"""),"Post-Doc")</f>
        <v>Post-Doc</v>
      </c>
      <c r="F202" s="2" t="str">
        <f>IFERROR(__xludf.DUMMYFUNCTION("""COMPUTED_VALUE"""),"ranen@stanford.edu")</f>
        <v>ranen@stanford.edu</v>
      </c>
      <c r="G202" s="2" t="str">
        <f>IFERROR(__xludf.DUMMYFUNCTION("""COMPUTED_VALUE"""),"0000-0002-2476-6487")</f>
        <v>0000-0002-2476-6487</v>
      </c>
    </row>
    <row r="203">
      <c r="A203" s="2" t="str">
        <f>IFERROR(__xludf.DUMMYFUNCTION("""COMPUTED_VALUE"""),"Lee")</f>
        <v>Lee</v>
      </c>
      <c r="B203" s="2" t="str">
        <f>IFERROR(__xludf.DUMMYFUNCTION("""COMPUTED_VALUE"""),"Chan")</f>
        <v>Chan</v>
      </c>
      <c r="C203" s="2" t="str">
        <f>IFERROR(__xludf.DUMMYFUNCTION("""COMPUTED_VALUE"""),"Key Personnel")</f>
        <v>Key Personnel</v>
      </c>
      <c r="D203" s="2" t="str">
        <f>IFERROR(__xludf.DUMMYFUNCTION("""COMPUTED_VALUE"""),"Harper")</f>
        <v>Harper</v>
      </c>
      <c r="E203" s="2" t="str">
        <f>IFERROR(__xludf.DUMMYFUNCTION("""COMPUTED_VALUE"""),"Post-Doc")</f>
        <v>Post-Doc</v>
      </c>
      <c r="F203" s="2" t="str">
        <f>IFERROR(__xludf.DUMMYFUNCTION("""COMPUTED_VALUE"""),"Chan_Lee@hms.harvard.edu")</f>
        <v>Chan_Lee@hms.harvard.edu</v>
      </c>
      <c r="G203" s="2" t="str">
        <f>IFERROR(__xludf.DUMMYFUNCTION("""COMPUTED_VALUE"""),"0000-0002-5512-8146")</f>
        <v>0000-0002-5512-8146</v>
      </c>
    </row>
    <row r="204">
      <c r="A204" s="2" t="str">
        <f>IFERROR(__xludf.DUMMYFUNCTION("""COMPUTED_VALUE"""),"Padman")</f>
        <v>Padman</v>
      </c>
      <c r="B204" s="2" t="str">
        <f>IFERROR(__xludf.DUMMYFUNCTION("""COMPUTED_VALUE"""),"Benjamin")</f>
        <v>Benjamin</v>
      </c>
      <c r="C204" s="2" t="str">
        <f>IFERROR(__xludf.DUMMYFUNCTION("""COMPUTED_VALUE"""),"Key Personnel")</f>
        <v>Key Personnel</v>
      </c>
      <c r="D204" s="2" t="str">
        <f>IFERROR(__xludf.DUMMYFUNCTION("""COMPUTED_VALUE"""),"Lazarou Lab")</f>
        <v>Lazarou Lab</v>
      </c>
      <c r="E204" s="2" t="str">
        <f>IFERROR(__xludf.DUMMYFUNCTION("""COMPUTED_VALUE"""),"Postdoc")</f>
        <v>Postdoc</v>
      </c>
      <c r="F204" s="2" t="str">
        <f>IFERROR(__xludf.DUMMYFUNCTION("""COMPUTED_VALUE"""),"benjamin.Padman@monash.edu")</f>
        <v>benjamin.Padman@monash.edu</v>
      </c>
      <c r="G204" s="2" t="str">
        <f>IFERROR(__xludf.DUMMYFUNCTION("""COMPUTED_VALUE"""),"0000-0002-5710-6100")</f>
        <v>0000-0002-5710-6100</v>
      </c>
    </row>
    <row r="205">
      <c r="A205" s="2" t="str">
        <f>IFERROR(__xludf.DUMMYFUNCTION("""COMPUTED_VALUE"""),"Turco")</f>
        <v>Turco</v>
      </c>
      <c r="B205" s="2" t="str">
        <f>IFERROR(__xludf.DUMMYFUNCTION("""COMPUTED_VALUE"""),"Eleonora ")</f>
        <v>Eleonora </v>
      </c>
      <c r="C205" s="2" t="str">
        <f>IFERROR(__xludf.DUMMYFUNCTION("""COMPUTED_VALUE"""),"Key Personnel")</f>
        <v>Key Personnel</v>
      </c>
      <c r="D205" s="2" t="str">
        <f>IFERROR(__xludf.DUMMYFUNCTION("""COMPUTED_VALUE"""),"Martens Lab")</f>
        <v>Martens Lab</v>
      </c>
      <c r="E205" s="2" t="str">
        <f>IFERROR(__xludf.DUMMYFUNCTION("""COMPUTED_VALUE"""),"Postdoc")</f>
        <v>Postdoc</v>
      </c>
      <c r="F205" s="2" t="str">
        <f>IFERROR(__xludf.DUMMYFUNCTION("""COMPUTED_VALUE"""),"eleonora.turco@univie.ac.at")</f>
        <v>eleonora.turco@univie.ac.at</v>
      </c>
      <c r="G205" s="2" t="str">
        <f>IFERROR(__xludf.DUMMYFUNCTION("""COMPUTED_VALUE"""),"0000-0002-5266-4592")</f>
        <v>0000-0002-5266-4592</v>
      </c>
    </row>
    <row r="206">
      <c r="A206" s="2" t="str">
        <f>IFERROR(__xludf.DUMMYFUNCTION("""COMPUTED_VALUE"""),"Shi")</f>
        <v>Shi</v>
      </c>
      <c r="B206" s="2" t="str">
        <f>IFERROR(__xludf.DUMMYFUNCTION("""COMPUTED_VALUE"""),"Xiaoshan ")</f>
        <v>Xiaoshan </v>
      </c>
      <c r="C206" s="2" t="str">
        <f>IFERROR(__xludf.DUMMYFUNCTION("""COMPUTED_VALUE"""),"Key Personnel")</f>
        <v>Key Personnel</v>
      </c>
      <c r="D206" s="2" t="str">
        <f>IFERROR(__xludf.DUMMYFUNCTION("""COMPUTED_VALUE"""),"Hurley Lab")</f>
        <v>Hurley Lab</v>
      </c>
      <c r="E206" s="2" t="str">
        <f>IFERROR(__xludf.DUMMYFUNCTION("""COMPUTED_VALUE"""),"Postdoc")</f>
        <v>Postdoc</v>
      </c>
      <c r="F206" s="2" t="str">
        <f>IFERROR(__xludf.DUMMYFUNCTION("""COMPUTED_VALUE"""),"shixiaoshan1987@berkeley.edu")</f>
        <v>shixiaoshan1987@berkeley.edu</v>
      </c>
      <c r="G206" s="2" t="str">
        <f>IFERROR(__xludf.DUMMYFUNCTION("""COMPUTED_VALUE"""),"0000-0001-7931-8684")</f>
        <v>0000-0001-7931-8684</v>
      </c>
    </row>
    <row r="207">
      <c r="A207" s="2" t="str">
        <f>IFERROR(__xludf.DUMMYFUNCTION("""COMPUTED_VALUE"""),"Evans")</f>
        <v>Evans</v>
      </c>
      <c r="B207" s="2" t="str">
        <f>IFERROR(__xludf.DUMMYFUNCTION("""COMPUTED_VALUE"""),"Chantell")</f>
        <v>Chantell</v>
      </c>
      <c r="C207" s="2" t="str">
        <f>IFERROR(__xludf.DUMMYFUNCTION("""COMPUTED_VALUE"""),"Key Personnel")</f>
        <v>Key Personnel</v>
      </c>
      <c r="D207" s="2" t="str">
        <f>IFERROR(__xludf.DUMMYFUNCTION("""COMPUTED_VALUE"""),"Holzbaur Lab")</f>
        <v>Holzbaur Lab</v>
      </c>
      <c r="E207" s="2" t="str">
        <f>IFERROR(__xludf.DUMMYFUNCTION("""COMPUTED_VALUE"""),"Postdoc")</f>
        <v>Postdoc</v>
      </c>
      <c r="F207" s="2" t="str">
        <f>IFERROR(__xludf.DUMMYFUNCTION("""COMPUTED_VALUE"""),"csevans@pennmedicine.upenn.edu")</f>
        <v>csevans@pennmedicine.upenn.edu</v>
      </c>
      <c r="G207" s="2" t="str">
        <f>IFERROR(__xludf.DUMMYFUNCTION("""COMPUTED_VALUE"""),"0000-0001-9401-8604")</f>
        <v>0000-0001-9401-8604</v>
      </c>
    </row>
    <row r="208">
      <c r="A208" s="2" t="str">
        <f>IFERROR(__xludf.DUMMYFUNCTION("""COMPUTED_VALUE"""),"Boecker")</f>
        <v>Boecker</v>
      </c>
      <c r="B208" s="2" t="str">
        <f>IFERROR(__xludf.DUMMYFUNCTION("""COMPUTED_VALUE"""),"C. Alexander")</f>
        <v>C. Alexander</v>
      </c>
      <c r="C208" s="2" t="str">
        <f>IFERROR(__xludf.DUMMYFUNCTION("""COMPUTED_VALUE"""),"Key Personnel")</f>
        <v>Key Personnel</v>
      </c>
      <c r="D208" s="2" t="str">
        <f>IFERROR(__xludf.DUMMYFUNCTION("""COMPUTED_VALUE"""),"Holzbaur Lab")</f>
        <v>Holzbaur Lab</v>
      </c>
      <c r="E208" s="2" t="str">
        <f>IFERROR(__xludf.DUMMYFUNCTION("""COMPUTED_VALUE"""),"Postdoc")</f>
        <v>Postdoc</v>
      </c>
      <c r="F208" s="2" t="str">
        <f>IFERROR(__xludf.DUMMYFUNCTION("""COMPUTED_VALUE"""),"Alexander.Boecker@pennmedicine.upenn.edu")</f>
        <v>Alexander.Boecker@pennmedicine.upenn.edu</v>
      </c>
      <c r="G208" s="2" t="str">
        <f>IFERROR(__xludf.DUMMYFUNCTION("""COMPUTED_VALUE"""),"0000-0001-9701-5273")</f>
        <v>0000-0001-9701-5273</v>
      </c>
    </row>
    <row r="209">
      <c r="A209" s="2" t="str">
        <f>IFERROR(__xludf.DUMMYFUNCTION("""COMPUTED_VALUE"""),"Chang")</f>
        <v>Chang</v>
      </c>
      <c r="B209" s="2" t="str">
        <f>IFERROR(__xludf.DUMMYFUNCTION("""COMPUTED_VALUE"""),"Chunmei ")</f>
        <v>Chunmei </v>
      </c>
      <c r="C209" s="2" t="str">
        <f>IFERROR(__xludf.DUMMYFUNCTION("""COMPUTED_VALUE"""),"Key Personnel")</f>
        <v>Key Personnel</v>
      </c>
      <c r="D209" s="2" t="str">
        <f>IFERROR(__xludf.DUMMYFUNCTION("""COMPUTED_VALUE"""),"Hurley Lab")</f>
        <v>Hurley Lab</v>
      </c>
      <c r="E209" s="2" t="str">
        <f>IFERROR(__xludf.DUMMYFUNCTION("""COMPUTED_VALUE"""),"Postdoc")</f>
        <v>Postdoc</v>
      </c>
      <c r="F209" s="2" t="str">
        <f>IFERROR(__xludf.DUMMYFUNCTION("""COMPUTED_VALUE"""),"changchunmei@berkeley.edu")</f>
        <v>changchunmei@berkeley.edu</v>
      </c>
      <c r="G209" s="2" t="str">
        <f>IFERROR(__xludf.DUMMYFUNCTION("""COMPUTED_VALUE"""),"0000-0002-5607-7985")</f>
        <v>0000-0002-5607-7985</v>
      </c>
    </row>
    <row r="210">
      <c r="A210" s="2" t="str">
        <f>IFERROR(__xludf.DUMMYFUNCTION("""COMPUTED_VALUE"""),"Garst")</f>
        <v>Garst</v>
      </c>
      <c r="B210" s="2" t="str">
        <f>IFERROR(__xludf.DUMMYFUNCTION("""COMPUTED_VALUE"""),"Emma")</f>
        <v>Emma</v>
      </c>
      <c r="C210" s="2" t="str">
        <f>IFERROR(__xludf.DUMMYFUNCTION("""COMPUTED_VALUE"""),"Key Personnel")</f>
        <v>Key Personnel</v>
      </c>
      <c r="D210" s="2" t="str">
        <f>IFERROR(__xludf.DUMMYFUNCTION("""COMPUTED_VALUE"""),"Hurley Lab")</f>
        <v>Hurley Lab</v>
      </c>
      <c r="E210" s="2" t="str">
        <f>IFERROR(__xludf.DUMMYFUNCTION("""COMPUTED_VALUE"""),"Postdoc")</f>
        <v>Postdoc</v>
      </c>
      <c r="F210" s="2" t="str">
        <f>IFERROR(__xludf.DUMMYFUNCTION("""COMPUTED_VALUE"""),"egarst@berkeley.edu")</f>
        <v>egarst@berkeley.edu</v>
      </c>
      <c r="G210" s="2" t="str">
        <f>IFERROR(__xludf.DUMMYFUNCTION("""COMPUTED_VALUE"""),"0000-0001-8170-2343")</f>
        <v>0000-0001-8170-2343</v>
      </c>
    </row>
    <row r="211">
      <c r="A211" s="2" t="str">
        <f>IFERROR(__xludf.DUMMYFUNCTION("""COMPUTED_VALUE"""),"Strong")</f>
        <v>Strong</v>
      </c>
      <c r="B211" s="2" t="str">
        <f>IFERROR(__xludf.DUMMYFUNCTION("""COMPUTED_VALUE"""),"Lisa")</f>
        <v>Lisa</v>
      </c>
      <c r="C211" s="2" t="str">
        <f>IFERROR(__xludf.DUMMYFUNCTION("""COMPUTED_VALUE"""),"Key Personnel")</f>
        <v>Key Personnel</v>
      </c>
      <c r="D211" s="2" t="str">
        <f>IFERROR(__xludf.DUMMYFUNCTION("""COMPUTED_VALUE"""),"Hurley Lab")</f>
        <v>Hurley Lab</v>
      </c>
      <c r="E211" s="2" t="str">
        <f>IFERROR(__xludf.DUMMYFUNCTION("""COMPUTED_VALUE"""),"Grad Student")</f>
        <v>Grad Student</v>
      </c>
      <c r="F211" s="2" t="str">
        <f>IFERROR(__xludf.DUMMYFUNCTION("""COMPUTED_VALUE"""),"lmstrong@berkeley.edu")</f>
        <v>lmstrong@berkeley.edu</v>
      </c>
      <c r="G211" s="2" t="str">
        <f>IFERROR(__xludf.DUMMYFUNCTION("""COMPUTED_VALUE"""),"0000-0002-4293-8131")</f>
        <v>0000-0002-4293-8131</v>
      </c>
    </row>
    <row r="212">
      <c r="A212" s="2" t="str">
        <f>IFERROR(__xludf.DUMMYFUNCTION("""COMPUTED_VALUE"""),"Rao")</f>
        <v>Rao</v>
      </c>
      <c r="B212" s="2" t="str">
        <f>IFERROR(__xludf.DUMMYFUNCTION("""COMPUTED_VALUE"""),"Shanlin")</f>
        <v>Shanlin</v>
      </c>
      <c r="C212" s="2" t="str">
        <f>IFERROR(__xludf.DUMMYFUNCTION("""COMPUTED_VALUE"""),"Key Personnel")</f>
        <v>Key Personnel</v>
      </c>
      <c r="D212" s="2" t="str">
        <f>IFERROR(__xludf.DUMMYFUNCTION("""COMPUTED_VALUE"""),"Hummer Lab")</f>
        <v>Hummer Lab</v>
      </c>
      <c r="E212" s="2" t="str">
        <f>IFERROR(__xludf.DUMMYFUNCTION("""COMPUTED_VALUE"""),"Postdoc")</f>
        <v>Postdoc</v>
      </c>
      <c r="F212" s="2" t="str">
        <f>IFERROR(__xludf.DUMMYFUNCTION("""COMPUTED_VALUE"""),"shanlin.rao@biophys.mpg.de")</f>
        <v>shanlin.rao@biophys.mpg.de</v>
      </c>
      <c r="G212" s="2" t="str">
        <f>IFERROR(__xludf.DUMMYFUNCTION("""COMPUTED_VALUE"""),"0000-0003-4892-5523")</f>
        <v>0000-0003-4892-5523</v>
      </c>
    </row>
    <row r="213">
      <c r="A213" s="2" t="str">
        <f>IFERROR(__xludf.DUMMYFUNCTION("""COMPUTED_VALUE"""),"Wang")</f>
        <v>Wang</v>
      </c>
      <c r="B213" s="2" t="str">
        <f>IFERROR(__xludf.DUMMYFUNCTION("""COMPUTED_VALUE"""),"Laurie")</f>
        <v>Laurie</v>
      </c>
      <c r="C213" s="2" t="str">
        <f>IFERROR(__xludf.DUMMYFUNCTION("""COMPUTED_VALUE"""),"Key Personnel")</f>
        <v>Key Personnel</v>
      </c>
      <c r="D213" s="2" t="str">
        <f>IFERROR(__xludf.DUMMYFUNCTION("""COMPUTED_VALUE"""),"Hurley Lab")</f>
        <v>Hurley Lab</v>
      </c>
      <c r="E213" s="2" t="str">
        <f>IFERROR(__xludf.DUMMYFUNCTION("""COMPUTED_VALUE"""),"Rotation Student")</f>
        <v>Rotation Student</v>
      </c>
      <c r="F213" s="2" t="str">
        <f>IFERROR(__xludf.DUMMYFUNCTION("""COMPUTED_VALUE"""),"lauriewang@berkeley.edu")</f>
        <v>lauriewang@berkeley.edu</v>
      </c>
      <c r="G213" s="2" t="str">
        <f>IFERROR(__xludf.DUMMYFUNCTION("""COMPUTED_VALUE"""),"0000-0003-0199-8346")</f>
        <v>0000-0003-0199-8346</v>
      </c>
    </row>
    <row r="214">
      <c r="A214" s="2" t="str">
        <f>IFERROR(__xludf.DUMMYFUNCTION("""COMPUTED_VALUE"""),"Sue")</f>
        <v>Sue</v>
      </c>
      <c r="B214" s="2" t="str">
        <f>IFERROR(__xludf.DUMMYFUNCTION("""COMPUTED_VALUE"""),"Sim")</f>
        <v>Sim</v>
      </c>
      <c r="C214" s="2" t="str">
        <f>IFERROR(__xludf.DUMMYFUNCTION("""COMPUTED_VALUE"""),"Key Personnel")</f>
        <v>Key Personnel</v>
      </c>
      <c r="D214" s="2" t="str">
        <f>IFERROR(__xludf.DUMMYFUNCTION("""COMPUTED_VALUE"""),"Park Lab")</f>
        <v>Park Lab</v>
      </c>
      <c r="E214" s="2" t="str">
        <f>IFERROR(__xludf.DUMMYFUNCTION("""COMPUTED_VALUE"""),"Grad Student")</f>
        <v>Grad Student</v>
      </c>
      <c r="F214" s="2" t="str">
        <f>IFERROR(__xludf.DUMMYFUNCTION("""COMPUTED_VALUE"""),"sueim.sim@berkeley.edu")</f>
        <v>sueim.sim@berkeley.edu</v>
      </c>
      <c r="G214" s="2" t="str">
        <f>IFERROR(__xludf.DUMMYFUNCTION("""COMPUTED_VALUE"""),"0000-0003-3560-101X")</f>
        <v>0000-0003-3560-101X</v>
      </c>
    </row>
    <row r="215">
      <c r="A215" s="2" t="str">
        <f>IFERROR(__xludf.DUMMYFUNCTION("""COMPUTED_VALUE"""),"Harding")</f>
        <v>Harding</v>
      </c>
      <c r="B215" s="2" t="str">
        <f>IFERROR(__xludf.DUMMYFUNCTION("""COMPUTED_VALUE"""),"Olivia")</f>
        <v>Olivia</v>
      </c>
      <c r="C215" s="2" t="str">
        <f>IFERROR(__xludf.DUMMYFUNCTION("""COMPUTED_VALUE"""),"Key Personnel")</f>
        <v>Key Personnel</v>
      </c>
      <c r="D215" s="2" t="str">
        <f>IFERROR(__xludf.DUMMYFUNCTION("""COMPUTED_VALUE"""),"Holzbaur Lab")</f>
        <v>Holzbaur Lab</v>
      </c>
      <c r="E215" s="2" t="str">
        <f>IFERROR(__xludf.DUMMYFUNCTION("""COMPUTED_VALUE"""),"Grad Student")</f>
        <v>Grad Student</v>
      </c>
      <c r="F215" s="2" t="str">
        <f>IFERROR(__xludf.DUMMYFUNCTION("""COMPUTED_VALUE"""),"hardingo@pennmedicine.upenn.edu")</f>
        <v>hardingo@pennmedicine.upenn.edu</v>
      </c>
      <c r="G215" s="2" t="str">
        <f>IFERROR(__xludf.DUMMYFUNCTION("""COMPUTED_VALUE"""),"0000-0002-0719-2901")</f>
        <v>0000-0002-0719-2901</v>
      </c>
    </row>
    <row r="216">
      <c r="A216" s="2" t="str">
        <f>IFERROR(__xludf.DUMMYFUNCTION("""COMPUTED_VALUE"""),"Jensen")</f>
        <v>Jensen</v>
      </c>
      <c r="B216" s="2" t="str">
        <f>IFERROR(__xludf.DUMMYFUNCTION("""COMPUTED_VALUE"""),"Liv")</f>
        <v>Liv</v>
      </c>
      <c r="C216" s="2" t="str">
        <f>IFERROR(__xludf.DUMMYFUNCTION("""COMPUTED_VALUE"""),"Key Personnel")</f>
        <v>Key Personnel</v>
      </c>
      <c r="D216" s="2" t="str">
        <f>IFERROR(__xludf.DUMMYFUNCTION("""COMPUTED_VALUE"""),"Hurley Lab")</f>
        <v>Hurley Lab</v>
      </c>
      <c r="E216" s="2" t="str">
        <f>IFERROR(__xludf.DUMMYFUNCTION("""COMPUTED_VALUE"""),"Grad Student")</f>
        <v>Grad Student</v>
      </c>
      <c r="F216" s="2" t="str">
        <f>IFERROR(__xludf.DUMMYFUNCTION("""COMPUTED_VALUE"""),"livjensen@berkeley.edu")</f>
        <v>livjensen@berkeley.edu</v>
      </c>
      <c r="G216" s="2" t="str">
        <f>IFERROR(__xludf.DUMMYFUNCTION("""COMPUTED_VALUE"""),"0000-0003-1492-1743")</f>
        <v>0000-0003-1492-1743</v>
      </c>
    </row>
    <row r="217">
      <c r="A217" s="2" t="str">
        <f>IFERROR(__xludf.DUMMYFUNCTION("""COMPUTED_VALUE"""),"Bernklau")</f>
        <v>Bernklau</v>
      </c>
      <c r="B217" s="2" t="str">
        <f>IFERROR(__xludf.DUMMYFUNCTION("""COMPUTED_VALUE"""),"Daniel")</f>
        <v>Daniel</v>
      </c>
      <c r="C217" s="2" t="str">
        <f>IFERROR(__xludf.DUMMYFUNCTION("""COMPUTED_VALUE"""),"Key Personnel")</f>
        <v>Key Personnel</v>
      </c>
      <c r="D217" s="2" t="str">
        <f>IFERROR(__xludf.DUMMYFUNCTION("""COMPUTED_VALUE"""),"Martens Lab")</f>
        <v>Martens Lab</v>
      </c>
      <c r="E217" s="2" t="str">
        <f>IFERROR(__xludf.DUMMYFUNCTION("""COMPUTED_VALUE"""),"Grad Student")</f>
        <v>Grad Student</v>
      </c>
      <c r="F217" s="2" t="str">
        <f>IFERROR(__xludf.DUMMYFUNCTION("""COMPUTED_VALUE"""),"daniel.bernklau@univie.ac.at")</f>
        <v>daniel.bernklau@univie.ac.at</v>
      </c>
      <c r="G217" s="2" t="str">
        <f>IFERROR(__xludf.DUMMYFUNCTION("""COMPUTED_VALUE"""),"0000-0002-5361-0254")</f>
        <v>0000-0002-5361-0254</v>
      </c>
    </row>
    <row r="218">
      <c r="A218" s="2" t="str">
        <f>IFERROR(__xludf.DUMMYFUNCTION("""COMPUTED_VALUE"""),"Yokom")</f>
        <v>Yokom</v>
      </c>
      <c r="B218" s="2" t="str">
        <f>IFERROR(__xludf.DUMMYFUNCTION("""COMPUTED_VALUE"""),"Adam")</f>
        <v>Adam</v>
      </c>
      <c r="C218" s="2" t="str">
        <f>IFERROR(__xludf.DUMMYFUNCTION("""COMPUTED_VALUE"""),"Key Personnel")</f>
        <v>Key Personnel</v>
      </c>
      <c r="D218" s="2" t="str">
        <f>IFERROR(__xludf.DUMMYFUNCTION("""COMPUTED_VALUE"""),"Hurley Lab")</f>
        <v>Hurley Lab</v>
      </c>
      <c r="E218" s="2" t="str">
        <f>IFERROR(__xludf.DUMMYFUNCTION("""COMPUTED_VALUE"""),"Postdoc")</f>
        <v>Postdoc</v>
      </c>
      <c r="F218" s="2" t="str">
        <f>IFERROR(__xludf.DUMMYFUNCTION("""COMPUTED_VALUE"""),"alyokom@berkeley.edu")</f>
        <v>alyokom@berkeley.edu</v>
      </c>
      <c r="G218" s="2" t="str">
        <f>IFERROR(__xludf.DUMMYFUNCTION("""COMPUTED_VALUE"""),"0000-0002-3746-7961")</f>
        <v>0000-0002-3746-7961</v>
      </c>
    </row>
    <row r="219">
      <c r="A219" s="2" t="str">
        <f>IFERROR(__xludf.DUMMYFUNCTION("""COMPUTED_VALUE"""),"Itskanov")</f>
        <v>Itskanov</v>
      </c>
      <c r="B219" s="2" t="str">
        <f>IFERROR(__xludf.DUMMYFUNCTION("""COMPUTED_VALUE"""),"Sam")</f>
        <v>Sam</v>
      </c>
      <c r="C219" s="2" t="str">
        <f>IFERROR(__xludf.DUMMYFUNCTION("""COMPUTED_VALUE"""),"Key Personnel")</f>
        <v>Key Personnel</v>
      </c>
      <c r="D219" s="2" t="str">
        <f>IFERROR(__xludf.DUMMYFUNCTION("""COMPUTED_VALUE"""),"Park lab")</f>
        <v>Park lab</v>
      </c>
      <c r="E219" s="2" t="str">
        <f>IFERROR(__xludf.DUMMYFUNCTION("""COMPUTED_VALUE"""),"Grad Student")</f>
        <v>Grad Student</v>
      </c>
      <c r="F219" s="2" t="str">
        <f>IFERROR(__xludf.DUMMYFUNCTION("""COMPUTED_VALUE"""),"samuel.itskanov@berkeley.edu")</f>
        <v>samuel.itskanov@berkeley.edu</v>
      </c>
      <c r="G219" s="2" t="str">
        <f>IFERROR(__xludf.DUMMYFUNCTION("""COMPUTED_VALUE"""),"0000-0003-0705-2359")</f>
        <v>0000-0003-0705-2359</v>
      </c>
    </row>
    <row r="220">
      <c r="A220" s="2" t="str">
        <f>IFERROR(__xludf.DUMMYFUNCTION("""COMPUTED_VALUE"""),"von Buelow")</f>
        <v>von Buelow</v>
      </c>
      <c r="B220" s="2" t="str">
        <f>IFERROR(__xludf.DUMMYFUNCTION("""COMPUTED_VALUE"""),"Soeren")</f>
        <v>Soeren</v>
      </c>
      <c r="C220" s="2" t="str">
        <f>IFERROR(__xludf.DUMMYFUNCTION("""COMPUTED_VALUE"""),"Key Personnel")</f>
        <v>Key Personnel</v>
      </c>
      <c r="D220" s="2" t="str">
        <f>IFERROR(__xludf.DUMMYFUNCTION("""COMPUTED_VALUE"""),"Hummer Lab")</f>
        <v>Hummer Lab</v>
      </c>
      <c r="E220" s="2" t="str">
        <f>IFERROR(__xludf.DUMMYFUNCTION("""COMPUTED_VALUE"""),"Grad Student")</f>
        <v>Grad Student</v>
      </c>
      <c r="F220" s="2" t="str">
        <f>IFERROR(__xludf.DUMMYFUNCTION("""COMPUTED_VALUE"""),"Soeren.Buelow@biophys.mpg.de")</f>
        <v>Soeren.Buelow@biophys.mpg.de</v>
      </c>
      <c r="G220" s="2" t="str">
        <f>IFERROR(__xludf.DUMMYFUNCTION("""COMPUTED_VALUE"""),"0000-0001-7125-5973")</f>
        <v>0000-0001-7125-5973</v>
      </c>
    </row>
    <row r="221">
      <c r="A221" s="2" t="str">
        <f>IFERROR(__xludf.DUMMYFUNCTION("""COMPUTED_VALUE"""),"Trapannone")</f>
        <v>Trapannone</v>
      </c>
      <c r="B221" s="2" t="str">
        <f>IFERROR(__xludf.DUMMYFUNCTION("""COMPUTED_VALUE"""),"Riccardo")</f>
        <v>Riccardo</v>
      </c>
      <c r="C221" s="2" t="str">
        <f>IFERROR(__xludf.DUMMYFUNCTION("""COMPUTED_VALUE"""),"Key Personnel")</f>
        <v>Key Personnel</v>
      </c>
      <c r="D221" s="2" t="str">
        <f>IFERROR(__xludf.DUMMYFUNCTION("""COMPUTED_VALUE"""),"Martens Lab")</f>
        <v>Martens Lab</v>
      </c>
      <c r="E221" s="2" t="str">
        <f>IFERROR(__xludf.DUMMYFUNCTION("""COMPUTED_VALUE"""),"Postdoc")</f>
        <v>Postdoc</v>
      </c>
      <c r="F221" s="2" t="str">
        <f>IFERROR(__xludf.DUMMYFUNCTION("""COMPUTED_VALUE"""),"riccardo.trapannone@univie.ac.at")</f>
        <v>riccardo.trapannone@univie.ac.at</v>
      </c>
      <c r="G221" s="2" t="str">
        <f>IFERROR(__xludf.DUMMYFUNCTION("""COMPUTED_VALUE"""),"0000-0003-0222-9207")</f>
        <v>0000-0003-0222-9207</v>
      </c>
    </row>
    <row r="222">
      <c r="A222" s="2" t="str">
        <f>IFERROR(__xludf.DUMMYFUNCTION("""COMPUTED_VALUE"""),"Shoebridge")</f>
        <v>Shoebridge</v>
      </c>
      <c r="B222" s="2" t="str">
        <f>IFERROR(__xludf.DUMMYFUNCTION("""COMPUTED_VALUE"""),"Stephen")</f>
        <v>Stephen</v>
      </c>
      <c r="C222" s="2" t="str">
        <f>IFERROR(__xludf.DUMMYFUNCTION("""COMPUTED_VALUE"""),"Key Personnel")</f>
        <v>Key Personnel</v>
      </c>
      <c r="D222" s="2" t="str">
        <f>IFERROR(__xludf.DUMMYFUNCTION("""COMPUTED_VALUE"""),"Martens Lab")</f>
        <v>Martens Lab</v>
      </c>
      <c r="E222" s="2" t="str">
        <f>IFERROR(__xludf.DUMMYFUNCTION("""COMPUTED_VALUE"""),"Research Technician")</f>
        <v>Research Technician</v>
      </c>
      <c r="F222" s="2" t="str">
        <f>IFERROR(__xludf.DUMMYFUNCTION("""COMPUTED_VALUE"""),"stephen.shoebridge@univie.ac.at")</f>
        <v>stephen.shoebridge@univie.ac.at</v>
      </c>
      <c r="G222" s="2" t="str">
        <f>IFERROR(__xludf.DUMMYFUNCTION("""COMPUTED_VALUE"""),"0000-0002-3555-2855")</f>
        <v>0000-0002-3555-2855</v>
      </c>
    </row>
    <row r="223">
      <c r="A223" s="2" t="str">
        <f>IFERROR(__xludf.DUMMYFUNCTION("""COMPUTED_VALUE"""),"Saunders")</f>
        <v>Saunders</v>
      </c>
      <c r="B223" s="2" t="str">
        <f>IFERROR(__xludf.DUMMYFUNCTION("""COMPUTED_VALUE"""),"Tahnee")</f>
        <v>Tahnee</v>
      </c>
      <c r="C223" s="2" t="str">
        <f>IFERROR(__xludf.DUMMYFUNCTION("""COMPUTED_VALUE"""),"Key Personnel")</f>
        <v>Key Personnel</v>
      </c>
      <c r="D223" s="2" t="str">
        <f>IFERROR(__xludf.DUMMYFUNCTION("""COMPUTED_VALUE"""),"Lazarou Lab")</f>
        <v>Lazarou Lab</v>
      </c>
      <c r="E223" s="2" t="str">
        <f>IFERROR(__xludf.DUMMYFUNCTION("""COMPUTED_VALUE"""),"Postdoc")</f>
        <v>Postdoc</v>
      </c>
      <c r="F223" s="2" t="str">
        <f>IFERROR(__xludf.DUMMYFUNCTION("""COMPUTED_VALUE"""),"saunders.t@wehi.edu.au")</f>
        <v>saunders.t@wehi.edu.au</v>
      </c>
      <c r="G223" s="2" t="str">
        <f>IFERROR(__xludf.DUMMYFUNCTION("""COMPUTED_VALUE"""),"0000-0001-5286-1695")</f>
        <v>0000-0001-5286-1695</v>
      </c>
    </row>
    <row r="224">
      <c r="A224" s="2" t="str">
        <f>IFERROR(__xludf.DUMMYFUNCTION("""COMPUTED_VALUE"""),"Dou")</f>
        <v>Dou</v>
      </c>
      <c r="B224" s="2" t="str">
        <f>IFERROR(__xludf.DUMMYFUNCTION("""COMPUTED_VALUE"""),"Dan")</f>
        <v>Dan</v>
      </c>
      <c r="C224" s="2" t="str">
        <f>IFERROR(__xludf.DUMMYFUNCTION("""COMPUTED_VALUE"""),"Key Personnel")</f>
        <v>Key Personnel</v>
      </c>
      <c r="D224" s="2" t="str">
        <f>IFERROR(__xludf.DUMMYFUNCTION("""COMPUTED_VALUE"""),"Holzbaur Lab")</f>
        <v>Holzbaur Lab</v>
      </c>
      <c r="E224" s="2" t="str">
        <f>IFERROR(__xludf.DUMMYFUNCTION("""COMPUTED_VALUE"""),"Grad Student")</f>
        <v>Grad Student</v>
      </c>
      <c r="F224" s="2" t="str">
        <f>IFERROR(__xludf.DUMMYFUNCTION("""COMPUTED_VALUE"""),"dan.dou@pennmedicine.upenn.edu")</f>
        <v>dan.dou@pennmedicine.upenn.edu</v>
      </c>
      <c r="G224" s="2" t="str">
        <f>IFERROR(__xludf.DUMMYFUNCTION("""COMPUTED_VALUE"""),"0000-0002-6939-4752")</f>
        <v>0000-0002-6939-4752</v>
      </c>
    </row>
    <row r="225">
      <c r="A225" s="2" t="str">
        <f>IFERROR(__xludf.DUMMYFUNCTION("""COMPUTED_VALUE"""),"Juliet")</f>
        <v>Juliet</v>
      </c>
      <c r="B225" s="2" t="str">
        <f>IFERROR(__xludf.DUMMYFUNCTION("""COMPUTED_VALUE"""),"Goldsmith")</f>
        <v>Goldsmith</v>
      </c>
      <c r="C225" s="2" t="str">
        <f>IFERROR(__xludf.DUMMYFUNCTION("""COMPUTED_VALUE"""),"Key Personnel")</f>
        <v>Key Personnel</v>
      </c>
      <c r="D225" s="2" t="str">
        <f>IFERROR(__xludf.DUMMYFUNCTION("""COMPUTED_VALUE"""),"Holzbaur Lab")</f>
        <v>Holzbaur Lab</v>
      </c>
      <c r="E225" s="2" t="str">
        <f>IFERROR(__xludf.DUMMYFUNCTION("""COMPUTED_VALUE"""),"Postdoc")</f>
        <v>Postdoc</v>
      </c>
      <c r="F225" s="2" t="str">
        <f>IFERROR(__xludf.DUMMYFUNCTION("""COMPUTED_VALUE"""),"Juliet.Goldsmith@pennmedicine.upenn.edu")</f>
        <v>Juliet.Goldsmith@pennmedicine.upenn.edu</v>
      </c>
      <c r="G225" s="2" t="str">
        <f>IFERROR(__xludf.DUMMYFUNCTION("""COMPUTED_VALUE"""),"0000-0002-6935-1744")</f>
        <v>0000-0002-6935-1744</v>
      </c>
    </row>
    <row r="226">
      <c r="A226" s="2" t="str">
        <f>IFERROR(__xludf.DUMMYFUNCTION("""COMPUTED_VALUE"""),"Min")</f>
        <v>Min</v>
      </c>
      <c r="B226" s="2" t="str">
        <f>IFERROR(__xludf.DUMMYFUNCTION("""COMPUTED_VALUE"""),"Kyungjin")</f>
        <v>Kyungjin</v>
      </c>
      <c r="C226" s="2" t="str">
        <f>IFERROR(__xludf.DUMMYFUNCTION("""COMPUTED_VALUE"""),"Key Personnel")</f>
        <v>Key Personnel</v>
      </c>
      <c r="D226" s="2" t="str">
        <f>IFERROR(__xludf.DUMMYFUNCTION("""COMPUTED_VALUE"""),"Park lab")</f>
        <v>Park lab</v>
      </c>
      <c r="E226" s="2" t="str">
        <f>IFERROR(__xludf.DUMMYFUNCTION("""COMPUTED_VALUE"""),"Postdoc")</f>
        <v>Postdoc</v>
      </c>
      <c r="F226" s="2" t="str">
        <f>IFERROR(__xludf.DUMMYFUNCTION("""COMPUTED_VALUE"""),"kyungjin.min@berkeley.edu")</f>
        <v>kyungjin.min@berkeley.edu</v>
      </c>
      <c r="G226" s="2" t="str">
        <f>IFERROR(__xludf.DUMMYFUNCTION("""COMPUTED_VALUE"""),"0000-0002-9864-2022")</f>
        <v>0000-0002-9864-2022</v>
      </c>
    </row>
    <row r="227">
      <c r="A227" s="2" t="str">
        <f>IFERROR(__xludf.DUMMYFUNCTION("""COMPUTED_VALUE"""),"Bo Kyung (Amy)")</f>
        <v>Bo Kyung (Amy)</v>
      </c>
      <c r="B227" s="2" t="str">
        <f>IFERROR(__xludf.DUMMYFUNCTION("""COMPUTED_VALUE"""),"Jung")</f>
        <v>Jung</v>
      </c>
      <c r="C227" s="2" t="str">
        <f>IFERROR(__xludf.DUMMYFUNCTION("""COMPUTED_VALUE"""),"Key Personnel")</f>
        <v>Key Personnel</v>
      </c>
      <c r="D227" s="2" t="str">
        <f>IFERROR(__xludf.DUMMYFUNCTION("""COMPUTED_VALUE"""),"Park Lab")</f>
        <v>Park Lab</v>
      </c>
      <c r="E227" s="2" t="str">
        <f>IFERROR(__xludf.DUMMYFUNCTION("""COMPUTED_VALUE"""),"Grad Student")</f>
        <v>Grad Student</v>
      </c>
      <c r="F227" s="2" t="str">
        <f>IFERROR(__xludf.DUMMYFUNCTION("""COMPUTED_VALUE"""),"bkjung@berkeley.edu")</f>
        <v>bkjung@berkeley.edu</v>
      </c>
      <c r="G227" s="2" t="str">
        <f>IFERROR(__xludf.DUMMYFUNCTION("""COMPUTED_VALUE"""),"0009-0000-9257-3997")</f>
        <v>0009-0000-9257-3997</v>
      </c>
    </row>
    <row r="228">
      <c r="A228" s="2" t="str">
        <f>IFERROR(__xludf.DUMMYFUNCTION("""COMPUTED_VALUE"""),"Park")</f>
        <v>Park</v>
      </c>
      <c r="B228" s="2" t="str">
        <f>IFERROR(__xludf.DUMMYFUNCTION("""COMPUTED_VALUE"""),"Eunyong ")</f>
        <v>Eunyong </v>
      </c>
      <c r="C228" s="2" t="str">
        <f>IFERROR(__xludf.DUMMYFUNCTION("""COMPUTED_VALUE"""),"Co-PI")</f>
        <v>Co-PI</v>
      </c>
      <c r="D228" s="2" t="str">
        <f>IFERROR(__xludf.DUMMYFUNCTION("""COMPUTED_VALUE"""),"Park Lab")</f>
        <v>Park Lab</v>
      </c>
      <c r="E228" s="2" t="str">
        <f>IFERROR(__xludf.DUMMYFUNCTION("""COMPUTED_VALUE"""),"PI")</f>
        <v>PI</v>
      </c>
      <c r="F228" s="2" t="str">
        <f>IFERROR(__xludf.DUMMYFUNCTION("""COMPUTED_VALUE"""),"eunyong_park@berkeley.edu")</f>
        <v>eunyong_park@berkeley.edu</v>
      </c>
      <c r="G228" s="2" t="str">
        <f>IFERROR(__xludf.DUMMYFUNCTION("""COMPUTED_VALUE"""),"0000-0003-2994-5174")</f>
        <v>0000-0003-2994-5174</v>
      </c>
    </row>
    <row r="229">
      <c r="A229" s="2" t="str">
        <f>IFERROR(__xludf.DUMMYFUNCTION("""COMPUTED_VALUE"""),"Jönsson")</f>
        <v>Jönsson</v>
      </c>
      <c r="B229" s="2" t="str">
        <f>IFERROR(__xludf.DUMMYFUNCTION("""COMPUTED_VALUE"""),"Marie ")</f>
        <v>Marie </v>
      </c>
      <c r="C229" s="2" t="str">
        <f>IFERROR(__xludf.DUMMYFUNCTION("""COMPUTED_VALUE"""),"Key Personnel")</f>
        <v>Key Personnel</v>
      </c>
      <c r="D229" s="2" t="str">
        <f>IFERROR(__xludf.DUMMYFUNCTION("""COMPUTED_VALUE"""),"Jakobsson")</f>
        <v>Jakobsson</v>
      </c>
      <c r="E229" s="2" t="str">
        <f>IFERROR(__xludf.DUMMYFUNCTION("""COMPUTED_VALUE"""),"Senior Research Associate")</f>
        <v>Senior Research Associate</v>
      </c>
      <c r="F229" s="2" t="str">
        <f>IFERROR(__xludf.DUMMYFUNCTION("""COMPUTED_VALUE"""),"marie.jonsson@med.lu.se")</f>
        <v>marie.jonsson@med.lu.se</v>
      </c>
      <c r="G229" s="2" t="str">
        <f>IFERROR(__xludf.DUMMYFUNCTION("""COMPUTED_VALUE"""),"0000-0002-1184-6269")</f>
        <v>0000-0002-1184-6269</v>
      </c>
    </row>
    <row r="230">
      <c r="A230" s="2" t="str">
        <f>IFERROR(__xludf.DUMMYFUNCTION("""COMPUTED_VALUE"""),"Kouli")</f>
        <v>Kouli</v>
      </c>
      <c r="B230" s="2" t="str">
        <f>IFERROR(__xludf.DUMMYFUNCTION("""COMPUTED_VALUE"""),"Antonina")</f>
        <v>Antonina</v>
      </c>
      <c r="C230" s="2" t="str">
        <f>IFERROR(__xludf.DUMMYFUNCTION("""COMPUTED_VALUE"""),"Unpaid Collaborator")</f>
        <v>Unpaid Collaborator</v>
      </c>
      <c r="D230" s="2" t="str">
        <f>IFERROR(__xludf.DUMMYFUNCTION("""COMPUTED_VALUE"""),"Barker")</f>
        <v>Barker</v>
      </c>
      <c r="E230" s="2" t="str">
        <f>IFERROR(__xludf.DUMMYFUNCTION("""COMPUTED_VALUE"""),"Post Doctoral Fellow")</f>
        <v>Post Doctoral Fellow</v>
      </c>
      <c r="F230" s="2" t="str">
        <f>IFERROR(__xludf.DUMMYFUNCTION("""COMPUTED_VALUE"""),"ak950@cam.ac.uk")</f>
        <v>ak950@cam.ac.uk</v>
      </c>
      <c r="G230" s="2" t="str">
        <f>IFERROR(__xludf.DUMMYFUNCTION("""COMPUTED_VALUE"""),"0000-0001-6553-6154")</f>
        <v>0000-0001-6553-6154</v>
      </c>
    </row>
    <row r="231">
      <c r="A231" s="2" t="str">
        <f>IFERROR(__xludf.DUMMYFUNCTION("""COMPUTED_VALUE"""),"Johansson")</f>
        <v>Johansson</v>
      </c>
      <c r="B231" s="2" t="str">
        <f>IFERROR(__xludf.DUMMYFUNCTION("""COMPUTED_VALUE"""),"Pia")</f>
        <v>Pia</v>
      </c>
      <c r="C231" s="2" t="str">
        <f>IFERROR(__xludf.DUMMYFUNCTION("""COMPUTED_VALUE"""),"Key Personnel")</f>
        <v>Key Personnel</v>
      </c>
      <c r="D231" s="2" t="str">
        <f>IFERROR(__xludf.DUMMYFUNCTION("""COMPUTED_VALUE"""),"Jakobsson")</f>
        <v>Jakobsson</v>
      </c>
      <c r="E231" s="2" t="str">
        <f>IFERROR(__xludf.DUMMYFUNCTION("""COMPUTED_VALUE"""),"Research Engineer - post doc")</f>
        <v>Research Engineer - post doc</v>
      </c>
      <c r="F231" s="2" t="str">
        <f>IFERROR(__xludf.DUMMYFUNCTION("""COMPUTED_VALUE"""),"pia.johansson@med.lu.se")</f>
        <v>pia.johansson@med.lu.se</v>
      </c>
      <c r="G231" s="2" t="str">
        <f>IFERROR(__xludf.DUMMYFUNCTION("""COMPUTED_VALUE"""),"0000-0002-6938-4060")</f>
        <v>0000-0002-6938-4060</v>
      </c>
    </row>
    <row r="232">
      <c r="A232" s="2" t="str">
        <f>IFERROR(__xludf.DUMMYFUNCTION("""COMPUTED_VALUE"""),"Daft")</f>
        <v>Daft</v>
      </c>
      <c r="B232" s="2" t="str">
        <f>IFERROR(__xludf.DUMMYFUNCTION("""COMPUTED_VALUE"""),"Danielle")</f>
        <v>Danielle</v>
      </c>
      <c r="C232" s="2" t="str">
        <f>IFERROR(__xludf.DUMMYFUNCTION("""COMPUTED_VALUE"""),"Project Manager")</f>
        <v>Project Manager</v>
      </c>
      <c r="D232" s="2" t="str">
        <f>IFERROR(__xludf.DUMMYFUNCTION("""COMPUTED_VALUE"""),"Barker")</f>
        <v>Barker</v>
      </c>
      <c r="E232" s="2" t="str">
        <f>IFERROR(__xludf.DUMMYFUNCTION("""COMPUTED_VALUE"""),"Research Manager")</f>
        <v>Research Manager</v>
      </c>
      <c r="F232" s="2" t="str">
        <f>IFERROR(__xludf.DUMMYFUNCTION("""COMPUTED_VALUE"""),"dmj34@cam.ac.uk")</f>
        <v>dmj34@cam.ac.uk</v>
      </c>
      <c r="G232" s="2" t="str">
        <f>IFERROR(__xludf.DUMMYFUNCTION("""COMPUTED_VALUE"""),"0000-0002-1201-9396")</f>
        <v>0000-0002-1201-9396</v>
      </c>
    </row>
    <row r="233">
      <c r="A233" s="2" t="str">
        <f>IFERROR(__xludf.DUMMYFUNCTION("""COMPUTED_VALUE"""),"Dubonyte ")</f>
        <v>Dubonyte </v>
      </c>
      <c r="B233" s="2" t="str">
        <f>IFERROR(__xludf.DUMMYFUNCTION("""COMPUTED_VALUE"""),"Ugne")</f>
        <v>Ugne</v>
      </c>
      <c r="C233" s="2" t="str">
        <f>IFERROR(__xludf.DUMMYFUNCTION("""COMPUTED_VALUE"""),"Key Personnel")</f>
        <v>Key Personnel</v>
      </c>
      <c r="D233" s="2" t="str">
        <f>IFERROR(__xludf.DUMMYFUNCTION("""COMPUTED_VALUE"""),"Kirkeby")</f>
        <v>Kirkeby</v>
      </c>
      <c r="E233" s="2" t="str">
        <f>IFERROR(__xludf.DUMMYFUNCTION("""COMPUTED_VALUE"""),"Research Assistant")</f>
        <v>Research Assistant</v>
      </c>
      <c r="F233" s="2" t="str">
        <f>IFERROR(__xludf.DUMMYFUNCTION("""COMPUTED_VALUE"""),"dubonyte@sund.ku.dk")</f>
        <v>dubonyte@sund.ku.dk</v>
      </c>
      <c r="G233" s="2" t="str">
        <f>IFERROR(__xludf.DUMMYFUNCTION("""COMPUTED_VALUE"""),"0000-0001-8681-7318")</f>
        <v>0000-0001-8681-7318</v>
      </c>
    </row>
    <row r="234">
      <c r="A234" s="2" t="str">
        <f>IFERROR(__xludf.DUMMYFUNCTION("""COMPUTED_VALUE"""),"Fazal")</f>
        <v>Fazal</v>
      </c>
      <c r="B234" s="2" t="str">
        <f>IFERROR(__xludf.DUMMYFUNCTION("""COMPUTED_VALUE"""),"Shaline")</f>
        <v>Shaline</v>
      </c>
      <c r="C234" s="2" t="str">
        <f>IFERROR(__xludf.DUMMYFUNCTION("""COMPUTED_VALUE"""),"Key Personnel")</f>
        <v>Key Personnel</v>
      </c>
      <c r="D234" s="2" t="str">
        <f>IFERROR(__xludf.DUMMYFUNCTION("""COMPUTED_VALUE"""),"Barker")</f>
        <v>Barker</v>
      </c>
      <c r="E234" s="2" t="str">
        <f>IFERROR(__xludf.DUMMYFUNCTION("""COMPUTED_VALUE"""),"Project Manager / Post Doctoral Researcher")</f>
        <v>Project Manager / Post Doctoral Researcher</v>
      </c>
      <c r="F234" s="2" t="str">
        <f>IFERROR(__xludf.DUMMYFUNCTION("""COMPUTED_VALUE"""),"sf618@cam.ac.uk")</f>
        <v>sf618@cam.ac.uk</v>
      </c>
      <c r="G234" s="2" t="str">
        <f>IFERROR(__xludf.DUMMYFUNCTION("""COMPUTED_VALUE"""),"0000-0002-2813-4022")</f>
        <v>0000-0002-2813-4022</v>
      </c>
    </row>
    <row r="235">
      <c r="A235" s="2" t="str">
        <f>IFERROR(__xludf.DUMMYFUNCTION("""COMPUTED_VALUE"""),"Thiruvalluvan")</f>
        <v>Thiruvalluvan</v>
      </c>
      <c r="B235" s="2" t="str">
        <f>IFERROR(__xludf.DUMMYFUNCTION("""COMPUTED_VALUE"""),"Arun")</f>
        <v>Arun</v>
      </c>
      <c r="C235" s="2" t="str">
        <f>IFERROR(__xludf.DUMMYFUNCTION("""COMPUTED_VALUE"""),"Key Personnel")</f>
        <v>Key Personnel</v>
      </c>
      <c r="D235" s="2" t="str">
        <f>IFERROR(__xludf.DUMMYFUNCTION("""COMPUTED_VALUE"""),"Kirkeby")</f>
        <v>Kirkeby</v>
      </c>
      <c r="E235" s="2" t="str">
        <f>IFERROR(__xludf.DUMMYFUNCTION("""COMPUTED_VALUE"""),"Assistant Professor")</f>
        <v>Assistant Professor</v>
      </c>
      <c r="F235" s="2" t="str">
        <f>IFERROR(__xludf.DUMMYFUNCTION("""COMPUTED_VALUE"""),"arun.thiruvalluvan@sund.ku.dk")</f>
        <v>arun.thiruvalluvan@sund.ku.dk</v>
      </c>
      <c r="G235" s="2" t="str">
        <f>IFERROR(__xludf.DUMMYFUNCTION("""COMPUTED_VALUE"""),"0000-0002-7661-9163")</f>
        <v>0000-0002-7661-9163</v>
      </c>
    </row>
    <row r="236">
      <c r="A236" s="2" t="str">
        <f>IFERROR(__xludf.DUMMYFUNCTION("""COMPUTED_VALUE"""),"Gerdes")</f>
        <v>Gerdes</v>
      </c>
      <c r="B236" s="2" t="str">
        <f>IFERROR(__xludf.DUMMYFUNCTION("""COMPUTED_VALUE"""),"Patricia")</f>
        <v>Patricia</v>
      </c>
      <c r="C236" s="2" t="str">
        <f>IFERROR(__xludf.DUMMYFUNCTION("""COMPUTED_VALUE"""),"Key Personnel")</f>
        <v>Key Personnel</v>
      </c>
      <c r="D236" s="2" t="str">
        <f>IFERROR(__xludf.DUMMYFUNCTION("""COMPUTED_VALUE"""),"Jakobsson")</f>
        <v>Jakobsson</v>
      </c>
      <c r="E236" s="2" t="str">
        <f>IFERROR(__xludf.DUMMYFUNCTION("""COMPUTED_VALUE"""),"Post Doctoral Researcher")</f>
        <v>Post Doctoral Researcher</v>
      </c>
      <c r="F236" s="2" t="str">
        <f>IFERROR(__xludf.DUMMYFUNCTION("""COMPUTED_VALUE"""),"patricia.gerdes@med.lu.se")</f>
        <v>patricia.gerdes@med.lu.se</v>
      </c>
      <c r="G236" s="2" t="str">
        <f>IFERROR(__xludf.DUMMYFUNCTION("""COMPUTED_VALUE"""),"0000-0002-1148-9134")</f>
        <v>0000-0002-1148-9134</v>
      </c>
    </row>
    <row r="237">
      <c r="A237" s="2" t="str">
        <f>IFERROR(__xludf.DUMMYFUNCTION("""COMPUTED_VALUE"""),"Rifes")</f>
        <v>Rifes</v>
      </c>
      <c r="B237" s="2" t="str">
        <f>IFERROR(__xludf.DUMMYFUNCTION("""COMPUTED_VALUE"""),"Pedro")</f>
        <v>Pedro</v>
      </c>
      <c r="C237" s="2" t="str">
        <f>IFERROR(__xludf.DUMMYFUNCTION("""COMPUTED_VALUE"""),"Key Personnel")</f>
        <v>Key Personnel</v>
      </c>
      <c r="D237" s="2" t="str">
        <f>IFERROR(__xludf.DUMMYFUNCTION("""COMPUTED_VALUE"""),"Kirkeby")</f>
        <v>Kirkeby</v>
      </c>
      <c r="E237" s="2" t="str">
        <f>IFERROR(__xludf.DUMMYFUNCTION("""COMPUTED_VALUE"""),"Assistant Professor")</f>
        <v>Assistant Professor</v>
      </c>
      <c r="F237" s="2" t="str">
        <f>IFERROR(__xludf.DUMMYFUNCTION("""COMPUTED_VALUE"""),"pedro.rifes@sund.ku.dk")</f>
        <v>pedro.rifes@sund.ku.dk</v>
      </c>
      <c r="G237" s="2" t="str">
        <f>IFERROR(__xludf.DUMMYFUNCTION("""COMPUTED_VALUE"""),"0000-0002-9963-3291")</f>
        <v>0000-0002-9963-3291</v>
      </c>
    </row>
    <row r="238">
      <c r="A238" s="2" t="str">
        <f>IFERROR(__xludf.DUMMYFUNCTION("""COMPUTED_VALUE"""),"Persson Vejgården")</f>
        <v>Persson Vejgården</v>
      </c>
      <c r="B238" s="2" t="str">
        <f>IFERROR(__xludf.DUMMYFUNCTION("""COMPUTED_VALUE"""),"Marie")</f>
        <v>Marie</v>
      </c>
      <c r="C238" s="2" t="str">
        <f>IFERROR(__xludf.DUMMYFUNCTION("""COMPUTED_VALUE"""),"Key Personnel")</f>
        <v>Key Personnel</v>
      </c>
      <c r="D238" s="2" t="str">
        <f>IFERROR(__xludf.DUMMYFUNCTION("""COMPUTED_VALUE"""),"Jakobsson")</f>
        <v>Jakobsson</v>
      </c>
      <c r="E238" s="2" t="str">
        <f>IFERROR(__xludf.DUMMYFUNCTION("""COMPUTED_VALUE"""),"Technician")</f>
        <v>Technician</v>
      </c>
      <c r="F238" s="2" t="str">
        <f>IFERROR(__xludf.DUMMYFUNCTION("""COMPUTED_VALUE"""),"marie.persson_vejgarden@med.lu.se")</f>
        <v>marie.persson_vejgarden@med.lu.se</v>
      </c>
      <c r="G238" s="2" t="str">
        <f>IFERROR(__xludf.DUMMYFUNCTION("""COMPUTED_VALUE"""),"0000-0002-0814-4848")</f>
        <v>0000-0002-0814-4848</v>
      </c>
    </row>
    <row r="239">
      <c r="A239" s="2" t="str">
        <f>IFERROR(__xludf.DUMMYFUNCTION("""COMPUTED_VALUE"""),"Atacho")</f>
        <v>Atacho</v>
      </c>
      <c r="B239" s="2" t="str">
        <f>IFERROR(__xludf.DUMMYFUNCTION("""COMPUTED_VALUE"""),"Diahann")</f>
        <v>Diahann</v>
      </c>
      <c r="C239" s="2" t="str">
        <f>IFERROR(__xludf.DUMMYFUNCTION("""COMPUTED_VALUE"""),"Key Personnel")</f>
        <v>Key Personnel</v>
      </c>
      <c r="D239" s="2" t="str">
        <f>IFERROR(__xludf.DUMMYFUNCTION("""COMPUTED_VALUE"""),"Jakobsson")</f>
        <v>Jakobsson</v>
      </c>
      <c r="E239" s="2" t="str">
        <f>IFERROR(__xludf.DUMMYFUNCTION("""COMPUTED_VALUE"""),"Post Doctoral Fellow")</f>
        <v>Post Doctoral Fellow</v>
      </c>
      <c r="F239" s="2" t="str">
        <f>IFERROR(__xludf.DUMMYFUNCTION("""COMPUTED_VALUE"""),"diahann.atacho@med.lu.se")</f>
        <v>diahann.atacho@med.lu.se</v>
      </c>
      <c r="G239" s="2" t="str">
        <f>IFERROR(__xludf.DUMMYFUNCTION("""COMPUTED_VALUE"""),"0000-0002-6158-0235")</f>
        <v>0000-0002-6158-0235</v>
      </c>
    </row>
    <row r="240">
      <c r="A240" s="2" t="str">
        <f>IFERROR(__xludf.DUMMYFUNCTION("""COMPUTED_VALUE"""),"Lagka")</f>
        <v>Lagka</v>
      </c>
      <c r="B240" s="2" t="str">
        <f>IFERROR(__xludf.DUMMYFUNCTION("""COMPUTED_VALUE"""),"Danai")</f>
        <v>Danai</v>
      </c>
      <c r="C240" s="2" t="str">
        <f>IFERROR(__xludf.DUMMYFUNCTION("""COMPUTED_VALUE"""),"Key Personnel")</f>
        <v>Key Personnel</v>
      </c>
      <c r="D240" s="2" t="str">
        <f>IFERROR(__xludf.DUMMYFUNCTION("""COMPUTED_VALUE"""),"Kirkeby")</f>
        <v>Kirkeby</v>
      </c>
      <c r="E240" s="2" t="str">
        <f>IFERROR(__xludf.DUMMYFUNCTION("""COMPUTED_VALUE"""),"Research Assistant")</f>
        <v>Research Assistant</v>
      </c>
      <c r="F240" s="2" t="str">
        <f>IFERROR(__xludf.DUMMYFUNCTION("""COMPUTED_VALUE"""),"danai.lagka@sund.ku.dk")</f>
        <v>danai.lagka@sund.ku.dk</v>
      </c>
      <c r="G240" s="2" t="str">
        <f>IFERROR(__xludf.DUMMYFUNCTION("""COMPUTED_VALUE"""),"0009-0007-9252-3667")</f>
        <v>0009-0007-9252-3667</v>
      </c>
    </row>
    <row r="241">
      <c r="A241" s="2" t="str">
        <f>IFERROR(__xludf.DUMMYFUNCTION("""COMPUTED_VALUE"""),"Pettersson")</f>
        <v>Pettersson</v>
      </c>
      <c r="B241" s="2" t="str">
        <f>IFERROR(__xludf.DUMMYFUNCTION("""COMPUTED_VALUE"""),"Paulina")</f>
        <v>Paulina</v>
      </c>
      <c r="C241" s="2" t="str">
        <f>IFERROR(__xludf.DUMMYFUNCTION("""COMPUTED_VALUE"""),"Key Personnel")</f>
        <v>Key Personnel</v>
      </c>
      <c r="D241" s="2" t="str">
        <f>IFERROR(__xludf.DUMMYFUNCTION("""COMPUTED_VALUE"""),"Jakobsson")</f>
        <v>Jakobsson</v>
      </c>
      <c r="E241" s="2" t="str">
        <f>IFERROR(__xludf.DUMMYFUNCTION("""COMPUTED_VALUE"""),"Resarch Admin")</f>
        <v>Resarch Admin</v>
      </c>
      <c r="F241" s="2" t="str">
        <f>IFERROR(__xludf.DUMMYFUNCTION("""COMPUTED_VALUE"""),"paulina.pettersson@med.lu.se ")</f>
        <v>paulina.pettersson@med.lu.se </v>
      </c>
      <c r="G241" s="2" t="str">
        <f>IFERROR(__xludf.DUMMYFUNCTION("""COMPUTED_VALUE"""),"0000-0002-2824-9575 ")</f>
        <v>0000-0002-2824-9575 </v>
      </c>
    </row>
    <row r="242">
      <c r="A242" s="2" t="str">
        <f>IFERROR(__xludf.DUMMYFUNCTION("""COMPUTED_VALUE"""),"Williams-Gray")</f>
        <v>Williams-Gray</v>
      </c>
      <c r="B242" s="2" t="str">
        <f>IFERROR(__xludf.DUMMYFUNCTION("""COMPUTED_VALUE"""),"Caroline")</f>
        <v>Caroline</v>
      </c>
      <c r="C242" s="2" t="str">
        <f>IFERROR(__xludf.DUMMYFUNCTION("""COMPUTED_VALUE"""),"Unpaid Collaborator")</f>
        <v>Unpaid Collaborator</v>
      </c>
      <c r="D242" s="2" t="str">
        <f>IFERROR(__xludf.DUMMYFUNCTION("""COMPUTED_VALUE"""),"Barker")</f>
        <v>Barker</v>
      </c>
      <c r="E242" s="2" t="str">
        <f>IFERROR(__xludf.DUMMYFUNCTION("""COMPUTED_VALUE"""),"Principal Research Associate")</f>
        <v>Principal Research Associate</v>
      </c>
      <c r="F242" s="2" t="str">
        <f>IFERROR(__xludf.DUMMYFUNCTION("""COMPUTED_VALUE"""),"chm27@cam.ac.uk")</f>
        <v>chm27@cam.ac.uk</v>
      </c>
      <c r="G242" s="2" t="str">
        <f>IFERROR(__xludf.DUMMYFUNCTION("""COMPUTED_VALUE"""),"0000-0002-2648-9743")</f>
        <v>0000-0002-2648-9743</v>
      </c>
    </row>
    <row r="243">
      <c r="A243" s="2" t="str">
        <f>IFERROR(__xludf.DUMMYFUNCTION("""COMPUTED_VALUE"""),"Barbera")</f>
        <v>Barbera</v>
      </c>
      <c r="B243" s="2" t="str">
        <f>IFERROR(__xludf.DUMMYFUNCTION("""COMPUTED_VALUE"""),"Dylan")</f>
        <v>Dylan</v>
      </c>
      <c r="C243" s="2" t="str">
        <f>IFERROR(__xludf.DUMMYFUNCTION("""COMPUTED_VALUE"""),"Project Manager")</f>
        <v>Project Manager</v>
      </c>
      <c r="D243" s="2" t="str">
        <f>IFERROR(__xludf.DUMMYFUNCTION("""COMPUTED_VALUE"""),"Kaplitt")</f>
        <v>Kaplitt</v>
      </c>
      <c r="E243" s="2" t="str">
        <f>IFERROR(__xludf.DUMMYFUNCTION("""COMPUTED_VALUE"""),"Project Manager")</f>
        <v>Project Manager</v>
      </c>
      <c r="F243" s="2" t="str">
        <f>IFERROR(__xludf.DUMMYFUNCTION("""COMPUTED_VALUE"""),"djb4002@med.cornell.edu")</f>
        <v>djb4002@med.cornell.edu</v>
      </c>
      <c r="G243" s="2" t="str">
        <f>IFERROR(__xludf.DUMMYFUNCTION("""COMPUTED_VALUE"""),"0000-0002-3824-5025")</f>
        <v>0000-0002-3824-5025</v>
      </c>
    </row>
    <row r="244">
      <c r="A244" s="2" t="str">
        <f>IFERROR(__xludf.DUMMYFUNCTION("""COMPUTED_VALUE"""),"Urien")</f>
        <v>Urien</v>
      </c>
      <c r="B244" s="2" t="str">
        <f>IFERROR(__xludf.DUMMYFUNCTION("""COMPUTED_VALUE"""),"Louise")</f>
        <v>Louise</v>
      </c>
      <c r="C244" s="2" t="str">
        <f>IFERROR(__xludf.DUMMYFUNCTION("""COMPUTED_VALUE"""),"Project Manager")</f>
        <v>Project Manager</v>
      </c>
      <c r="D244" s="2" t="str">
        <f>IFERROR(__xludf.DUMMYFUNCTION("""COMPUTED_VALUE"""),"Kaplitt")</f>
        <v>Kaplitt</v>
      </c>
      <c r="E244" s="2"/>
      <c r="F244" s="2" t="str">
        <f>IFERROR(__xludf.DUMMYFUNCTION("""COMPUTED_VALUE"""),"lou4001@med.cornell.edu")</f>
        <v>lou4001@med.cornell.edu</v>
      </c>
      <c r="G244" s="2" t="str">
        <f>IFERROR(__xludf.DUMMYFUNCTION("""COMPUTED_VALUE"""),"0000-0002-8284-9395")</f>
        <v>0000-0002-8284-9395</v>
      </c>
    </row>
    <row r="245">
      <c r="A245" s="2" t="str">
        <f>IFERROR(__xludf.DUMMYFUNCTION("""COMPUTED_VALUE"""),"Tower")</f>
        <v>Tower</v>
      </c>
      <c r="B245" s="2" t="str">
        <f>IFERROR(__xludf.DUMMYFUNCTION("""COMPUTED_VALUE"""),"Will")</f>
        <v>Will</v>
      </c>
      <c r="C245" s="2" t="str">
        <f>IFERROR(__xludf.DUMMYFUNCTION("""COMPUTED_VALUE"""),"Key Personnel")</f>
        <v>Key Personnel</v>
      </c>
      <c r="D245" s="2" t="str">
        <f>IFERROR(__xludf.DUMMYFUNCTION("""COMPUTED_VALUE"""),"Marongiu")</f>
        <v>Marongiu</v>
      </c>
      <c r="E245" s="2" t="str">
        <f>IFERROR(__xludf.DUMMYFUNCTION("""COMPUTED_VALUE"""),"research technician")</f>
        <v>research technician</v>
      </c>
      <c r="F245" s="2" t="str">
        <f>IFERROR(__xludf.DUMMYFUNCTION("""COMPUTED_VALUE"""),"wit4003@med.cornell.edu")</f>
        <v>wit4003@med.cornell.edu</v>
      </c>
      <c r="G245" s="2" t="str">
        <f>IFERROR(__xludf.DUMMYFUNCTION("""COMPUTED_VALUE"""),"0000-0002-8032-363X")</f>
        <v>0000-0002-8032-363X</v>
      </c>
    </row>
    <row r="246">
      <c r="A246" s="2" t="str">
        <f>IFERROR(__xludf.DUMMYFUNCTION("""COMPUTED_VALUE"""),"Ullah")</f>
        <v>Ullah</v>
      </c>
      <c r="B246" s="2" t="str">
        <f>IFERROR(__xludf.DUMMYFUNCTION("""COMPUTED_VALUE"""),"Rahat")</f>
        <v>Rahat</v>
      </c>
      <c r="C246" s="2" t="str">
        <f>IFERROR(__xludf.DUMMYFUNCTION("""COMPUTED_VALUE"""),"Key Personnel")</f>
        <v>Key Personnel</v>
      </c>
      <c r="D246" s="2" t="str">
        <f>IFERROR(__xludf.DUMMYFUNCTION("""COMPUTED_VALUE"""),"Dawson")</f>
        <v>Dawson</v>
      </c>
      <c r="E246" s="2" t="str">
        <f>IFERROR(__xludf.DUMMYFUNCTION("""COMPUTED_VALUE"""),"Postdoc")</f>
        <v>Postdoc</v>
      </c>
      <c r="F246" s="2" t="str">
        <f>IFERROR(__xludf.DUMMYFUNCTION("""COMPUTED_VALUE"""),"rullah1@jhmi.edu")</f>
        <v>rullah1@jhmi.edu</v>
      </c>
      <c r="G246" s="2" t="str">
        <f>IFERROR(__xludf.DUMMYFUNCTION("""COMPUTED_VALUE"""),"0000-0002-2628-0819")</f>
        <v>0000-0002-2628-0819</v>
      </c>
    </row>
    <row r="247">
      <c r="A247" s="2" t="str">
        <f>IFERROR(__xludf.DUMMYFUNCTION("""COMPUTED_VALUE"""),"Retik")</f>
        <v>Retik</v>
      </c>
      <c r="B247" s="2" t="str">
        <f>IFERROR(__xludf.DUMMYFUNCTION("""COMPUTED_VALUE"""),"Rachel")</f>
        <v>Rachel</v>
      </c>
      <c r="C247" s="2" t="str">
        <f>IFERROR(__xludf.DUMMYFUNCTION("""COMPUTED_VALUE"""),"Key Personnel")</f>
        <v>Key Personnel</v>
      </c>
      <c r="D247" s="2" t="str">
        <f>IFERROR(__xludf.DUMMYFUNCTION("""COMPUTED_VALUE"""),"Kaplitt")</f>
        <v>Kaplitt</v>
      </c>
      <c r="E247" s="2" t="str">
        <f>IFERROR(__xludf.DUMMYFUNCTION("""COMPUTED_VALUE"""),"Research Technician")</f>
        <v>Research Technician</v>
      </c>
      <c r="F247" s="2" t="str">
        <f>IFERROR(__xludf.DUMMYFUNCTION("""COMPUTED_VALUE"""),"rar4018@med.cornell.edu")</f>
        <v>rar4018@med.cornell.edu</v>
      </c>
      <c r="G247" s="2" t="str">
        <f>IFERROR(__xludf.DUMMYFUNCTION("""COMPUTED_VALUE"""),"0009-0006-4202-8564")</f>
        <v>0009-0006-4202-8564</v>
      </c>
    </row>
    <row r="248">
      <c r="A248" s="2" t="str">
        <f>IFERROR(__xludf.DUMMYFUNCTION("""COMPUTED_VALUE"""),"Rodriguez Lopez")</f>
        <v>Rodriguez Lopez</v>
      </c>
      <c r="B248" s="2" t="str">
        <f>IFERROR(__xludf.DUMMYFUNCTION("""COMPUTED_VALUE"""),"Claudia")</f>
        <v>Claudia</v>
      </c>
      <c r="C248" s="2" t="str">
        <f>IFERROR(__xludf.DUMMYFUNCTION("""COMPUTED_VALUE"""),"Key Personnel")</f>
        <v>Key Personnel</v>
      </c>
      <c r="D248" s="2" t="str">
        <f>IFERROR(__xludf.DUMMYFUNCTION("""COMPUTED_VALUE"""),"Marongiu")</f>
        <v>Marongiu</v>
      </c>
      <c r="E248" s="2" t="str">
        <f>IFERROR(__xludf.DUMMYFUNCTION("""COMPUTED_VALUE"""),"research technician")</f>
        <v>research technician</v>
      </c>
      <c r="F248" s="2" t="str">
        <f>IFERROR(__xludf.DUMMYFUNCTION("""COMPUTED_VALUE"""),"clr4004@med.cornell.edu ")</f>
        <v>clr4004@med.cornell.edu </v>
      </c>
      <c r="G248" s="2" t="str">
        <f>IFERROR(__xludf.DUMMYFUNCTION("""COMPUTED_VALUE"""),"0000-0001-6348-3044")</f>
        <v>0000-0001-6348-3044</v>
      </c>
    </row>
    <row r="249">
      <c r="A249" s="2" t="str">
        <f>IFERROR(__xludf.DUMMYFUNCTION("""COMPUTED_VALUE"""),"Tien")</f>
        <v>Tien</v>
      </c>
      <c r="B249" s="2" t="str">
        <f>IFERROR(__xludf.DUMMYFUNCTION("""COMPUTED_VALUE"""),"Mong")</f>
        <v>Mong</v>
      </c>
      <c r="C249" s="2" t="str">
        <f>IFERROR(__xludf.DUMMYFUNCTION("""COMPUTED_VALUE"""),"Key Personnel")</f>
        <v>Key Personnel</v>
      </c>
      <c r="D249" s="2" t="str">
        <f>IFERROR(__xludf.DUMMYFUNCTION("""COMPUTED_VALUE"""),"Thompson")</f>
        <v>Thompson</v>
      </c>
      <c r="E249" s="2" t="str">
        <f>IFERROR(__xludf.DUMMYFUNCTION("""COMPUTED_VALUE"""),"Research Assistant")</f>
        <v>Research Assistant</v>
      </c>
      <c r="F249" s="2" t="str">
        <f>IFERROR(__xludf.DUMMYFUNCTION("""COMPUTED_VALUE"""),"mong.tien@florey.edu.au")</f>
        <v>mong.tien@florey.edu.au</v>
      </c>
      <c r="G249" s="2"/>
    </row>
    <row r="250">
      <c r="A250" s="2" t="str">
        <f>IFERROR(__xludf.DUMMYFUNCTION("""COMPUTED_VALUE"""),"Liyanage")</f>
        <v>Liyanage</v>
      </c>
      <c r="B250" s="2" t="str">
        <f>IFERROR(__xludf.DUMMYFUNCTION("""COMPUTED_VALUE"""),"Erandhi")</f>
        <v>Erandhi</v>
      </c>
      <c r="C250" s="2" t="str">
        <f>IFERROR(__xludf.DUMMYFUNCTION("""COMPUTED_VALUE"""),"Key Personnel")</f>
        <v>Key Personnel</v>
      </c>
      <c r="D250" s="2" t="str">
        <f>IFERROR(__xludf.DUMMYFUNCTION("""COMPUTED_VALUE"""),"Sue")</f>
        <v>Sue</v>
      </c>
      <c r="E250" s="2" t="str">
        <f>IFERROR(__xludf.DUMMYFUNCTION("""COMPUTED_VALUE"""),"Research Assistant")</f>
        <v>Research Assistant</v>
      </c>
      <c r="F250" s="2" t="str">
        <f>IFERROR(__xludf.DUMMYFUNCTION("""COMPUTED_VALUE"""),"erandhi.liyanage@sydney.edu.au")</f>
        <v>erandhi.liyanage@sydney.edu.au</v>
      </c>
      <c r="G250" s="2" t="str">
        <f>IFERROR(__xludf.DUMMYFUNCTION("""COMPUTED_VALUE"""),"0000-0003-0639-2490")</f>
        <v>0000-0003-0639-2490</v>
      </c>
    </row>
    <row r="251">
      <c r="A251" s="2" t="str">
        <f>IFERROR(__xludf.DUMMYFUNCTION("""COMPUTED_VALUE"""),"Corban")</f>
        <v>Corban</v>
      </c>
      <c r="B251" s="2" t="str">
        <f>IFERROR(__xludf.DUMMYFUNCTION("""COMPUTED_VALUE"""),"Joel")</f>
        <v>Joel</v>
      </c>
      <c r="C251" s="2" t="str">
        <f>IFERROR(__xludf.DUMMYFUNCTION("""COMPUTED_VALUE"""),"Key Personnel")</f>
        <v>Key Personnel</v>
      </c>
      <c r="D251" s="2" t="str">
        <f>IFERROR(__xludf.DUMMYFUNCTION("""COMPUTED_VALUE"""),"Kirik")</f>
        <v>Kirik</v>
      </c>
      <c r="E251" s="2" t="str">
        <f>IFERROR(__xludf.DUMMYFUNCTION("""COMPUTED_VALUE"""),"Executive assistant")</f>
        <v>Executive assistant</v>
      </c>
      <c r="F251" s="2" t="str">
        <f>IFERROR(__xludf.DUMMYFUNCTION("""COMPUTED_VALUE"""),"joel.corban@sydney.edu.au")</f>
        <v>joel.corban@sydney.edu.au</v>
      </c>
      <c r="G251" s="2" t="str">
        <f>IFERROR(__xludf.DUMMYFUNCTION("""COMPUTED_VALUE"""),"0000-0003-1570-4804")</f>
        <v>0000-0003-1570-4804</v>
      </c>
    </row>
    <row r="252">
      <c r="A252" s="2" t="str">
        <f>IFERROR(__xludf.DUMMYFUNCTION("""COMPUTED_VALUE"""),"Rangel")</f>
        <v>Rangel</v>
      </c>
      <c r="B252" s="2" t="str">
        <f>IFERROR(__xludf.DUMMYFUNCTION("""COMPUTED_VALUE"""),"Alejandra")</f>
        <v>Alejandra</v>
      </c>
      <c r="C252" s="2" t="str">
        <f>IFERROR(__xludf.DUMMYFUNCTION("""COMPUTED_VALUE"""),"Key Personnel")</f>
        <v>Key Personnel</v>
      </c>
      <c r="D252" s="2" t="str">
        <f>IFERROR(__xludf.DUMMYFUNCTION("""COMPUTED_VALUE"""),"Kirik")</f>
        <v>Kirik</v>
      </c>
      <c r="E252" s="2" t="str">
        <f>IFERROR(__xludf.DUMMYFUNCTION("""COMPUTED_VALUE"""),"Technical Assistant")</f>
        <v>Technical Assistant</v>
      </c>
      <c r="F252" s="2" t="str">
        <f>IFERROR(__xludf.DUMMYFUNCTION("""COMPUTED_VALUE"""),"alejandra.rangel@sydney.edu.au")</f>
        <v>alejandra.rangel@sydney.edu.au</v>
      </c>
      <c r="G252" s="2" t="str">
        <f>IFERROR(__xludf.DUMMYFUNCTION("""COMPUTED_VALUE"""),"0000-0001-6536-6263")</f>
        <v>0000-0001-6536-6263</v>
      </c>
    </row>
    <row r="253">
      <c r="A253" s="2" t="str">
        <f>IFERROR(__xludf.DUMMYFUNCTION("""COMPUTED_VALUE"""),"Li")</f>
        <v>Li</v>
      </c>
      <c r="B253" s="2" t="str">
        <f>IFERROR(__xludf.DUMMYFUNCTION("""COMPUTED_VALUE"""),"Wen")</f>
        <v>Wen</v>
      </c>
      <c r="C253" s="2" t="str">
        <f>IFERROR(__xludf.DUMMYFUNCTION("""COMPUTED_VALUE"""),"Key Personnel")</f>
        <v>Key Personnel</v>
      </c>
      <c r="D253" s="2" t="str">
        <f>IFERROR(__xludf.DUMMYFUNCTION("""COMPUTED_VALUE"""),"Sue")</f>
        <v>Sue</v>
      </c>
      <c r="E253" s="2" t="str">
        <f>IFERROR(__xludf.DUMMYFUNCTION("""COMPUTED_VALUE"""),"Postdoctoral Researcher")</f>
        <v>Postdoctoral Researcher</v>
      </c>
      <c r="F253" s="2" t="str">
        <f>IFERROR(__xludf.DUMMYFUNCTION("""COMPUTED_VALUE"""),"wen.w.li@sydney.edu.au")</f>
        <v>wen.w.li@sydney.edu.au</v>
      </c>
      <c r="G253" s="2" t="str">
        <f>IFERROR(__xludf.DUMMYFUNCTION("""COMPUTED_VALUE"""),"0000-0002-2677-6654")</f>
        <v>0000-0002-2677-6654</v>
      </c>
    </row>
    <row r="254">
      <c r="A254" s="2" t="str">
        <f>IFERROR(__xludf.DUMMYFUNCTION("""COMPUTED_VALUE"""),"Trist")</f>
        <v>Trist</v>
      </c>
      <c r="B254" s="2" t="str">
        <f>IFERROR(__xludf.DUMMYFUNCTION("""COMPUTED_VALUE"""),"Benjamin")</f>
        <v>Benjamin</v>
      </c>
      <c r="C254" s="2" t="str">
        <f>IFERROR(__xludf.DUMMYFUNCTION("""COMPUTED_VALUE"""),"Key Personnel")</f>
        <v>Key Personnel</v>
      </c>
      <c r="D254" s="2" t="str">
        <f>IFERROR(__xludf.DUMMYFUNCTION("""COMPUTED_VALUE"""),"Kirik")</f>
        <v>Kirik</v>
      </c>
      <c r="E254" s="2" t="str">
        <f>IFERROR(__xludf.DUMMYFUNCTION("""COMPUTED_VALUE"""),"Project Manager")</f>
        <v>Project Manager</v>
      </c>
      <c r="F254" s="2" t="str">
        <f>IFERROR(__xludf.DUMMYFUNCTION("""COMPUTED_VALUE"""),"benjamin.trist@sydney.edu.au")</f>
        <v>benjamin.trist@sydney.edu.au</v>
      </c>
      <c r="G254" s="2"/>
    </row>
    <row r="255">
      <c r="A255" s="2" t="str">
        <f>IFERROR(__xludf.DUMMYFUNCTION("""COMPUTED_VALUE"""),"Abu-Bonsrah")</f>
        <v>Abu-Bonsrah</v>
      </c>
      <c r="B255" s="2" t="str">
        <f>IFERROR(__xludf.DUMMYFUNCTION("""COMPUTED_VALUE"""),"Dad")</f>
        <v>Dad</v>
      </c>
      <c r="C255" s="2" t="str">
        <f>IFERROR(__xludf.DUMMYFUNCTION("""COMPUTED_VALUE"""),"Key Personnel")</f>
        <v>Key Personnel</v>
      </c>
      <c r="D255" s="2" t="str">
        <f>IFERROR(__xludf.DUMMYFUNCTION("""COMPUTED_VALUE"""),"Parish")</f>
        <v>Parish</v>
      </c>
      <c r="E255" s="2" t="str">
        <f>IFERROR(__xludf.DUMMYFUNCTION("""COMPUTED_VALUE"""),"Postdoctoral Researcher")</f>
        <v>Postdoctoral Researcher</v>
      </c>
      <c r="F255" s="2" t="str">
        <f>IFERROR(__xludf.DUMMYFUNCTION("""COMPUTED_VALUE"""),"k.abu@florey.edu.au")</f>
        <v>k.abu@florey.edu.au</v>
      </c>
      <c r="G255" s="2" t="str">
        <f>IFERROR(__xludf.DUMMYFUNCTION("""COMPUTED_VALUE"""),"0000-0002-2687-3526")</f>
        <v>0000-0002-2687-3526</v>
      </c>
    </row>
    <row r="256">
      <c r="A256" s="2" t="str">
        <f>IFERROR(__xludf.DUMMYFUNCTION("""COMPUTED_VALUE"""),"Wali")</f>
        <v>Wali</v>
      </c>
      <c r="B256" s="2" t="str">
        <f>IFERROR(__xludf.DUMMYFUNCTION("""COMPUTED_VALUE"""),"Gautam")</f>
        <v>Gautam</v>
      </c>
      <c r="C256" s="2" t="str">
        <f>IFERROR(__xludf.DUMMYFUNCTION("""COMPUTED_VALUE"""),"Key Personnel")</f>
        <v>Key Personnel</v>
      </c>
      <c r="D256" s="2" t="str">
        <f>IFERROR(__xludf.DUMMYFUNCTION("""COMPUTED_VALUE"""),"Sue")</f>
        <v>Sue</v>
      </c>
      <c r="E256" s="2" t="str">
        <f>IFERROR(__xludf.DUMMYFUNCTION("""COMPUTED_VALUE"""),"Research Associate")</f>
        <v>Research Associate</v>
      </c>
      <c r="F256" s="2" t="str">
        <f>IFERROR(__xludf.DUMMYFUNCTION("""COMPUTED_VALUE"""),"g.wali@unsw.edu.au")</f>
        <v>g.wali@unsw.edu.au</v>
      </c>
      <c r="G256" s="2" t="str">
        <f>IFERROR(__xludf.DUMMYFUNCTION("""COMPUTED_VALUE"""),"0000-0003-2961-3954")</f>
        <v>0000-0003-2961-3954</v>
      </c>
    </row>
    <row r="257">
      <c r="A257" s="2" t="str">
        <f>IFERROR(__xludf.DUMMYFUNCTION("""COMPUTED_VALUE"""),"Labrador")</f>
        <v>Labrador</v>
      </c>
      <c r="B257" s="2" t="str">
        <f>IFERROR(__xludf.DUMMYFUNCTION("""COMPUTED_VALUE"""),"Adahir")</f>
        <v>Adahir</v>
      </c>
      <c r="C257" s="2" t="str">
        <f>IFERROR(__xludf.DUMMYFUNCTION("""COMPUTED_VALUE"""),"Key Personnel")</f>
        <v>Key Personnel</v>
      </c>
      <c r="D257" s="2" t="str">
        <f>IFERROR(__xludf.DUMMYFUNCTION("""COMPUTED_VALUE"""),"Halliday")</f>
        <v>Halliday</v>
      </c>
      <c r="E257" s="2" t="str">
        <f>IFERROR(__xludf.DUMMYFUNCTION("""COMPUTED_VALUE"""),"Postdoctoral Researcher")</f>
        <v>Postdoctoral Researcher</v>
      </c>
      <c r="F257" s="2" t="str">
        <f>IFERROR(__xludf.DUMMYFUNCTION("""COMPUTED_VALUE"""),"adahir.labrador-garrido@sydney.edu.au")</f>
        <v>adahir.labrador-garrido@sydney.edu.au</v>
      </c>
      <c r="G257" s="2" t="str">
        <f>IFERROR(__xludf.DUMMYFUNCTION("""COMPUTED_VALUE"""),"0000-0001-5098-9601")</f>
        <v>0000-0001-5098-9601</v>
      </c>
    </row>
    <row r="258">
      <c r="A258" s="2" t="str">
        <f>IFERROR(__xludf.DUMMYFUNCTION("""COMPUTED_VALUE"""),"Strbenac")</f>
        <v>Strbenac</v>
      </c>
      <c r="B258" s="2" t="str">
        <f>IFERROR(__xludf.DUMMYFUNCTION("""COMPUTED_VALUE"""),"Dario")</f>
        <v>Dario</v>
      </c>
      <c r="C258" s="2" t="str">
        <f>IFERROR(__xludf.DUMMYFUNCTION("""COMPUTED_VALUE"""),"Key Personnel")</f>
        <v>Key Personnel</v>
      </c>
      <c r="D258" s="2" t="str">
        <f>IFERROR(__xludf.DUMMYFUNCTION("""COMPUTED_VALUE"""),"Halliday")</f>
        <v>Halliday</v>
      </c>
      <c r="E258" s="2" t="str">
        <f>IFERROR(__xludf.DUMMYFUNCTION("""COMPUTED_VALUE"""),"Research Associate")</f>
        <v>Research Associate</v>
      </c>
      <c r="F258" s="2" t="str">
        <f>IFERROR(__xludf.DUMMYFUNCTION("""COMPUTED_VALUE"""),"dario.strbenac@sydney.edu.au")</f>
        <v>dario.strbenac@sydney.edu.au</v>
      </c>
      <c r="G258" s="2" t="str">
        <f>IFERROR(__xludf.DUMMYFUNCTION("""COMPUTED_VALUE"""),"0000-0001-9234-3243")</f>
        <v>0000-0001-9234-3243</v>
      </c>
    </row>
    <row r="259">
      <c r="A259" s="2" t="str">
        <f>IFERROR(__xludf.DUMMYFUNCTION("""COMPUTED_VALUE"""),"Sue")</f>
        <v>Sue</v>
      </c>
      <c r="B259" s="2" t="str">
        <f>IFERROR(__xludf.DUMMYFUNCTION("""COMPUTED_VALUE"""),"Carolyn")</f>
        <v>Carolyn</v>
      </c>
      <c r="C259" s="2" t="str">
        <f>IFERROR(__xludf.DUMMYFUNCTION("""COMPUTED_VALUE"""),"Collaborating PI")</f>
        <v>Collaborating PI</v>
      </c>
      <c r="D259" s="2" t="str">
        <f>IFERROR(__xludf.DUMMYFUNCTION("""COMPUTED_VALUE"""),"Sue")</f>
        <v>Sue</v>
      </c>
      <c r="E259" s="2" t="str">
        <f>IFERROR(__xludf.DUMMYFUNCTION("""COMPUTED_VALUE"""),"Unpaid Collaborator")</f>
        <v>Unpaid Collaborator</v>
      </c>
      <c r="F259" s="2" t="str">
        <f>IFERROR(__xludf.DUMMYFUNCTION("""COMPUTED_VALUE"""),"c.sue@neura.edu.au")</f>
        <v>c.sue@neura.edu.au</v>
      </c>
      <c r="G259" s="2" t="str">
        <f>IFERROR(__xludf.DUMMYFUNCTION("""COMPUTED_VALUE"""),"0000-0003-1255-3617")</f>
        <v>0000-0003-1255-3617</v>
      </c>
    </row>
    <row r="260">
      <c r="A260" s="2" t="str">
        <f>IFERROR(__xludf.DUMMYFUNCTION("""COMPUTED_VALUE"""),"Marsh")</f>
        <v>Marsh</v>
      </c>
      <c r="B260" s="2" t="str">
        <f>IFERROR(__xludf.DUMMYFUNCTION("""COMPUTED_VALUE"""),"Steven")</f>
        <v>Steven</v>
      </c>
      <c r="C260" s="2" t="str">
        <f>IFERROR(__xludf.DUMMYFUNCTION("""COMPUTED_VALUE"""),"Key Personnel")</f>
        <v>Key Personnel</v>
      </c>
      <c r="D260" s="2" t="str">
        <f>IFERROR(__xludf.DUMMYFUNCTION("""COMPUTED_VALUE"""),"Manfredsson ")</f>
        <v>Manfredsson </v>
      </c>
      <c r="E260" s="2" t="str">
        <f>IFERROR(__xludf.DUMMYFUNCTION("""COMPUTED_VALUE"""),"Research Tech")</f>
        <v>Research Tech</v>
      </c>
      <c r="F260" s="2" t="str">
        <f>IFERROR(__xludf.DUMMYFUNCTION("""COMPUTED_VALUE"""),"steve.marsh@DignityHealth.org")</f>
        <v>steve.marsh@DignityHealth.org</v>
      </c>
      <c r="G260" s="2"/>
    </row>
    <row r="261">
      <c r="A261" s="2" t="str">
        <f>IFERROR(__xludf.DUMMYFUNCTION("""COMPUTED_VALUE"""),"Mazzei")</f>
        <v>Mazzei</v>
      </c>
      <c r="B261" s="2" t="str">
        <f>IFERROR(__xludf.DUMMYFUNCTION("""COMPUTED_VALUE"""),"Gina")</f>
        <v>Gina</v>
      </c>
      <c r="C261" s="2" t="str">
        <f>IFERROR(__xludf.DUMMYFUNCTION("""COMPUTED_VALUE"""),"Key Personnel")</f>
        <v>Key Personnel</v>
      </c>
      <c r="D261" s="2" t="str">
        <f>IFERROR(__xludf.DUMMYFUNCTION("""COMPUTED_VALUE"""),"Kordower")</f>
        <v>Kordower</v>
      </c>
      <c r="E261" s="2" t="str">
        <f>IFERROR(__xludf.DUMMYFUNCTION("""COMPUTED_VALUE"""),"Lab Manager")</f>
        <v>Lab Manager</v>
      </c>
      <c r="F261" s="2" t="str">
        <f>IFERROR(__xludf.DUMMYFUNCTION("""COMPUTED_VALUE"""),"gina_mazzei@rush.edu")</f>
        <v>gina_mazzei@rush.edu</v>
      </c>
      <c r="G261" s="2"/>
    </row>
    <row r="262">
      <c r="A262" s="2" t="str">
        <f>IFERROR(__xludf.DUMMYFUNCTION("""COMPUTED_VALUE"""),"Bovio")</f>
        <v>Bovio</v>
      </c>
      <c r="B262" s="2" t="str">
        <f>IFERROR(__xludf.DUMMYFUNCTION("""COMPUTED_VALUE"""),"Emily")</f>
        <v>Emily</v>
      </c>
      <c r="C262" s="2" t="str">
        <f>IFERROR(__xludf.DUMMYFUNCTION("""COMPUTED_VALUE"""),"Project Manager")</f>
        <v>Project Manager</v>
      </c>
      <c r="D262" s="2"/>
      <c r="E262" s="2"/>
      <c r="F262" s="2" t="str">
        <f>IFERROR(__xludf.DUMMYFUNCTION("""COMPUTED_VALUE"""),"Emily.Bovio@asu.edu")</f>
        <v>Emily.Bovio@asu.edu</v>
      </c>
      <c r="G262" s="2" t="str">
        <f>IFERROR(__xludf.DUMMYFUNCTION("""COMPUTED_VALUE"""),"0000-0002-7301-1494")</f>
        <v>0000-0002-7301-1494</v>
      </c>
    </row>
    <row r="263">
      <c r="A263" s="2" t="str">
        <f>IFERROR(__xludf.DUMMYFUNCTION("""COMPUTED_VALUE"""),"Ash")</f>
        <v>Ash</v>
      </c>
      <c r="B263" s="2" t="str">
        <f>IFERROR(__xludf.DUMMYFUNCTION("""COMPUTED_VALUE"""),"Makkena")</f>
        <v>Makkena</v>
      </c>
      <c r="C263" s="2" t="str">
        <f>IFERROR(__xludf.DUMMYFUNCTION("""COMPUTED_VALUE"""),"Key Personnel")</f>
        <v>Key Personnel</v>
      </c>
      <c r="D263" s="2" t="str">
        <f>IFERROR(__xludf.DUMMYFUNCTION("""COMPUTED_VALUE"""),"Niedernhofer")</f>
        <v>Niedernhofer</v>
      </c>
      <c r="E263" s="2" t="str">
        <f>IFERROR(__xludf.DUMMYFUNCTION("""COMPUTED_VALUE"""),"Researcher 1")</f>
        <v>Researcher 1</v>
      </c>
      <c r="F263" s="2" t="str">
        <f>IFERROR(__xludf.DUMMYFUNCTION("""COMPUTED_VALUE"""),"ash00026@umn.edu")</f>
        <v>ash00026@umn.edu</v>
      </c>
      <c r="G263" s="2"/>
    </row>
    <row r="264">
      <c r="A264" s="2" t="str">
        <f>IFERROR(__xludf.DUMMYFUNCTION("""COMPUTED_VALUE"""),"Gasparini")</f>
        <v>Gasparini</v>
      </c>
      <c r="B264" s="2" t="str">
        <f>IFERROR(__xludf.DUMMYFUNCTION("""COMPUTED_VALUE"""),"Emilie")</f>
        <v>Emilie</v>
      </c>
      <c r="C264" s="2" t="str">
        <f>IFERROR(__xludf.DUMMYFUNCTION("""COMPUTED_VALUE"""),"Key Personnel")</f>
        <v>Key Personnel</v>
      </c>
      <c r="D264" s="2" t="str">
        <f>IFERROR(__xludf.DUMMYFUNCTION("""COMPUTED_VALUE"""),"Lee")</f>
        <v>Lee</v>
      </c>
      <c r="E264" s="2" t="str">
        <f>IFERROR(__xludf.DUMMYFUNCTION("""COMPUTED_VALUE"""),"Reseacher 2")</f>
        <v>Reseacher 2</v>
      </c>
      <c r="F264" s="2" t="str">
        <f>IFERROR(__xludf.DUMMYFUNCTION("""COMPUTED_VALUE"""),"gaspa043@umn.edu")</f>
        <v>gaspa043@umn.edu</v>
      </c>
      <c r="G264" s="2"/>
    </row>
    <row r="265">
      <c r="A265" s="2" t="str">
        <f>IFERROR(__xludf.DUMMYFUNCTION("""COMPUTED_VALUE"""),"Soto-Palma")</f>
        <v>Soto-Palma</v>
      </c>
      <c r="B265" s="2" t="str">
        <f>IFERROR(__xludf.DUMMYFUNCTION("""COMPUTED_VALUE"""),"Carolina")</f>
        <v>Carolina</v>
      </c>
      <c r="C265" s="2" t="str">
        <f>IFERROR(__xludf.DUMMYFUNCTION("""COMPUTED_VALUE"""),"Key Personnel")</f>
        <v>Key Personnel</v>
      </c>
      <c r="D265" s="2" t="str">
        <f>IFERROR(__xludf.DUMMYFUNCTION("""COMPUTED_VALUE"""),"Niedernhofer")</f>
        <v>Niedernhofer</v>
      </c>
      <c r="E265" s="2" t="str">
        <f>IFERROR(__xludf.DUMMYFUNCTION("""COMPUTED_VALUE"""),"Post doc")</f>
        <v>Post doc</v>
      </c>
      <c r="F265" s="2" t="str">
        <f>IFERROR(__xludf.DUMMYFUNCTION("""COMPUTED_VALUE"""),"csotopal@umn.edu")</f>
        <v>csotopal@umn.edu</v>
      </c>
      <c r="G265" s="2"/>
    </row>
    <row r="266">
      <c r="A266" s="2" t="str">
        <f>IFERROR(__xludf.DUMMYFUNCTION("""COMPUTED_VALUE"""),"Thompson")</f>
        <v>Thompson</v>
      </c>
      <c r="B266" s="2" t="str">
        <f>IFERROR(__xludf.DUMMYFUNCTION("""COMPUTED_VALUE"""),"Elizabeth ")</f>
        <v>Elizabeth </v>
      </c>
      <c r="C266" s="2" t="str">
        <f>IFERROR(__xludf.DUMMYFUNCTION("""COMPUTED_VALUE"""),"Key Personnel")</f>
        <v>Key Personnel</v>
      </c>
      <c r="D266" s="2" t="str">
        <f>IFERROR(__xludf.DUMMYFUNCTION("""COMPUTED_VALUE"""),"Lee")</f>
        <v>Lee</v>
      </c>
      <c r="E266" s="2" t="str">
        <f>IFERROR(__xludf.DUMMYFUNCTION("""COMPUTED_VALUE"""),"Post Doc")</f>
        <v>Post Doc</v>
      </c>
      <c r="F266" s="2" t="str">
        <f>IFERROR(__xludf.DUMMYFUNCTION("""COMPUTED_VALUE"""),"thom4573@umn.edu")</f>
        <v>thom4573@umn.edu</v>
      </c>
      <c r="G266" s="2"/>
    </row>
    <row r="267">
      <c r="A267" s="2" t="str">
        <f>IFERROR(__xludf.DUMMYFUNCTION("""COMPUTED_VALUE"""),"Rodrigues")</f>
        <v>Rodrigues</v>
      </c>
      <c r="B267" s="2" t="str">
        <f>IFERROR(__xludf.DUMMYFUNCTION("""COMPUTED_VALUE"""),"Celia")</f>
        <v>Celia</v>
      </c>
      <c r="C267" s="2" t="str">
        <f>IFERROR(__xludf.DUMMYFUNCTION("""COMPUTED_VALUE"""),"Key Personnel")</f>
        <v>Key Personnel</v>
      </c>
      <c r="D267" s="2" t="str">
        <f>IFERROR(__xludf.DUMMYFUNCTION("""COMPUTED_VALUE"""),"Bras")</f>
        <v>Bras</v>
      </c>
      <c r="E267" s="2" t="str">
        <f>IFERROR(__xludf.DUMMYFUNCTION("""COMPUTED_VALUE"""),"Sr. Research Tech")</f>
        <v>Sr. Research Tech</v>
      </c>
      <c r="F267" s="2" t="str">
        <f>IFERROR(__xludf.DUMMYFUNCTION("""COMPUTED_VALUE"""),"Celia.Rodrigues@vai.org")</f>
        <v>Celia.Rodrigues@vai.org</v>
      </c>
      <c r="G267" s="2"/>
    </row>
    <row r="268">
      <c r="A268" s="2" t="str">
        <f>IFERROR(__xludf.DUMMYFUNCTION("""COMPUTED_VALUE"""),"Krueger")</f>
        <v>Krueger</v>
      </c>
      <c r="B268" s="2" t="str">
        <f>IFERROR(__xludf.DUMMYFUNCTION("""COMPUTED_VALUE"""),"August")</f>
        <v>August</v>
      </c>
      <c r="C268" s="2" t="str">
        <f>IFERROR(__xludf.DUMMYFUNCTION("""COMPUTED_VALUE"""),"Key Personnel")</f>
        <v>Key Personnel</v>
      </c>
      <c r="D268" s="2" t="str">
        <f>IFERROR(__xludf.DUMMYFUNCTION("""COMPUTED_VALUE"""),"Niedernhofer")</f>
        <v>Niedernhofer</v>
      </c>
      <c r="E268" s="2" t="str">
        <f>IFERROR(__xludf.DUMMYFUNCTION("""COMPUTED_VALUE"""),"Undergrad")</f>
        <v>Undergrad</v>
      </c>
      <c r="F268" s="2" t="str">
        <f>IFERROR(__xludf.DUMMYFUNCTION("""COMPUTED_VALUE"""),"krueg866@umn.edu")</f>
        <v>krueg866@umn.edu</v>
      </c>
      <c r="G268" s="2"/>
    </row>
    <row r="269">
      <c r="A269" s="2" t="str">
        <f>IFERROR(__xludf.DUMMYFUNCTION("""COMPUTED_VALUE"""),"Yousefzadeh")</f>
        <v>Yousefzadeh</v>
      </c>
      <c r="B269" s="2" t="str">
        <f>IFERROR(__xludf.DUMMYFUNCTION("""COMPUTED_VALUE"""),"Matthew")</f>
        <v>Matthew</v>
      </c>
      <c r="C269" s="2" t="str">
        <f>IFERROR(__xludf.DUMMYFUNCTION("""COMPUTED_VALUE"""),"Key Personnel")</f>
        <v>Key Personnel</v>
      </c>
      <c r="D269" s="2" t="str">
        <f>IFERROR(__xludf.DUMMYFUNCTION("""COMPUTED_VALUE"""),"Niedernhofer")</f>
        <v>Niedernhofer</v>
      </c>
      <c r="E269" s="2" t="str">
        <f>IFERROR(__xludf.DUMMYFUNCTION("""COMPUTED_VALUE"""),"Project Manger in Niedernhofer lab")</f>
        <v>Project Manger in Niedernhofer lab</v>
      </c>
      <c r="F269" s="2" t="str">
        <f>IFERROR(__xludf.DUMMYFUNCTION("""COMPUTED_VALUE"""),"myousefz@umn.edu")</f>
        <v>myousefz@umn.edu</v>
      </c>
      <c r="G269" s="2" t="str">
        <f>IFERROR(__xludf.DUMMYFUNCTION("""COMPUTED_VALUE"""),"0000-0003-2869-1029")</f>
        <v>0000-0003-2869-1029</v>
      </c>
    </row>
    <row r="270">
      <c r="A270" s="2" t="str">
        <f>IFERROR(__xludf.DUMMYFUNCTION("""COMPUTED_VALUE"""),"Bras")</f>
        <v>Bras</v>
      </c>
      <c r="B270" s="2" t="str">
        <f>IFERROR(__xludf.DUMMYFUNCTION("""COMPUTED_VALUE"""),"Jose")</f>
        <v>Jose</v>
      </c>
      <c r="C270" s="2" t="str">
        <f>IFERROR(__xludf.DUMMYFUNCTION("""COMPUTED_VALUE"""),"Co-PI")</f>
        <v>Co-PI</v>
      </c>
      <c r="D270" s="2" t="str">
        <f>IFERROR(__xludf.DUMMYFUNCTION("""COMPUTED_VALUE"""),"Bras")</f>
        <v>Bras</v>
      </c>
      <c r="E270" s="2" t="str">
        <f>IFERROR(__xludf.DUMMYFUNCTION("""COMPUTED_VALUE"""),"PI")</f>
        <v>PI</v>
      </c>
      <c r="F270" s="2" t="str">
        <f>IFERROR(__xludf.DUMMYFUNCTION("""COMPUTED_VALUE"""),"Jose.Bras@vai.org")</f>
        <v>Jose.Bras@vai.org</v>
      </c>
      <c r="G270" s="2" t="str">
        <f>IFERROR(__xludf.DUMMYFUNCTION("""COMPUTED_VALUE"""),"0000-0001-8186-0333")</f>
        <v>0000-0001-8186-0333</v>
      </c>
    </row>
    <row r="271">
      <c r="A271" s="2" t="str">
        <f>IFERROR(__xludf.DUMMYFUNCTION("""COMPUTED_VALUE"""),"Marshall")</f>
        <v>Marshall</v>
      </c>
      <c r="B271" s="2" t="str">
        <f>IFERROR(__xludf.DUMMYFUNCTION("""COMPUTED_VALUE"""),"Lee")</f>
        <v>Lee</v>
      </c>
      <c r="C271" s="2" t="str">
        <f>IFERROR(__xludf.DUMMYFUNCTION("""COMPUTED_VALUE"""),"Key Personnel")</f>
        <v>Key Personnel</v>
      </c>
      <c r="D271" s="2" t="str">
        <f>IFERROR(__xludf.DUMMYFUNCTION("""COMPUTED_VALUE"""),"Bras")</f>
        <v>Bras</v>
      </c>
      <c r="E271" s="2" t="str">
        <f>IFERROR(__xludf.DUMMYFUNCTION("""COMPUTED_VALUE"""),"Post Doc")</f>
        <v>Post Doc</v>
      </c>
      <c r="F271" s="2" t="str">
        <f>IFERROR(__xludf.DUMMYFUNCTION("""COMPUTED_VALUE"""),"Lee.Marshall@vai.org")</f>
        <v>Lee.Marshall@vai.org</v>
      </c>
      <c r="G271" s="2" t="str">
        <f>IFERROR(__xludf.DUMMYFUNCTION("""COMPUTED_VALUE"""),"0000-0002-9884-4636")</f>
        <v>0000-0002-9884-4636</v>
      </c>
    </row>
    <row r="272">
      <c r="A272" s="2" t="str">
        <f>IFERROR(__xludf.DUMMYFUNCTION("""COMPUTED_VALUE"""),"Lesne")</f>
        <v>Lesne</v>
      </c>
      <c r="B272" s="2" t="str">
        <f>IFERROR(__xludf.DUMMYFUNCTION("""COMPUTED_VALUE"""),"Sylvain")</f>
        <v>Sylvain</v>
      </c>
      <c r="C272" s="2" t="str">
        <f>IFERROR(__xludf.DUMMYFUNCTION("""COMPUTED_VALUE"""),"Key Personnel")</f>
        <v>Key Personnel</v>
      </c>
      <c r="D272" s="2" t="str">
        <f>IFERROR(__xludf.DUMMYFUNCTION("""COMPUTED_VALUE"""),"Lee")</f>
        <v>Lee</v>
      </c>
      <c r="E272" s="2" t="str">
        <f>IFERROR(__xludf.DUMMYFUNCTION("""COMPUTED_VALUE"""),"Assoc Prof")</f>
        <v>Assoc Prof</v>
      </c>
      <c r="F272" s="2" t="str">
        <f>IFERROR(__xludf.DUMMYFUNCTION("""COMPUTED_VALUE"""),"lesne002@umn.edu")</f>
        <v>lesne002@umn.edu</v>
      </c>
      <c r="G272" s="2" t="str">
        <f>IFERROR(__xludf.DUMMYFUNCTION("""COMPUTED_VALUE"""),"0000-0001-9411-1868")</f>
        <v>0000-0001-9411-1868</v>
      </c>
    </row>
    <row r="273">
      <c r="A273" s="2" t="str">
        <f>IFERROR(__xludf.DUMMYFUNCTION("""COMPUTED_VALUE"""),"Paquette")</f>
        <v>Paquette</v>
      </c>
      <c r="B273" s="2" t="str">
        <f>IFERROR(__xludf.DUMMYFUNCTION("""COMPUTED_VALUE"""),"Kimberly")</f>
        <v>Kimberly</v>
      </c>
      <c r="C273" s="2" t="str">
        <f>IFERROR(__xludf.DUMMYFUNCTION("""COMPUTED_VALUE"""),"Key Personnel")</f>
        <v>Key Personnel</v>
      </c>
      <c r="D273" s="2" t="str">
        <f>IFERROR(__xludf.DUMMYFUNCTION("""COMPUTED_VALUE"""),"Bras")</f>
        <v>Bras</v>
      </c>
      <c r="E273" s="2" t="str">
        <f>IFERROR(__xludf.DUMMYFUNCTION("""COMPUTED_VALUE"""),"Research Tech")</f>
        <v>Research Tech</v>
      </c>
      <c r="F273" s="2" t="str">
        <f>IFERROR(__xludf.DUMMYFUNCTION("""COMPUTED_VALUE"""),"kimberly.paquette.vai@gmail.com")</f>
        <v>kimberly.paquette.vai@gmail.com</v>
      </c>
      <c r="G273" s="2" t="str">
        <f>IFERROR(__xludf.DUMMYFUNCTION("""COMPUTED_VALUE"""),"0000-0003-3989-4614")</f>
        <v>0000-0003-3989-4614</v>
      </c>
    </row>
    <row r="274">
      <c r="A274" s="2" t="str">
        <f>IFERROR(__xludf.DUMMYFUNCTION("""COMPUTED_VALUE"""),"Westra")</f>
        <v>Westra</v>
      </c>
      <c r="B274" s="2" t="str">
        <f>IFERROR(__xludf.DUMMYFUNCTION("""COMPUTED_VALUE"""),"Kaitlyn")</f>
        <v>Kaitlyn</v>
      </c>
      <c r="C274" s="2" t="str">
        <f>IFERROR(__xludf.DUMMYFUNCTION("""COMPUTED_VALUE"""),"Key Personnel")</f>
        <v>Key Personnel</v>
      </c>
      <c r="D274" s="2" t="str">
        <f>IFERROR(__xludf.DUMMYFUNCTION("""COMPUTED_VALUE"""),"Bras")</f>
        <v>Bras</v>
      </c>
      <c r="E274" s="2" t="str">
        <f>IFERROR(__xludf.DUMMYFUNCTION("""COMPUTED_VALUE"""),"Data Analyst")</f>
        <v>Data Analyst</v>
      </c>
      <c r="F274" s="2" t="str">
        <f>IFERROR(__xludf.DUMMYFUNCTION("""COMPUTED_VALUE"""),"kaitlyn.westra.vai@gmail.com")</f>
        <v>kaitlyn.westra.vai@gmail.com</v>
      </c>
      <c r="G274" s="2" t="str">
        <f>IFERROR(__xludf.DUMMYFUNCTION("""COMPUTED_VALUE"""),"0000-0002-7804-6661")</f>
        <v>0000-0002-7804-6661</v>
      </c>
    </row>
    <row r="275">
      <c r="A275" s="2" t="str">
        <f>IFERROR(__xludf.DUMMYFUNCTION("""COMPUTED_VALUE"""),"So")</f>
        <v>So</v>
      </c>
      <c r="B275" s="2" t="str">
        <f>IFERROR(__xludf.DUMMYFUNCTION("""COMPUTED_VALUE"""),"Simon")</f>
        <v>Simon</v>
      </c>
      <c r="C275" s="2" t="str">
        <f>IFERROR(__xludf.DUMMYFUNCTION("""COMPUTED_VALUE"""),"Key Personnel")</f>
        <v>Key Personnel</v>
      </c>
      <c r="D275" s="2" t="str">
        <f>IFERROR(__xludf.DUMMYFUNCTION("""COMPUTED_VALUE"""),"Butterick")</f>
        <v>Butterick</v>
      </c>
      <c r="E275" s="2" t="str">
        <f>IFERROR(__xludf.DUMMYFUNCTION("""COMPUTED_VALUE"""),"Research Assistant")</f>
        <v>Research Assistant</v>
      </c>
      <c r="F275" s="2" t="str">
        <f>IFERROR(__xludf.DUMMYFUNCTION("""COMPUTED_VALUE"""),"soxxx063@umn.edu")</f>
        <v>soxxx063@umn.edu</v>
      </c>
      <c r="G275" s="2" t="str">
        <f>IFERROR(__xludf.DUMMYFUNCTION("""COMPUTED_VALUE"""),"0000-0001-7409-073X")</f>
        <v>0000-0001-7409-073X</v>
      </c>
    </row>
    <row r="276">
      <c r="A276" s="2" t="str">
        <f>IFERROR(__xludf.DUMMYFUNCTION("""COMPUTED_VALUE"""),"Butterick ")</f>
        <v>Butterick </v>
      </c>
      <c r="B276" s="2" t="str">
        <f>IFERROR(__xludf.DUMMYFUNCTION("""COMPUTED_VALUE"""),"Tammy A.")</f>
        <v>Tammy A.</v>
      </c>
      <c r="C276" s="2" t="str">
        <f>IFERROR(__xludf.DUMMYFUNCTION("""COMPUTED_VALUE"""),"Key Personnel")</f>
        <v>Key Personnel</v>
      </c>
      <c r="D276" s="2" t="str">
        <f>IFERROR(__xludf.DUMMYFUNCTION("""COMPUTED_VALUE"""),"Butterick")</f>
        <v>Butterick</v>
      </c>
      <c r="E276" s="2" t="str">
        <f>IFERROR(__xludf.DUMMYFUNCTION("""COMPUTED_VALUE"""),"Adjunct Assoc Prof")</f>
        <v>Adjunct Assoc Prof</v>
      </c>
      <c r="F276" s="2" t="str">
        <f>IFERROR(__xludf.DUMMYFUNCTION("""COMPUTED_VALUE"""),"butte017@umn.edu")</f>
        <v>butte017@umn.edu</v>
      </c>
      <c r="G276" s="2" t="str">
        <f>IFERROR(__xludf.DUMMYFUNCTION("""COMPUTED_VALUE"""),"0000-0001-8516-0385")</f>
        <v>0000-0001-8516-0385</v>
      </c>
    </row>
    <row r="277">
      <c r="A277" s="2" t="str">
        <f>IFERROR(__xludf.DUMMYFUNCTION("""COMPUTED_VALUE"""),"Lopez")</f>
        <v>Lopez</v>
      </c>
      <c r="B277" s="2" t="str">
        <f>IFERROR(__xludf.DUMMYFUNCTION("""COMPUTED_VALUE"""),"Ellison")</f>
        <v>Ellison</v>
      </c>
      <c r="C277" s="2" t="str">
        <f>IFERROR(__xludf.DUMMYFUNCTION("""COMPUTED_VALUE"""),"Key Personnel")</f>
        <v>Key Personnel</v>
      </c>
      <c r="D277" s="2" t="str">
        <f>IFERROR(__xludf.DUMMYFUNCTION("""COMPUTED_VALUE"""),"Bras")</f>
        <v>Bras</v>
      </c>
      <c r="E277" s="2" t="str">
        <f>IFERROR(__xludf.DUMMYFUNCTION("""COMPUTED_VALUE"""),"Researcher 1")</f>
        <v>Researcher 1</v>
      </c>
      <c r="F277" s="2" t="str">
        <f>IFERROR(__xludf.DUMMYFUNCTION("""COMPUTED_VALUE"""),"Elisson.Lopes@vai.org")</f>
        <v>Elisson.Lopes@vai.org</v>
      </c>
      <c r="G277" s="2"/>
    </row>
    <row r="278">
      <c r="A278" s="2" t="str">
        <f>IFERROR(__xludf.DUMMYFUNCTION("""COMPUTED_VALUE"""),"Menon")</f>
        <v>Menon</v>
      </c>
      <c r="B278" s="2" t="str">
        <f>IFERROR(__xludf.DUMMYFUNCTION("""COMPUTED_VALUE"""),"Vinal")</f>
        <v>Vinal</v>
      </c>
      <c r="C278" s="2" t="str">
        <f>IFERROR(__xludf.DUMMYFUNCTION("""COMPUTED_VALUE"""),"Key Personnel")</f>
        <v>Key Personnel</v>
      </c>
      <c r="D278" s="2" t="str">
        <f>IFERROR(__xludf.DUMMYFUNCTION("""COMPUTED_VALUE"""),"Niedernhofer")</f>
        <v>Niedernhofer</v>
      </c>
      <c r="E278" s="2" t="str">
        <f>IFERROR(__xludf.DUMMYFUNCTION("""COMPUTED_VALUE"""),"Post Doc")</f>
        <v>Post Doc</v>
      </c>
      <c r="F278" s="2" t="str">
        <f>IFERROR(__xludf.DUMMYFUNCTION("""COMPUTED_VALUE"""),"menon097@umn.edu")</f>
        <v>menon097@umn.edu</v>
      </c>
      <c r="G278" s="2" t="str">
        <f>IFERROR(__xludf.DUMMYFUNCTION("""COMPUTED_VALUE"""),"0000-0001-7121-3589")</f>
        <v>0000-0001-7121-3589</v>
      </c>
    </row>
    <row r="279">
      <c r="A279" s="2" t="str">
        <f>IFERROR(__xludf.DUMMYFUNCTION("""COMPUTED_VALUE"""),"Cenxiao")</f>
        <v>Cenxiao</v>
      </c>
      <c r="B279" s="2" t="str">
        <f>IFERROR(__xludf.DUMMYFUNCTION("""COMPUTED_VALUE"""),"Fang")</f>
        <v>Fang</v>
      </c>
      <c r="C279" s="2" t="str">
        <f>IFERROR(__xludf.DUMMYFUNCTION("""COMPUTED_VALUE"""),"Key Personnel")</f>
        <v>Key Personnel</v>
      </c>
      <c r="D279" s="2" t="str">
        <f>IFERROR(__xludf.DUMMYFUNCTION("""COMPUTED_VALUE"""),"Lee")</f>
        <v>Lee</v>
      </c>
      <c r="E279" s="2" t="str">
        <f>IFERROR(__xludf.DUMMYFUNCTION("""COMPUTED_VALUE"""),"Research Spec")</f>
        <v>Research Spec</v>
      </c>
      <c r="F279" s="2" t="str">
        <f>IFERROR(__xludf.DUMMYFUNCTION("""COMPUTED_VALUE"""),"cenxiao@umn.edu")</f>
        <v>cenxiao@umn.edu</v>
      </c>
      <c r="G279" s="2" t="str">
        <f>IFERROR(__xludf.DUMMYFUNCTION("""COMPUTED_VALUE"""),"0000-0002-2138-4520")</f>
        <v>0000-0002-2138-4520</v>
      </c>
    </row>
    <row r="280">
      <c r="A280" s="2" t="str">
        <f>IFERROR(__xludf.DUMMYFUNCTION("""COMPUTED_VALUE"""),"Twa")</f>
        <v>Twa</v>
      </c>
      <c r="B280" s="2" t="str">
        <f>IFERROR(__xludf.DUMMYFUNCTION("""COMPUTED_VALUE"""),"Guy")</f>
        <v>Guy</v>
      </c>
      <c r="C280" s="2" t="str">
        <f>IFERROR(__xludf.DUMMYFUNCTION("""COMPUTED_VALUE"""),"Key Personnel")</f>
        <v>Key Personnel</v>
      </c>
      <c r="D280" s="2" t="str">
        <f>IFERROR(__xludf.DUMMYFUNCTION("""COMPUTED_VALUE"""),"Payami")</f>
        <v>Payami</v>
      </c>
      <c r="E280" s="2" t="str">
        <f>IFERROR(__xludf.DUMMYFUNCTION("""COMPUTED_VALUE"""),"Graduate Student")</f>
        <v>Graduate Student</v>
      </c>
      <c r="F280" s="2" t="str">
        <f>IFERROR(__xludf.DUMMYFUNCTION("""COMPUTED_VALUE"""),"gtwa@uab.edu")</f>
        <v>gtwa@uab.edu</v>
      </c>
      <c r="G280" s="2" t="str">
        <f>IFERROR(__xludf.DUMMYFUNCTION("""COMPUTED_VALUE"""),"0000-0002-8409-7844")</f>
        <v>0000-0002-8409-7844</v>
      </c>
    </row>
    <row r="281">
      <c r="A281" s="2" t="str">
        <f>IFERROR(__xludf.DUMMYFUNCTION("""COMPUTED_VALUE"""),"Otero")</f>
        <v>Otero</v>
      </c>
      <c r="B281" s="2" t="str">
        <f>IFERROR(__xludf.DUMMYFUNCTION("""COMPUTED_VALUE"""),"Brittney")</f>
        <v>Brittney</v>
      </c>
      <c r="C281" s="2" t="str">
        <f>IFERROR(__xludf.DUMMYFUNCTION("""COMPUTED_VALUE"""),"Key Personnel")</f>
        <v>Key Personnel</v>
      </c>
      <c r="D281" s="2" t="str">
        <f>IFERROR(__xludf.DUMMYFUNCTION("""COMPUTED_VALUE"""),"Tansey")</f>
        <v>Tansey</v>
      </c>
      <c r="E281" s="2" t="str">
        <f>IFERROR(__xludf.DUMMYFUNCTION("""COMPUTED_VALUE"""),"Post-Doc")</f>
        <v>Post-Doc</v>
      </c>
      <c r="F281" s="2" t="str">
        <f>IFERROR(__xludf.DUMMYFUNCTION("""COMPUTED_VALUE"""),"brittotero@ufl.edu")</f>
        <v>brittotero@ufl.edu</v>
      </c>
      <c r="G281" s="2" t="str">
        <f>IFERROR(__xludf.DUMMYFUNCTION("""COMPUTED_VALUE"""),"0000-0003-2179-0112")</f>
        <v>0000-0003-2179-0112</v>
      </c>
    </row>
    <row r="282">
      <c r="A282" s="2" t="str">
        <f>IFERROR(__xludf.DUMMYFUNCTION("""COMPUTED_VALUE"""),"Caira")</f>
        <v>Caira</v>
      </c>
      <c r="B282" s="2" t="str">
        <f>IFERROR(__xludf.DUMMYFUNCTION("""COMPUTED_VALUE"""),"Christina")</f>
        <v>Christina</v>
      </c>
      <c r="C282" s="2" t="str">
        <f>IFERROR(__xludf.DUMMYFUNCTION("""COMPUTED_VALUE"""),"Key Personnel")</f>
        <v>Key Personnel</v>
      </c>
      <c r="D282" s="2" t="str">
        <f>IFERROR(__xludf.DUMMYFUNCTION("""COMPUTED_VALUE"""),"West")</f>
        <v>West</v>
      </c>
      <c r="E282" s="2" t="str">
        <f>IFERROR(__xludf.DUMMYFUNCTION("""COMPUTED_VALUE"""),"Graduate Student")</f>
        <v>Graduate Student</v>
      </c>
      <c r="F282" s="2" t="str">
        <f>IFERROR(__xludf.DUMMYFUNCTION("""COMPUTED_VALUE"""),"Christina.Stanhope@duke.edu")</f>
        <v>Christina.Stanhope@duke.edu</v>
      </c>
      <c r="G282" s="2" t="str">
        <f>IFERROR(__xludf.DUMMYFUNCTION("""COMPUTED_VALUE"""),"0000-0003-2542-5462")</f>
        <v>0000-0003-2542-5462</v>
      </c>
    </row>
    <row r="283">
      <c r="A283" s="2" t="str">
        <f>IFERROR(__xludf.DUMMYFUNCTION("""COMPUTED_VALUE"""),"Cohen")</f>
        <v>Cohen</v>
      </c>
      <c r="B283" s="2" t="str">
        <f>IFERROR(__xludf.DUMMYFUNCTION("""COMPUTED_VALUE"""),"Gwendolyn")</f>
        <v>Gwendolyn</v>
      </c>
      <c r="C283" s="2" t="str">
        <f>IFERROR(__xludf.DUMMYFUNCTION("""COMPUTED_VALUE"""),"Key Personnel")</f>
        <v>Key Personnel</v>
      </c>
      <c r="D283" s="2" t="str">
        <f>IFERROR(__xludf.DUMMYFUNCTION("""COMPUTED_VALUE"""),"Payami")</f>
        <v>Payami</v>
      </c>
      <c r="E283" s="2" t="str">
        <f>IFERROR(__xludf.DUMMYFUNCTION("""COMPUTED_VALUE"""),"Research Assistant")</f>
        <v>Research Assistant</v>
      </c>
      <c r="F283" s="2" t="str">
        <f>IFERROR(__xludf.DUMMYFUNCTION("""COMPUTED_VALUE"""),"gcohen@uab.edu")</f>
        <v>gcohen@uab.edu</v>
      </c>
      <c r="G283" s="2" t="str">
        <f>IFERROR(__xludf.DUMMYFUNCTION("""COMPUTED_VALUE"""),"0000-0002-5084-061X")</f>
        <v>0000-0002-5084-061X</v>
      </c>
    </row>
    <row r="284">
      <c r="A284" s="2" t="str">
        <f>IFERROR(__xludf.DUMMYFUNCTION("""COMPUTED_VALUE"""),"Chandra")</f>
        <v>Chandra</v>
      </c>
      <c r="B284" s="2" t="str">
        <f>IFERROR(__xludf.DUMMYFUNCTION("""COMPUTED_VALUE"""),"Rashmi")</f>
        <v>Rashmi</v>
      </c>
      <c r="C284" s="2" t="str">
        <f>IFERROR(__xludf.DUMMYFUNCTION("""COMPUTED_VALUE"""),"Key Personnel")</f>
        <v>Key Personnel</v>
      </c>
      <c r="D284" s="2" t="str">
        <f>IFERROR(__xludf.DUMMYFUNCTION("""COMPUTED_VALUE"""),"Liddle")</f>
        <v>Liddle</v>
      </c>
      <c r="E284" s="2" t="str">
        <f>IFERROR(__xludf.DUMMYFUNCTION("""COMPUTED_VALUE"""),"Research Scientist, Sr ")</f>
        <v>Research Scientist, Sr </v>
      </c>
      <c r="F284" s="2" t="str">
        <f>IFERROR(__xludf.DUMMYFUNCTION("""COMPUTED_VALUE"""),"rashmi.chandra@duke.edu")</f>
        <v>rashmi.chandra@duke.edu</v>
      </c>
      <c r="G284" s="2" t="str">
        <f>IFERROR(__xludf.DUMMYFUNCTION("""COMPUTED_VALUE"""),"0000-0001-9591-8997")</f>
        <v>0000-0001-9591-8997</v>
      </c>
    </row>
    <row r="285">
      <c r="A285" s="2" t="str">
        <f>IFERROR(__xludf.DUMMYFUNCTION("""COMPUTED_VALUE"""),"Rivera")</f>
        <v>Rivera</v>
      </c>
      <c r="B285" s="2" t="str">
        <f>IFERROR(__xludf.DUMMYFUNCTION("""COMPUTED_VALUE"""),"Grecia")</f>
        <v>Grecia</v>
      </c>
      <c r="C285" s="2" t="str">
        <f>IFERROR(__xludf.DUMMYFUNCTION("""COMPUTED_VALUE"""),"Key Personnel")</f>
        <v>Key Personnel</v>
      </c>
      <c r="D285" s="2" t="str">
        <f>IFERROR(__xludf.DUMMYFUNCTION("""COMPUTED_VALUE"""),"Liddle")</f>
        <v>Liddle</v>
      </c>
      <c r="E285" s="2" t="str">
        <f>IFERROR(__xludf.DUMMYFUNCTION("""COMPUTED_VALUE"""),"Associate In Research")</f>
        <v>Associate In Research</v>
      </c>
      <c r="F285" s="2" t="str">
        <f>IFERROR(__xludf.DUMMYFUNCTION("""COMPUTED_VALUE"""),"greciaodalis.rivera.palomino@duke.edu")</f>
        <v>greciaodalis.rivera.palomino@duke.edu</v>
      </c>
      <c r="G285" s="2" t="str">
        <f>IFERROR(__xludf.DUMMYFUNCTION("""COMPUTED_VALUE"""),"0000-0003-3584-0184")</f>
        <v>0000-0003-3584-0184</v>
      </c>
    </row>
    <row r="286">
      <c r="A286" s="2" t="str">
        <f>IFERROR(__xludf.DUMMYFUNCTION("""COMPUTED_VALUE"""),"Wallen")</f>
        <v>Wallen</v>
      </c>
      <c r="B286" s="2" t="str">
        <f>IFERROR(__xludf.DUMMYFUNCTION("""COMPUTED_VALUE"""),"Zachary")</f>
        <v>Zachary</v>
      </c>
      <c r="C286" s="2" t="str">
        <f>IFERROR(__xludf.DUMMYFUNCTION("""COMPUTED_VALUE"""),"Key Personnel")</f>
        <v>Key Personnel</v>
      </c>
      <c r="D286" s="2" t="str">
        <f>IFERROR(__xludf.DUMMYFUNCTION("""COMPUTED_VALUE"""),"Payami")</f>
        <v>Payami</v>
      </c>
      <c r="E286" s="2" t="str">
        <f>IFERROR(__xludf.DUMMYFUNCTION("""COMPUTED_VALUE"""),"Post-Doc")</f>
        <v>Post-Doc</v>
      </c>
      <c r="F286" s="2" t="str">
        <f>IFERROR(__xludf.DUMMYFUNCTION("""COMPUTED_VALUE"""),"zacharywallen@uabmc.edu")</f>
        <v>zacharywallen@uabmc.edu</v>
      </c>
      <c r="G286" s="2" t="str">
        <f>IFERROR(__xludf.DUMMYFUNCTION("""COMPUTED_VALUE"""),"0000-0002-2278-7348")</f>
        <v>0000-0002-2278-7348</v>
      </c>
    </row>
    <row r="287">
      <c r="A287" s="2" t="str">
        <f>IFERROR(__xludf.DUMMYFUNCTION("""COMPUTED_VALUE"""),"Gounder")</f>
        <v>Gounder</v>
      </c>
      <c r="B287" s="2" t="str">
        <f>IFERROR(__xludf.DUMMYFUNCTION("""COMPUTED_VALUE"""),"Senthil")</f>
        <v>Senthil</v>
      </c>
      <c r="C287" s="2" t="str">
        <f>IFERROR(__xludf.DUMMYFUNCTION("""COMPUTED_VALUE"""),"Project Manager")</f>
        <v>Project Manager</v>
      </c>
      <c r="D287" s="2" t="str">
        <f>IFERROR(__xludf.DUMMYFUNCTION("""COMPUTED_VALUE"""),"Liddle")</f>
        <v>Liddle</v>
      </c>
      <c r="E287" s="2" t="str">
        <f>IFERROR(__xludf.DUMMYFUNCTION("""COMPUTED_VALUE"""),"Project Manager")</f>
        <v>Project Manager</v>
      </c>
      <c r="F287" s="2" t="str">
        <f>IFERROR(__xludf.DUMMYFUNCTION("""COMPUTED_VALUE"""),"senthil.gounder@duke.edu")</f>
        <v>senthil.gounder@duke.edu</v>
      </c>
      <c r="G287" s="2" t="str">
        <f>IFERROR(__xludf.DUMMYFUNCTION("""COMPUTED_VALUE"""),"0000-0002-3281-9913")</f>
        <v>0000-0002-3281-9913</v>
      </c>
    </row>
    <row r="288">
      <c r="A288" s="2" t="str">
        <f>IFERROR(__xludf.DUMMYFUNCTION("""COMPUTED_VALUE"""),"Williamson")</f>
        <v>Williamson</v>
      </c>
      <c r="B288" s="2" t="str">
        <f>IFERROR(__xludf.DUMMYFUNCTION("""COMPUTED_VALUE"""),"Ian")</f>
        <v>Ian</v>
      </c>
      <c r="C288" s="2" t="str">
        <f>IFERROR(__xludf.DUMMYFUNCTION("""COMPUTED_VALUE"""),"Key Personnel")</f>
        <v>Key Personnel</v>
      </c>
      <c r="D288" s="2" t="str">
        <f>IFERROR(__xludf.DUMMYFUNCTION("""COMPUTED_VALUE"""),"Liddle")</f>
        <v>Liddle</v>
      </c>
      <c r="E288" s="2" t="str">
        <f>IFERROR(__xludf.DUMMYFUNCTION("""COMPUTED_VALUE"""),"Post-Doc")</f>
        <v>Post-Doc</v>
      </c>
      <c r="F288" s="2" t="str">
        <f>IFERROR(__xludf.DUMMYFUNCTION("""COMPUTED_VALUE"""),"ian.williamson@duke.edu")</f>
        <v>ian.williamson@duke.edu</v>
      </c>
      <c r="G288" s="2" t="str">
        <f>IFERROR(__xludf.DUMMYFUNCTION("""COMPUTED_VALUE"""),"0000-0003-2795-6099")</f>
        <v>0000-0003-2795-6099</v>
      </c>
    </row>
    <row r="289">
      <c r="A289" s="2" t="str">
        <f>IFERROR(__xludf.DUMMYFUNCTION("""COMPUTED_VALUE"""),"Patel")</f>
        <v>Patel</v>
      </c>
      <c r="B289" s="2" t="str">
        <f>IFERROR(__xludf.DUMMYFUNCTION("""COMPUTED_VALUE"""),"Vanita")</f>
        <v>Vanita</v>
      </c>
      <c r="C289" s="2" t="str">
        <f>IFERROR(__xludf.DUMMYFUNCTION("""COMPUTED_VALUE"""),"Key Personnel")</f>
        <v>Key Personnel</v>
      </c>
      <c r="D289" s="2" t="str">
        <f>IFERROR(__xludf.DUMMYFUNCTION("""COMPUTED_VALUE"""),"Liddle")</f>
        <v>Liddle</v>
      </c>
      <c r="E289" s="2" t="str">
        <f>IFERROR(__xludf.DUMMYFUNCTION("""COMPUTED_VALUE"""),"research technician")</f>
        <v>research technician</v>
      </c>
      <c r="F289" s="2" t="str">
        <f>IFERROR(__xludf.DUMMYFUNCTION("""COMPUTED_VALUE"""),"vanita.patel@duke.edu")</f>
        <v>vanita.patel@duke.edu</v>
      </c>
      <c r="G289" s="2" t="str">
        <f>IFERROR(__xludf.DUMMYFUNCTION("""COMPUTED_VALUE"""),"0009-0004-1910-1773")</f>
        <v>0009-0004-1910-1773</v>
      </c>
    </row>
    <row r="290">
      <c r="A290" s="2" t="str">
        <f>IFERROR(__xludf.DUMMYFUNCTION("""COMPUTED_VALUE"""),"Stagaman")</f>
        <v>Stagaman</v>
      </c>
      <c r="B290" s="2" t="str">
        <f>IFERROR(__xludf.DUMMYFUNCTION("""COMPUTED_VALUE"""),"Keaton")</f>
        <v>Keaton</v>
      </c>
      <c r="C290" s="2" t="str">
        <f>IFERROR(__xludf.DUMMYFUNCTION("""COMPUTED_VALUE"""),"Key Personnel")</f>
        <v>Key Personnel</v>
      </c>
      <c r="D290" s="2" t="str">
        <f>IFERROR(__xludf.DUMMYFUNCTION("""COMPUTED_VALUE"""),"Payami")</f>
        <v>Payami</v>
      </c>
      <c r="E290" s="2" t="str">
        <f>IFERROR(__xludf.DUMMYFUNCTION("""COMPUTED_VALUE"""),"Post doctoral Fellow")</f>
        <v>Post doctoral Fellow</v>
      </c>
      <c r="F290" s="2" t="str">
        <f>IFERROR(__xludf.DUMMYFUNCTION("""COMPUTED_VALUE"""),"kstagaman@gmail.com")</f>
        <v>kstagaman@gmail.com</v>
      </c>
      <c r="G290" s="2" t="str">
        <f>IFERROR(__xludf.DUMMYFUNCTION("""COMPUTED_VALUE"""),"0000-0003-2815-4530")</f>
        <v>0000-0003-2815-4530</v>
      </c>
    </row>
    <row r="291">
      <c r="A291" s="2" t="str">
        <f>IFERROR(__xludf.DUMMYFUNCTION("""COMPUTED_VALUE"""),"Salogiannis")</f>
        <v>Salogiannis</v>
      </c>
      <c r="B291" s="2" t="str">
        <f>IFERROR(__xludf.DUMMYFUNCTION("""COMPUTED_VALUE"""),"John ")</f>
        <v>John </v>
      </c>
      <c r="C291" s="2" t="str">
        <f>IFERROR(__xludf.DUMMYFUNCTION("""COMPUTED_VALUE"""),"Key Personnel")</f>
        <v>Key Personnel</v>
      </c>
      <c r="D291" s="2" t="str">
        <f>IFERROR(__xludf.DUMMYFUNCTION("""COMPUTED_VALUE"""),"Reck-Peterson")</f>
        <v>Reck-Peterson</v>
      </c>
      <c r="E291" s="2" t="str">
        <f>IFERROR(__xludf.DUMMYFUNCTION("""COMPUTED_VALUE"""),"Postdoc")</f>
        <v>Postdoc</v>
      </c>
      <c r="F291" s="2" t="str">
        <f>IFERROR(__xludf.DUMMYFUNCTION("""COMPUTED_VALUE"""),"jsalogiannis@ucsd.edu")</f>
        <v>jsalogiannis@ucsd.edu</v>
      </c>
      <c r="G291" s="2" t="str">
        <f>IFERROR(__xludf.DUMMYFUNCTION("""COMPUTED_VALUE"""),"0000-0002-1988-7284")</f>
        <v>0000-0002-1988-7284</v>
      </c>
    </row>
    <row r="292">
      <c r="A292" s="2" t="str">
        <f>IFERROR(__xludf.DUMMYFUNCTION("""COMPUTED_VALUE"""),"Donosa")</f>
        <v>Donosa</v>
      </c>
      <c r="B292" s="2" t="str">
        <f>IFERROR(__xludf.DUMMYFUNCTION("""COMPUTED_VALUE"""),"Oscar")</f>
        <v>Oscar</v>
      </c>
      <c r="C292" s="2" t="str">
        <f>IFERROR(__xludf.DUMMYFUNCTION("""COMPUTED_VALUE"""),"Key Personnel")</f>
        <v>Key Personnel</v>
      </c>
      <c r="D292" s="2" t="str">
        <f>IFERROR(__xludf.DUMMYFUNCTION("""COMPUTED_VALUE"""),"Reck-Peterson")</f>
        <v>Reck-Peterson</v>
      </c>
      <c r="E292" s="2" t="str">
        <f>IFERROR(__xludf.DUMMYFUNCTION("""COMPUTED_VALUE"""),"Technician/Lab manager")</f>
        <v>Technician/Lab manager</v>
      </c>
      <c r="F292" s="2" t="str">
        <f>IFERROR(__xludf.DUMMYFUNCTION("""COMPUTED_VALUE"""),"odonosa@ucsd.edu")</f>
        <v>odonosa@ucsd.edu</v>
      </c>
      <c r="G292" s="2" t="str">
        <f>IFERROR(__xludf.DUMMYFUNCTION("""COMPUTED_VALUE"""),"0000-0002-1871-447X")</f>
        <v>0000-0002-1871-447X</v>
      </c>
    </row>
    <row r="293">
      <c r="A293" s="2" t="str">
        <f>IFERROR(__xludf.DUMMYFUNCTION("""COMPUTED_VALUE"""),"Snead")</f>
        <v>Snead</v>
      </c>
      <c r="B293" s="2" t="str">
        <f>IFERROR(__xludf.DUMMYFUNCTION("""COMPUTED_VALUE"""),"David")</f>
        <v>David</v>
      </c>
      <c r="C293" s="2" t="str">
        <f>IFERROR(__xludf.DUMMYFUNCTION("""COMPUTED_VALUE"""),"Key Personnel")</f>
        <v>Key Personnel</v>
      </c>
      <c r="D293" s="2" t="str">
        <f>IFERROR(__xludf.DUMMYFUNCTION("""COMPUTED_VALUE"""),"Reck-Peterson/Leschziner")</f>
        <v>Reck-Peterson/Leschziner</v>
      </c>
      <c r="E293" s="2" t="str">
        <f>IFERROR(__xludf.DUMMYFUNCTION("""COMPUTED_VALUE"""),"Postdoc")</f>
        <v>Postdoc</v>
      </c>
      <c r="F293" s="2" t="str">
        <f>IFERROR(__xludf.DUMMYFUNCTION("""COMPUTED_VALUE"""),"dsnead@ucsd.edu")</f>
        <v>dsnead@ucsd.edu</v>
      </c>
      <c r="G293" s="2" t="str">
        <f>IFERROR(__xludf.DUMMYFUNCTION("""COMPUTED_VALUE"""),"0000-0001-7839-452X")</f>
        <v>0000-0001-7839-452X</v>
      </c>
    </row>
    <row r="294">
      <c r="A294" s="2" t="str">
        <f>IFERROR(__xludf.DUMMYFUNCTION("""COMPUTED_VALUE"""),"Reimer")</f>
        <v>Reimer</v>
      </c>
      <c r="B294" s="2" t="str">
        <f>IFERROR(__xludf.DUMMYFUNCTION("""COMPUTED_VALUE"""),"Janice")</f>
        <v>Janice</v>
      </c>
      <c r="C294" s="2" t="str">
        <f>IFERROR(__xludf.DUMMYFUNCTION("""COMPUTED_VALUE"""),"Key Personnel")</f>
        <v>Key Personnel</v>
      </c>
      <c r="D294" s="2" t="str">
        <f>IFERROR(__xludf.DUMMYFUNCTION("""COMPUTED_VALUE"""),"Leschziner")</f>
        <v>Leschziner</v>
      </c>
      <c r="E294" s="2" t="str">
        <f>IFERROR(__xludf.DUMMYFUNCTION("""COMPUTED_VALUE"""),"Postdoc")</f>
        <v>Postdoc</v>
      </c>
      <c r="F294" s="2" t="str">
        <f>IFERROR(__xludf.DUMMYFUNCTION("""COMPUTED_VALUE"""),"jmreimer@health.ucsd.edu")</f>
        <v>jmreimer@health.ucsd.edu</v>
      </c>
      <c r="G294" s="2" t="str">
        <f>IFERROR(__xludf.DUMMYFUNCTION("""COMPUTED_VALUE"""),"0000-0002-2664-5523")</f>
        <v>0000-0002-2664-5523</v>
      </c>
    </row>
    <row r="295">
      <c r="A295" s="2" t="str">
        <f>IFERROR(__xludf.DUMMYFUNCTION("""COMPUTED_VALUE"""),"Kim")</f>
        <v>Kim</v>
      </c>
      <c r="B295" s="2" t="str">
        <f>IFERROR(__xludf.DUMMYFUNCTION("""COMPUTED_VALUE"""),"Soojin")</f>
        <v>Soojin</v>
      </c>
      <c r="C295" s="2" t="str">
        <f>IFERROR(__xludf.DUMMYFUNCTION("""COMPUTED_VALUE"""),"Project Manager")</f>
        <v>Project Manager</v>
      </c>
      <c r="D295" s="2" t="str">
        <f>IFERROR(__xludf.DUMMYFUNCTION("""COMPUTED_VALUE"""),"Reck-Peterson")</f>
        <v>Reck-Peterson</v>
      </c>
      <c r="E295" s="2" t="str">
        <f>IFERROR(__xludf.DUMMYFUNCTION("""COMPUTED_VALUE"""),"Postdoc")</f>
        <v>Postdoc</v>
      </c>
      <c r="F295" s="2" t="str">
        <f>IFERROR(__xludf.DUMMYFUNCTION("""COMPUTED_VALUE"""),"soojink@ucsd.edu")</f>
        <v>soojink@ucsd.edu</v>
      </c>
      <c r="G295" s="2" t="str">
        <f>IFERROR(__xludf.DUMMYFUNCTION("""COMPUTED_VALUE"""),"0000-0001-6519-1651")</f>
        <v>0000-0001-6519-1651</v>
      </c>
    </row>
    <row r="296">
      <c r="A296" s="2" t="str">
        <f>IFERROR(__xludf.DUMMYFUNCTION("""COMPUTED_VALUE"""),"Dickey")</f>
        <v>Dickey</v>
      </c>
      <c r="B296" s="2" t="str">
        <f>IFERROR(__xludf.DUMMYFUNCTION("""COMPUTED_VALUE"""),"Andrea")</f>
        <v>Andrea</v>
      </c>
      <c r="C296" s="2" t="str">
        <f>IFERROR(__xludf.DUMMYFUNCTION("""COMPUTED_VALUE"""),"Key Personnel")</f>
        <v>Key Personnel</v>
      </c>
      <c r="D296" s="2" t="str">
        <f>IFERROR(__xludf.DUMMYFUNCTION("""COMPUTED_VALUE"""),"Reck-Peterson")</f>
        <v>Reck-Peterson</v>
      </c>
      <c r="E296" s="2" t="str">
        <f>IFERROR(__xludf.DUMMYFUNCTION("""COMPUTED_VALUE"""),"Grad student")</f>
        <v>Grad student</v>
      </c>
      <c r="F296" s="2" t="str">
        <f>IFERROR(__xludf.DUMMYFUNCTION("""COMPUTED_VALUE"""),"adickey@ucsd.edu")</f>
        <v>adickey@ucsd.edu</v>
      </c>
      <c r="G296" s="2" t="str">
        <f>IFERROR(__xludf.DUMMYFUNCTION("""COMPUTED_VALUE"""),"0000-0001-8725-0982")</f>
        <v>0000-0001-8725-0982</v>
      </c>
    </row>
    <row r="297">
      <c r="A297" s="2" t="str">
        <f>IFERROR(__xludf.DUMMYFUNCTION("""COMPUTED_VALUE"""),"Matyszewski")</f>
        <v>Matyszewski</v>
      </c>
      <c r="B297" s="2" t="str">
        <f>IFERROR(__xludf.DUMMYFUNCTION("""COMPUTED_VALUE"""),"Mariusz ")</f>
        <v>Mariusz </v>
      </c>
      <c r="C297" s="2" t="str">
        <f>IFERROR(__xludf.DUMMYFUNCTION("""COMPUTED_VALUE"""),"Key Personnel")</f>
        <v>Key Personnel</v>
      </c>
      <c r="D297" s="2" t="str">
        <f>IFERROR(__xludf.DUMMYFUNCTION("""COMPUTED_VALUE"""),"Leschziner")</f>
        <v>Leschziner</v>
      </c>
      <c r="E297" s="2" t="str">
        <f>IFERROR(__xludf.DUMMYFUNCTION("""COMPUTED_VALUE"""),"Staff Scientist")</f>
        <v>Staff Scientist</v>
      </c>
      <c r="F297" s="2" t="str">
        <f>IFERROR(__xludf.DUMMYFUNCTION("""COMPUTED_VALUE"""),"mmatyszewski@health.ucsd.edu")</f>
        <v>mmatyszewski@health.ucsd.edu</v>
      </c>
      <c r="G297" s="2" t="str">
        <f>IFERROR(__xludf.DUMMYFUNCTION("""COMPUTED_VALUE"""),"0000-0003-4677-9809")</f>
        <v>0000-0003-4677-9809</v>
      </c>
    </row>
    <row r="298">
      <c r="A298" s="2" t="str">
        <f>IFERROR(__xludf.DUMMYFUNCTION("""COMPUTED_VALUE"""),"Lin")</f>
        <v>Lin</v>
      </c>
      <c r="B298" s="2" t="str">
        <f>IFERROR(__xludf.DUMMYFUNCTION("""COMPUTED_VALUE"""),"Yu Xuan")</f>
        <v>Yu Xuan</v>
      </c>
      <c r="C298" s="2" t="str">
        <f>IFERROR(__xludf.DUMMYFUNCTION("""COMPUTED_VALUE"""),"Key Personnel")</f>
        <v>Key Personnel</v>
      </c>
      <c r="D298" s="2" t="str">
        <f>IFERROR(__xludf.DUMMYFUNCTION("""COMPUTED_VALUE"""),"Leschziner")</f>
        <v>Leschziner</v>
      </c>
      <c r="E298" s="2" t="str">
        <f>IFERROR(__xludf.DUMMYFUNCTION("""COMPUTED_VALUE"""),"Technician")</f>
        <v>Technician</v>
      </c>
      <c r="F298" s="2" t="str">
        <f>IFERROR(__xludf.DUMMYFUNCTION("""COMPUTED_VALUE"""),"yxlin@ucsd.edu")</f>
        <v>yxlin@ucsd.edu</v>
      </c>
      <c r="G298" s="2" t="str">
        <f>IFERROR(__xludf.DUMMYFUNCTION("""COMPUTED_VALUE"""),"0000-0002-1016-4776")</f>
        <v>0000-0002-1016-4776</v>
      </c>
    </row>
    <row r="299">
      <c r="A299" s="2" t="str">
        <f>IFERROR(__xludf.DUMMYFUNCTION("""COMPUTED_VALUE"""),"Suslov")</f>
        <v>Suslov</v>
      </c>
      <c r="B299" s="2" t="str">
        <f>IFERROR(__xludf.DUMMYFUNCTION("""COMPUTED_VALUE"""),"Sergey")</f>
        <v>Sergey</v>
      </c>
      <c r="C299" s="2" t="str">
        <f>IFERROR(__xludf.DUMMYFUNCTION("""COMPUTED_VALUE"""),"Key Personnel")</f>
        <v>Key Personnel</v>
      </c>
      <c r="D299" s="2" t="str">
        <f>IFERROR(__xludf.DUMMYFUNCTION("""COMPUTED_VALUE"""),"Villa")</f>
        <v>Villa</v>
      </c>
      <c r="E299" s="2" t="str">
        <f>IFERROR(__xludf.DUMMYFUNCTION("""COMPUTED_VALUE"""),"Staff Scientist")</f>
        <v>Staff Scientist</v>
      </c>
      <c r="F299" s="2" t="str">
        <f>IFERROR(__xludf.DUMMYFUNCTION("""COMPUTED_VALUE"""),"ssuslov@ucsd.edu")</f>
        <v>ssuslov@ucsd.edu</v>
      </c>
      <c r="G299" s="2" t="str">
        <f>IFERROR(__xludf.DUMMYFUNCTION("""COMPUTED_VALUE"""),"0000-0002-2332-1662")</f>
        <v>0000-0002-2332-1662</v>
      </c>
    </row>
    <row r="300">
      <c r="A300" s="2" t="str">
        <f>IFERROR(__xludf.DUMMYFUNCTION("""COMPUTED_VALUE"""),"R'Bibo")</f>
        <v>R'Bibo</v>
      </c>
      <c r="B300" s="2" t="str">
        <f>IFERROR(__xludf.DUMMYFUNCTION("""COMPUTED_VALUE"""),"Lea")</f>
        <v>Lea</v>
      </c>
      <c r="C300" s="2" t="str">
        <f>IFERROR(__xludf.DUMMYFUNCTION("""COMPUTED_VALUE"""),"Key Personnel")</f>
        <v>Key Personnel</v>
      </c>
      <c r="D300" s="2" t="str">
        <f>IFERROR(__xludf.DUMMYFUNCTION("""COMPUTED_VALUE"""),"Soldner")</f>
        <v>Soldner</v>
      </c>
      <c r="E300" s="2" t="str">
        <f>IFERROR(__xludf.DUMMYFUNCTION("""COMPUTED_VALUE"""),"Postdoc")</f>
        <v>Postdoc</v>
      </c>
      <c r="F300" s="2" t="str">
        <f>IFERROR(__xludf.DUMMYFUNCTION("""COMPUTED_VALUE"""),"lea.rbibo@einsteinmed.org")</f>
        <v>lea.rbibo@einsteinmed.org</v>
      </c>
      <c r="G300" s="2"/>
    </row>
    <row r="301">
      <c r="A301" s="2" t="str">
        <f>IFERROR(__xludf.DUMMYFUNCTION("""COMPUTED_VALUE"""),"Montesano-Scheibe")</f>
        <v>Montesano-Scheibe</v>
      </c>
      <c r="B301" s="2" t="str">
        <f>IFERROR(__xludf.DUMMYFUNCTION("""COMPUTED_VALUE"""),"Elizabeth")</f>
        <v>Elizabeth</v>
      </c>
      <c r="C301" s="2" t="str">
        <f>IFERROR(__xludf.DUMMYFUNCTION("""COMPUTED_VALUE"""),"Key Personnel")</f>
        <v>Key Personnel</v>
      </c>
      <c r="D301" s="2" t="str">
        <f>IFERROR(__xludf.DUMMYFUNCTION("""COMPUTED_VALUE"""),"Gilbert")</f>
        <v>Gilbert</v>
      </c>
      <c r="E301" s="2" t="str">
        <f>IFERROR(__xludf.DUMMYFUNCTION("""COMPUTED_VALUE"""),"Lab Technician")</f>
        <v>Lab Technician</v>
      </c>
      <c r="F301" s="2" t="str">
        <f>IFERROR(__xludf.DUMMYFUNCTION("""COMPUTED_VALUE"""),"elizabeth.scheibe@ucsf.edu")</f>
        <v>elizabeth.scheibe@ucsf.edu</v>
      </c>
      <c r="G301" s="2"/>
    </row>
    <row r="302">
      <c r="A302" s="2" t="str">
        <f>IFERROR(__xludf.DUMMYFUNCTION("""COMPUTED_VALUE"""),"Kosillo")</f>
        <v>Kosillo</v>
      </c>
      <c r="B302" s="2" t="str">
        <f>IFERROR(__xludf.DUMMYFUNCTION("""COMPUTED_VALUE"""),"Polina")</f>
        <v>Polina</v>
      </c>
      <c r="C302" s="2" t="str">
        <f>IFERROR(__xludf.DUMMYFUNCTION("""COMPUTED_VALUE"""),"Key Personnel")</f>
        <v>Key Personnel</v>
      </c>
      <c r="D302" s="2" t="str">
        <f>IFERROR(__xludf.DUMMYFUNCTION("""COMPUTED_VALUE"""),"Bateup")</f>
        <v>Bateup</v>
      </c>
      <c r="E302" s="2" t="str">
        <f>IFERROR(__xludf.DUMMYFUNCTION("""COMPUTED_VALUE"""),"Postdoc")</f>
        <v>Postdoc</v>
      </c>
      <c r="F302" s="2" t="str">
        <f>IFERROR(__xludf.DUMMYFUNCTION("""COMPUTED_VALUE"""),"kosillo@berkeley.edu")</f>
        <v>kosillo@berkeley.edu</v>
      </c>
      <c r="G302" s="2"/>
    </row>
    <row r="303">
      <c r="A303" s="2" t="str">
        <f>IFERROR(__xludf.DUMMYFUNCTION("""COMPUTED_VALUE"""),"Winters")</f>
        <v>Winters</v>
      </c>
      <c r="B303" s="2" t="str">
        <f>IFERROR(__xludf.DUMMYFUNCTION("""COMPUTED_VALUE"""),"Aidan")</f>
        <v>Aidan</v>
      </c>
      <c r="C303" s="2" t="str">
        <f>IFERROR(__xludf.DUMMYFUNCTION("""COMPUTED_VALUE"""),"Key Personnel")</f>
        <v>Key Personnel</v>
      </c>
      <c r="D303" s="2" t="str">
        <f>IFERROR(__xludf.DUMMYFUNCTION("""COMPUTED_VALUE"""),"Gilbert")</f>
        <v>Gilbert</v>
      </c>
      <c r="E303" s="2" t="str">
        <f>IFERROR(__xludf.DUMMYFUNCTION("""COMPUTED_VALUE"""),"Grad Student")</f>
        <v>Grad Student</v>
      </c>
      <c r="F303" s="2" t="str">
        <f>IFERROR(__xludf.DUMMYFUNCTION("""COMPUTED_VALUE"""),"Aidan.winters@ucsf.edu")</f>
        <v>Aidan.winters@ucsf.edu</v>
      </c>
      <c r="G303" s="2" t="str">
        <f>IFERROR(__xludf.DUMMYFUNCTION("""COMPUTED_VALUE"""),"0000-0001-8024-6155")</f>
        <v>0000-0001-8024-6155</v>
      </c>
    </row>
    <row r="304">
      <c r="A304" s="2" t="str">
        <f>IFERROR(__xludf.DUMMYFUNCTION("""COMPUTED_VALUE"""),"Misiukiewicz")</f>
        <v>Misiukiewicz</v>
      </c>
      <c r="B304" s="2" t="str">
        <f>IFERROR(__xludf.DUMMYFUNCTION("""COMPUTED_VALUE"""),"Sara")</f>
        <v>Sara</v>
      </c>
      <c r="C304" s="2" t="str">
        <f>IFERROR(__xludf.DUMMYFUNCTION("""COMPUTED_VALUE"""),"Key Personnel")</f>
        <v>Key Personnel</v>
      </c>
      <c r="D304" s="2" t="str">
        <f>IFERROR(__xludf.DUMMYFUNCTION("""COMPUTED_VALUE"""),"Gilbert")</f>
        <v>Gilbert</v>
      </c>
      <c r="E304" s="2" t="str">
        <f>IFERROR(__xludf.DUMMYFUNCTION("""COMPUTED_VALUE"""),"Lab Technician")</f>
        <v>Lab Technician</v>
      </c>
      <c r="F304" s="2" t="str">
        <f>IFERROR(__xludf.DUMMYFUNCTION("""COMPUTED_VALUE"""),"Sara.Misiukiewicz@ucsf.edu")</f>
        <v>Sara.Misiukiewicz@ucsf.edu</v>
      </c>
      <c r="G304" s="2" t="str">
        <f>IFERROR(__xludf.DUMMYFUNCTION("""COMPUTED_VALUE"""),"0000-0003-2021-1713")</f>
        <v>0000-0003-2021-1713</v>
      </c>
    </row>
    <row r="305">
      <c r="A305" s="2" t="str">
        <f>IFERROR(__xludf.DUMMYFUNCTION("""COMPUTED_VALUE"""),"Herken")</f>
        <v>Herken</v>
      </c>
      <c r="B305" s="2" t="str">
        <f>IFERROR(__xludf.DUMMYFUNCTION("""COMPUTED_VALUE"""),"Ben")</f>
        <v>Ben</v>
      </c>
      <c r="C305" s="2" t="str">
        <f>IFERROR(__xludf.DUMMYFUNCTION("""COMPUTED_VALUE"""),"Key Personnel")</f>
        <v>Key Personnel</v>
      </c>
      <c r="D305" s="2" t="str">
        <f>IFERROR(__xludf.DUMMYFUNCTION("""COMPUTED_VALUE"""),"Gilbert")</f>
        <v>Gilbert</v>
      </c>
      <c r="E305" s="2" t="str">
        <f>IFERROR(__xludf.DUMMYFUNCTION("""COMPUTED_VALUE"""),"Grad Student")</f>
        <v>Grad Student</v>
      </c>
      <c r="F305" s="2" t="str">
        <f>IFERROR(__xludf.DUMMYFUNCTION("""COMPUTED_VALUE"""),"Ben.herken@ucsf.edu")</f>
        <v>Ben.herken@ucsf.edu</v>
      </c>
      <c r="G305" s="2" t="str">
        <f>IFERROR(__xludf.DUMMYFUNCTION("""COMPUTED_VALUE"""),"0000-0002-4484-2248")</f>
        <v>0000-0002-4484-2248</v>
      </c>
    </row>
    <row r="306">
      <c r="A306" s="2" t="str">
        <f>IFERROR(__xludf.DUMMYFUNCTION("""COMPUTED_VALUE"""),"O'Loughlin")</f>
        <v>O'Loughlin</v>
      </c>
      <c r="B306" s="2" t="str">
        <f>IFERROR(__xludf.DUMMYFUNCTION("""COMPUTED_VALUE"""),"Tom")</f>
        <v>Tom</v>
      </c>
      <c r="C306" s="2" t="str">
        <f>IFERROR(__xludf.DUMMYFUNCTION("""COMPUTED_VALUE"""),"Key Personnel")</f>
        <v>Key Personnel</v>
      </c>
      <c r="D306" s="2" t="str">
        <f>IFERROR(__xludf.DUMMYFUNCTION("""COMPUTED_VALUE"""),"Gilbert")</f>
        <v>Gilbert</v>
      </c>
      <c r="E306" s="2" t="str">
        <f>IFERROR(__xludf.DUMMYFUNCTION("""COMPUTED_VALUE"""),"Postdoc")</f>
        <v>Postdoc</v>
      </c>
      <c r="F306" s="2" t="str">
        <f>IFERROR(__xludf.DUMMYFUNCTION("""COMPUTED_VALUE"""),"Tom.oloughlin@ucsf.edu")</f>
        <v>Tom.oloughlin@ucsf.edu</v>
      </c>
      <c r="G306" s="2" t="str">
        <f>IFERROR(__xludf.DUMMYFUNCTION("""COMPUTED_VALUE"""),"0000-0002-4783-2352")</f>
        <v>0000-0002-4783-2352</v>
      </c>
    </row>
    <row r="307">
      <c r="A307" s="2" t="str">
        <f>IFERROR(__xludf.DUMMYFUNCTION("""COMPUTED_VALUE"""),"Gilbert")</f>
        <v>Gilbert</v>
      </c>
      <c r="B307" s="2" t="str">
        <f>IFERROR(__xludf.DUMMYFUNCTION("""COMPUTED_VALUE"""),"Luke")</f>
        <v>Luke</v>
      </c>
      <c r="C307" s="2" t="str">
        <f>IFERROR(__xludf.DUMMYFUNCTION("""COMPUTED_VALUE"""),"Co-PI")</f>
        <v>Co-PI</v>
      </c>
      <c r="D307" s="2" t="str">
        <f>IFERROR(__xludf.DUMMYFUNCTION("""COMPUTED_VALUE"""),"Gilbert")</f>
        <v>Gilbert</v>
      </c>
      <c r="E307" s="2"/>
      <c r="F307" s="2" t="str">
        <f>IFERROR(__xludf.DUMMYFUNCTION("""COMPUTED_VALUE"""),"Luke.Gilbert@ucsf.edu")</f>
        <v>Luke.Gilbert@ucsf.edu</v>
      </c>
      <c r="G307" s="2" t="str">
        <f>IFERROR(__xludf.DUMMYFUNCTION("""COMPUTED_VALUE"""),"0000-0001-5854-0825")</f>
        <v>0000-0001-5854-0825</v>
      </c>
    </row>
    <row r="308">
      <c r="A308" s="2" t="str">
        <f>IFERROR(__xludf.DUMMYFUNCTION("""COMPUTED_VALUE"""),"Verma")</f>
        <v>Verma</v>
      </c>
      <c r="B308" s="2" t="str">
        <f>IFERROR(__xludf.DUMMYFUNCTION("""COMPUTED_VALUE"""),"Yogendra")</f>
        <v>Yogendra</v>
      </c>
      <c r="C308" s="2" t="str">
        <f>IFERROR(__xludf.DUMMYFUNCTION("""COMPUTED_VALUE"""),"Key Personnel")</f>
        <v>Key Personnel</v>
      </c>
      <c r="D308" s="2" t="str">
        <f>IFERROR(__xludf.DUMMYFUNCTION("""COMPUTED_VALUE"""),"Hockemeyer")</f>
        <v>Hockemeyer</v>
      </c>
      <c r="E308" s="2" t="str">
        <f>IFERROR(__xludf.DUMMYFUNCTION("""COMPUTED_VALUE"""),"Research Associate")</f>
        <v>Research Associate</v>
      </c>
      <c r="F308" s="2" t="str">
        <f>IFERROR(__xludf.DUMMYFUNCTION("""COMPUTED_VALUE"""),"yogiverma@berkeley.edu")</f>
        <v>yogiverma@berkeley.edu</v>
      </c>
      <c r="G308" s="2" t="str">
        <f>IFERROR(__xludf.DUMMYFUNCTION("""COMPUTED_VALUE"""),"0000-0003-3380-6089")</f>
        <v>0000-0003-3380-6089</v>
      </c>
    </row>
    <row r="309">
      <c r="A309" s="2" t="str">
        <f>IFERROR(__xludf.DUMMYFUNCTION("""COMPUTED_VALUE"""),"Pangilinan")</f>
        <v>Pangilinan</v>
      </c>
      <c r="B309" s="2" t="str">
        <f>IFERROR(__xludf.DUMMYFUNCTION("""COMPUTED_VALUE"""),"Gabriella")</f>
        <v>Gabriella</v>
      </c>
      <c r="C309" s="2" t="str">
        <f>IFERROR(__xludf.DUMMYFUNCTION("""COMPUTED_VALUE"""),"Key Personnel")</f>
        <v>Key Personnel</v>
      </c>
      <c r="D309" s="2" t="str">
        <f>IFERROR(__xludf.DUMMYFUNCTION("""COMPUTED_VALUE"""),"Hockemeyer")</f>
        <v>Hockemeyer</v>
      </c>
      <c r="E309" s="2" t="str">
        <f>IFERROR(__xludf.DUMMYFUNCTION("""COMPUTED_VALUE"""),"Research Associate")</f>
        <v>Research Associate</v>
      </c>
      <c r="F309" s="2" t="str">
        <f>IFERROR(__xludf.DUMMYFUNCTION("""COMPUTED_VALUE"""),"gpangilinan671@berkeley.edu")</f>
        <v>gpangilinan671@berkeley.edu</v>
      </c>
      <c r="G309" s="2" t="str">
        <f>IFERROR(__xludf.DUMMYFUNCTION("""COMPUTED_VALUE"""),"0000-0003-2662-7883")</f>
        <v>0000-0003-2662-7883</v>
      </c>
    </row>
    <row r="310">
      <c r="A310" s="2" t="str">
        <f>IFERROR(__xludf.DUMMYFUNCTION("""COMPUTED_VALUE"""),"Du")</f>
        <v>Du</v>
      </c>
      <c r="B310" s="2" t="str">
        <f>IFERROR(__xludf.DUMMYFUNCTION("""COMPUTED_VALUE"""),"Victoria")</f>
        <v>Victoria</v>
      </c>
      <c r="C310" s="2" t="str">
        <f>IFERROR(__xludf.DUMMYFUNCTION("""COMPUTED_VALUE"""),"Key Personnel")</f>
        <v>Key Personnel</v>
      </c>
      <c r="D310" s="2" t="str">
        <f>IFERROR(__xludf.DUMMYFUNCTION("""COMPUTED_VALUE"""),"Bateup")</f>
        <v>Bateup</v>
      </c>
      <c r="E310" s="2" t="str">
        <f>IFERROR(__xludf.DUMMYFUNCTION("""COMPUTED_VALUE"""),"Research Associate")</f>
        <v>Research Associate</v>
      </c>
      <c r="F310" s="2" t="str">
        <f>IFERROR(__xludf.DUMMYFUNCTION("""COMPUTED_VALUE"""),"vicdyx@berkeley.edu")</f>
        <v>vicdyx@berkeley.edu</v>
      </c>
      <c r="G310" s="2" t="str">
        <f>IFERROR(__xludf.DUMMYFUNCTION("""COMPUTED_VALUE"""),"0000-0001-5212-5372")</f>
        <v>0000-0001-5212-5372</v>
      </c>
    </row>
    <row r="311">
      <c r="A311" s="2" t="str">
        <f>IFERROR(__xludf.DUMMYFUNCTION("""COMPUTED_VALUE"""),"Straub")</f>
        <v>Straub</v>
      </c>
      <c r="B311" s="2" t="str">
        <f>IFERROR(__xludf.DUMMYFUNCTION("""COMPUTED_VALUE"""),"Jannes")</f>
        <v>Jannes</v>
      </c>
      <c r="C311" s="2" t="str">
        <f>IFERROR(__xludf.DUMMYFUNCTION("""COMPUTED_VALUE"""),"Key Personnel")</f>
        <v>Key Personnel</v>
      </c>
      <c r="D311" s="2" t="str">
        <f>IFERROR(__xludf.DUMMYFUNCTION("""COMPUTED_VALUE"""),"Hockemeyer")</f>
        <v>Hockemeyer</v>
      </c>
      <c r="E311" s="2" t="str">
        <f>IFERROR(__xludf.DUMMYFUNCTION("""COMPUTED_VALUE"""),"Intern")</f>
        <v>Intern</v>
      </c>
      <c r="F311" s="2" t="str">
        <f>IFERROR(__xludf.DUMMYFUNCTION("""COMPUTED_VALUE"""),"jannesstraub@berkeley.edu ")</f>
        <v>jannesstraub@berkeley.edu </v>
      </c>
      <c r="G311" s="2"/>
    </row>
    <row r="312">
      <c r="A312" s="2" t="str">
        <f>IFERROR(__xludf.DUMMYFUNCTION("""COMPUTED_VALUE"""),"Powell")</f>
        <v>Powell</v>
      </c>
      <c r="B312" s="2" t="str">
        <f>IFERROR(__xludf.DUMMYFUNCTION("""COMPUTED_VALUE"""),"Alyssa")</f>
        <v>Alyssa</v>
      </c>
      <c r="C312" s="2" t="str">
        <f>IFERROR(__xludf.DUMMYFUNCTION("""COMPUTED_VALUE"""),"Key Personnel")</f>
        <v>Key Personnel</v>
      </c>
      <c r="D312" s="2" t="str">
        <f>IFERROR(__xludf.DUMMYFUNCTION("""COMPUTED_VALUE"""),"Hockemeyer")</f>
        <v>Hockemeyer</v>
      </c>
      <c r="E312" s="2" t="str">
        <f>IFERROR(__xludf.DUMMYFUNCTION("""COMPUTED_VALUE"""),"Research associate")</f>
        <v>Research associate</v>
      </c>
      <c r="F312" s="2" t="str">
        <f>IFERROR(__xludf.DUMMYFUNCTION("""COMPUTED_VALUE"""),"apowell@berkeley.edu")</f>
        <v>apowell@berkeley.edu</v>
      </c>
      <c r="G312" s="2" t="str">
        <f>IFERROR(__xludf.DUMMYFUNCTION("""COMPUTED_VALUE"""),"0009-0003-8061-1919")</f>
        <v>0009-0003-8061-1919</v>
      </c>
    </row>
    <row r="313">
      <c r="A313" s="2" t="str">
        <f>IFERROR(__xludf.DUMMYFUNCTION("""COMPUTED_VALUE"""),"Bush")</f>
        <v>Bush</v>
      </c>
      <c r="B313" s="2" t="str">
        <f>IFERROR(__xludf.DUMMYFUNCTION("""COMPUTED_VALUE"""),"Zipporiah")</f>
        <v>Zipporiah</v>
      </c>
      <c r="C313" s="2" t="str">
        <f>IFERROR(__xludf.DUMMYFUNCTION("""COMPUTED_VALUE"""),"Key Personnel")</f>
        <v>Key Personnel</v>
      </c>
      <c r="D313" s="2" t="str">
        <f>IFERROR(__xludf.DUMMYFUNCTION("""COMPUTED_VALUE"""),"Soldner")</f>
        <v>Soldner</v>
      </c>
      <c r="E313" s="2" t="str">
        <f>IFERROR(__xludf.DUMMYFUNCTION("""COMPUTED_VALUE"""),"Grad Student")</f>
        <v>Grad Student</v>
      </c>
      <c r="F313" s="2" t="str">
        <f>IFERROR(__xludf.DUMMYFUNCTION("""COMPUTED_VALUE"""),"zipporiah.bush@einsteinmed.edu")</f>
        <v>zipporiah.bush@einsteinmed.edu</v>
      </c>
      <c r="G313" s="2" t="str">
        <f>IFERROR(__xludf.DUMMYFUNCTION("""COMPUTED_VALUE"""),"0000-0002-6304-9579")</f>
        <v>0000-0002-6304-9579</v>
      </c>
    </row>
    <row r="314">
      <c r="A314" s="2" t="str">
        <f>IFERROR(__xludf.DUMMYFUNCTION("""COMPUTED_VALUE"""),"Baden")</f>
        <v>Baden</v>
      </c>
      <c r="B314" s="2" t="str">
        <f>IFERROR(__xludf.DUMMYFUNCTION("""COMPUTED_VALUE"""),"Pascale")</f>
        <v>Pascale</v>
      </c>
      <c r="C314" s="2" t="str">
        <f>IFERROR(__xludf.DUMMYFUNCTION("""COMPUTED_VALUE"""),"Staff")</f>
        <v>Staff</v>
      </c>
      <c r="D314" s="2" t="str">
        <f>IFERROR(__xludf.DUMMYFUNCTION("""COMPUTED_VALUE"""),"Deleidi")</f>
        <v>Deleidi</v>
      </c>
      <c r="E314" s="2" t="str">
        <f>IFERROR(__xludf.DUMMYFUNCTION("""COMPUTED_VALUE"""),"Doctoral Candidate")</f>
        <v>Doctoral Candidate</v>
      </c>
      <c r="F314" s="2" t="str">
        <f>IFERROR(__xludf.DUMMYFUNCTION("""COMPUTED_VALUE"""),"pascale.baden@dzne.de")</f>
        <v>pascale.baden@dzne.de</v>
      </c>
      <c r="G314" s="2"/>
    </row>
    <row r="315">
      <c r="A315" s="2" t="str">
        <f>IFERROR(__xludf.DUMMYFUNCTION("""COMPUTED_VALUE"""),"Yang")</f>
        <v>Yang</v>
      </c>
      <c r="B315" s="2" t="str">
        <f>IFERROR(__xludf.DUMMYFUNCTION("""COMPUTED_VALUE"""),"Shi-yu")</f>
        <v>Shi-yu</v>
      </c>
      <c r="C315" s="2" t="str">
        <f>IFERROR(__xludf.DUMMYFUNCTION("""COMPUTED_VALUE"""),"Key Personnel")</f>
        <v>Key Personnel</v>
      </c>
      <c r="D315" s="2" t="str">
        <f>IFERROR(__xludf.DUMMYFUNCTION("""COMPUTED_VALUE"""),"Schapira")</f>
        <v>Schapira</v>
      </c>
      <c r="E315" s="2" t="str">
        <f>IFERROR(__xludf.DUMMYFUNCTION("""COMPUTED_VALUE"""),"Postdoc")</f>
        <v>Postdoc</v>
      </c>
      <c r="F315" s="2" t="str">
        <f>IFERROR(__xludf.DUMMYFUNCTION("""COMPUTED_VALUE"""),"shiyu.yang@ucl.ac.uk")</f>
        <v>shiyu.yang@ucl.ac.uk</v>
      </c>
      <c r="G315" s="2"/>
    </row>
    <row r="316">
      <c r="A316" s="2" t="str">
        <f>IFERROR(__xludf.DUMMYFUNCTION("""COMPUTED_VALUE"""),"Adams")</f>
        <v>Adams</v>
      </c>
      <c r="B316" s="2" t="str">
        <f>IFERROR(__xludf.DUMMYFUNCTION("""COMPUTED_VALUE"""),"Anna")</f>
        <v>Anna</v>
      </c>
      <c r="C316" s="2" t="str">
        <f>IFERROR(__xludf.DUMMYFUNCTION("""COMPUTED_VALUE"""),"Key Personnel")</f>
        <v>Key Personnel</v>
      </c>
      <c r="D316" s="2" t="str">
        <f>IFERROR(__xludf.DUMMYFUNCTION("""COMPUTED_VALUE"""),"Schapira")</f>
        <v>Schapira</v>
      </c>
      <c r="E316" s="2" t="str">
        <f>IFERROR(__xludf.DUMMYFUNCTION("""COMPUTED_VALUE"""),"MSc Student")</f>
        <v>MSc Student</v>
      </c>
      <c r="F316" s="2" t="str">
        <f>IFERROR(__xludf.DUMMYFUNCTION("""COMPUTED_VALUE"""),"anna.adams.20@ucl.ac.uk")</f>
        <v>anna.adams.20@ucl.ac.uk</v>
      </c>
      <c r="G316" s="2" t="str">
        <f>IFERROR(__xludf.DUMMYFUNCTION("""COMPUTED_VALUE"""),"0000-0002-2170-6331")</f>
        <v>0000-0002-2170-6331</v>
      </c>
    </row>
    <row r="317">
      <c r="A317" s="2" t="str">
        <f>IFERROR(__xludf.DUMMYFUNCTION("""COMPUTED_VALUE"""),"David")</f>
        <v>David</v>
      </c>
      <c r="B317" s="2" t="str">
        <f>IFERROR(__xludf.DUMMYFUNCTION("""COMPUTED_VALUE"""),"Aymeric")</f>
        <v>Aymeric</v>
      </c>
      <c r="C317" s="2" t="str">
        <f>IFERROR(__xludf.DUMMYFUNCTION("""COMPUTED_VALUE"""),"Key Personnel")</f>
        <v>Key Personnel</v>
      </c>
      <c r="D317" s="2" t="str">
        <f>IFERROR(__xludf.DUMMYFUNCTION("""COMPUTED_VALUE"""),"Almeida")</f>
        <v>Almeida</v>
      </c>
      <c r="E317" s="2" t="str">
        <f>IFERROR(__xludf.DUMMYFUNCTION("""COMPUTED_VALUE"""),"Research assistant")</f>
        <v>Research assistant</v>
      </c>
      <c r="F317" s="2" t="str">
        <f>IFERROR(__xludf.DUMMYFUNCTION("""COMPUTED_VALUE"""),"aymeric.david@inrae.fr")</f>
        <v>aymeric.david@inrae.fr</v>
      </c>
      <c r="G317" s="2" t="str">
        <f>IFERROR(__xludf.DUMMYFUNCTION("""COMPUTED_VALUE"""),"0000-0002-4951-0058")</f>
        <v>0000-0002-4951-0058</v>
      </c>
    </row>
    <row r="318">
      <c r="A318" s="2" t="str">
        <f>IFERROR(__xludf.DUMMYFUNCTION("""COMPUTED_VALUE"""),"Limbachiya")</f>
        <v>Limbachiya</v>
      </c>
      <c r="B318" s="2" t="str">
        <f>IFERROR(__xludf.DUMMYFUNCTION("""COMPUTED_VALUE"""),"Naomi")</f>
        <v>Naomi</v>
      </c>
      <c r="C318" s="2" t="str">
        <f>IFERROR(__xludf.DUMMYFUNCTION("""COMPUTED_VALUE"""),"Key Personnel")</f>
        <v>Key Personnel</v>
      </c>
      <c r="D318" s="2" t="str">
        <f>IFERROR(__xludf.DUMMYFUNCTION("""COMPUTED_VALUE"""),"Schapira")</f>
        <v>Schapira</v>
      </c>
      <c r="E318" s="2" t="str">
        <f>IFERROR(__xludf.DUMMYFUNCTION("""COMPUTED_VALUE"""),"Research Assistant")</f>
        <v>Research Assistant</v>
      </c>
      <c r="F318" s="2" t="str">
        <f>IFERROR(__xludf.DUMMYFUNCTION("""COMPUTED_VALUE"""),"n.limbachiya@ucl.ac.uk")</f>
        <v>n.limbachiya@ucl.ac.uk</v>
      </c>
      <c r="G318" s="2" t="str">
        <f>IFERROR(__xludf.DUMMYFUNCTION("""COMPUTED_VALUE"""),"0000-0002-0200-4676")</f>
        <v>0000-0002-0200-4676</v>
      </c>
    </row>
    <row r="319">
      <c r="A319" s="2" t="str">
        <f>IFERROR(__xludf.DUMMYFUNCTION("""COMPUTED_VALUE"""),"Oldrati")</f>
        <v>Oldrati</v>
      </c>
      <c r="B319" s="2" t="str">
        <f>IFERROR(__xludf.DUMMYFUNCTION("""COMPUTED_VALUE"""),"Marvin")</f>
        <v>Marvin</v>
      </c>
      <c r="C319" s="2" t="str">
        <f>IFERROR(__xludf.DUMMYFUNCTION("""COMPUTED_VALUE"""),"Key Personnel")</f>
        <v>Key Personnel</v>
      </c>
      <c r="D319" s="2" t="str">
        <f>IFERROR(__xludf.DUMMYFUNCTION("""COMPUTED_VALUE"""),"Deleidi")</f>
        <v>Deleidi</v>
      </c>
      <c r="E319" s="2" t="str">
        <f>IFERROR(__xludf.DUMMYFUNCTION("""COMPUTED_VALUE"""),"PhD student ")</f>
        <v>PhD student </v>
      </c>
      <c r="F319" s="2" t="str">
        <f>IFERROR(__xludf.DUMMYFUNCTION("""COMPUTED_VALUE"""),"Marvin.Oldrati@dzne.de")</f>
        <v>Marvin.Oldrati@dzne.de</v>
      </c>
      <c r="G319" s="2" t="str">
        <f>IFERROR(__xludf.DUMMYFUNCTION("""COMPUTED_VALUE"""),"0000-0001-6205-3042")</f>
        <v>0000-0001-6205-3042</v>
      </c>
    </row>
    <row r="320">
      <c r="A320" s="2" t="str">
        <f>IFERROR(__xludf.DUMMYFUNCTION("""COMPUTED_VALUE"""),"Provenzano")</f>
        <v>Provenzano</v>
      </c>
      <c r="B320" s="2" t="str">
        <f>IFERROR(__xludf.DUMMYFUNCTION("""COMPUTED_VALUE"""),"Francesca")</f>
        <v>Francesca</v>
      </c>
      <c r="C320" s="2" t="str">
        <f>IFERROR(__xludf.DUMMYFUNCTION("""COMPUTED_VALUE"""),"Key Personnel")</f>
        <v>Key Personnel</v>
      </c>
      <c r="D320" s="2" t="str">
        <f>IFERROR(__xludf.DUMMYFUNCTION("""COMPUTED_VALUE"""),"Deleidi")</f>
        <v>Deleidi</v>
      </c>
      <c r="E320" s="2" t="str">
        <f>IFERROR(__xludf.DUMMYFUNCTION("""COMPUTED_VALUE"""),"Post-doc")</f>
        <v>Post-doc</v>
      </c>
      <c r="F320" s="2" t="str">
        <f>IFERROR(__xludf.DUMMYFUNCTION("""COMPUTED_VALUE"""),"Francesca.Provenzano@dzne.de")</f>
        <v>Francesca.Provenzano@dzne.de</v>
      </c>
      <c r="G320" s="2" t="str">
        <f>IFERROR(__xludf.DUMMYFUNCTION("""COMPUTED_VALUE"""),"0000-0001-9171-564X")</f>
        <v>0000-0001-9171-564X</v>
      </c>
    </row>
    <row r="321">
      <c r="A321" s="2" t="str">
        <f>IFERROR(__xludf.DUMMYFUNCTION("""COMPUTED_VALUE"""),"Ortiz-Rodriguez")</f>
        <v>Ortiz-Rodriguez</v>
      </c>
      <c r="B321" s="2" t="str">
        <f>IFERROR(__xludf.DUMMYFUNCTION("""COMPUTED_VALUE"""),"Ana")</f>
        <v>Ana</v>
      </c>
      <c r="C321" s="2" t="str">
        <f>IFERROR(__xludf.DUMMYFUNCTION("""COMPUTED_VALUE"""),"Key Personnel")</f>
        <v>Key Personnel</v>
      </c>
      <c r="D321" s="2" t="str">
        <f>IFERROR(__xludf.DUMMYFUNCTION("""COMPUTED_VALUE"""),"Deleidi")</f>
        <v>Deleidi</v>
      </c>
      <c r="E321" s="2" t="str">
        <f>IFERROR(__xludf.DUMMYFUNCTION("""COMPUTED_VALUE"""),"Postdoctoral Candadate")</f>
        <v>Postdoctoral Candadate</v>
      </c>
      <c r="F321" s="2" t="str">
        <f>IFERROR(__xludf.DUMMYFUNCTION("""COMPUTED_VALUE"""),"Ana.OrtizRodriguez@dzne.de")</f>
        <v>Ana.OrtizRodriguez@dzne.de</v>
      </c>
      <c r="G321" s="2" t="str">
        <f>IFERROR(__xludf.DUMMYFUNCTION("""COMPUTED_VALUE"""),"0000-0002-7951-7883")</f>
        <v>0000-0002-7951-7883</v>
      </c>
    </row>
    <row r="322">
      <c r="A322" s="2" t="str">
        <f>IFERROR(__xludf.DUMMYFUNCTION("""COMPUTED_VALUE"""),"Smith")</f>
        <v>Smith</v>
      </c>
      <c r="B322" s="2" t="str">
        <f>IFERROR(__xludf.DUMMYFUNCTION("""COMPUTED_VALUE"""),"Laura")</f>
        <v>Laura</v>
      </c>
      <c r="C322" s="2" t="str">
        <f>IFERROR(__xludf.DUMMYFUNCTION("""COMPUTED_VALUE"""),"Key Personnel")</f>
        <v>Key Personnel</v>
      </c>
      <c r="D322" s="2" t="str">
        <f>IFERROR(__xludf.DUMMYFUNCTION("""COMPUTED_VALUE"""),"Schapira")</f>
        <v>Schapira</v>
      </c>
      <c r="E322" s="2" t="str">
        <f>IFERROR(__xludf.DUMMYFUNCTION("""COMPUTED_VALUE"""),"Postdoc")</f>
        <v>Postdoc</v>
      </c>
      <c r="F322" s="2" t="str">
        <f>IFERROR(__xludf.DUMMYFUNCTION("""COMPUTED_VALUE"""),"laura.j.smith@ucl.ac.uk")</f>
        <v>laura.j.smith@ucl.ac.uk</v>
      </c>
      <c r="G322" s="2" t="str">
        <f>IFERROR(__xludf.DUMMYFUNCTION("""COMPUTED_VALUE"""),"0000-0002-1108-2991")</f>
        <v>0000-0002-1108-2991</v>
      </c>
    </row>
    <row r="323">
      <c r="A323" s="2" t="str">
        <f>IFERROR(__xludf.DUMMYFUNCTION("""COMPUTED_VALUE"""),"Lee")</f>
        <v>Lee</v>
      </c>
      <c r="B323" s="2" t="str">
        <f>IFERROR(__xludf.DUMMYFUNCTION("""COMPUTED_VALUE"""),"Shirley")</f>
        <v>Shirley</v>
      </c>
      <c r="C323" s="2" t="str">
        <f>IFERROR(__xludf.DUMMYFUNCTION("""COMPUTED_VALUE"""),"Key Personnel")</f>
        <v>Key Personnel</v>
      </c>
      <c r="D323" s="2" t="str">
        <f>IFERROR(__xludf.DUMMYFUNCTION("""COMPUTED_VALUE"""),"Di Monte")</f>
        <v>Di Monte</v>
      </c>
      <c r="E323" s="2" t="str">
        <f>IFERROR(__xludf.DUMMYFUNCTION("""COMPUTED_VALUE"""),"Research Assistant")</f>
        <v>Research Assistant</v>
      </c>
      <c r="F323" s="2" t="str">
        <f>IFERROR(__xludf.DUMMYFUNCTION("""COMPUTED_VALUE"""),"shirley.lee@dzne.de")</f>
        <v>shirley.lee@dzne.de</v>
      </c>
      <c r="G323" s="2" t="str">
        <f>IFERROR(__xludf.DUMMYFUNCTION("""COMPUTED_VALUE"""),"0000-0002-5349-8450")</f>
        <v>0000-0002-5349-8450</v>
      </c>
    </row>
    <row r="324">
      <c r="A324" s="2" t="str">
        <f>IFERROR(__xludf.DUMMYFUNCTION("""COMPUTED_VALUE"""),"Brunelli")</f>
        <v>Brunelli</v>
      </c>
      <c r="B324" s="2" t="str">
        <f>IFERROR(__xludf.DUMMYFUNCTION("""COMPUTED_VALUE"""),"Francesco ")</f>
        <v>Francesco </v>
      </c>
      <c r="C324" s="2" t="str">
        <f>IFERROR(__xludf.DUMMYFUNCTION("""COMPUTED_VALUE"""),"Key Personnel")</f>
        <v>Key Personnel</v>
      </c>
      <c r="D324" s="2" t="str">
        <f>IFERROR(__xludf.DUMMYFUNCTION("""COMPUTED_VALUE"""),"Blandini")</f>
        <v>Blandini</v>
      </c>
      <c r="E324" s="2" t="str">
        <f>IFERROR(__xludf.DUMMYFUNCTION("""COMPUTED_VALUE"""),"Post-doc")</f>
        <v>Post-doc</v>
      </c>
      <c r="F324" s="2" t="str">
        <f>IFERROR(__xludf.DUMMYFUNCTION("""COMPUTED_VALUE"""),"francesco.brunelli01@universitadipavia.it")</f>
        <v>francesco.brunelli01@universitadipavia.it</v>
      </c>
      <c r="G324" s="2" t="str">
        <f>IFERROR(__xludf.DUMMYFUNCTION("""COMPUTED_VALUE"""),"0000-0003-3159-051X")</f>
        <v>0000-0003-3159-051X</v>
      </c>
    </row>
    <row r="325">
      <c r="A325" s="2" t="str">
        <f>IFERROR(__xludf.DUMMYFUNCTION("""COMPUTED_VALUE"""),"Mitchell")</f>
        <v>Mitchell</v>
      </c>
      <c r="B325" s="2" t="str">
        <f>IFERROR(__xludf.DUMMYFUNCTION("""COMPUTED_VALUE"""),"Orla")</f>
        <v>Orla</v>
      </c>
      <c r="C325" s="2" t="str">
        <f>IFERROR(__xludf.DUMMYFUNCTION("""COMPUTED_VALUE"""),"Key Personnel")</f>
        <v>Key Personnel</v>
      </c>
      <c r="D325" s="2" t="str">
        <f>IFERROR(__xludf.DUMMYFUNCTION("""COMPUTED_VALUE"""),"Schapira")</f>
        <v>Schapira</v>
      </c>
      <c r="E325" s="2" t="str">
        <f>IFERROR(__xludf.DUMMYFUNCTION("""COMPUTED_VALUE"""),"Research Assistant")</f>
        <v>Research Assistant</v>
      </c>
      <c r="F325" s="2" t="str">
        <f>IFERROR(__xludf.DUMMYFUNCTION("""COMPUTED_VALUE"""),"orla.mitchell.21@ucl.ac.uk")</f>
        <v>orla.mitchell.21@ucl.ac.uk</v>
      </c>
      <c r="G325" s="2" t="str">
        <f>IFERROR(__xludf.DUMMYFUNCTION("""COMPUTED_VALUE"""),"0009-0005-9857-0611")</f>
        <v>0009-0005-9857-0611</v>
      </c>
    </row>
    <row r="326">
      <c r="A326" s="2" t="str">
        <f>IFERROR(__xludf.DUMMYFUNCTION("""COMPUTED_VALUE"""),"Hurley")</f>
        <v>Hurley</v>
      </c>
      <c r="B326" s="2" t="str">
        <f>IFERROR(__xludf.DUMMYFUNCTION("""COMPUTED_VALUE"""),"Michael")</f>
        <v>Michael</v>
      </c>
      <c r="C326" s="2" t="str">
        <f>IFERROR(__xludf.DUMMYFUNCTION("""COMPUTED_VALUE"""),"Key Personnel")</f>
        <v>Key Personnel</v>
      </c>
      <c r="D326" s="2" t="str">
        <f>IFERROR(__xludf.DUMMYFUNCTION("""COMPUTED_VALUE"""),"Schapira")</f>
        <v>Schapira</v>
      </c>
      <c r="E326" s="2" t="str">
        <f>IFERROR(__xludf.DUMMYFUNCTION("""COMPUTED_VALUE"""),"Post-Doc")</f>
        <v>Post-Doc</v>
      </c>
      <c r="F326" s="2" t="str">
        <f>IFERROR(__xludf.DUMMYFUNCTION("""COMPUTED_VALUE"""),"michael.hurley@ucl.ac.uk")</f>
        <v>michael.hurley@ucl.ac.uk</v>
      </c>
      <c r="G326" s="2" t="str">
        <f>IFERROR(__xludf.DUMMYFUNCTION("""COMPUTED_VALUE"""),"0000-0001-8022-9283")</f>
        <v>0000-0001-8022-9283</v>
      </c>
    </row>
    <row r="327">
      <c r="A327" s="2" t="str">
        <f>IFERROR(__xludf.DUMMYFUNCTION("""COMPUTED_VALUE"""),"Uras")</f>
        <v>Uras</v>
      </c>
      <c r="B327" s="2" t="str">
        <f>IFERROR(__xludf.DUMMYFUNCTION("""COMPUTED_VALUE"""),"Giuseppe")</f>
        <v>Giuseppe</v>
      </c>
      <c r="C327" s="2" t="str">
        <f>IFERROR(__xludf.DUMMYFUNCTION("""COMPUTED_VALUE"""),"Key Personnel")</f>
        <v>Key Personnel</v>
      </c>
      <c r="D327" s="2" t="str">
        <f>IFERROR(__xludf.DUMMYFUNCTION("""COMPUTED_VALUE"""),"Schapira")</f>
        <v>Schapira</v>
      </c>
      <c r="E327" s="2" t="str">
        <f>IFERROR(__xludf.DUMMYFUNCTION("""COMPUTED_VALUE"""),"Post-doc")</f>
        <v>Post-doc</v>
      </c>
      <c r="F327" s="2" t="str">
        <f>IFERROR(__xludf.DUMMYFUNCTION("""COMPUTED_VALUE"""),"g.uras@ucl.ac.uk")</f>
        <v>g.uras@ucl.ac.uk</v>
      </c>
      <c r="G327" s="2" t="str">
        <f>IFERROR(__xludf.DUMMYFUNCTION("""COMPUTED_VALUE"""),"0000-0003-3494-8521")</f>
        <v>0000-0003-3494-8521</v>
      </c>
    </row>
    <row r="328">
      <c r="A328" s="2" t="str">
        <f>IFERROR(__xludf.DUMMYFUNCTION("""COMPUTED_VALUE"""),"Bates")</f>
        <v>Bates</v>
      </c>
      <c r="B328" s="2" t="str">
        <f>IFERROR(__xludf.DUMMYFUNCTION("""COMPUTED_VALUE"""),"Rachel")</f>
        <v>Rachel</v>
      </c>
      <c r="C328" s="2" t="str">
        <f>IFERROR(__xludf.DUMMYFUNCTION("""COMPUTED_VALUE"""),"Key Personnel")</f>
        <v>Key Personnel</v>
      </c>
      <c r="D328" s="2" t="str">
        <f>IFERROR(__xludf.DUMMYFUNCTION("""COMPUTED_VALUE"""),"Schapira")</f>
        <v>Schapira</v>
      </c>
      <c r="E328" s="2" t="str">
        <f>IFERROR(__xludf.DUMMYFUNCTION("""COMPUTED_VALUE"""),"Post-Doc")</f>
        <v>Post-Doc</v>
      </c>
      <c r="F328" s="2" t="str">
        <f>IFERROR(__xludf.DUMMYFUNCTION("""COMPUTED_VALUE"""),"rachel.bates@ucl.ac.uk")</f>
        <v>rachel.bates@ucl.ac.uk</v>
      </c>
      <c r="G328" s="2" t="str">
        <f>IFERROR(__xludf.DUMMYFUNCTION("""COMPUTED_VALUE"""),"0000-0002-4768-6869")</f>
        <v>0000-0002-4768-6869</v>
      </c>
    </row>
    <row r="329">
      <c r="A329" s="2" t="str">
        <f>IFERROR(__xludf.DUMMYFUNCTION("""COMPUTED_VALUE"""),"Kuras")</f>
        <v>Kuras</v>
      </c>
      <c r="B329" s="2" t="str">
        <f>IFERROR(__xludf.DUMMYFUNCTION("""COMPUTED_VALUE"""),"Yuliya ")</f>
        <v>Yuliya </v>
      </c>
      <c r="C329" s="2" t="str">
        <f>IFERROR(__xludf.DUMMYFUNCTION("""COMPUTED_VALUE"""),"Outgoing Project Manager")</f>
        <v>Outgoing Project Manager</v>
      </c>
      <c r="D329" s="2" t="str">
        <f>IFERROR(__xludf.DUMMYFUNCTION("""COMPUTED_VALUE"""),"Scherzer")</f>
        <v>Scherzer</v>
      </c>
      <c r="E329" s="2" t="str">
        <f>IFERROR(__xludf.DUMMYFUNCTION("""COMPUTED_VALUE"""),"Sr. PM")</f>
        <v>Sr. PM</v>
      </c>
      <c r="F329" s="2" t="str">
        <f>IFERROR(__xludf.DUMMYFUNCTION("""COMPUTED_VALUE"""),"ykuras@bwh.harvard.edu")</f>
        <v>ykuras@bwh.harvard.edu</v>
      </c>
      <c r="G329" s="2" t="str">
        <f>IFERROR(__xludf.DUMMYFUNCTION("""COMPUTED_VALUE"""),"0000-0001-5388-3669")</f>
        <v>0000-0001-5388-3669</v>
      </c>
    </row>
    <row r="330">
      <c r="A330" s="2" t="str">
        <f>IFERROR(__xludf.DUMMYFUNCTION("""COMPUTED_VALUE"""),"Rebecca")</f>
        <v>Rebecca</v>
      </c>
      <c r="B330" s="2" t="str">
        <f>IFERROR(__xludf.DUMMYFUNCTION("""COMPUTED_VALUE"""),"Valentino")</f>
        <v>Valentino</v>
      </c>
      <c r="C330" s="2" t="str">
        <f>IFERROR(__xludf.DUMMYFUNCTION("""COMPUTED_VALUE"""),"Key Personnel")</f>
        <v>Key Personnel</v>
      </c>
      <c r="D330" s="2" t="str">
        <f>IFERROR(__xludf.DUMMYFUNCTION("""COMPUTED_VALUE"""),"Scherzer")</f>
        <v>Scherzer</v>
      </c>
      <c r="E330" s="2" t="str">
        <f>IFERROR(__xludf.DUMMYFUNCTION("""COMPUTED_VALUE"""),"Postdoc")</f>
        <v>Postdoc</v>
      </c>
      <c r="F330" s="2" t="str">
        <f>IFERROR(__xludf.DUMMYFUNCTION("""COMPUTED_VALUE"""),"rvalentino@bwh.harvard.edu")</f>
        <v>rvalentino@bwh.harvard.edu</v>
      </c>
      <c r="G330" s="2" t="str">
        <f>IFERROR(__xludf.DUMMYFUNCTION("""COMPUTED_VALUE"""),"0000-0001-7253-961X")</f>
        <v>0000-0001-7253-961X</v>
      </c>
    </row>
    <row r="331">
      <c r="A331" s="2" t="str">
        <f>IFERROR(__xludf.DUMMYFUNCTION("""COMPUTED_VALUE"""),"Charlie")</f>
        <v>Charlie</v>
      </c>
      <c r="B331" s="2" t="str">
        <f>IFERROR(__xludf.DUMMYFUNCTION("""COMPUTED_VALUE"""),"Sutton")</f>
        <v>Sutton</v>
      </c>
      <c r="C331" s="2" t="str">
        <f>IFERROR(__xludf.DUMMYFUNCTION("""COMPUTED_VALUE"""),"Key Personnel")</f>
        <v>Key Personnel</v>
      </c>
      <c r="D331" s="2" t="str">
        <f>IFERROR(__xludf.DUMMYFUNCTION("""COMPUTED_VALUE"""),"Scherzer")</f>
        <v>Scherzer</v>
      </c>
      <c r="E331" s="2" t="str">
        <f>IFERROR(__xludf.DUMMYFUNCTION("""COMPUTED_VALUE"""),"Lab assistant")</f>
        <v>Lab assistant</v>
      </c>
      <c r="F331" s="2" t="str">
        <f>IFERROR(__xludf.DUMMYFUNCTION("""COMPUTED_VALUE"""),"csuttoniv@bwh.harvard.edu")</f>
        <v>csuttoniv@bwh.harvard.edu</v>
      </c>
      <c r="G331" s="2" t="str">
        <f>IFERROR(__xludf.DUMMYFUNCTION("""COMPUTED_VALUE"""),"0000-0002-9711-6792")</f>
        <v>0000-0002-9711-6792</v>
      </c>
    </row>
    <row r="332">
      <c r="A332" s="2" t="str">
        <f>IFERROR(__xludf.DUMMYFUNCTION("""COMPUTED_VALUE"""),"Sin Tuen")</f>
        <v>Sin Tuen</v>
      </c>
      <c r="B332" s="2" t="str">
        <f>IFERROR(__xludf.DUMMYFUNCTION("""COMPUTED_VALUE"""),"Kit ")</f>
        <v>Kit </v>
      </c>
      <c r="C332" s="2" t="str">
        <f>IFERROR(__xludf.DUMMYFUNCTION("""COMPUTED_VALUE"""),"Key Personnel")</f>
        <v>Key Personnel</v>
      </c>
      <c r="D332" s="2" t="str">
        <f>IFERROR(__xludf.DUMMYFUNCTION("""COMPUTED_VALUE"""),"Feany")</f>
        <v>Feany</v>
      </c>
      <c r="E332" s="2" t="str">
        <f>IFERROR(__xludf.DUMMYFUNCTION("""COMPUTED_VALUE"""),"Lab assistant")</f>
        <v>Lab assistant</v>
      </c>
      <c r="F332" s="2" t="str">
        <f>IFERROR(__xludf.DUMMYFUNCTION("""COMPUTED_VALUE"""),"ktuen@bwh.harvard.edu")</f>
        <v>ktuen@bwh.harvard.edu</v>
      </c>
      <c r="G332" s="2" t="str">
        <f>IFERROR(__xludf.DUMMYFUNCTION("""COMPUTED_VALUE"""),"0000-0002-4709-0467")</f>
        <v>0000-0002-4709-0467</v>
      </c>
    </row>
    <row r="333">
      <c r="A333" s="2" t="str">
        <f>IFERROR(__xludf.DUMMYFUNCTION("""COMPUTED_VALUE"""),"Adiconis")</f>
        <v>Adiconis</v>
      </c>
      <c r="B333" s="2" t="str">
        <f>IFERROR(__xludf.DUMMYFUNCTION("""COMPUTED_VALUE"""),"Xian ")</f>
        <v>Xian </v>
      </c>
      <c r="C333" s="2" t="str">
        <f>IFERROR(__xludf.DUMMYFUNCTION("""COMPUTED_VALUE"""),"Key Personnel")</f>
        <v>Key Personnel</v>
      </c>
      <c r="D333" s="2" t="str">
        <f>IFERROR(__xludf.DUMMYFUNCTION("""COMPUTED_VALUE"""),"Levin")</f>
        <v>Levin</v>
      </c>
      <c r="E333" s="2" t="str">
        <f>IFERROR(__xludf.DUMMYFUNCTION("""COMPUTED_VALUE"""),"Research scientist")</f>
        <v>Research scientist</v>
      </c>
      <c r="F333" s="2" t="str">
        <f>IFERROR(__xludf.DUMMYFUNCTION("""COMPUTED_VALUE"""),"adiconis@broadinstitute.org")</f>
        <v>adiconis@broadinstitute.org</v>
      </c>
      <c r="G333" s="2" t="str">
        <f>IFERROR(__xludf.DUMMYFUNCTION("""COMPUTED_VALUE"""),"0000-0002-4052-2503")</f>
        <v>0000-0002-4052-2503</v>
      </c>
    </row>
    <row r="334">
      <c r="A334" s="2" t="str">
        <f>IFERROR(__xludf.DUMMYFUNCTION("""COMPUTED_VALUE"""),"Schwaninger")</f>
        <v>Schwaninger</v>
      </c>
      <c r="B334" s="2" t="str">
        <f>IFERROR(__xludf.DUMMYFUNCTION("""COMPUTED_VALUE"""),"Sherri")</f>
        <v>Sherri</v>
      </c>
      <c r="C334" s="2" t="str">
        <f>IFERROR(__xludf.DUMMYFUNCTION("""COMPUTED_VALUE"""),"Project Manager")</f>
        <v>Project Manager</v>
      </c>
      <c r="D334" s="2" t="str">
        <f>IFERROR(__xludf.DUMMYFUNCTION("""COMPUTED_VALUE"""),"Scherzer")</f>
        <v>Scherzer</v>
      </c>
      <c r="E334" s="2" t="str">
        <f>IFERROR(__xludf.DUMMYFUNCTION("""COMPUTED_VALUE"""),"Program Manager")</f>
        <v>Program Manager</v>
      </c>
      <c r="F334" s="2" t="str">
        <f>IFERROR(__xludf.DUMMYFUNCTION("""COMPUTED_VALUE"""),"SSCHWANINGER@bwh.harvard.edu")</f>
        <v>SSCHWANINGER@bwh.harvard.edu</v>
      </c>
      <c r="G334" s="2" t="str">
        <f>IFERROR(__xludf.DUMMYFUNCTION("""COMPUTED_VALUE"""),"0000-0003-4682-1579")</f>
        <v>0000-0003-4682-1579</v>
      </c>
    </row>
    <row r="335">
      <c r="A335" s="2" t="str">
        <f>IFERROR(__xludf.DUMMYFUNCTION("""COMPUTED_VALUE"""),"Liao")</f>
        <v>Liao</v>
      </c>
      <c r="B335" s="2" t="str">
        <f>IFERROR(__xludf.DUMMYFUNCTION("""COMPUTED_VALUE"""),"Zhixiang")</f>
        <v>Zhixiang</v>
      </c>
      <c r="C335" s="2" t="str">
        <f>IFERROR(__xludf.DUMMYFUNCTION("""COMPUTED_VALUE"""),"Key Personnel")</f>
        <v>Key Personnel</v>
      </c>
      <c r="D335" s="2" t="str">
        <f>IFERROR(__xludf.DUMMYFUNCTION("""COMPUTED_VALUE"""),"Scherzer")</f>
        <v>Scherzer</v>
      </c>
      <c r="E335" s="2" t="str">
        <f>IFERROR(__xludf.DUMMYFUNCTION("""COMPUTED_VALUE"""),"Research specialist")</f>
        <v>Research specialist</v>
      </c>
      <c r="F335" s="2" t="str">
        <f>IFERROR(__xludf.DUMMYFUNCTION("""COMPUTED_VALUE"""),"zliao@rics.bwh.harvard.edu")</f>
        <v>zliao@rics.bwh.harvard.edu</v>
      </c>
      <c r="G335" s="2" t="str">
        <f>IFERROR(__xludf.DUMMYFUNCTION("""COMPUTED_VALUE"""),"0000-0001-7014-5465")</f>
        <v>0000-0001-7014-5465</v>
      </c>
    </row>
    <row r="336">
      <c r="A336" s="2" t="str">
        <f>IFERROR(__xludf.DUMMYFUNCTION("""COMPUTED_VALUE"""),"Sarkar")</f>
        <v>Sarkar</v>
      </c>
      <c r="B336" s="2" t="str">
        <f>IFERROR(__xludf.DUMMYFUNCTION("""COMPUTED_VALUE"""),"Souvarish ")</f>
        <v>Souvarish </v>
      </c>
      <c r="C336" s="2" t="str">
        <f>IFERROR(__xludf.DUMMYFUNCTION("""COMPUTED_VALUE"""),"Key Personnel")</f>
        <v>Key Personnel</v>
      </c>
      <c r="D336" s="2" t="str">
        <f>IFERROR(__xludf.DUMMYFUNCTION("""COMPUTED_VALUE"""),"Feany")</f>
        <v>Feany</v>
      </c>
      <c r="E336" s="2" t="str">
        <f>IFERROR(__xludf.DUMMYFUNCTION("""COMPUTED_VALUE"""),"Postdoc")</f>
        <v>Postdoc</v>
      </c>
      <c r="F336" s="2" t="str">
        <f>IFERROR(__xludf.DUMMYFUNCTION("""COMPUTED_VALUE"""),"ssarkar12@bwh.harvard.edu")</f>
        <v>ssarkar12@bwh.harvard.edu</v>
      </c>
      <c r="G336" s="2" t="str">
        <f>IFERROR(__xludf.DUMMYFUNCTION("""COMPUTED_VALUE"""),"0000-0002-7384-0508")</f>
        <v>0000-0002-7384-0508</v>
      </c>
    </row>
    <row r="337">
      <c r="A337" s="2" t="str">
        <f>IFERROR(__xludf.DUMMYFUNCTION("""COMPUTED_VALUE"""),"Tuncali")</f>
        <v>Tuncali</v>
      </c>
      <c r="B337" s="2" t="str">
        <f>IFERROR(__xludf.DUMMYFUNCTION("""COMPUTED_VALUE"""),"Idil")</f>
        <v>Idil</v>
      </c>
      <c r="C337" s="2" t="str">
        <f>IFERROR(__xludf.DUMMYFUNCTION("""COMPUTED_VALUE"""),"Key Personnel")</f>
        <v>Key Personnel</v>
      </c>
      <c r="D337" s="2" t="str">
        <f>IFERROR(__xludf.DUMMYFUNCTION("""COMPUTED_VALUE"""),"Scherzer")</f>
        <v>Scherzer</v>
      </c>
      <c r="E337" s="2" t="str">
        <f>IFERROR(__xludf.DUMMYFUNCTION("""COMPUTED_VALUE"""),"Research Technician")</f>
        <v>Research Technician</v>
      </c>
      <c r="F337" s="2" t="str">
        <f>IFERROR(__xludf.DUMMYFUNCTION("""COMPUTED_VALUE"""),"ITUNCALI@bwh.harvard.edu")</f>
        <v>ITUNCALI@bwh.harvard.edu</v>
      </c>
      <c r="G337" s="2" t="str">
        <f>IFERROR(__xludf.DUMMYFUNCTION("""COMPUTED_VALUE"""),"0000-0001-7437-285X")</f>
        <v>0000-0001-7437-285X</v>
      </c>
    </row>
    <row r="338">
      <c r="A338" s="2" t="str">
        <f>IFERROR(__xludf.DUMMYFUNCTION("""COMPUTED_VALUE"""),"Ruifeng")</f>
        <v>Ruifeng</v>
      </c>
      <c r="B338" s="2" t="str">
        <f>IFERROR(__xludf.DUMMYFUNCTION("""COMPUTED_VALUE"""),"Hu")</f>
        <v>Hu</v>
      </c>
      <c r="C338" s="2" t="str">
        <f>IFERROR(__xludf.DUMMYFUNCTION("""COMPUTED_VALUE"""),"Key Personnel")</f>
        <v>Key Personnel</v>
      </c>
      <c r="D338" s="2" t="str">
        <f>IFERROR(__xludf.DUMMYFUNCTION("""COMPUTED_VALUE"""),"Scherzer")</f>
        <v>Scherzer</v>
      </c>
      <c r="E338" s="2" t="str">
        <f>IFERROR(__xludf.DUMMYFUNCTION("""COMPUTED_VALUE"""),"Postdoc")</f>
        <v>Postdoc</v>
      </c>
      <c r="F338" s="2" t="str">
        <f>IFERROR(__xludf.DUMMYFUNCTION("""COMPUTED_VALUE"""),"rhu11@bwh.harvard.edu")</f>
        <v>rhu11@bwh.harvard.edu</v>
      </c>
      <c r="G338" s="2" t="str">
        <f>IFERROR(__xludf.DUMMYFUNCTION("""COMPUTED_VALUE"""),"0000-0001-5549-3082")</f>
        <v>0000-0001-5549-3082</v>
      </c>
    </row>
    <row r="339">
      <c r="A339" s="2" t="str">
        <f>IFERROR(__xludf.DUMMYFUNCTION("""COMPUTED_VALUE"""),"Som Chaudhury")</f>
        <v>Som Chaudhury</v>
      </c>
      <c r="B339" s="2" t="str">
        <f>IFERROR(__xludf.DUMMYFUNCTION("""COMPUTED_VALUE"""),"Sutapa")</f>
        <v>Sutapa</v>
      </c>
      <c r="C339" s="2" t="str">
        <f>IFERROR(__xludf.DUMMYFUNCTION("""COMPUTED_VALUE"""),"Key Personnel")</f>
        <v>Key Personnel</v>
      </c>
      <c r="D339" s="2" t="str">
        <f>IFERROR(__xludf.DUMMYFUNCTION("""COMPUTED_VALUE"""),"Scherzer")</f>
        <v>Scherzer</v>
      </c>
      <c r="E339" s="2" t="str">
        <f>IFERROR(__xludf.DUMMYFUNCTION("""COMPUTED_VALUE"""),"Postdoc")</f>
        <v>Postdoc</v>
      </c>
      <c r="F339" s="2" t="str">
        <f>IFERROR(__xludf.DUMMYFUNCTION("""COMPUTED_VALUE"""),"ssomchaudhury@bwh.harvard.edu")</f>
        <v>ssomchaudhury@bwh.harvard.edu</v>
      </c>
      <c r="G339" s="2" t="str">
        <f>IFERROR(__xludf.DUMMYFUNCTION("""COMPUTED_VALUE"""),"0000-0002-9479-3966")</f>
        <v>0000-0002-9479-3966</v>
      </c>
    </row>
    <row r="340">
      <c r="A340" s="2" t="str">
        <f>IFERROR(__xludf.DUMMYFUNCTION("""COMPUTED_VALUE"""),"Battaglia")</f>
        <v>Battaglia</v>
      </c>
      <c r="B340" s="2" t="str">
        <f>IFERROR(__xludf.DUMMYFUNCTION("""COMPUTED_VALUE"""),"Rachel Anne")</f>
        <v>Rachel Anne</v>
      </c>
      <c r="C340" s="2" t="str">
        <f>IFERROR(__xludf.DUMMYFUNCTION("""COMPUTED_VALUE"""),"Key Personnel")</f>
        <v>Key Personnel</v>
      </c>
      <c r="D340" s="2" t="str">
        <f>IFERROR(__xludf.DUMMYFUNCTION("""COMPUTED_VALUE"""),"Feany")</f>
        <v>Feany</v>
      </c>
      <c r="E340" s="2" t="str">
        <f>IFERROR(__xludf.DUMMYFUNCTION("""COMPUTED_VALUE"""),"Research associate")</f>
        <v>Research associate</v>
      </c>
      <c r="F340" s="2" t="str">
        <f>IFERROR(__xludf.DUMMYFUNCTION("""COMPUTED_VALUE"""),"rbattaglia@bwh.harvard.edu")</f>
        <v>rbattaglia@bwh.harvard.edu</v>
      </c>
      <c r="G340" s="2" t="str">
        <f>IFERROR(__xludf.DUMMYFUNCTION("""COMPUTED_VALUE"""),"0000-0003-3187-6964")</f>
        <v>0000-0003-3187-6964</v>
      </c>
    </row>
    <row r="341">
      <c r="A341" s="2" t="str">
        <f>IFERROR(__xludf.DUMMYFUNCTION("""COMPUTED_VALUE"""),"Lin")</f>
        <v>Lin</v>
      </c>
      <c r="B341" s="2" t="str">
        <f>IFERROR(__xludf.DUMMYFUNCTION("""COMPUTED_VALUE"""),"Maoxuan")</f>
        <v>Maoxuan</v>
      </c>
      <c r="C341" s="2" t="str">
        <f>IFERROR(__xludf.DUMMYFUNCTION("""COMPUTED_VALUE"""),"Key Personnel")</f>
        <v>Key Personnel</v>
      </c>
      <c r="D341" s="2" t="str">
        <f>IFERROR(__xludf.DUMMYFUNCTION("""COMPUTED_VALUE"""),"Dong")</f>
        <v>Dong</v>
      </c>
      <c r="E341" s="2" t="str">
        <f>IFERROR(__xludf.DUMMYFUNCTION("""COMPUTED_VALUE"""),"Postdoc")</f>
        <v>Postdoc</v>
      </c>
      <c r="F341" s="2" t="str">
        <f>IFERROR(__xludf.DUMMYFUNCTION("""COMPUTED_VALUE"""),"MLIN18@bwh.harvard.edu")</f>
        <v>MLIN18@bwh.harvard.edu</v>
      </c>
      <c r="G341" s="2" t="str">
        <f>IFERROR(__xludf.DUMMYFUNCTION("""COMPUTED_VALUE"""),"0000-0001-5191-1857")</f>
        <v>0000-0001-5191-1857</v>
      </c>
    </row>
    <row r="342">
      <c r="A342" s="2" t="str">
        <f>IFERROR(__xludf.DUMMYFUNCTION("""COMPUTED_VALUE"""),"Dey")</f>
        <v>Dey</v>
      </c>
      <c r="B342" s="2" t="str">
        <f>IFERROR(__xludf.DUMMYFUNCTION("""COMPUTED_VALUE"""),"Adwitia ")</f>
        <v>Adwitia </v>
      </c>
      <c r="C342" s="2" t="str">
        <f>IFERROR(__xludf.DUMMYFUNCTION("""COMPUTED_VALUE"""),"Key Personnel")</f>
        <v>Key Personnel</v>
      </c>
      <c r="D342" s="2" t="str">
        <f>IFERROR(__xludf.DUMMYFUNCTION("""COMPUTED_VALUE"""),"Feany")</f>
        <v>Feany</v>
      </c>
      <c r="E342" s="2" t="str">
        <f>IFERROR(__xludf.DUMMYFUNCTION("""COMPUTED_VALUE"""),"Postdoc")</f>
        <v>Postdoc</v>
      </c>
      <c r="F342" s="2" t="str">
        <f>IFERROR(__xludf.DUMMYFUNCTION("""COMPUTED_VALUE"""),"ADEY1@PARTNERS.ORG")</f>
        <v>ADEY1@PARTNERS.ORG</v>
      </c>
      <c r="G342" s="2" t="str">
        <f>IFERROR(__xludf.DUMMYFUNCTION("""COMPUTED_VALUE"""),"0000-0003-1974-0116")</f>
        <v>0000-0003-1974-0116</v>
      </c>
    </row>
    <row r="343">
      <c r="A343" s="2" t="str">
        <f>IFERROR(__xludf.DUMMYFUNCTION("""COMPUTED_VALUE"""),"Cicalo")</f>
        <v>Cicalo</v>
      </c>
      <c r="B343" s="2" t="str">
        <f>IFERROR(__xludf.DUMMYFUNCTION("""COMPUTED_VALUE"""),"Anthony")</f>
        <v>Anthony</v>
      </c>
      <c r="C343" s="2" t="str">
        <f>IFERROR(__xludf.DUMMYFUNCTION("""COMPUTED_VALUE"""),"Key Personnel")</f>
        <v>Key Personnel</v>
      </c>
      <c r="D343" s="2" t="str">
        <f>IFERROR(__xludf.DUMMYFUNCTION("""COMPUTED_VALUE"""),"Dong")</f>
        <v>Dong</v>
      </c>
      <c r="E343" s="2" t="str">
        <f>IFERROR(__xludf.DUMMYFUNCTION("""COMPUTED_VALUE"""),"Research Scientist")</f>
        <v>Research Scientist</v>
      </c>
      <c r="F343" s="2" t="str">
        <f>IFERROR(__xludf.DUMMYFUNCTION("""COMPUTED_VALUE"""),"acicalo@bwh.harvard.edu")</f>
        <v>acicalo@bwh.harvard.edu</v>
      </c>
      <c r="G343" s="2" t="str">
        <f>IFERROR(__xludf.DUMMYFUNCTION("""COMPUTED_VALUE"""),"0009-0005-8729-6514")</f>
        <v>0009-0005-8729-6514</v>
      </c>
    </row>
    <row r="344">
      <c r="A344" s="2" t="str">
        <f>IFERROR(__xludf.DUMMYFUNCTION("""COMPUTED_VALUE"""),"Wang")</f>
        <v>Wang</v>
      </c>
      <c r="B344" s="2" t="str">
        <f>IFERROR(__xludf.DUMMYFUNCTION("""COMPUTED_VALUE"""),"Ruoxuan")</f>
        <v>Ruoxuan</v>
      </c>
      <c r="C344" s="2" t="str">
        <f>IFERROR(__xludf.DUMMYFUNCTION("""COMPUTED_VALUE"""),"Key Personnel")</f>
        <v>Key Personnel</v>
      </c>
      <c r="D344" s="2" t="str">
        <f>IFERROR(__xludf.DUMMYFUNCTION("""COMPUTED_VALUE"""),"Dong")</f>
        <v>Dong</v>
      </c>
      <c r="E344" s="2" t="str">
        <f>IFERROR(__xludf.DUMMYFUNCTION("""COMPUTED_VALUE"""),"Research associate")</f>
        <v>Research associate</v>
      </c>
      <c r="F344" s="2" t="str">
        <f>IFERROR(__xludf.DUMMYFUNCTION("""COMPUTED_VALUE"""),"rwang29@bwh.harvard.edu")</f>
        <v>rwang29@bwh.harvard.edu</v>
      </c>
      <c r="G344" s="2" t="str">
        <f>IFERROR(__xludf.DUMMYFUNCTION("""COMPUTED_VALUE"""),"0000-0003-0927-203X")</f>
        <v>0000-0003-0927-203X</v>
      </c>
    </row>
    <row r="345">
      <c r="A345" s="2" t="str">
        <f>IFERROR(__xludf.DUMMYFUNCTION("""COMPUTED_VALUE"""),"Haywood")</f>
        <v>Haywood</v>
      </c>
      <c r="B345" s="2" t="str">
        <f>IFERROR(__xludf.DUMMYFUNCTION("""COMPUTED_VALUE"""),"Nathan")</f>
        <v>Nathan</v>
      </c>
      <c r="C345" s="2" t="str">
        <f>IFERROR(__xludf.DUMMYFUNCTION("""COMPUTED_VALUE"""),"Key Personnel")</f>
        <v>Key Personnel</v>
      </c>
      <c r="D345" s="2" t="str">
        <f>IFERROR(__xludf.DUMMYFUNCTION("""COMPUTED_VALUE"""),"Levin")</f>
        <v>Levin</v>
      </c>
      <c r="E345" s="2" t="str">
        <f>IFERROR(__xludf.DUMMYFUNCTION("""COMPUTED_VALUE"""),"Lab assistant")</f>
        <v>Lab assistant</v>
      </c>
      <c r="F345" s="2" t="str">
        <f>IFERROR(__xludf.DUMMYFUNCTION("""COMPUTED_VALUE"""),"nhaywood@broadinstitute.org")</f>
        <v>nhaywood@broadinstitute.org</v>
      </c>
      <c r="G345" s="2" t="str">
        <f>IFERROR(__xludf.DUMMYFUNCTION("""COMPUTED_VALUE"""),"0000-0003-2213-5080")</f>
        <v>0000-0003-2213-5080</v>
      </c>
    </row>
    <row r="346">
      <c r="A346" s="2" t="str">
        <f>IFERROR(__xludf.DUMMYFUNCTION("""COMPUTED_VALUE"""),"Vickovic")</f>
        <v>Vickovic</v>
      </c>
      <c r="B346" s="2" t="str">
        <f>IFERROR(__xludf.DUMMYFUNCTION("""COMPUTED_VALUE"""),"Sanja")</f>
        <v>Sanja</v>
      </c>
      <c r="C346" s="2" t="str">
        <f>IFERROR(__xludf.DUMMYFUNCTION("""COMPUTED_VALUE"""),"Key Personnel")</f>
        <v>Key Personnel</v>
      </c>
      <c r="D346" s="2" t="str">
        <f>IFERROR(__xludf.DUMMYFUNCTION("""COMPUTED_VALUE"""),"Levin")</f>
        <v>Levin</v>
      </c>
      <c r="E346" s="2" t="str">
        <f>IFERROR(__xludf.DUMMYFUNCTION("""COMPUTED_VALUE"""),"Unpaid Collaborator (Research fellow)")</f>
        <v>Unpaid Collaborator (Research fellow)</v>
      </c>
      <c r="F346" s="2" t="str">
        <f>IFERROR(__xludf.DUMMYFUNCTION("""COMPUTED_VALUE"""),"vickovic@broadinstitute.org")</f>
        <v>vickovic@broadinstitute.org</v>
      </c>
      <c r="G346" s="2" t="str">
        <f>IFERROR(__xludf.DUMMYFUNCTION("""COMPUTED_VALUE"""),"0000-0003-0985-9885")</f>
        <v>0000-0003-0985-9885</v>
      </c>
    </row>
    <row r="347">
      <c r="A347" s="2" t="str">
        <f>IFERROR(__xludf.DUMMYFUNCTION("""COMPUTED_VALUE"""),"Beaulieu-Jones")</f>
        <v>Beaulieu-Jones</v>
      </c>
      <c r="B347" s="2" t="str">
        <f>IFERROR(__xludf.DUMMYFUNCTION("""COMPUTED_VALUE"""),"Brett")</f>
        <v>Brett</v>
      </c>
      <c r="C347" s="2" t="str">
        <f>IFERROR(__xludf.DUMMYFUNCTION("""COMPUTED_VALUE"""),"Collaborating PI")</f>
        <v>Collaborating PI</v>
      </c>
      <c r="D347" s="2" t="str">
        <f>IFERROR(__xludf.DUMMYFUNCTION("""COMPUTED_VALUE"""),"Scherzer")</f>
        <v>Scherzer</v>
      </c>
      <c r="E347" s="2" t="str">
        <f>IFERROR(__xludf.DUMMYFUNCTION("""COMPUTED_VALUE"""),"Collaborator")</f>
        <v>Collaborator</v>
      </c>
      <c r="F347" s="2" t="str">
        <f>IFERROR(__xludf.DUMMYFUNCTION("""COMPUTED_VALUE"""),"brett_beaulieu-jones@hms.harvard.edu")</f>
        <v>brett_beaulieu-jones@hms.harvard.edu</v>
      </c>
      <c r="G347" s="2" t="str">
        <f>IFERROR(__xludf.DUMMYFUNCTION("""COMPUTED_VALUE"""),"0000-0002-6700-1468")</f>
        <v>0000-0002-6700-1468</v>
      </c>
    </row>
    <row r="348">
      <c r="A348" s="2" t="str">
        <f>IFERROR(__xludf.DUMMYFUNCTION("""COMPUTED_VALUE"""),"Maor")</f>
        <v>Maor</v>
      </c>
      <c r="B348" s="2" t="str">
        <f>IFERROR(__xludf.DUMMYFUNCTION("""COMPUTED_VALUE"""),"Gali")</f>
        <v>Gali</v>
      </c>
      <c r="C348" s="2" t="str">
        <f>IFERROR(__xludf.DUMMYFUNCTION("""COMPUTED_VALUE"""),"Key Personnel")</f>
        <v>Key Personnel</v>
      </c>
      <c r="D348" s="2" t="str">
        <f>IFERROR(__xludf.DUMMYFUNCTION("""COMPUTED_VALUE"""),"Feany")</f>
        <v>Feany</v>
      </c>
      <c r="E348" s="2" t="str">
        <f>IFERROR(__xludf.DUMMYFUNCTION("""COMPUTED_VALUE"""),"Research associate")</f>
        <v>Research associate</v>
      </c>
      <c r="F348" s="2" t="str">
        <f>IFERROR(__xludf.DUMMYFUNCTION("""COMPUTED_VALUE"""),"gmaor@bwh.harvard.edu")</f>
        <v>gmaor@bwh.harvard.edu</v>
      </c>
      <c r="G348" s="2" t="str">
        <f>IFERROR(__xludf.DUMMYFUNCTION("""COMPUTED_VALUE"""),"0000-0003-4508-0430")</f>
        <v>0000-0003-4508-0430</v>
      </c>
    </row>
    <row r="349">
      <c r="A349" s="2" t="str">
        <f>IFERROR(__xludf.DUMMYFUNCTION("""COMPUTED_VALUE"""),"Teng")</f>
        <v>Teng</v>
      </c>
      <c r="B349" s="2" t="str">
        <f>IFERROR(__xludf.DUMMYFUNCTION("""COMPUTED_VALUE"""),"Xufei")</f>
        <v>Xufei</v>
      </c>
      <c r="C349" s="2" t="str">
        <f>IFERROR(__xludf.DUMMYFUNCTION("""COMPUTED_VALUE"""),"Key Personnel")</f>
        <v>Key Personnel</v>
      </c>
      <c r="D349" s="2" t="str">
        <f>IFERROR(__xludf.DUMMYFUNCTION("""COMPUTED_VALUE"""),"Scherzer")</f>
        <v>Scherzer</v>
      </c>
      <c r="E349" s="2" t="str">
        <f>IFERROR(__xludf.DUMMYFUNCTION("""COMPUTED_VALUE"""),"Postdoc")</f>
        <v>Postdoc</v>
      </c>
      <c r="F349" s="2" t="str">
        <f>IFERROR(__xludf.DUMMYFUNCTION("""COMPUTED_VALUE"""),"xufei.teng@yale.edu")</f>
        <v>xufei.teng@yale.edu</v>
      </c>
      <c r="G349" s="2" t="str">
        <f>IFERROR(__xludf.DUMMYFUNCTION("""COMPUTED_VALUE"""),"0000-0001-9282-4282")</f>
        <v>0000-0001-9282-4282</v>
      </c>
    </row>
    <row r="350">
      <c r="A350" s="2" t="str">
        <f>IFERROR(__xludf.DUMMYFUNCTION("""COMPUTED_VALUE"""),"Kang")</f>
        <v>Kang</v>
      </c>
      <c r="B350" s="2" t="str">
        <f>IFERROR(__xludf.DUMMYFUNCTION("""COMPUTED_VALUE"""),"Xiaoying")</f>
        <v>Xiaoying</v>
      </c>
      <c r="C350" s="2" t="str">
        <f>IFERROR(__xludf.DUMMYFUNCTION("""COMPUTED_VALUE"""),"Key Personnel")</f>
        <v>Key Personnel</v>
      </c>
      <c r="D350" s="2" t="str">
        <f>IFERROR(__xludf.DUMMYFUNCTION("""COMPUTED_VALUE"""),"Scherzer")</f>
        <v>Scherzer</v>
      </c>
      <c r="E350" s="2" t="str">
        <f>IFERROR(__xludf.DUMMYFUNCTION("""COMPUTED_VALUE"""),"Postdoc")</f>
        <v>Postdoc</v>
      </c>
      <c r="F350" s="2" t="str">
        <f>IFERROR(__xludf.DUMMYFUNCTION("""COMPUTED_VALUE"""),"xiaoying.kang@yale.edu")</f>
        <v>xiaoying.kang@yale.edu</v>
      </c>
      <c r="G350" s="2" t="str">
        <f>IFERROR(__xludf.DUMMYFUNCTION("""COMPUTED_VALUE"""),"0000-0003-1999-9304")</f>
        <v>0000-0003-1999-9304</v>
      </c>
    </row>
    <row r="351">
      <c r="A351" s="2" t="str">
        <f>IFERROR(__xludf.DUMMYFUNCTION("""COMPUTED_VALUE"""),"Regev")</f>
        <v>Regev</v>
      </c>
      <c r="B351" s="2" t="str">
        <f>IFERROR(__xludf.DUMMYFUNCTION("""COMPUTED_VALUE"""),"Aviv ")</f>
        <v>Aviv </v>
      </c>
      <c r="C351" s="2" t="str">
        <f>IFERROR(__xludf.DUMMYFUNCTION("""COMPUTED_VALUE"""),"Key Personnel")</f>
        <v>Key Personnel</v>
      </c>
      <c r="D351" s="2" t="str">
        <f>IFERROR(__xludf.DUMMYFUNCTION("""COMPUTED_VALUE"""),"Levin")</f>
        <v>Levin</v>
      </c>
      <c r="E351" s="2" t="str">
        <f>IFERROR(__xludf.DUMMYFUNCTION("""COMPUTED_VALUE"""),"Unpaid Collaborator (Chair of the Faculty, Director, Professor)")</f>
        <v>Unpaid Collaborator (Chair of the Faculty, Director, Professor)</v>
      </c>
      <c r="F351" s="2" t="str">
        <f>IFERROR(__xludf.DUMMYFUNCTION("""COMPUTED_VALUE"""),"aregev@broadinstitute.org")</f>
        <v>aregev@broadinstitute.org</v>
      </c>
      <c r="G351" s="2" t="str">
        <f>IFERROR(__xludf.DUMMYFUNCTION("""COMPUTED_VALUE"""),"0000-0003-3293-3158")</f>
        <v>0000-0003-3293-3158</v>
      </c>
    </row>
    <row r="352">
      <c r="A352" s="2" t="str">
        <f>IFERROR(__xludf.DUMMYFUNCTION("""COMPUTED_VALUE"""),"Tao")</f>
        <v>Tao</v>
      </c>
      <c r="B352" s="2" t="str">
        <f>IFERROR(__xludf.DUMMYFUNCTION("""COMPUTED_VALUE"""),"Yunlog ")</f>
        <v>Yunlog </v>
      </c>
      <c r="C352" s="2" t="str">
        <f>IFERROR(__xludf.DUMMYFUNCTION("""COMPUTED_VALUE"""),"Key Personnel")</f>
        <v>Key Personnel</v>
      </c>
      <c r="D352" s="2" t="str">
        <f>IFERROR(__xludf.DUMMYFUNCTION("""COMPUTED_VALUE"""),"Zhang")</f>
        <v>Zhang</v>
      </c>
      <c r="E352" s="2" t="str">
        <f>IFERROR(__xludf.DUMMYFUNCTION("""COMPUTED_VALUE"""),"Assistant scientist")</f>
        <v>Assistant scientist</v>
      </c>
      <c r="F352" s="2" t="str">
        <f>IFERROR(__xludf.DUMMYFUNCTION("""COMPUTED_VALUE"""),"ytao28@wisc.edu")</f>
        <v>ytao28@wisc.edu</v>
      </c>
      <c r="G352" s="2" t="str">
        <f>IFERROR(__xludf.DUMMYFUNCTION("""COMPUTED_VALUE"""),"0000-0003-0377-7133")</f>
        <v>0000-0003-0377-7133</v>
      </c>
    </row>
    <row r="353">
      <c r="A353" s="2" t="str">
        <f>IFERROR(__xludf.DUMMYFUNCTION("""COMPUTED_VALUE"""),"Ayala")</f>
        <v>Ayala</v>
      </c>
      <c r="B353" s="2" t="str">
        <f>IFERROR(__xludf.DUMMYFUNCTION("""COMPUTED_VALUE"""),"Melvin ")</f>
        <v>Melvin </v>
      </c>
      <c r="C353" s="2" t="str">
        <f>IFERROR(__xludf.DUMMYFUNCTION("""COMPUTED_VALUE"""),"Key Personnel")</f>
        <v>Key Personnel</v>
      </c>
      <c r="D353" s="2" t="str">
        <f>IFERROR(__xludf.DUMMYFUNCTION("""COMPUTED_VALUE"""),"Zhang")</f>
        <v>Zhang</v>
      </c>
      <c r="E353" s="2" t="str">
        <f>IFERROR(__xludf.DUMMYFUNCTION("""COMPUTED_VALUE"""),"Research specialist")</f>
        <v>Research specialist</v>
      </c>
      <c r="F353" s="2" t="str">
        <f>IFERROR(__xludf.DUMMYFUNCTION("""COMPUTED_VALUE"""),"ayala@waisman.wisc.edu")</f>
        <v>ayala@waisman.wisc.edu</v>
      </c>
      <c r="G353" s="2" t="str">
        <f>IFERROR(__xludf.DUMMYFUNCTION("""COMPUTED_VALUE"""),"0000-0002-8669-1046")</f>
        <v>0000-0002-8669-1046</v>
      </c>
    </row>
    <row r="354">
      <c r="A354" s="2" t="str">
        <f>IFERROR(__xludf.DUMMYFUNCTION("""COMPUTED_VALUE"""),"Sun")</f>
        <v>Sun</v>
      </c>
      <c r="B354" s="2" t="str">
        <f>IFERROR(__xludf.DUMMYFUNCTION("""COMPUTED_VALUE"""),"Zijun")</f>
        <v>Zijun</v>
      </c>
      <c r="C354" s="2" t="str">
        <f>IFERROR(__xludf.DUMMYFUNCTION("""COMPUTED_VALUE"""),"Key Personnel")</f>
        <v>Key Personnel</v>
      </c>
      <c r="D354" s="2" t="str">
        <f>IFERROR(__xludf.DUMMYFUNCTION("""COMPUTED_VALUE"""),"Zhang")</f>
        <v>Zhang</v>
      </c>
      <c r="E354" s="2" t="str">
        <f>IFERROR(__xludf.DUMMYFUNCTION("""COMPUTED_VALUE"""),"Postdoc")</f>
        <v>Postdoc</v>
      </c>
      <c r="F354" s="2" t="str">
        <f>IFERROR(__xludf.DUMMYFUNCTION("""COMPUTED_VALUE"""),"zijun.sun@wisc.edu")</f>
        <v>zijun.sun@wisc.edu</v>
      </c>
      <c r="G354" s="2" t="str">
        <f>IFERROR(__xludf.DUMMYFUNCTION("""COMPUTED_VALUE"""),"0000-0001-5386-5495")</f>
        <v>0000-0001-5386-5495</v>
      </c>
    </row>
    <row r="355">
      <c r="A355" s="2" t="str">
        <f>IFERROR(__xludf.DUMMYFUNCTION("""COMPUTED_VALUE"""),"Fanning")</f>
        <v>Fanning</v>
      </c>
      <c r="B355" s="2" t="str">
        <f>IFERROR(__xludf.DUMMYFUNCTION("""COMPUTED_VALUE"""),"Saranna ")</f>
        <v>Saranna </v>
      </c>
      <c r="C355" s="2" t="str">
        <f>IFERROR(__xludf.DUMMYFUNCTION("""COMPUTED_VALUE"""),"Key Personnel")</f>
        <v>Key Personnel</v>
      </c>
      <c r="D355" s="2" t="str">
        <f>IFERROR(__xludf.DUMMYFUNCTION("""COMPUTED_VALUE"""),"Scherzer")</f>
        <v>Scherzer</v>
      </c>
      <c r="E355" s="2" t="str">
        <f>IFERROR(__xludf.DUMMYFUNCTION("""COMPUTED_VALUE"""),"Instructor")</f>
        <v>Instructor</v>
      </c>
      <c r="F355" s="2" t="str">
        <f>IFERROR(__xludf.DUMMYFUNCTION("""COMPUTED_VALUE"""),"sfanning2@bwh.harvard.edu")</f>
        <v>sfanning2@bwh.harvard.edu</v>
      </c>
      <c r="G355" s="2" t="str">
        <f>IFERROR(__xludf.DUMMYFUNCTION("""COMPUTED_VALUE"""),"0000-0003-4638-1331")</f>
        <v>0000-0003-4638-1331</v>
      </c>
    </row>
    <row r="356">
      <c r="A356" s="2" t="str">
        <f>IFERROR(__xludf.DUMMYFUNCTION("""COMPUTED_VALUE"""),"Olsen")</f>
        <v>Olsen</v>
      </c>
      <c r="B356" s="2" t="str">
        <f>IFERROR(__xludf.DUMMYFUNCTION("""COMPUTED_VALUE"""),"Abby")</f>
        <v>Abby</v>
      </c>
      <c r="C356" s="2" t="str">
        <f>IFERROR(__xludf.DUMMYFUNCTION("""COMPUTED_VALUE"""),"Key Personnel")</f>
        <v>Key Personnel</v>
      </c>
      <c r="D356" s="2" t="str">
        <f>IFERROR(__xludf.DUMMYFUNCTION("""COMPUTED_VALUE"""),"Feany")</f>
        <v>Feany</v>
      </c>
      <c r="E356" s="2" t="str">
        <f>IFERROR(__xludf.DUMMYFUNCTION("""COMPUTED_VALUE"""),"Research Fellow")</f>
        <v>Research Fellow</v>
      </c>
      <c r="F356" s="2" t="str">
        <f>IFERROR(__xludf.DUMMYFUNCTION("""COMPUTED_VALUE"""),"ALOLSEN@PARTNERS.ORG")</f>
        <v>ALOLSEN@PARTNERS.ORG</v>
      </c>
      <c r="G356" s="2" t="str">
        <f>IFERROR(__xludf.DUMMYFUNCTION("""COMPUTED_VALUE"""),"0000-0002-7680-1758")</f>
        <v>0000-0002-7680-1758</v>
      </c>
    </row>
    <row r="357">
      <c r="A357" s="2" t="str">
        <f>IFERROR(__xludf.DUMMYFUNCTION("""COMPUTED_VALUE"""),"Member")</f>
        <v>Member</v>
      </c>
      <c r="B357" s="2" t="str">
        <f>IFERROR(__xludf.DUMMYFUNCTION("""COMPUTED_VALUE"""),"Example")</f>
        <v>Example</v>
      </c>
      <c r="C357" s="2" t="str">
        <f>IFERROR(__xludf.DUMMYFUNCTION("""COMPUTED_VALUE"""),"Members Role")</f>
        <v>Members Role</v>
      </c>
      <c r="D357" s="2" t="str">
        <f>IFERROR(__xludf.DUMMYFUNCTION("""COMPUTED_VALUE"""),"Lab Name")</f>
        <v>Lab Name</v>
      </c>
      <c r="E357" s="2" t="str">
        <f>IFERROR(__xludf.DUMMYFUNCTION("""COMPUTED_VALUE"""),"Member's Lab Role")</f>
        <v>Member's Lab Role</v>
      </c>
      <c r="F357" s="2" t="str">
        <f>IFERROR(__xludf.DUMMYFUNCTION("""COMPUTED_VALUE"""),"member@example.edu")</f>
        <v>member@example.edu</v>
      </c>
      <c r="G357" s="2" t="str">
        <f>IFERROR(__xludf.DUMMYFUNCTION("""COMPUTED_VALUE"""),"123-4567-890-4311")</f>
        <v>123-4567-890-4311</v>
      </c>
    </row>
    <row r="358">
      <c r="A358" s="2" t="str">
        <f>IFERROR(__xludf.DUMMYFUNCTION("""COMPUTED_VALUE"""),"Bloodgood")</f>
        <v>Bloodgood</v>
      </c>
      <c r="B358" s="2" t="str">
        <f>IFERROR(__xludf.DUMMYFUNCTION("""COMPUTED_VALUE"""),"Daniel")</f>
        <v>Daniel</v>
      </c>
      <c r="C358" s="2" t="str">
        <f>IFERROR(__xludf.DUMMYFUNCTION("""COMPUTED_VALUE"""),"Key Personnel")</f>
        <v>Key Personnel</v>
      </c>
      <c r="D358" s="2" t="str">
        <f>IFERROR(__xludf.DUMMYFUNCTION("""COMPUTED_VALUE"""),"Ding")</f>
        <v>Ding</v>
      </c>
      <c r="E358" s="2" t="str">
        <f>IFERROR(__xludf.DUMMYFUNCTION("""COMPUTED_VALUE"""),"Postdoc")</f>
        <v>Postdoc</v>
      </c>
      <c r="F358" s="2" t="str">
        <f>IFERROR(__xludf.DUMMYFUNCTION("""COMPUTED_VALUE"""),"dbgood@stanford.edu")</f>
        <v>dbgood@stanford.edu</v>
      </c>
      <c r="G358" s="2" t="str">
        <f>IFERROR(__xludf.DUMMYFUNCTION("""COMPUTED_VALUE"""),"0000-0003-1821-6945")</f>
        <v>0000-0003-1821-6945</v>
      </c>
    </row>
    <row r="359">
      <c r="A359" s="2" t="str">
        <f>IFERROR(__xludf.DUMMYFUNCTION("""COMPUTED_VALUE"""),"Vaz")</f>
        <v>Vaz</v>
      </c>
      <c r="B359" s="2" t="str">
        <f>IFERROR(__xludf.DUMMYFUNCTION("""COMPUTED_VALUE"""),"Ines")</f>
        <v>Ines</v>
      </c>
      <c r="C359" s="2" t="str">
        <f>IFERROR(__xludf.DUMMYFUNCTION("""COMPUTED_VALUE"""),"Key Personnel")</f>
        <v>Key Personnel</v>
      </c>
      <c r="D359" s="2" t="str">
        <f>IFERROR(__xludf.DUMMYFUNCTION("""COMPUTED_VALUE"""),"Costa")</f>
        <v>Costa</v>
      </c>
      <c r="E359" s="2" t="str">
        <f>IFERROR(__xludf.DUMMYFUNCTION("""COMPUTED_VALUE"""),"Graduate Student")</f>
        <v>Graduate Student</v>
      </c>
      <c r="F359" s="2" t="str">
        <f>IFERROR(__xludf.DUMMYFUNCTION("""COMPUTED_VALUE"""),"ioc2104@columbia.edu")</f>
        <v>ioc2104@columbia.edu</v>
      </c>
      <c r="G359" s="2" t="str">
        <f>IFERROR(__xludf.DUMMYFUNCTION("""COMPUTED_VALUE"""),"0000-0002-4713-1361")</f>
        <v>0000-0002-4713-1361</v>
      </c>
    </row>
    <row r="360">
      <c r="A360" s="2" t="str">
        <f>IFERROR(__xludf.DUMMYFUNCTION("""COMPUTED_VALUE"""),"Athalye")</f>
        <v>Athalye</v>
      </c>
      <c r="B360" s="2" t="str">
        <f>IFERROR(__xludf.DUMMYFUNCTION("""COMPUTED_VALUE"""),"Vivek")</f>
        <v>Vivek</v>
      </c>
      <c r="C360" s="2" t="str">
        <f>IFERROR(__xludf.DUMMYFUNCTION("""COMPUTED_VALUE"""),"Key Personnel")</f>
        <v>Key Personnel</v>
      </c>
      <c r="D360" s="2" t="str">
        <f>IFERROR(__xludf.DUMMYFUNCTION("""COMPUTED_VALUE"""),"Costa")</f>
        <v>Costa</v>
      </c>
      <c r="E360" s="2" t="str">
        <f>IFERROR(__xludf.DUMMYFUNCTION("""COMPUTED_VALUE"""),"Postdoc")</f>
        <v>Postdoc</v>
      </c>
      <c r="F360" s="2" t="str">
        <f>IFERROR(__xludf.DUMMYFUNCTION("""COMPUTED_VALUE"""),"va2371@columbia.edu")</f>
        <v>va2371@columbia.edu</v>
      </c>
      <c r="G360" s="2" t="str">
        <f>IFERROR(__xludf.DUMMYFUNCTION("""COMPUTED_VALUE"""),"0000-0001-6167-2562")</f>
        <v>0000-0001-6167-2562</v>
      </c>
    </row>
    <row r="361">
      <c r="A361" s="2" t="str">
        <f>IFERROR(__xludf.DUMMYFUNCTION("""COMPUTED_VALUE"""),"Mendelsohn")</f>
        <v>Mendelsohn</v>
      </c>
      <c r="B361" s="2" t="str">
        <f>IFERROR(__xludf.DUMMYFUNCTION("""COMPUTED_VALUE"""),"Alana")</f>
        <v>Alana</v>
      </c>
      <c r="C361" s="2" t="str">
        <f>IFERROR(__xludf.DUMMYFUNCTION("""COMPUTED_VALUE"""),"Key Personnel")</f>
        <v>Key Personnel</v>
      </c>
      <c r="D361" s="2" t="str">
        <f>IFERROR(__xludf.DUMMYFUNCTION("""COMPUTED_VALUE"""),"Costa")</f>
        <v>Costa</v>
      </c>
      <c r="E361" s="2" t="str">
        <f>IFERROR(__xludf.DUMMYFUNCTION("""COMPUTED_VALUE"""),"Postdoc")</f>
        <v>Postdoc</v>
      </c>
      <c r="F361" s="2" t="str">
        <f>IFERROR(__xludf.DUMMYFUNCTION("""COMPUTED_VALUE"""),"alana.mendelsohn@nyspi.columbia.edu")</f>
        <v>alana.mendelsohn@nyspi.columbia.edu</v>
      </c>
      <c r="G361" s="2" t="str">
        <f>IFERROR(__xludf.DUMMYFUNCTION("""COMPUTED_VALUE"""),"0000-0002-4320-798X")</f>
        <v>0000-0002-4320-798X</v>
      </c>
    </row>
    <row r="362">
      <c r="A362" s="2" t="str">
        <f>IFERROR(__xludf.DUMMYFUNCTION("""COMPUTED_VALUE"""),"Sun")</f>
        <v>Sun</v>
      </c>
      <c r="B362" s="2" t="str">
        <f>IFERROR(__xludf.DUMMYFUNCTION("""COMPUTED_VALUE"""),"Linqing")</f>
        <v>Linqing</v>
      </c>
      <c r="C362" s="2" t="str">
        <f>IFERROR(__xludf.DUMMYFUNCTION("""COMPUTED_VALUE"""),"Key Personnel")</f>
        <v>Key Personnel</v>
      </c>
      <c r="D362" s="2" t="str">
        <f>IFERROR(__xludf.DUMMYFUNCTION("""COMPUTED_VALUE"""),"Surmeier")</f>
        <v>Surmeier</v>
      </c>
      <c r="E362" s="2" t="str">
        <f>IFERROR(__xludf.DUMMYFUNCTION("""COMPUTED_VALUE"""),"Postdoc")</f>
        <v>Postdoc</v>
      </c>
      <c r="F362" s="2" t="str">
        <f>IFERROR(__xludf.DUMMYFUNCTION("""COMPUTED_VALUE"""),"linqing.sun@northwestern.edu")</f>
        <v>linqing.sun@northwestern.edu</v>
      </c>
      <c r="G362" s="2" t="str">
        <f>IFERROR(__xludf.DUMMYFUNCTION("""COMPUTED_VALUE"""),"0000-0002-1217-277X")</f>
        <v>0000-0002-1217-277X</v>
      </c>
    </row>
    <row r="363">
      <c r="A363" s="2" t="str">
        <f>IFERROR(__xludf.DUMMYFUNCTION("""COMPUTED_VALUE"""),"Panczyk")</f>
        <v>Panczyk</v>
      </c>
      <c r="B363" s="2" t="str">
        <f>IFERROR(__xludf.DUMMYFUNCTION("""COMPUTED_VALUE"""),"Taylor")</f>
        <v>Taylor</v>
      </c>
      <c r="C363" s="2" t="str">
        <f>IFERROR(__xludf.DUMMYFUNCTION("""COMPUTED_VALUE"""),"Project Manager")</f>
        <v>Project Manager</v>
      </c>
      <c r="D363" s="2" t="str">
        <f>IFERROR(__xludf.DUMMYFUNCTION("""COMPUTED_VALUE"""),"Surmeier")</f>
        <v>Surmeier</v>
      </c>
      <c r="E363" s="2"/>
      <c r="F363" s="2" t="str">
        <f>IFERROR(__xludf.DUMMYFUNCTION("""COMPUTED_VALUE"""),"taylor.panczyk@northwestern.edu")</f>
        <v>taylor.panczyk@northwestern.edu</v>
      </c>
      <c r="G363" s="2" t="str">
        <f>IFERROR(__xludf.DUMMYFUNCTION("""COMPUTED_VALUE"""),"0000-0001-8411-4053")</f>
        <v>0000-0001-8411-4053</v>
      </c>
    </row>
    <row r="364">
      <c r="A364" s="2" t="str">
        <f>IFERROR(__xludf.DUMMYFUNCTION("""COMPUTED_VALUE"""),"Tun")</f>
        <v>Tun</v>
      </c>
      <c r="B364" s="2" t="str">
        <f>IFERROR(__xludf.DUMMYFUNCTION("""COMPUTED_VALUE"""),"Linda")</f>
        <v>Linda</v>
      </c>
      <c r="C364" s="2" t="str">
        <f>IFERROR(__xludf.DUMMYFUNCTION("""COMPUTED_VALUE"""),"Key Personnel")</f>
        <v>Key Personnel</v>
      </c>
      <c r="D364" s="2" t="str">
        <f>IFERROR(__xludf.DUMMYFUNCTION("""COMPUTED_VALUE"""),"Costa")</f>
        <v>Costa</v>
      </c>
      <c r="E364" s="2" t="str">
        <f>IFERROR(__xludf.DUMMYFUNCTION("""COMPUTED_VALUE"""),"Research Associate")</f>
        <v>Research Associate</v>
      </c>
      <c r="F364" s="2" t="str">
        <f>IFERROR(__xludf.DUMMYFUNCTION("""COMPUTED_VALUE"""),"lt2868@columbia.edu")</f>
        <v>lt2868@columbia.edu</v>
      </c>
      <c r="G364" s="2" t="str">
        <f>IFERROR(__xludf.DUMMYFUNCTION("""COMPUTED_VALUE"""),"0009-0001-6921-6219")</f>
        <v>0009-0001-6921-6219</v>
      </c>
    </row>
    <row r="365">
      <c r="A365" s="2" t="str">
        <f>IFERROR(__xludf.DUMMYFUNCTION("""COMPUTED_VALUE"""),"Gu ")</f>
        <v>Gu </v>
      </c>
      <c r="B365" s="2" t="str">
        <f>IFERROR(__xludf.DUMMYFUNCTION("""COMPUTED_VALUE"""),"Zirong")</f>
        <v>Zirong</v>
      </c>
      <c r="C365" s="2" t="str">
        <f>IFERROR(__xludf.DUMMYFUNCTION("""COMPUTED_VALUE"""),"Key Personnel")</f>
        <v>Key Personnel</v>
      </c>
      <c r="D365" s="2" t="str">
        <f>IFERROR(__xludf.DUMMYFUNCTION("""COMPUTED_VALUE"""),"Costa")</f>
        <v>Costa</v>
      </c>
      <c r="E365" s="2" t="str">
        <f>IFERROR(__xludf.DUMMYFUNCTION("""COMPUTED_VALUE"""),"Associate Research Scientist")</f>
        <v>Associate Research Scientist</v>
      </c>
      <c r="F365" s="2" t="str">
        <f>IFERROR(__xludf.DUMMYFUNCTION("""COMPUTED_VALUE"""),"zg2284@columbia.edu")</f>
        <v>zg2284@columbia.edu</v>
      </c>
      <c r="G365" s="2" t="str">
        <f>IFERROR(__xludf.DUMMYFUNCTION("""COMPUTED_VALUE"""),"0000-0002-8262-7573")</f>
        <v>0000-0002-8262-7573</v>
      </c>
    </row>
    <row r="366">
      <c r="A366" s="2" t="str">
        <f>IFERROR(__xludf.DUMMYFUNCTION("""COMPUTED_VALUE"""),"Sibener")</f>
        <v>Sibener</v>
      </c>
      <c r="B366" s="2" t="str">
        <f>IFERROR(__xludf.DUMMYFUNCTION("""COMPUTED_VALUE"""),"Leslie")</f>
        <v>Leslie</v>
      </c>
      <c r="C366" s="2" t="str">
        <f>IFERROR(__xludf.DUMMYFUNCTION("""COMPUTED_VALUE"""),"Key Personnel")</f>
        <v>Key Personnel</v>
      </c>
      <c r="D366" s="2" t="str">
        <f>IFERROR(__xludf.DUMMYFUNCTION("""COMPUTED_VALUE"""),"Costa")</f>
        <v>Costa</v>
      </c>
      <c r="E366" s="2" t="str">
        <f>IFERROR(__xludf.DUMMYFUNCTION("""COMPUTED_VALUE"""),"Graduate Student")</f>
        <v>Graduate Student</v>
      </c>
      <c r="F366" s="2" t="str">
        <f>IFERROR(__xludf.DUMMYFUNCTION("""COMPUTED_VALUE"""),"ljs2203@columbia.edu")</f>
        <v>ljs2203@columbia.edu</v>
      </c>
      <c r="G366" s="2" t="str">
        <f>IFERROR(__xludf.DUMMYFUNCTION("""COMPUTED_VALUE"""),"0000-0003-0447-4484 ")</f>
        <v>0000-0003-0447-4484 </v>
      </c>
    </row>
    <row r="367">
      <c r="A367" s="2" t="str">
        <f>IFERROR(__xludf.DUMMYFUNCTION("""COMPUTED_VALUE"""),"Bodkin")</f>
        <v>Bodkin</v>
      </c>
      <c r="B367" s="2" t="str">
        <f>IFERROR(__xludf.DUMMYFUNCTION("""COMPUTED_VALUE"""),"Kevin")</f>
        <v>Kevin</v>
      </c>
      <c r="C367" s="2" t="str">
        <f>IFERROR(__xludf.DUMMYFUNCTION("""COMPUTED_VALUE"""),"Key Personnel")</f>
        <v>Key Personnel</v>
      </c>
      <c r="D367" s="2" t="str">
        <f>IFERROR(__xludf.DUMMYFUNCTION("""COMPUTED_VALUE"""),"Kennedy")</f>
        <v>Kennedy</v>
      </c>
      <c r="E367" s="2" t="str">
        <f>IFERROR(__xludf.DUMMYFUNCTION("""COMPUTED_VALUE"""),"Scientist")</f>
        <v>Scientist</v>
      </c>
      <c r="F367" s="2" t="str">
        <f>IFERROR(__xludf.DUMMYFUNCTION("""COMPUTED_VALUE"""),"kevin.bodkin@northwestern.edu")</f>
        <v>kevin.bodkin@northwestern.edu</v>
      </c>
      <c r="G367" s="2" t="str">
        <f>IFERROR(__xludf.DUMMYFUNCTION("""COMPUTED_VALUE"""),"0000-0002-6329-7353")</f>
        <v>0000-0002-6329-7353</v>
      </c>
    </row>
    <row r="368">
      <c r="A368" s="2" t="str">
        <f>IFERROR(__xludf.DUMMYFUNCTION("""COMPUTED_VALUE"""),"Carmona")</f>
        <v>Carmona</v>
      </c>
      <c r="B368" s="2" t="str">
        <f>IFERROR(__xludf.DUMMYFUNCTION("""COMPUTED_VALUE"""),"Marcela")</f>
        <v>Marcela</v>
      </c>
      <c r="C368" s="2" t="str">
        <f>IFERROR(__xludf.DUMMYFUNCTION("""COMPUTED_VALUE"""),"Key Personnel")</f>
        <v>Key Personnel</v>
      </c>
      <c r="D368" s="2" t="str">
        <f>IFERROR(__xludf.DUMMYFUNCTION("""COMPUTED_VALUE"""),"Costa")</f>
        <v>Costa</v>
      </c>
      <c r="E368" s="2" t="str">
        <f>IFERROR(__xludf.DUMMYFUNCTION("""COMPUTED_VALUE"""),"Associate Research Scientist")</f>
        <v>Associate Research Scientist</v>
      </c>
      <c r="F368" s="2" t="str">
        <f>IFERROR(__xludf.DUMMYFUNCTION("""COMPUTED_VALUE"""),"lc3246@columbia.edu")</f>
        <v>lc3246@columbia.edu</v>
      </c>
      <c r="G368" s="2"/>
    </row>
    <row r="369">
      <c r="A369" s="2" t="str">
        <f>IFERROR(__xludf.DUMMYFUNCTION("""COMPUTED_VALUE"""),"Martins")</f>
        <v>Martins</v>
      </c>
      <c r="B369" s="2" t="str">
        <f>IFERROR(__xludf.DUMMYFUNCTION("""COMPUTED_VALUE"""),"Gabi")</f>
        <v>Gabi</v>
      </c>
      <c r="C369" s="2" t="str">
        <f>IFERROR(__xludf.DUMMYFUNCTION("""COMPUTED_VALUE"""),"Key Personnel")</f>
        <v>Key Personnel</v>
      </c>
      <c r="D369" s="2" t="str">
        <f>IFERROR(__xludf.DUMMYFUNCTION("""COMPUTED_VALUE"""),"Costa")</f>
        <v>Costa</v>
      </c>
      <c r="E369" s="2" t="str">
        <f>IFERROR(__xludf.DUMMYFUNCTION("""COMPUTED_VALUE"""),"Associate Research Scientist")</f>
        <v>Associate Research Scientist</v>
      </c>
      <c r="F369" s="2" t="str">
        <f>IFERROR(__xludf.DUMMYFUNCTION("""COMPUTED_VALUE"""),"gabi.martins@alleninstitute.org")</f>
        <v>gabi.martins@alleninstitute.org</v>
      </c>
      <c r="G369" s="2" t="str">
        <f>IFERROR(__xludf.DUMMYFUNCTION("""COMPUTED_VALUE"""),"0000-0001-5857-0450")</f>
        <v>0000-0001-5857-0450</v>
      </c>
    </row>
    <row r="370">
      <c r="A370" s="2" t="str">
        <f>IFERROR(__xludf.DUMMYFUNCTION("""COMPUTED_VALUE"""),"Mosberger")</f>
        <v>Mosberger</v>
      </c>
      <c r="B370" s="2" t="str">
        <f>IFERROR(__xludf.DUMMYFUNCTION("""COMPUTED_VALUE"""),"Alice")</f>
        <v>Alice</v>
      </c>
      <c r="C370" s="2" t="str">
        <f>IFERROR(__xludf.DUMMYFUNCTION("""COMPUTED_VALUE"""),"Key Personnel")</f>
        <v>Key Personnel</v>
      </c>
      <c r="D370" s="2" t="str">
        <f>IFERROR(__xludf.DUMMYFUNCTION("""COMPUTED_VALUE"""),"Costa")</f>
        <v>Costa</v>
      </c>
      <c r="E370" s="2" t="str">
        <f>IFERROR(__xludf.DUMMYFUNCTION("""COMPUTED_VALUE"""),"Associate Research Scientist")</f>
        <v>Associate Research Scientist</v>
      </c>
      <c r="F370" s="2" t="str">
        <f>IFERROR(__xludf.DUMMYFUNCTION("""COMPUTED_VALUE"""),"acm2246@columbia.edu")</f>
        <v>acm2246@columbia.edu</v>
      </c>
      <c r="G370" s="2" t="str">
        <f>IFERROR(__xludf.DUMMYFUNCTION("""COMPUTED_VALUE"""),"0000-0003-1114-1469")</f>
        <v>0000-0003-1114-1469</v>
      </c>
    </row>
    <row r="371">
      <c r="A371" s="2" t="str">
        <f>IFERROR(__xludf.DUMMYFUNCTION("""COMPUTED_VALUE"""),"Lu")</f>
        <v>Lu</v>
      </c>
      <c r="B371" s="2" t="str">
        <f>IFERROR(__xludf.DUMMYFUNCTION("""COMPUTED_VALUE"""),"Di")</f>
        <v>Di</v>
      </c>
      <c r="C371" s="2" t="str">
        <f>IFERROR(__xludf.DUMMYFUNCTION("""COMPUTED_VALUE"""),"Key Personnel")</f>
        <v>Key Personnel</v>
      </c>
      <c r="D371" s="2" t="str">
        <f>IFERROR(__xludf.DUMMYFUNCTION("""COMPUTED_VALUE"""),"Ding")</f>
        <v>Ding</v>
      </c>
      <c r="E371" s="2" t="str">
        <f>IFERROR(__xludf.DUMMYFUNCTION("""COMPUTED_VALUE"""),"Postdoc")</f>
        <v>Postdoc</v>
      </c>
      <c r="F371" s="2" t="str">
        <f>IFERROR(__xludf.DUMMYFUNCTION("""COMPUTED_VALUE"""),"ludi89@stanford.edu")</f>
        <v>ludi89@stanford.edu</v>
      </c>
      <c r="G371" s="2" t="str">
        <f>IFERROR(__xludf.DUMMYFUNCTION("""COMPUTED_VALUE"""),"0000-0003-1177-5672")</f>
        <v>0000-0003-1177-5672</v>
      </c>
    </row>
    <row r="372">
      <c r="A372" s="2" t="str">
        <f>IFERROR(__xludf.DUMMYFUNCTION("""COMPUTED_VALUE"""),"Sheng")</f>
        <v>Sheng</v>
      </c>
      <c r="B372" s="2" t="str">
        <f>IFERROR(__xludf.DUMMYFUNCTION("""COMPUTED_VALUE"""),"Mengjun")</f>
        <v>Mengjun</v>
      </c>
      <c r="C372" s="2" t="str">
        <f>IFERROR(__xludf.DUMMYFUNCTION("""COMPUTED_VALUE"""),"Key Personnel")</f>
        <v>Key Personnel</v>
      </c>
      <c r="D372" s="2" t="str">
        <f>IFERROR(__xludf.DUMMYFUNCTION("""COMPUTED_VALUE"""),"Ding")</f>
        <v>Ding</v>
      </c>
      <c r="E372" s="2" t="str">
        <f>IFERROR(__xludf.DUMMYFUNCTION("""COMPUTED_VALUE"""),"Postdoc")</f>
        <v>Postdoc</v>
      </c>
      <c r="F372" s="2" t="str">
        <f>IFERROR(__xludf.DUMMYFUNCTION("""COMPUTED_VALUE"""),"mjsheng@stanford.edu")</f>
        <v>mjsheng@stanford.edu</v>
      </c>
      <c r="G372" s="2" t="str">
        <f>IFERROR(__xludf.DUMMYFUNCTION("""COMPUTED_VALUE"""),"0000-0002-1440-3447")</f>
        <v>0000-0002-1440-3447</v>
      </c>
    </row>
    <row r="373">
      <c r="A373" s="2" t="str">
        <f>IFERROR(__xludf.DUMMYFUNCTION("""COMPUTED_VALUE"""),"Member")</f>
        <v>Member</v>
      </c>
      <c r="B373" s="2" t="str">
        <f>IFERROR(__xludf.DUMMYFUNCTION("""COMPUTED_VALUE"""),"Example")</f>
        <v>Example</v>
      </c>
      <c r="C373" s="2" t="str">
        <f>IFERROR(__xludf.DUMMYFUNCTION("""COMPUTED_VALUE"""),"Members Role")</f>
        <v>Members Role</v>
      </c>
      <c r="D373" s="2" t="str">
        <f>IFERROR(__xludf.DUMMYFUNCTION("""COMPUTED_VALUE"""),"Lab Name")</f>
        <v>Lab Name</v>
      </c>
      <c r="E373" s="2" t="str">
        <f>IFERROR(__xludf.DUMMYFUNCTION("""COMPUTED_VALUE"""),"Member's Lab Role")</f>
        <v>Member's Lab Role</v>
      </c>
      <c r="F373" s="2" t="str">
        <f>IFERROR(__xludf.DUMMYFUNCTION("""COMPUTED_VALUE"""),"member@example.edu")</f>
        <v>member@example.edu</v>
      </c>
      <c r="G373" s="2" t="str">
        <f>IFERROR(__xludf.DUMMYFUNCTION("""COMPUTED_VALUE"""),"123-4567-890-4311")</f>
        <v>123-4567-890-4311</v>
      </c>
    </row>
    <row r="374">
      <c r="A374" s="2" t="str">
        <f>IFERROR(__xludf.DUMMYFUNCTION("""COMPUTED_VALUE"""),"Fisk")</f>
        <v>Fisk</v>
      </c>
      <c r="B374" s="2" t="str">
        <f>IFERROR(__xludf.DUMMYFUNCTION("""COMPUTED_VALUE"""),"Zoe")</f>
        <v>Zoe</v>
      </c>
      <c r="C374" s="2" t="str">
        <f>IFERROR(__xludf.DUMMYFUNCTION("""COMPUTED_VALUE"""),"Key Personnel")</f>
        <v>Key Personnel</v>
      </c>
      <c r="D374" s="2" t="str">
        <f>IFERROR(__xludf.DUMMYFUNCTION("""COMPUTED_VALUE"""),"Rousseaux")</f>
        <v>Rousseaux</v>
      </c>
      <c r="E374" s="2"/>
      <c r="F374" s="2" t="str">
        <f>IFERROR(__xludf.DUMMYFUNCTION("""COMPUTED_VALUE"""),"zfisk@uottawa.ca")</f>
        <v>zfisk@uottawa.ca</v>
      </c>
      <c r="G374" s="2" t="str">
        <f>IFERROR(__xludf.DUMMYFUNCTION("""COMPUTED_VALUE"""),"0000-0002-2185-0819")</f>
        <v>0000-0002-2185-0819</v>
      </c>
    </row>
    <row r="375">
      <c r="A375" s="2" t="str">
        <f>IFERROR(__xludf.DUMMYFUNCTION("""COMPUTED_VALUE"""),"Licht-Mayer")</f>
        <v>Licht-Mayer</v>
      </c>
      <c r="B375" s="2" t="str">
        <f>IFERROR(__xludf.DUMMYFUNCTION("""COMPUTED_VALUE"""),"Simon")</f>
        <v>Simon</v>
      </c>
      <c r="C375" s="2" t="str">
        <f>IFERROR(__xludf.DUMMYFUNCTION("""COMPUTED_VALUE"""),"Key Personnel")</f>
        <v>Key Personnel</v>
      </c>
      <c r="D375" s="2" t="str">
        <f>IFERROR(__xludf.DUMMYFUNCTION("""COMPUTED_VALUE"""),"Penninger")</f>
        <v>Penninger</v>
      </c>
      <c r="E375" s="2" t="str">
        <f>IFERROR(__xludf.DUMMYFUNCTION("""COMPUTED_VALUE"""),"Postdoctoral Fellow")</f>
        <v>Postdoctoral Fellow</v>
      </c>
      <c r="F375" s="2" t="str">
        <f>IFERROR(__xludf.DUMMYFUNCTION("""COMPUTED_VALUE"""),"simon.licht-mayer@imba.oeaw.ac.at")</f>
        <v>simon.licht-mayer@imba.oeaw.ac.at</v>
      </c>
      <c r="G375" s="2" t="str">
        <f>IFERROR(__xludf.DUMMYFUNCTION("""COMPUTED_VALUE"""),"0000-0002-2100-5332")</f>
        <v>0000-0002-2100-5332</v>
      </c>
    </row>
    <row r="376">
      <c r="A376" s="2" t="str">
        <f>IFERROR(__xludf.DUMMYFUNCTION("""COMPUTED_VALUE"""),"Fox")</f>
        <v>Fox</v>
      </c>
      <c r="B376" s="2" t="str">
        <f>IFERROR(__xludf.DUMMYFUNCTION("""COMPUTED_VALUE"""),"Jesse")</f>
        <v>Jesse</v>
      </c>
      <c r="C376" s="2" t="str">
        <f>IFERROR(__xludf.DUMMYFUNCTION("""COMPUTED_VALUE"""),"Key Personnel")</f>
        <v>Key Personnel</v>
      </c>
      <c r="D376" s="2" t="str">
        <f>IFERROR(__xludf.DUMMYFUNCTION("""COMPUTED_VALUE"""),"Penninger")</f>
        <v>Penninger</v>
      </c>
      <c r="E376" s="2" t="str">
        <f>IFERROR(__xludf.DUMMYFUNCTION("""COMPUTED_VALUE"""),"Graduate Student")</f>
        <v>Graduate Student</v>
      </c>
      <c r="F376" s="2" t="str">
        <f>IFERROR(__xludf.DUMMYFUNCTION("""COMPUTED_VALUE"""),"jfox@can.ubc.ca")</f>
        <v>jfox@can.ubc.ca</v>
      </c>
      <c r="G376" s="2" t="str">
        <f>IFERROR(__xludf.DUMMYFUNCTION("""COMPUTED_VALUE"""),"0000-0002-2102-6192")</f>
        <v>0000-0002-2102-6192</v>
      </c>
    </row>
    <row r="377">
      <c r="A377" s="2" t="str">
        <f>IFERROR(__xludf.DUMMYFUNCTION("""COMPUTED_VALUE"""),"Omori")</f>
        <v>Omori</v>
      </c>
      <c r="B377" s="2" t="str">
        <f>IFERROR(__xludf.DUMMYFUNCTION("""COMPUTED_VALUE"""),"Hirofumi")</f>
        <v>Hirofumi</v>
      </c>
      <c r="C377" s="2" t="str">
        <f>IFERROR(__xludf.DUMMYFUNCTION("""COMPUTED_VALUE"""),"Key Personnel")</f>
        <v>Key Personnel</v>
      </c>
      <c r="D377" s="2" t="str">
        <f>IFERROR(__xludf.DUMMYFUNCTION("""COMPUTED_VALUE"""),"Penninger")</f>
        <v>Penninger</v>
      </c>
      <c r="E377" s="2"/>
      <c r="F377" s="2" t="str">
        <f>IFERROR(__xludf.DUMMYFUNCTION("""COMPUTED_VALUE"""),"hirofumi.omori@ubc.ca")</f>
        <v>hirofumi.omori@ubc.ca</v>
      </c>
      <c r="G377" s="2" t="str">
        <f>IFERROR(__xludf.DUMMYFUNCTION("""COMPUTED_VALUE"""),"0000-0002-7932-2090")</f>
        <v>0000-0002-7932-2090</v>
      </c>
    </row>
    <row r="378">
      <c r="A378" s="2" t="str">
        <f>IFERROR(__xludf.DUMMYFUNCTION("""COMPUTED_VALUE"""),"Zahr Eddin")</f>
        <v>Zahr Eddin</v>
      </c>
      <c r="B378" s="2" t="str">
        <f>IFERROR(__xludf.DUMMYFUNCTION("""COMPUTED_VALUE"""),"Karim")</f>
        <v>Karim</v>
      </c>
      <c r="C378" s="2" t="str">
        <f>IFERROR(__xludf.DUMMYFUNCTION("""COMPUTED_VALUE"""),"Key Personnel")</f>
        <v>Key Personnel</v>
      </c>
      <c r="D378" s="2" t="str">
        <f>IFERROR(__xludf.DUMMYFUNCTION("""COMPUTED_VALUE"""),"Schlossmacher")</f>
        <v>Schlossmacher</v>
      </c>
      <c r="E378" s="2" t="str">
        <f>IFERROR(__xludf.DUMMYFUNCTION("""COMPUTED_VALUE"""),"MSc Candidate")</f>
        <v>MSc Candidate</v>
      </c>
      <c r="F378" s="2" t="str">
        <f>IFERROR(__xludf.DUMMYFUNCTION("""COMPUTED_VALUE"""),"kzahr079@uottawa.ca")</f>
        <v>kzahr079@uottawa.ca</v>
      </c>
      <c r="G378" s="2" t="str">
        <f>IFERROR(__xludf.DUMMYFUNCTION("""COMPUTED_VALUE"""),"0000-0001-8820-3766")</f>
        <v>0000-0001-8820-3766</v>
      </c>
    </row>
    <row r="379">
      <c r="A379" s="2" t="str">
        <f>IFERROR(__xludf.DUMMYFUNCTION("""COMPUTED_VALUE"""),"Grimes")</f>
        <v>Grimes</v>
      </c>
      <c r="B379" s="2" t="str">
        <f>IFERROR(__xludf.DUMMYFUNCTION("""COMPUTED_VALUE"""),"Kelsey")</f>
        <v>Kelsey</v>
      </c>
      <c r="C379" s="2" t="str">
        <f>IFERROR(__xludf.DUMMYFUNCTION("""COMPUTED_VALUE"""),"Key Personnel")</f>
        <v>Key Personnel</v>
      </c>
      <c r="D379" s="2" t="str">
        <f>IFERROR(__xludf.DUMMYFUNCTION("""COMPUTED_VALUE"""),"Schlossmacher")</f>
        <v>Schlossmacher</v>
      </c>
      <c r="E379" s="2" t="str">
        <f>IFERROR(__xludf.DUMMYFUNCTION("""COMPUTED_VALUE"""),"Research Assistant")</f>
        <v>Research Assistant</v>
      </c>
      <c r="F379" s="2" t="str">
        <f>IFERROR(__xludf.DUMMYFUNCTION("""COMPUTED_VALUE"""),"kgrimes@ohri.ca")</f>
        <v>kgrimes@ohri.ca</v>
      </c>
      <c r="G379" s="2" t="str">
        <f>IFERROR(__xludf.DUMMYFUNCTION("""COMPUTED_VALUE"""),"0000-0002-0545-3813")</f>
        <v>0000-0002-0545-3813</v>
      </c>
    </row>
    <row r="380">
      <c r="A380" s="2" t="str">
        <f>IFERROR(__xludf.DUMMYFUNCTION("""COMPUTED_VALUE"""),"MacDonald")</f>
        <v>MacDonald</v>
      </c>
      <c r="B380" s="2" t="str">
        <f>IFERROR(__xludf.DUMMYFUNCTION("""COMPUTED_VALUE"""),"Allison")</f>
        <v>Allison</v>
      </c>
      <c r="C380" s="2" t="str">
        <f>IFERROR(__xludf.DUMMYFUNCTION("""COMPUTED_VALUE"""),"Key Personnel")</f>
        <v>Key Personnel</v>
      </c>
      <c r="D380" s="2" t="str">
        <f>IFERROR(__xludf.DUMMYFUNCTION("""COMPUTED_VALUE"""),"Schlossmacher")</f>
        <v>Schlossmacher</v>
      </c>
      <c r="E380" s="2" t="str">
        <f>IFERROR(__xludf.DUMMYFUNCTION("""COMPUTED_VALUE"""),"Graduate Student")</f>
        <v>Graduate Student</v>
      </c>
      <c r="F380" s="2" t="str">
        <f>IFERROR(__xludf.DUMMYFUNCTION("""COMPUTED_VALUE"""),"amacd165@uottawa.ca")</f>
        <v>amacd165@uottawa.ca</v>
      </c>
      <c r="G380" s="2" t="str">
        <f>IFERROR(__xludf.DUMMYFUNCTION("""COMPUTED_VALUE"""),"0000-0002-8491-1666")</f>
        <v>0000-0002-8491-1666</v>
      </c>
    </row>
    <row r="381">
      <c r="A381" s="2" t="str">
        <f>IFERROR(__xludf.DUMMYFUNCTION("""COMPUTED_VALUE"""),"Chatterji")</f>
        <v>Chatterji</v>
      </c>
      <c r="B381" s="2" t="str">
        <f>IFERROR(__xludf.DUMMYFUNCTION("""COMPUTED_VALUE"""),"Ajanta")</f>
        <v>Ajanta</v>
      </c>
      <c r="C381" s="2" t="str">
        <f>IFERROR(__xludf.DUMMYFUNCTION("""COMPUTED_VALUE"""),"Key Personnel")</f>
        <v>Key Personnel</v>
      </c>
      <c r="D381" s="2" t="str">
        <f>IFERROR(__xludf.DUMMYFUNCTION("""COMPUTED_VALUE"""),"Schlossmacher")</f>
        <v>Schlossmacher</v>
      </c>
      <c r="E381" s="2" t="str">
        <f>IFERROR(__xludf.DUMMYFUNCTION("""COMPUTED_VALUE"""),"Graduate Student")</f>
        <v>Graduate Student</v>
      </c>
      <c r="F381" s="2" t="str">
        <f>IFERROR(__xludf.DUMMYFUNCTION("""COMPUTED_VALUE"""),"achat014@uottawa.ca")</f>
        <v>achat014@uottawa.ca</v>
      </c>
      <c r="G381" s="2" t="str">
        <f>IFERROR(__xludf.DUMMYFUNCTION("""COMPUTED_VALUE"""),"0000-0001-9409-6194")</f>
        <v>0000-0001-9409-6194</v>
      </c>
    </row>
    <row r="382">
      <c r="A382" s="2" t="str">
        <f>IFERROR(__xludf.DUMMYFUNCTION("""COMPUTED_VALUE"""),"Ozgun")</f>
        <v>Ozgun</v>
      </c>
      <c r="B382" s="2" t="str">
        <f>IFERROR(__xludf.DUMMYFUNCTION("""COMPUTED_VALUE"""),"Alp")</f>
        <v>Alp</v>
      </c>
      <c r="C382" s="2" t="str">
        <f>IFERROR(__xludf.DUMMYFUNCTION("""COMPUTED_VALUE"""),"Key Personnel")</f>
        <v>Key Personnel</v>
      </c>
      <c r="D382" s="2" t="str">
        <f>IFERROR(__xludf.DUMMYFUNCTION("""COMPUTED_VALUE"""),"Schlossmacher")</f>
        <v>Schlossmacher</v>
      </c>
      <c r="E382" s="2" t="str">
        <f>IFERROR(__xludf.DUMMYFUNCTION("""COMPUTED_VALUE"""),"Postdoctoral Fellow")</f>
        <v>Postdoctoral Fellow</v>
      </c>
      <c r="F382" s="2" t="str">
        <f>IFERROR(__xludf.DUMMYFUNCTION("""COMPUTED_VALUE"""),"aozgun@ohri.ca")</f>
        <v>aozgun@ohri.ca</v>
      </c>
      <c r="G382" s="2" t="str">
        <f>IFERROR(__xludf.DUMMYFUNCTION("""COMPUTED_VALUE"""),"0000-0003-4815-5098")</f>
        <v>0000-0003-4815-5098</v>
      </c>
    </row>
    <row r="383">
      <c r="A383" s="2" t="str">
        <f>IFERROR(__xludf.DUMMYFUNCTION("""COMPUTED_VALUE"""),"Hake-Volling")</f>
        <v>Hake-Volling</v>
      </c>
      <c r="B383" s="2" t="str">
        <f>IFERROR(__xludf.DUMMYFUNCTION("""COMPUTED_VALUE"""),"Quinton")</f>
        <v>Quinton</v>
      </c>
      <c r="C383" s="2" t="str">
        <f>IFERROR(__xludf.DUMMYFUNCTION("""COMPUTED_VALUE"""),"Key Personnel")</f>
        <v>Key Personnel</v>
      </c>
      <c r="D383" s="2" t="str">
        <f>IFERROR(__xludf.DUMMYFUNCTION("""COMPUTED_VALUE"""),"Schlossmacher")</f>
        <v>Schlossmacher</v>
      </c>
      <c r="E383" s="2" t="str">
        <f>IFERROR(__xludf.DUMMYFUNCTION("""COMPUTED_VALUE"""),"Graduate Student")</f>
        <v>Graduate Student</v>
      </c>
      <c r="F383" s="2" t="str">
        <f>IFERROR(__xludf.DUMMYFUNCTION("""COMPUTED_VALUE"""),"qhake086@uottawa.ca")</f>
        <v>qhake086@uottawa.ca</v>
      </c>
      <c r="G383" s="2" t="str">
        <f>IFERROR(__xludf.DUMMYFUNCTION("""COMPUTED_VALUE"""),"0000-0001-6002-7684")</f>
        <v>0000-0001-6002-7684</v>
      </c>
    </row>
    <row r="384">
      <c r="A384" s="2" t="str">
        <f>IFERROR(__xludf.DUMMYFUNCTION("""COMPUTED_VALUE"""),"Part")</f>
        <v>Part</v>
      </c>
      <c r="B384" s="2" t="str">
        <f>IFERROR(__xludf.DUMMYFUNCTION("""COMPUTED_VALUE"""),"Caroline")</f>
        <v>Caroline</v>
      </c>
      <c r="C384" s="2" t="str">
        <f>IFERROR(__xludf.DUMMYFUNCTION("""COMPUTED_VALUE"""),"Key Personnel")</f>
        <v>Key Personnel</v>
      </c>
      <c r="D384" s="2" t="str">
        <f>IFERROR(__xludf.DUMMYFUNCTION("""COMPUTED_VALUE"""),"Rousseaux")</f>
        <v>Rousseaux</v>
      </c>
      <c r="E384" s="2" t="str">
        <f>IFERROR(__xludf.DUMMYFUNCTION("""COMPUTED_VALUE"""),"Graduate Student")</f>
        <v>Graduate Student</v>
      </c>
      <c r="F384" s="2" t="str">
        <f>IFERROR(__xludf.DUMMYFUNCTION("""COMPUTED_VALUE"""),"cpart@uottawa.ca")</f>
        <v>cpart@uottawa.ca</v>
      </c>
      <c r="G384" s="2" t="str">
        <f>IFERROR(__xludf.DUMMYFUNCTION("""COMPUTED_VALUE"""),"0009-0000-7039-3303")</f>
        <v>0009-0000-7039-3303</v>
      </c>
    </row>
    <row r="385">
      <c r="A385" s="2" t="str">
        <f>IFERROR(__xludf.DUMMYFUNCTION("""COMPUTED_VALUE"""),"Geertsma")</f>
        <v>Geertsma</v>
      </c>
      <c r="B385" s="2" t="str">
        <f>IFERROR(__xludf.DUMMYFUNCTION("""COMPUTED_VALUE"""),"Haley")</f>
        <v>Haley</v>
      </c>
      <c r="C385" s="2" t="str">
        <f>IFERROR(__xludf.DUMMYFUNCTION("""COMPUTED_VALUE"""),"Key Personnel")</f>
        <v>Key Personnel</v>
      </c>
      <c r="D385" s="2" t="str">
        <f>IFERROR(__xludf.DUMMYFUNCTION("""COMPUTED_VALUE"""),"Rousseaux")</f>
        <v>Rousseaux</v>
      </c>
      <c r="E385" s="2" t="str">
        <f>IFERROR(__xludf.DUMMYFUNCTION("""COMPUTED_VALUE"""),"Graduate Student")</f>
        <v>Graduate Student</v>
      </c>
      <c r="F385" s="2" t="str">
        <f>IFERROR(__xludf.DUMMYFUNCTION("""COMPUTED_VALUE"""),"hgeertsm@uottawa.ca")</f>
        <v>hgeertsm@uottawa.ca</v>
      </c>
      <c r="G385" s="2" t="str">
        <f>IFERROR(__xludf.DUMMYFUNCTION("""COMPUTED_VALUE"""),"0000-0003-2434-5057")</f>
        <v>0000-0003-2434-5057</v>
      </c>
    </row>
    <row r="386">
      <c r="A386" s="2" t="str">
        <f>IFERROR(__xludf.DUMMYFUNCTION("""COMPUTED_VALUE"""),"Gleason")</f>
        <v>Gleason</v>
      </c>
      <c r="B386" s="2" t="str">
        <f>IFERROR(__xludf.DUMMYFUNCTION("""COMPUTED_VALUE"""),"Adenrele")</f>
        <v>Adenrele</v>
      </c>
      <c r="C386" s="2" t="str">
        <f>IFERROR(__xludf.DUMMYFUNCTION("""COMPUTED_VALUE"""),"Key Personnel")</f>
        <v>Key Personnel</v>
      </c>
      <c r="D386" s="2" t="str">
        <f>IFERROR(__xludf.DUMMYFUNCTION("""COMPUTED_VALUE"""),"Sidransky")</f>
        <v>Sidransky</v>
      </c>
      <c r="E386" s="2" t="str">
        <f>IFERROR(__xludf.DUMMYFUNCTION("""COMPUTED_VALUE"""),"postdoc")</f>
        <v>postdoc</v>
      </c>
      <c r="F386" s="2" t="str">
        <f>IFERROR(__xludf.DUMMYFUNCTION("""COMPUTED_VALUE"""),"adenrele.gleason@nih.gov")</f>
        <v>adenrele.gleason@nih.gov</v>
      </c>
      <c r="G386" s="2" t="str">
        <f>IFERROR(__xludf.DUMMYFUNCTION("""COMPUTED_VALUE"""),"0000-0002-0972-7973")</f>
        <v>0000-0002-0972-7973</v>
      </c>
    </row>
    <row r="387">
      <c r="A387" s="2" t="str">
        <f>IFERROR(__xludf.DUMMYFUNCTION("""COMPUTED_VALUE"""),"Driller")</f>
        <v>Driller</v>
      </c>
      <c r="B387" s="2" t="str">
        <f>IFERROR(__xludf.DUMMYFUNCTION("""COMPUTED_VALUE"""),"Ronja")</f>
        <v>Ronja</v>
      </c>
      <c r="C387" s="2" t="str">
        <f>IFERROR(__xludf.DUMMYFUNCTION("""COMPUTED_VALUE"""),"Collaborating PI")</f>
        <v>Collaborating PI</v>
      </c>
      <c r="D387" s="2" t="str">
        <f>IFERROR(__xludf.DUMMYFUNCTION("""COMPUTED_VALUE"""),"Nissen")</f>
        <v>Nissen</v>
      </c>
      <c r="E387" s="2" t="str">
        <f>IFERROR(__xludf.DUMMYFUNCTION("""COMPUTED_VALUE"""),"postdoc")</f>
        <v>postdoc</v>
      </c>
      <c r="F387" s="2" t="str">
        <f>IFERROR(__xludf.DUMMYFUNCTION("""COMPUTED_VALUE"""),"rd@mbg.au.dk")</f>
        <v>rd@mbg.au.dk</v>
      </c>
      <c r="G387" s="2" t="str">
        <f>IFERROR(__xludf.DUMMYFUNCTION("""COMPUTED_VALUE"""),"0000-0001-8834-9087")</f>
        <v>0000-0001-8834-9087</v>
      </c>
    </row>
    <row r="388">
      <c r="A388" s="2" t="str">
        <f>IFERROR(__xludf.DUMMYFUNCTION("""COMPUTED_VALUE"""),"Parfitt")</f>
        <v>Parfitt</v>
      </c>
      <c r="B388" s="2" t="str">
        <f>IFERROR(__xludf.DUMMYFUNCTION("""COMPUTED_VALUE"""),"Gustavo ")</f>
        <v>Gustavo </v>
      </c>
      <c r="C388" s="2" t="str">
        <f>IFERROR(__xludf.DUMMYFUNCTION("""COMPUTED_VALUE"""),"Key Personnel")</f>
        <v>Key Personnel</v>
      </c>
      <c r="D388" s="2" t="str">
        <f>IFERROR(__xludf.DUMMYFUNCTION("""COMPUTED_VALUE"""),"Ahfeldt")</f>
        <v>Ahfeldt</v>
      </c>
      <c r="E388" s="2" t="str">
        <f>IFERROR(__xludf.DUMMYFUNCTION("""COMPUTED_VALUE"""),"postdoc")</f>
        <v>postdoc</v>
      </c>
      <c r="F388" s="2" t="str">
        <f>IFERROR(__xludf.DUMMYFUNCTION("""COMPUTED_VALUE"""),"gustavo.parfitt@mssm.edu")</f>
        <v>gustavo.parfitt@mssm.edu</v>
      </c>
      <c r="G388" s="2" t="str">
        <f>IFERROR(__xludf.DUMMYFUNCTION("""COMPUTED_VALUE"""),"0000-0003-0168-4099")</f>
        <v>0000-0003-0168-4099</v>
      </c>
    </row>
    <row r="389">
      <c r="A389" s="2" t="str">
        <f>IFERROR(__xludf.DUMMYFUNCTION("""COMPUTED_VALUE"""),"Sam")</f>
        <v>Sam</v>
      </c>
      <c r="B389" s="2" t="str">
        <f>IFERROR(__xludf.DUMMYFUNCTION("""COMPUTED_VALUE"""),"Richard")</f>
        <v>Richard</v>
      </c>
      <c r="C389" s="2" t="str">
        <f>IFERROR(__xludf.DUMMYFUNCTION("""COMPUTED_VALUE"""),"Key Personnel")</f>
        <v>Key Personnel</v>
      </c>
      <c r="D389" s="2" t="str">
        <f>IFERROR(__xludf.DUMMYFUNCTION("""COMPUTED_VALUE"""),"Sidransky")</f>
        <v>Sidransky</v>
      </c>
      <c r="E389" s="2" t="str">
        <f>IFERROR(__xludf.DUMMYFUNCTION("""COMPUTED_VALUE"""),"post bac")</f>
        <v>post bac</v>
      </c>
      <c r="F389" s="2" t="str">
        <f>IFERROR(__xludf.DUMMYFUNCTION("""COMPUTED_VALUE"""),"richard.sam@nih.gov")</f>
        <v>richard.sam@nih.gov</v>
      </c>
      <c r="G389" s="2" t="str">
        <f>IFERROR(__xludf.DUMMYFUNCTION("""COMPUTED_VALUE"""),"0000-0002-2107-0329")</f>
        <v>0000-0002-2107-0329</v>
      </c>
    </row>
    <row r="390">
      <c r="A390" s="2" t="str">
        <f>IFERROR(__xludf.DUMMYFUNCTION("""COMPUTED_VALUE"""),"Perez")</f>
        <v>Perez</v>
      </c>
      <c r="B390" s="2" t="str">
        <f>IFERROR(__xludf.DUMMYFUNCTION("""COMPUTED_VALUE"""),"Gani")</f>
        <v>Gani</v>
      </c>
      <c r="C390" s="2" t="str">
        <f>IFERROR(__xludf.DUMMYFUNCTION("""COMPUTED_VALUE"""),"Key Personnel")</f>
        <v>Key Personnel</v>
      </c>
      <c r="D390" s="2" t="str">
        <f>IFERROR(__xludf.DUMMYFUNCTION("""COMPUTED_VALUE"""),"Sidransky")</f>
        <v>Sidransky</v>
      </c>
      <c r="E390" s="2" t="str">
        <f>IFERROR(__xludf.DUMMYFUNCTION("""COMPUTED_VALUE"""),"student")</f>
        <v>student</v>
      </c>
      <c r="F390" s="2" t="str">
        <f>IFERROR(__xludf.DUMMYFUNCTION("""COMPUTED_VALUE"""),"gani.perez@nih.gov")</f>
        <v>gani.perez@nih.gov</v>
      </c>
      <c r="G390" s="2" t="str">
        <f>IFERROR(__xludf.DUMMYFUNCTION("""COMPUTED_VALUE"""),"0000-0002-9133-6057")</f>
        <v>0000-0002-9133-6057</v>
      </c>
    </row>
    <row r="391">
      <c r="A391" s="2" t="str">
        <f>IFERROR(__xludf.DUMMYFUNCTION("""COMPUTED_VALUE"""),"Jong")</f>
        <v>Jong</v>
      </c>
      <c r="B391" s="2" t="str">
        <f>IFERROR(__xludf.DUMMYFUNCTION("""COMPUTED_VALUE"""),"Tiffany")</f>
        <v>Tiffany</v>
      </c>
      <c r="C391" s="2" t="str">
        <f>IFERROR(__xludf.DUMMYFUNCTION("""COMPUTED_VALUE"""),"Key Personnel")</f>
        <v>Key Personnel</v>
      </c>
      <c r="D391" s="2" t="str">
        <f>IFERROR(__xludf.DUMMYFUNCTION("""COMPUTED_VALUE"""),"Sidransky")</f>
        <v>Sidransky</v>
      </c>
      <c r="E391" s="2" t="str">
        <f>IFERROR(__xludf.DUMMYFUNCTION("""COMPUTED_VALUE"""),"post bac fellow")</f>
        <v>post bac fellow</v>
      </c>
      <c r="F391" s="2" t="str">
        <f>IFERROR(__xludf.DUMMYFUNCTION("""COMPUTED_VALUE"""),"jongtt@nih.gov")</f>
        <v>jongtt@nih.gov</v>
      </c>
      <c r="G391" s="2" t="str">
        <f>IFERROR(__xludf.DUMMYFUNCTION("""COMPUTED_VALUE"""),"0000-0003-2277-4042")</f>
        <v>0000-0003-2277-4042</v>
      </c>
    </row>
    <row r="392">
      <c r="A392" s="2" t="str">
        <f>IFERROR(__xludf.DUMMYFUNCTION("""COMPUTED_VALUE"""),"R'Bibo")</f>
        <v>R'Bibo</v>
      </c>
      <c r="B392" s="2" t="str">
        <f>IFERROR(__xludf.DUMMYFUNCTION("""COMPUTED_VALUE"""),"Lea")</f>
        <v>Lea</v>
      </c>
      <c r="C392" s="2" t="str">
        <f>IFERROR(__xludf.DUMMYFUNCTION("""COMPUTED_VALUE"""),"Key Personnel")</f>
        <v>Key Personnel</v>
      </c>
      <c r="D392" s="2" t="str">
        <f>IFERROR(__xludf.DUMMYFUNCTION("""COMPUTED_VALUE"""),"Blanchard")</f>
        <v>Blanchard</v>
      </c>
      <c r="E392" s="2" t="str">
        <f>IFERROR(__xludf.DUMMYFUNCTION("""COMPUTED_VALUE"""),"post doc")</f>
        <v>post doc</v>
      </c>
      <c r="F392" s="2" t="str">
        <f>IFERROR(__xludf.DUMMYFUNCTION("""COMPUTED_VALUE"""),"lea.rbibo@mssm.edu")</f>
        <v>lea.rbibo@mssm.edu</v>
      </c>
      <c r="G392" s="2" t="str">
        <f>IFERROR(__xludf.DUMMYFUNCTION("""COMPUTED_VALUE"""),"0000-0001-6773-797X")</f>
        <v>0000-0001-6773-797X</v>
      </c>
    </row>
    <row r="393">
      <c r="A393" s="2" t="str">
        <f>IFERROR(__xludf.DUMMYFUNCTION("""COMPUTED_VALUE"""),"Houdou")</f>
        <v>Houdou</v>
      </c>
      <c r="B393" s="2" t="str">
        <f>IFERROR(__xludf.DUMMYFUNCTION("""COMPUTED_VALUE"""),"Marine")</f>
        <v>Marine</v>
      </c>
      <c r="C393" s="2" t="str">
        <f>IFERROR(__xludf.DUMMYFUNCTION("""COMPUTED_VALUE"""),"Key Personnel")</f>
        <v>Key Personnel</v>
      </c>
      <c r="D393" s="2" t="str">
        <f>IFERROR(__xludf.DUMMYFUNCTION("""COMPUTED_VALUE"""),"Vangheluwe")</f>
        <v>Vangheluwe</v>
      </c>
      <c r="E393" s="2" t="str">
        <f>IFERROR(__xludf.DUMMYFUNCTION("""COMPUTED_VALUE"""),"postdoc")</f>
        <v>postdoc</v>
      </c>
      <c r="F393" s="2" t="str">
        <f>IFERROR(__xludf.DUMMYFUNCTION("""COMPUTED_VALUE"""),"marine.houdou@kuleuven.be; marine.houdou@univ-lille.fr")</f>
        <v>marine.houdou@kuleuven.be; marine.houdou@univ-lille.fr</v>
      </c>
      <c r="G393" s="2" t="str">
        <f>IFERROR(__xludf.DUMMYFUNCTION("""COMPUTED_VALUE"""),"0000-0002-9766-3163")</f>
        <v>0000-0002-9766-3163</v>
      </c>
    </row>
    <row r="394">
      <c r="A394" s="2" t="str">
        <f>IFERROR(__xludf.DUMMYFUNCTION("""COMPUTED_VALUE"""),"Chen")</f>
        <v>Chen</v>
      </c>
      <c r="B394" s="2" t="str">
        <f>IFERROR(__xludf.DUMMYFUNCTION("""COMPUTED_VALUE"""),"Chase")</f>
        <v>Chase</v>
      </c>
      <c r="C394" s="2" t="str">
        <f>IFERROR(__xludf.DUMMYFUNCTION("""COMPUTED_VALUE"""),"Key Personnel")</f>
        <v>Key Personnel</v>
      </c>
      <c r="D394" s="2" t="str">
        <f>IFERROR(__xludf.DUMMYFUNCTION("""COMPUTED_VALUE"""),"Sidransky")</f>
        <v>Sidransky</v>
      </c>
      <c r="E394" s="2" t="str">
        <f>IFERROR(__xludf.DUMMYFUNCTION("""COMPUTED_VALUE"""),"post bac fellow")</f>
        <v>post bac fellow</v>
      </c>
      <c r="F394" s="2" t="str">
        <f>IFERROR(__xludf.DUMMYFUNCTION("""COMPUTED_VALUE"""),"chase.chen@nih.gov")</f>
        <v>chase.chen@nih.gov</v>
      </c>
      <c r="G394" s="2" t="str">
        <f>IFERROR(__xludf.DUMMYFUNCTION("""COMPUTED_VALUE"""),"0000-0003-1016-0844")</f>
        <v>0000-0003-1016-0844</v>
      </c>
    </row>
    <row r="395">
      <c r="A395" s="2" t="str">
        <f>IFERROR(__xludf.DUMMYFUNCTION("""COMPUTED_VALUE"""),"Wouters")</f>
        <v>Wouters</v>
      </c>
      <c r="B395" s="2" t="str">
        <f>IFERROR(__xludf.DUMMYFUNCTION("""COMPUTED_VALUE"""),"Rosanne")</f>
        <v>Rosanne</v>
      </c>
      <c r="C395" s="2" t="str">
        <f>IFERROR(__xludf.DUMMYFUNCTION("""COMPUTED_VALUE"""),"Key Personnel")</f>
        <v>Key Personnel</v>
      </c>
      <c r="D395" s="2" t="str">
        <f>IFERROR(__xludf.DUMMYFUNCTION("""COMPUTED_VALUE"""),"Vangheluwe")</f>
        <v>Vangheluwe</v>
      </c>
      <c r="E395" s="2" t="str">
        <f>IFERROR(__xludf.DUMMYFUNCTION("""COMPUTED_VALUE"""),"postdoc")</f>
        <v>postdoc</v>
      </c>
      <c r="F395" s="2" t="str">
        <f>IFERROR(__xludf.DUMMYFUNCTION("""COMPUTED_VALUE"""),"rosanne.wouters@kuleuven.be")</f>
        <v>rosanne.wouters@kuleuven.be</v>
      </c>
      <c r="G395" s="2" t="str">
        <f>IFERROR(__xludf.DUMMYFUNCTION("""COMPUTED_VALUE"""),"0000-0001-7398-0351")</f>
        <v>0000-0001-7398-0351</v>
      </c>
    </row>
    <row r="396">
      <c r="A396" s="2" t="str">
        <f>IFERROR(__xludf.DUMMYFUNCTION("""COMPUTED_VALUE"""),"Furderer")</f>
        <v>Furderer</v>
      </c>
      <c r="B396" s="2" t="str">
        <f>IFERROR(__xludf.DUMMYFUNCTION("""COMPUTED_VALUE"""),"Makaila")</f>
        <v>Makaila</v>
      </c>
      <c r="C396" s="2" t="str">
        <f>IFERROR(__xludf.DUMMYFUNCTION("""COMPUTED_VALUE"""),"Key Personnel")</f>
        <v>Key Personnel</v>
      </c>
      <c r="D396" s="2" t="str">
        <f>IFERROR(__xludf.DUMMYFUNCTION("""COMPUTED_VALUE"""),"Sidransky")</f>
        <v>Sidransky</v>
      </c>
      <c r="E396" s="2" t="str">
        <f>IFERROR(__xludf.DUMMYFUNCTION("""COMPUTED_VALUE"""),"grad student")</f>
        <v>grad student</v>
      </c>
      <c r="F396" s="2" t="str">
        <f>IFERROR(__xludf.DUMMYFUNCTION("""COMPUTED_VALUE"""),"kailafurderer@gmail.com")</f>
        <v>kailafurderer@gmail.com</v>
      </c>
      <c r="G396" s="2" t="str">
        <f>IFERROR(__xludf.DUMMYFUNCTION("""COMPUTED_VALUE"""),"0000-0002-4328-6657")</f>
        <v>0000-0002-4328-6657</v>
      </c>
    </row>
    <row r="397">
      <c r="A397" s="2" t="str">
        <f>IFERROR(__xludf.DUMMYFUNCTION("""COMPUTED_VALUE"""),"Schoonvliet")</f>
        <v>Schoonvliet</v>
      </c>
      <c r="B397" s="2" t="str">
        <f>IFERROR(__xludf.DUMMYFUNCTION("""COMPUTED_VALUE"""),"Nina")</f>
        <v>Nina</v>
      </c>
      <c r="C397" s="2" t="str">
        <f>IFERROR(__xludf.DUMMYFUNCTION("""COMPUTED_VALUE"""),"Key Personnel")</f>
        <v>Key Personnel</v>
      </c>
      <c r="D397" s="2" t="str">
        <f>IFERROR(__xludf.DUMMYFUNCTION("""COMPUTED_VALUE"""),"Vangheluwe")</f>
        <v>Vangheluwe</v>
      </c>
      <c r="E397" s="2" t="str">
        <f>IFERROR(__xludf.DUMMYFUNCTION("""COMPUTED_VALUE"""),"research associate")</f>
        <v>research associate</v>
      </c>
      <c r="F397" s="2" t="str">
        <f>IFERROR(__xludf.DUMMYFUNCTION("""COMPUTED_VALUE"""),"nina.schoonvliet@kuleuven.be")</f>
        <v>nina.schoonvliet@kuleuven.be</v>
      </c>
      <c r="G397" s="2" t="str">
        <f>IFERROR(__xludf.DUMMYFUNCTION("""COMPUTED_VALUE"""),"0009-0009-1510-202X")</f>
        <v>0009-0009-1510-202X</v>
      </c>
    </row>
    <row r="398">
      <c r="A398" s="2" t="str">
        <f>IFERROR(__xludf.DUMMYFUNCTION("""COMPUTED_VALUE"""),"Ahfeldt")</f>
        <v>Ahfeldt</v>
      </c>
      <c r="B398" s="2" t="str">
        <f>IFERROR(__xludf.DUMMYFUNCTION("""COMPUTED_VALUE"""),"Tim ")</f>
        <v>Tim </v>
      </c>
      <c r="C398" s="2" t="str">
        <f>IFERROR(__xludf.DUMMYFUNCTION("""COMPUTED_VALUE"""),"Collaborating PI")</f>
        <v>Collaborating PI</v>
      </c>
      <c r="D398" s="2"/>
      <c r="E398" s="2" t="str">
        <f>IFERROR(__xludf.DUMMYFUNCTION("""COMPUTED_VALUE"""),"PI")</f>
        <v>PI</v>
      </c>
      <c r="F398" s="2" t="str">
        <f>IFERROR(__xludf.DUMMYFUNCTION("""COMPUTED_VALUE"""),"tim.ahfeldt@mssm.edu")</f>
        <v>tim.ahfeldt@mssm.edu</v>
      </c>
      <c r="G398" s="2" t="str">
        <f>IFERROR(__xludf.DUMMYFUNCTION("""COMPUTED_VALUE"""),"0000-0001-6377-7376")</f>
        <v>0000-0001-6377-7376</v>
      </c>
    </row>
    <row r="399">
      <c r="A399" s="2" t="str">
        <f>IFERROR(__xludf.DUMMYFUNCTION("""COMPUTED_VALUE"""),"Nissen")</f>
        <v>Nissen</v>
      </c>
      <c r="B399" s="2" t="str">
        <f>IFERROR(__xludf.DUMMYFUNCTION("""COMPUTED_VALUE"""),"Poul")</f>
        <v>Poul</v>
      </c>
      <c r="C399" s="2" t="str">
        <f>IFERROR(__xludf.DUMMYFUNCTION("""COMPUTED_VALUE"""),"Collaborating PI")</f>
        <v>Collaborating PI</v>
      </c>
      <c r="D399" s="2" t="str">
        <f>IFERROR(__xludf.DUMMYFUNCTION("""COMPUTED_VALUE"""),"Nissen")</f>
        <v>Nissen</v>
      </c>
      <c r="E399" s="2" t="str">
        <f>IFERROR(__xludf.DUMMYFUNCTION("""COMPUTED_VALUE"""),"PI")</f>
        <v>PI</v>
      </c>
      <c r="F399" s="2" t="str">
        <f>IFERROR(__xludf.DUMMYFUNCTION("""COMPUTED_VALUE"""),"pn@mbg.au.dk")</f>
        <v>pn@mbg.au.dk</v>
      </c>
      <c r="G399" s="2" t="str">
        <f>IFERROR(__xludf.DUMMYFUNCTION("""COMPUTED_VALUE"""),"0000-0003-0948-6628")</f>
        <v>0000-0003-0948-6628</v>
      </c>
    </row>
    <row r="400">
      <c r="A400" s="2" t="str">
        <f>IFERROR(__xludf.DUMMYFUNCTION("""COMPUTED_VALUE"""),"Bentea")</f>
        <v>Bentea</v>
      </c>
      <c r="B400" s="2" t="str">
        <f>IFERROR(__xludf.DUMMYFUNCTION("""COMPUTED_VALUE"""),"Eduard")</f>
        <v>Eduard</v>
      </c>
      <c r="C400" s="2" t="str">
        <f>IFERROR(__xludf.DUMMYFUNCTION("""COMPUTED_VALUE"""),"Key Personnel")</f>
        <v>Key Personnel</v>
      </c>
      <c r="D400" s="2" t="str">
        <f>IFERROR(__xludf.DUMMYFUNCTION("""COMPUTED_VALUE"""),"Baekelandt")</f>
        <v>Baekelandt</v>
      </c>
      <c r="E400" s="2" t="str">
        <f>IFERROR(__xludf.DUMMYFUNCTION("""COMPUTED_VALUE"""),"postdoc")</f>
        <v>postdoc</v>
      </c>
      <c r="F400" s="2" t="str">
        <f>IFERROR(__xludf.DUMMYFUNCTION("""COMPUTED_VALUE"""),"eduard.bentea@kuleuven.be")</f>
        <v>eduard.bentea@kuleuven.be</v>
      </c>
      <c r="G400" s="2" t="str">
        <f>IFERROR(__xludf.DUMMYFUNCTION("""COMPUTED_VALUE"""),"0000-0003-2527-6997")</f>
        <v>0000-0003-2527-6997</v>
      </c>
    </row>
    <row r="401">
      <c r="A401" s="2" t="str">
        <f>IFERROR(__xludf.DUMMYFUNCTION("""COMPUTED_VALUE"""),"Chakrabarty")</f>
        <v>Chakrabarty</v>
      </c>
      <c r="B401" s="2" t="str">
        <f>IFERROR(__xludf.DUMMYFUNCTION("""COMPUTED_VALUE"""),"Suravi")</f>
        <v>Suravi</v>
      </c>
      <c r="C401" s="2" t="str">
        <f>IFERROR(__xludf.DUMMYFUNCTION("""COMPUTED_VALUE"""),"Key Personnel")</f>
        <v>Key Personnel</v>
      </c>
      <c r="D401" s="2" t="str">
        <f>IFERROR(__xludf.DUMMYFUNCTION("""COMPUTED_VALUE"""),"Vangheluwe")</f>
        <v>Vangheluwe</v>
      </c>
      <c r="E401" s="2" t="str">
        <f>IFERROR(__xludf.DUMMYFUNCTION("""COMPUTED_VALUE"""),"postdoc")</f>
        <v>postdoc</v>
      </c>
      <c r="F401" s="2" t="str">
        <f>IFERROR(__xludf.DUMMYFUNCTION("""COMPUTED_VALUE"""),"suravi.chakrabarty@kuleuven.be")</f>
        <v>suravi.chakrabarty@kuleuven.be</v>
      </c>
      <c r="G401" s="2" t="str">
        <f>IFERROR(__xludf.DUMMYFUNCTION("""COMPUTED_VALUE"""),"0000-0003-4327-8582")</f>
        <v>0000-0003-4327-8582</v>
      </c>
    </row>
    <row r="402">
      <c r="A402" s="2" t="str">
        <f>IFERROR(__xludf.DUMMYFUNCTION("""COMPUTED_VALUE"""),"Jacobs")</f>
        <v>Jacobs</v>
      </c>
      <c r="B402" s="2" t="str">
        <f>IFERROR(__xludf.DUMMYFUNCTION("""COMPUTED_VALUE"""),"Nathalie")</f>
        <v>Nathalie</v>
      </c>
      <c r="C402" s="2" t="str">
        <f>IFERROR(__xludf.DUMMYFUNCTION("""COMPUTED_VALUE"""),"Key Personnel")</f>
        <v>Key Personnel</v>
      </c>
      <c r="D402" s="2" t="str">
        <f>IFERROR(__xludf.DUMMYFUNCTION("""COMPUTED_VALUE"""),"Vangheluwe")</f>
        <v>Vangheluwe</v>
      </c>
      <c r="E402" s="2" t="str">
        <f>IFERROR(__xludf.DUMMYFUNCTION("""COMPUTED_VALUE"""),"research associate")</f>
        <v>research associate</v>
      </c>
      <c r="F402" s="2" t="str">
        <f>IFERROR(__xludf.DUMMYFUNCTION("""COMPUTED_VALUE"""),"nathalie.jacobs@kuleuven.be")</f>
        <v>nathalie.jacobs@kuleuven.be</v>
      </c>
      <c r="G402" s="2" t="str">
        <f>IFERROR(__xludf.DUMMYFUNCTION("""COMPUTED_VALUE"""),"0000-0003-2087-5720")</f>
        <v>0000-0003-2087-5720</v>
      </c>
    </row>
    <row r="403">
      <c r="A403" s="2" t="str">
        <f>IFERROR(__xludf.DUMMYFUNCTION("""COMPUTED_VALUE"""),"Carapinha Cascalho")</f>
        <v>Carapinha Cascalho</v>
      </c>
      <c r="B403" s="2" t="str">
        <f>IFERROR(__xludf.DUMMYFUNCTION("""COMPUTED_VALUE"""),"Ana Catarina")</f>
        <v>Ana Catarina</v>
      </c>
      <c r="C403" s="2" t="str">
        <f>IFERROR(__xludf.DUMMYFUNCTION("""COMPUTED_VALUE"""),"Key Personnel")</f>
        <v>Key Personnel</v>
      </c>
      <c r="D403" s="2" t="str">
        <f>IFERROR(__xludf.DUMMYFUNCTION("""COMPUTED_VALUE"""),"Vangheluwe")</f>
        <v>Vangheluwe</v>
      </c>
      <c r="E403" s="2" t="str">
        <f>IFERROR(__xludf.DUMMYFUNCTION("""COMPUTED_VALUE"""),"postdoc")</f>
        <v>postdoc</v>
      </c>
      <c r="F403" s="2" t="str">
        <f>IFERROR(__xludf.DUMMYFUNCTION("""COMPUTED_VALUE"""),"anacatarina.carapinhacascalho@kuleuven.be")</f>
        <v>anacatarina.carapinhacascalho@kuleuven.be</v>
      </c>
      <c r="G403" s="2" t="str">
        <f>IFERROR(__xludf.DUMMYFUNCTION("""COMPUTED_VALUE"""),"0000-0003-3534-9723")</f>
        <v>0000-0003-3534-9723</v>
      </c>
    </row>
    <row r="404">
      <c r="A404" s="2" t="str">
        <f>IFERROR(__xludf.DUMMYFUNCTION("""COMPUTED_VALUE"""),"Member")</f>
        <v>Member</v>
      </c>
      <c r="B404" s="2" t="str">
        <f>IFERROR(__xludf.DUMMYFUNCTION("""COMPUTED_VALUE"""),"Example")</f>
        <v>Example</v>
      </c>
      <c r="C404" s="2" t="str">
        <f>IFERROR(__xludf.DUMMYFUNCTION("""COMPUTED_VALUE"""),"Members Role")</f>
        <v>Members Role</v>
      </c>
      <c r="D404" s="2" t="str">
        <f>IFERROR(__xludf.DUMMYFUNCTION("""COMPUTED_VALUE"""),"Lab Name")</f>
        <v>Lab Name</v>
      </c>
      <c r="E404" s="2" t="str">
        <f>IFERROR(__xludf.DUMMYFUNCTION("""COMPUTED_VALUE"""),"Member's Lab Role")</f>
        <v>Member's Lab Role</v>
      </c>
      <c r="F404" s="2" t="str">
        <f>IFERROR(__xludf.DUMMYFUNCTION("""COMPUTED_VALUE"""),"member@example.edu")</f>
        <v>member@example.edu</v>
      </c>
      <c r="G404" s="2" t="str">
        <f>IFERROR(__xludf.DUMMYFUNCTION("""COMPUTED_VALUE"""),"123-4567-890-4311")</f>
        <v>123-4567-890-4311</v>
      </c>
    </row>
    <row r="405">
      <c r="A405" s="2" t="str">
        <f>IFERROR(__xludf.DUMMYFUNCTION("""COMPUTED_VALUE"""),"Hills")</f>
        <v>Hills</v>
      </c>
      <c r="B405" s="2" t="str">
        <f>IFERROR(__xludf.DUMMYFUNCTION("""COMPUTED_VALUE"""),"Stephanie")</f>
        <v>Stephanie</v>
      </c>
      <c r="C405" s="2" t="str">
        <f>IFERROR(__xludf.DUMMYFUNCTION("""COMPUTED_VALUE"""),"Key Personnel")</f>
        <v>Key Personnel</v>
      </c>
      <c r="D405" s="2" t="str">
        <f>IFERROR(__xludf.DUMMYFUNCTION("""COMPUTED_VALUE"""),"Schwerdt")</f>
        <v>Schwerdt</v>
      </c>
      <c r="E405" s="2"/>
      <c r="F405" s="2" t="str">
        <f>IFERROR(__xludf.DUMMYFUNCTION("""COMPUTED_VALUE"""),"STH83@pitt.edu")</f>
        <v>STH83@pitt.edu</v>
      </c>
      <c r="G405" s="2" t="str">
        <f>IFERROR(__xludf.DUMMYFUNCTION("""COMPUTED_VALUE"""),"0000-0003-0141-6959")</f>
        <v>0000-0003-0141-6959</v>
      </c>
    </row>
    <row r="406">
      <c r="A406" s="2" t="str">
        <f>IFERROR(__xludf.DUMMYFUNCTION("""COMPUTED_VALUE"""),"Lipski")</f>
        <v>Lipski</v>
      </c>
      <c r="B406" s="2" t="str">
        <f>IFERROR(__xludf.DUMMYFUNCTION("""COMPUTED_VALUE"""),"Witold")</f>
        <v>Witold</v>
      </c>
      <c r="C406" s="2" t="str">
        <f>IFERROR(__xludf.DUMMYFUNCTION("""COMPUTED_VALUE"""),"Key Personnel")</f>
        <v>Key Personnel</v>
      </c>
      <c r="D406" s="2" t="str">
        <f>IFERROR(__xludf.DUMMYFUNCTION("""COMPUTED_VALUE"""),"Turner")</f>
        <v>Turner</v>
      </c>
      <c r="E406" s="2" t="str">
        <f>IFERROR(__xludf.DUMMYFUNCTION("""COMPUTED_VALUE"""),"Research Assistant Professor")</f>
        <v>Research Assistant Professor</v>
      </c>
      <c r="F406" s="2" t="str">
        <f>IFERROR(__xludf.DUMMYFUNCTION("""COMPUTED_VALUE"""),"wjl3@pitt.edu")</f>
        <v>wjl3@pitt.edu</v>
      </c>
      <c r="G406" s="2" t="str">
        <f>IFERROR(__xludf.DUMMYFUNCTION("""COMPUTED_VALUE"""),"0000-0003-1499-6569")</f>
        <v>0000-0003-1499-6569</v>
      </c>
    </row>
    <row r="407">
      <c r="A407" s="2" t="str">
        <f>IFERROR(__xludf.DUMMYFUNCTION("""COMPUTED_VALUE"""),"Choi")</f>
        <v>Choi</v>
      </c>
      <c r="B407" s="2" t="str">
        <f>IFERROR(__xludf.DUMMYFUNCTION("""COMPUTED_VALUE"""),"Jiwon")</f>
        <v>Jiwon</v>
      </c>
      <c r="C407" s="2" t="str">
        <f>IFERROR(__xludf.DUMMYFUNCTION("""COMPUTED_VALUE"""),"Key Personnel")</f>
        <v>Key Personnel</v>
      </c>
      <c r="D407" s="2" t="str">
        <f>IFERROR(__xludf.DUMMYFUNCTION("""COMPUTED_VALUE"""),"Schwerdt")</f>
        <v>Schwerdt</v>
      </c>
      <c r="E407" s="2"/>
      <c r="F407" s="2" t="str">
        <f>IFERROR(__xludf.DUMMYFUNCTION("""COMPUTED_VALUE"""),"JIC175@pitt.edu")</f>
        <v>JIC175@pitt.edu</v>
      </c>
      <c r="G407" s="2" t="str">
        <f>IFERROR(__xludf.DUMMYFUNCTION("""COMPUTED_VALUE"""),"0000-0002-2801-7854")</f>
        <v>0000-0002-2801-7854</v>
      </c>
    </row>
    <row r="408">
      <c r="A408" s="2" t="str">
        <f>IFERROR(__xludf.DUMMYFUNCTION("""COMPUTED_VALUE"""),"He")</f>
        <v>He</v>
      </c>
      <c r="B408" s="2" t="str">
        <f>IFERROR(__xludf.DUMMYFUNCTION("""COMPUTED_VALUE"""),"Jing")</f>
        <v>Jing</v>
      </c>
      <c r="C408" s="2" t="str">
        <f>IFERROR(__xludf.DUMMYFUNCTION("""COMPUTED_VALUE"""),"Key Personnel")</f>
        <v>Key Personnel</v>
      </c>
      <c r="D408" s="2" t="str">
        <f>IFERROR(__xludf.DUMMYFUNCTION("""COMPUTED_VALUE"""),"Stauffer")</f>
        <v>Stauffer</v>
      </c>
      <c r="E408" s="2"/>
      <c r="F408" s="2" t="str">
        <f>IFERROR(__xludf.DUMMYFUNCTION("""COMPUTED_VALUE"""),"JIH118@pitt.edu")</f>
        <v>JIH118@pitt.edu</v>
      </c>
      <c r="G408" s="2" t="str">
        <f>IFERROR(__xludf.DUMMYFUNCTION("""COMPUTED_VALUE"""),"0000-0001-9034-8390")</f>
        <v>0000-0001-9034-8390</v>
      </c>
    </row>
    <row r="409">
      <c r="A409" s="2" t="str">
        <f>IFERROR(__xludf.DUMMYFUNCTION("""COMPUTED_VALUE"""),"Member")</f>
        <v>Member</v>
      </c>
      <c r="B409" s="2" t="str">
        <f>IFERROR(__xludf.DUMMYFUNCTION("""COMPUTED_VALUE"""),"Example")</f>
        <v>Example</v>
      </c>
      <c r="C409" s="2" t="str">
        <f>IFERROR(__xludf.DUMMYFUNCTION("""COMPUTED_VALUE"""),"Members Role")</f>
        <v>Members Role</v>
      </c>
      <c r="D409" s="2" t="str">
        <f>IFERROR(__xludf.DUMMYFUNCTION("""COMPUTED_VALUE"""),"Lab Name")</f>
        <v>Lab Name</v>
      </c>
      <c r="E409" s="2" t="str">
        <f>IFERROR(__xludf.DUMMYFUNCTION("""COMPUTED_VALUE"""),"Member's Lab Role")</f>
        <v>Member's Lab Role</v>
      </c>
      <c r="F409" s="2" t="str">
        <f>IFERROR(__xludf.DUMMYFUNCTION("""COMPUTED_VALUE"""),"member@example.edu")</f>
        <v>member@example.edu</v>
      </c>
      <c r="G409" s="2" t="str">
        <f>IFERROR(__xludf.DUMMYFUNCTION("""COMPUTED_VALUE"""),"123-4567-890-4311")</f>
        <v>123-4567-890-4311</v>
      </c>
    </row>
    <row r="410">
      <c r="A410" s="2" t="str">
        <f>IFERROR(__xludf.DUMMYFUNCTION("""COMPUTED_VALUE"""),"Tony")</f>
        <v>Tony</v>
      </c>
      <c r="B410" s="2" t="str">
        <f>IFERROR(__xludf.DUMMYFUNCTION("""COMPUTED_VALUE"""),"Hsiao")</f>
        <v>Hsiao</v>
      </c>
      <c r="C410" s="2" t="str">
        <f>IFERROR(__xludf.DUMMYFUNCTION("""COMPUTED_VALUE"""),"Collaborator")</f>
        <v>Collaborator</v>
      </c>
      <c r="D410" s="2" t="str">
        <f>IFERROR(__xludf.DUMMYFUNCTION("""COMPUTED_VALUE"""),"Halliday")</f>
        <v>Halliday</v>
      </c>
      <c r="E410" s="2" t="str">
        <f>IFERROR(__xludf.DUMMYFUNCTION("""COMPUTED_VALUE"""),"research associate")</f>
        <v>research associate</v>
      </c>
      <c r="F410" s="2" t="str">
        <f>IFERROR(__xludf.DUMMYFUNCTION("""COMPUTED_VALUE"""),"tony.hsiao@sydney.edu.au")</f>
        <v>tony.hsiao@sydney.edu.au</v>
      </c>
      <c r="G410" s="2" t="str">
        <f>IFERROR(__xludf.DUMMYFUNCTION("""COMPUTED_VALUE"""),"0000-0003-4933-0417")</f>
        <v>0000-0003-4933-0417</v>
      </c>
    </row>
    <row r="411">
      <c r="A411" s="2" t="str">
        <f>IFERROR(__xludf.DUMMYFUNCTION("""COMPUTED_VALUE"""),"Compte")</f>
        <v>Compte</v>
      </c>
      <c r="B411" s="2" t="str">
        <f>IFERROR(__xludf.DUMMYFUNCTION("""COMPUTED_VALUE"""),"Joan")</f>
        <v>Joan</v>
      </c>
      <c r="C411" s="2" t="str">
        <f>IFERROR(__xludf.DUMMYFUNCTION("""COMPUTED_VALUE"""),"Key personnel")</f>
        <v>Key personnel</v>
      </c>
      <c r="D411" s="2" t="str">
        <f>IFERROR(__xludf.DUMMYFUNCTION("""COMPUTED_VALUE"""),"Vila")</f>
        <v>Vila</v>
      </c>
      <c r="E411" s="2" t="str">
        <f>IFERROR(__xludf.DUMMYFUNCTION("""COMPUTED_VALUE"""),"PhD student")</f>
        <v>PhD student</v>
      </c>
      <c r="F411" s="2" t="str">
        <f>IFERROR(__xludf.DUMMYFUNCTION("""COMPUTED_VALUE"""),"joan.compte@vhir.org")</f>
        <v>joan.compte@vhir.org</v>
      </c>
      <c r="G411" s="2" t="str">
        <f>IFERROR(__xludf.DUMMYFUNCTION("""COMPUTED_VALUE"""),"0000-0001-5447-5122")</f>
        <v>0000-0001-5447-5122</v>
      </c>
    </row>
    <row r="412">
      <c r="A412" s="2" t="str">
        <f>IFERROR(__xludf.DUMMYFUNCTION("""COMPUTED_VALUE"""),"Reimann")</f>
        <v>Reimann</v>
      </c>
      <c r="B412" s="2" t="str">
        <f>IFERROR(__xludf.DUMMYFUNCTION("""COMPUTED_VALUE"""),"Melisa")</f>
        <v>Melisa</v>
      </c>
      <c r="C412" s="2" t="str">
        <f>IFERROR(__xludf.DUMMYFUNCTION("""COMPUTED_VALUE"""),"Key personnel")</f>
        <v>Key personnel</v>
      </c>
      <c r="D412" s="2" t="str">
        <f>IFERROR(__xludf.DUMMYFUNCTION("""COMPUTED_VALUE"""),"Prigge")</f>
        <v>Prigge</v>
      </c>
      <c r="E412" s="2" t="str">
        <f>IFERROR(__xludf.DUMMYFUNCTION("""COMPUTED_VALUE"""),"Technical assistant")</f>
        <v>Technical assistant</v>
      </c>
      <c r="F412" s="2" t="str">
        <f>IFERROR(__xludf.DUMMYFUNCTION("""COMPUTED_VALUE"""),"melissareimann10@gmail.com")</f>
        <v>melissareimann10@gmail.com</v>
      </c>
      <c r="G412" s="2"/>
    </row>
    <row r="413">
      <c r="A413" s="2" t="str">
        <f>IFERROR(__xludf.DUMMYFUNCTION("""COMPUTED_VALUE"""),"Fajardo-Serrano")</f>
        <v>Fajardo-Serrano</v>
      </c>
      <c r="B413" s="2" t="str">
        <f>IFERROR(__xludf.DUMMYFUNCTION("""COMPUTED_VALUE"""),"Ana")</f>
        <v>Ana</v>
      </c>
      <c r="C413" s="2" t="str">
        <f>IFERROR(__xludf.DUMMYFUNCTION("""COMPUTED_VALUE"""),"Key personnel Lanciego")</f>
        <v>Key personnel Lanciego</v>
      </c>
      <c r="D413" s="2" t="str">
        <f>IFERROR(__xludf.DUMMYFUNCTION("""COMPUTED_VALUE"""),"Lanciego")</f>
        <v>Lanciego</v>
      </c>
      <c r="E413" s="2" t="str">
        <f>IFERROR(__xludf.DUMMYFUNCTION("""COMPUTED_VALUE"""),"Postdoctoral")</f>
        <v>Postdoctoral</v>
      </c>
      <c r="F413" s="2" t="str">
        <f>IFERROR(__xludf.DUMMYFUNCTION("""COMPUTED_VALUE"""),"fajardo.serrano@gmail.com")</f>
        <v>fajardo.serrano@gmail.com</v>
      </c>
      <c r="G413" s="2" t="str">
        <f>IFERROR(__xludf.DUMMYFUNCTION("""COMPUTED_VALUE"""),"0000-0003-0645-8808")</f>
        <v>0000-0003-0645-8808</v>
      </c>
    </row>
    <row r="414">
      <c r="A414" s="2" t="str">
        <f>IFERROR(__xludf.DUMMYFUNCTION("""COMPUTED_VALUE"""),"Contreras Santander")</f>
        <v>Contreras Santander</v>
      </c>
      <c r="B414" s="2" t="str">
        <f>IFERROR(__xludf.DUMMYFUNCTION("""COMPUTED_VALUE"""),"Maria-Paz")</f>
        <v>Maria-Paz</v>
      </c>
      <c r="C414" s="2" t="str">
        <f>IFERROR(__xludf.DUMMYFUNCTION("""COMPUTED_VALUE"""),"Key personnel")</f>
        <v>Key personnel</v>
      </c>
      <c r="D414" s="2" t="str">
        <f>IFERROR(__xludf.DUMMYFUNCTION("""COMPUTED_VALUE"""),"Prigge")</f>
        <v>Prigge</v>
      </c>
      <c r="E414" s="2" t="str">
        <f>IFERROR(__xludf.DUMMYFUNCTION("""COMPUTED_VALUE"""),"Postdoctoral")</f>
        <v>Postdoctoral</v>
      </c>
      <c r="F414" s="2" t="str">
        <f>IFERROR(__xludf.DUMMYFUNCTION("""COMPUTED_VALUE"""),"mariapaz.contreras.santander@gmail.com")</f>
        <v>mariapaz.contreras.santander@gmail.com</v>
      </c>
      <c r="G414" s="2" t="str">
        <f>IFERROR(__xludf.DUMMYFUNCTION("""COMPUTED_VALUE"""),"0000-0003-4296-3377")</f>
        <v>0000-0003-4296-3377</v>
      </c>
    </row>
    <row r="415">
      <c r="A415" s="2" t="str">
        <f>IFERROR(__xludf.DUMMYFUNCTION("""COMPUTED_VALUE"""),"Duran")</f>
        <v>Duran</v>
      </c>
      <c r="B415" s="2" t="str">
        <f>IFERROR(__xludf.DUMMYFUNCTION("""COMPUTED_VALUE"""),"Ernesto")</f>
        <v>Ernesto</v>
      </c>
      <c r="C415" s="2" t="str">
        <f>IFERROR(__xludf.DUMMYFUNCTION("""COMPUTED_VALUE"""),"Key personnel")</f>
        <v>Key personnel</v>
      </c>
      <c r="D415" s="2" t="str">
        <f>IFERROR(__xludf.DUMMYFUNCTION("""COMPUTED_VALUE"""),"Prigge")</f>
        <v>Prigge</v>
      </c>
      <c r="E415" s="2" t="str">
        <f>IFERROR(__xludf.DUMMYFUNCTION("""COMPUTED_VALUE"""),"Postdoctoral")</f>
        <v>Postdoctoral</v>
      </c>
      <c r="F415" s="2" t="str">
        <f>IFERROR(__xludf.DUMMYFUNCTION("""COMPUTED_VALUE"""),"ernestoduran.r@gmail.com")</f>
        <v>ernestoduran.r@gmail.com</v>
      </c>
      <c r="G415" s="2" t="str">
        <f>IFERROR(__xludf.DUMMYFUNCTION("""COMPUTED_VALUE"""),"0000-0002-3633-1691")</f>
        <v>0000-0002-3633-1691</v>
      </c>
    </row>
    <row r="416">
      <c r="A416" s="2" t="str">
        <f>IFERROR(__xludf.DUMMYFUNCTION("""COMPUTED_VALUE"""),"Peñuelas")</f>
        <v>Peñuelas</v>
      </c>
      <c r="B416" s="2" t="str">
        <f>IFERROR(__xludf.DUMMYFUNCTION("""COMPUTED_VALUE"""),"Núria")</f>
        <v>Núria</v>
      </c>
      <c r="C416" s="2" t="str">
        <f>IFERROR(__xludf.DUMMYFUNCTION("""COMPUTED_VALUE"""),"Key personnel")</f>
        <v>Key personnel</v>
      </c>
      <c r="D416" s="2" t="str">
        <f>IFERROR(__xludf.DUMMYFUNCTION("""COMPUTED_VALUE"""),"Vila")</f>
        <v>Vila</v>
      </c>
      <c r="E416" s="2" t="str">
        <f>IFERROR(__xludf.DUMMYFUNCTION("""COMPUTED_VALUE"""),"PhD student")</f>
        <v>PhD student</v>
      </c>
      <c r="F416" s="2" t="str">
        <f>IFERROR(__xludf.DUMMYFUNCTION("""COMPUTED_VALUE"""),"nuria.penuelas@vhir.org")</f>
        <v>nuria.penuelas@vhir.org</v>
      </c>
      <c r="G416" s="2" t="str">
        <f>IFERROR(__xludf.DUMMYFUNCTION("""COMPUTED_VALUE"""),"0000-0001-6443-9790")</f>
        <v>0000-0001-6443-9790</v>
      </c>
    </row>
    <row r="417">
      <c r="A417" s="2" t="str">
        <f>IFERROR(__xludf.DUMMYFUNCTION("""COMPUTED_VALUE"""),"Joy")</f>
        <v>Joy</v>
      </c>
      <c r="B417" s="2" t="str">
        <f>IFERROR(__xludf.DUMMYFUNCTION("""COMPUTED_VALUE"""),"Ismail")</f>
        <v>Ismail</v>
      </c>
      <c r="C417" s="2" t="str">
        <f>IFERROR(__xludf.DUMMYFUNCTION("""COMPUTED_VALUE"""),"Key Personnel")</f>
        <v>Key Personnel</v>
      </c>
      <c r="D417" s="2" t="str">
        <f>IFERROR(__xludf.DUMMYFUNCTION("""COMPUTED_VALUE"""),"Aerts")</f>
        <v>Aerts</v>
      </c>
      <c r="E417" s="2" t="str">
        <f>IFERROR(__xludf.DUMMYFUNCTION("""COMPUTED_VALUE"""),"Postdoc")</f>
        <v>Postdoc</v>
      </c>
      <c r="F417" s="2" t="str">
        <f>IFERROR(__xludf.DUMMYFUNCTION("""COMPUTED_VALUE"""),"Joy.ismail@kuleuven.be")</f>
        <v>Joy.ismail@kuleuven.be</v>
      </c>
      <c r="G417" s="2" t="str">
        <f>IFERROR(__xludf.DUMMYFUNCTION("""COMPUTED_VALUE"""),"0000-0002-7128-7040")</f>
        <v>0000-0002-7128-7040</v>
      </c>
    </row>
    <row r="418">
      <c r="A418" s="2" t="str">
        <f>IFERROR(__xludf.DUMMYFUNCTION("""COMPUTED_VALUE""")," Flerin")</f>
        <v> Flerin</v>
      </c>
      <c r="B418" s="2" t="str">
        <f>IFERROR(__xludf.DUMMYFUNCTION("""COMPUTED_VALUE"""),"Christopher")</f>
        <v>Christopher</v>
      </c>
      <c r="C418" s="2" t="str">
        <f>IFERROR(__xludf.DUMMYFUNCTION("""COMPUTED_VALUE"""),"Key Personnel")</f>
        <v>Key Personnel</v>
      </c>
      <c r="D418" s="2" t="str">
        <f>IFERROR(__xludf.DUMMYFUNCTION("""COMPUTED_VALUE"""),"Aerts")</f>
        <v>Aerts</v>
      </c>
      <c r="E418" s="2" t="str">
        <f>IFERROR(__xludf.DUMMYFUNCTION("""COMPUTED_VALUE"""),"Postdoc")</f>
        <v>Postdoc</v>
      </c>
      <c r="F418" s="2" t="str">
        <f>IFERROR(__xludf.DUMMYFUNCTION("""COMPUTED_VALUE"""),"christopher.flerin@kuleuven.vib.be")</f>
        <v>christopher.flerin@kuleuven.vib.be</v>
      </c>
      <c r="G418" s="2" t="str">
        <f>IFERROR(__xludf.DUMMYFUNCTION("""COMPUTED_VALUE"""),"0000-0003-1883-871X")</f>
        <v>0000-0003-1883-871X</v>
      </c>
    </row>
    <row r="419">
      <c r="A419" s="2" t="str">
        <f>IFERROR(__xludf.DUMMYFUNCTION("""COMPUTED_VALUE"""),"Che")</f>
        <v>Che</v>
      </c>
      <c r="B419" s="2" t="str">
        <f>IFERROR(__xludf.DUMMYFUNCTION("""COMPUTED_VALUE"""),"Huiwen ")</f>
        <v>Huiwen </v>
      </c>
      <c r="C419" s="2" t="str">
        <f>IFERROR(__xludf.DUMMYFUNCTION("""COMPUTED_VALUE"""),"Key Personnel")</f>
        <v>Key Personnel</v>
      </c>
      <c r="D419" s="2" t="str">
        <f>IFERROR(__xludf.DUMMYFUNCTION("""COMPUTED_VALUE"""),"Thienpont")</f>
        <v>Thienpont</v>
      </c>
      <c r="E419" s="2" t="str">
        <f>IFERROR(__xludf.DUMMYFUNCTION("""COMPUTED_VALUE"""),"Postdoc")</f>
        <v>Postdoc</v>
      </c>
      <c r="F419" s="2" t="str">
        <f>IFERROR(__xludf.DUMMYFUNCTION("""COMPUTED_VALUE"""),"huiwen.che@kuleuven.be")</f>
        <v>huiwen.che@kuleuven.be</v>
      </c>
      <c r="G419" s="2" t="str">
        <f>IFERROR(__xludf.DUMMYFUNCTION("""COMPUTED_VALUE"""),"0000-0002-3651-069X")</f>
        <v>0000-0002-3651-069X</v>
      </c>
    </row>
    <row r="420">
      <c r="A420" s="2" t="str">
        <f>IFERROR(__xludf.DUMMYFUNCTION("""COMPUTED_VALUE"""),"Maes")</f>
        <v>Maes</v>
      </c>
      <c r="B420" s="2" t="str">
        <f>IFERROR(__xludf.DUMMYFUNCTION("""COMPUTED_VALUE"""),"Gregory")</f>
        <v>Gregory</v>
      </c>
      <c r="C420" s="2" t="str">
        <f>IFERROR(__xludf.DUMMYFUNCTION("""COMPUTED_VALUE"""),"Key Personnel")</f>
        <v>Key Personnel</v>
      </c>
      <c r="D420" s="2" t="str">
        <f>IFERROR(__xludf.DUMMYFUNCTION("""COMPUTED_VALUE"""),"Voet")</f>
        <v>Voet</v>
      </c>
      <c r="E420" s="2" t="str">
        <f>IFERROR(__xludf.DUMMYFUNCTION("""COMPUTED_VALUE"""),"Innovation Manager")</f>
        <v>Innovation Manager</v>
      </c>
      <c r="F420" s="2" t="str">
        <f>IFERROR(__xludf.DUMMYFUNCTION("""COMPUTED_VALUE"""),"gregory.maes@kuleuven.be")</f>
        <v>gregory.maes@kuleuven.be</v>
      </c>
      <c r="G420" s="2" t="str">
        <f>IFERROR(__xludf.DUMMYFUNCTION("""COMPUTED_VALUE"""),"0000-0002-1531-7321")</f>
        <v>0000-0002-1531-7321</v>
      </c>
    </row>
    <row r="421">
      <c r="A421" s="2" t="str">
        <f>IFERROR(__xludf.DUMMYFUNCTION("""COMPUTED_VALUE"""),"Delfini")</f>
        <v>Delfini</v>
      </c>
      <c r="B421" s="2" t="str">
        <f>IFERROR(__xludf.DUMMYFUNCTION("""COMPUTED_VALUE"""),"Marcello")</f>
        <v>Marcello</v>
      </c>
      <c r="C421" s="2" t="str">
        <f>IFERROR(__xludf.DUMMYFUNCTION("""COMPUTED_VALUE"""),"Key Personnel")</f>
        <v>Key Personnel</v>
      </c>
      <c r="D421" s="2" t="str">
        <f>IFERROR(__xludf.DUMMYFUNCTION("""COMPUTED_VALUE"""),"Boeckxstaens")</f>
        <v>Boeckxstaens</v>
      </c>
      <c r="E421" s="2" t="str">
        <f>IFERROR(__xludf.DUMMYFUNCTION("""COMPUTED_VALUE"""),"Postdoc")</f>
        <v>Postdoc</v>
      </c>
      <c r="F421" s="2" t="str">
        <f>IFERROR(__xludf.DUMMYFUNCTION("""COMPUTED_VALUE"""),"marcello.delfini@kuleuven.be")</f>
        <v>marcello.delfini@kuleuven.be</v>
      </c>
      <c r="G421" s="2" t="str">
        <f>IFERROR(__xludf.DUMMYFUNCTION("""COMPUTED_VALUE"""),"0000-0003-0342-5445")</f>
        <v>0000-0003-0342-5445</v>
      </c>
    </row>
    <row r="422">
      <c r="A422" s="2" t="str">
        <f>IFERROR(__xludf.DUMMYFUNCTION("""COMPUTED_VALUE"""),"Vlachos")</f>
        <v>Vlachos</v>
      </c>
      <c r="B422" s="2" t="str">
        <f>IFERROR(__xludf.DUMMYFUNCTION("""COMPUTED_VALUE"""),"Christos ")</f>
        <v>Christos </v>
      </c>
      <c r="C422" s="2" t="str">
        <f>IFERROR(__xludf.DUMMYFUNCTION("""COMPUTED_VALUE"""),"Key Personnel")</f>
        <v>Key Personnel</v>
      </c>
      <c r="D422" s="2" t="str">
        <f>IFERROR(__xludf.DUMMYFUNCTION("""COMPUTED_VALUE"""),"Voet")</f>
        <v>Voet</v>
      </c>
      <c r="E422" s="2" t="str">
        <f>IFERROR(__xludf.DUMMYFUNCTION("""COMPUTED_VALUE"""),"Postdoc")</f>
        <v>Postdoc</v>
      </c>
      <c r="F422" s="2" t="str">
        <f>IFERROR(__xludf.DUMMYFUNCTION("""COMPUTED_VALUE"""),"christos.vlachos@kuleuven.be")</f>
        <v>christos.vlachos@kuleuven.be</v>
      </c>
      <c r="G422" s="2" t="str">
        <f>IFERROR(__xludf.DUMMYFUNCTION("""COMPUTED_VALUE"""),"0000-0002-9132-2878")</f>
        <v>0000-0002-9132-2878</v>
      </c>
    </row>
    <row r="423">
      <c r="A423" s="2" t="str">
        <f>IFERROR(__xludf.DUMMYFUNCTION("""COMPUTED_VALUE"""),"De Rop")</f>
        <v>De Rop</v>
      </c>
      <c r="B423" s="2" t="str">
        <f>IFERROR(__xludf.DUMMYFUNCTION("""COMPUTED_VALUE"""),"Florian")</f>
        <v>Florian</v>
      </c>
      <c r="C423" s="2" t="str">
        <f>IFERROR(__xludf.DUMMYFUNCTION("""COMPUTED_VALUE"""),"Key Personnel")</f>
        <v>Key Personnel</v>
      </c>
      <c r="D423" s="2" t="str">
        <f>IFERROR(__xludf.DUMMYFUNCTION("""COMPUTED_VALUE"""),"Aerts")</f>
        <v>Aerts</v>
      </c>
      <c r="E423" s="2" t="str">
        <f>IFERROR(__xludf.DUMMYFUNCTION("""COMPUTED_VALUE"""),"PhD student")</f>
        <v>PhD student</v>
      </c>
      <c r="F423" s="2" t="str">
        <f>IFERROR(__xludf.DUMMYFUNCTION("""COMPUTED_VALUE"""),"florian.derop@kuleuven.vib.be")</f>
        <v>florian.derop@kuleuven.vib.be</v>
      </c>
      <c r="G423" s="2" t="str">
        <f>IFERROR(__xludf.DUMMYFUNCTION("""COMPUTED_VALUE"""),"0000-0001-5241-924X")</f>
        <v>0000-0001-5241-924X</v>
      </c>
    </row>
    <row r="424">
      <c r="A424" s="2" t="str">
        <f>IFERROR(__xludf.DUMMYFUNCTION("""COMPUTED_VALUE"""),"Vanuytven")</f>
        <v>Vanuytven</v>
      </c>
      <c r="B424" s="2" t="str">
        <f>IFERROR(__xludf.DUMMYFUNCTION("""COMPUTED_VALUE"""),"Sebastiaan")</f>
        <v>Sebastiaan</v>
      </c>
      <c r="C424" s="2" t="str">
        <f>IFERROR(__xludf.DUMMYFUNCTION("""COMPUTED_VALUE"""),"Key Personnel")</f>
        <v>Key Personnel</v>
      </c>
      <c r="D424" s="2" t="str">
        <f>IFERROR(__xludf.DUMMYFUNCTION("""COMPUTED_VALUE"""),"Voet")</f>
        <v>Voet</v>
      </c>
      <c r="E424" s="2" t="str">
        <f>IFERROR(__xludf.DUMMYFUNCTION("""COMPUTED_VALUE"""),"PhD student")</f>
        <v>PhD student</v>
      </c>
      <c r="F424" s="2" t="str">
        <f>IFERROR(__xludf.DUMMYFUNCTION("""COMPUTED_VALUE"""),"sebastiaan.vanuytven@kuleuven.be")</f>
        <v>sebastiaan.vanuytven@kuleuven.be</v>
      </c>
      <c r="G424" s="2" t="str">
        <f>IFERROR(__xludf.DUMMYFUNCTION("""COMPUTED_VALUE"""),"0000-0001-6723-0132")</f>
        <v>0000-0001-6723-0132</v>
      </c>
    </row>
    <row r="425">
      <c r="A425" s="2" t="str">
        <f>IFERROR(__xludf.DUMMYFUNCTION("""COMPUTED_VALUE"""),"Foroozandeh")</f>
        <v>Foroozandeh</v>
      </c>
      <c r="B425" s="2" t="str">
        <f>IFERROR(__xludf.DUMMYFUNCTION("""COMPUTED_VALUE"""),"Joyce")</f>
        <v>Joyce</v>
      </c>
      <c r="C425" s="2" t="str">
        <f>IFERROR(__xludf.DUMMYFUNCTION("""COMPUTED_VALUE"""),"Key Personnel")</f>
        <v>Key Personnel</v>
      </c>
      <c r="D425" s="2" t="str">
        <f>IFERROR(__xludf.DUMMYFUNCTION("""COMPUTED_VALUE"""),"Verstreken")</f>
        <v>Verstreken</v>
      </c>
      <c r="E425" s="2" t="str">
        <f>IFERROR(__xludf.DUMMYFUNCTION("""COMPUTED_VALUE"""),"PhD student")</f>
        <v>PhD student</v>
      </c>
      <c r="F425" s="2" t="str">
        <f>IFERROR(__xludf.DUMMYFUNCTION("""COMPUTED_VALUE"""),"joyce.foroozandeh@kuleuven.be")</f>
        <v>joyce.foroozandeh@kuleuven.be</v>
      </c>
      <c r="G425" s="2" t="str">
        <f>IFERROR(__xludf.DUMMYFUNCTION("""COMPUTED_VALUE"""),"0000-0003-4591-9259")</f>
        <v>0000-0003-4591-9259</v>
      </c>
    </row>
    <row r="426">
      <c r="A426" s="2" t="str">
        <f>IFERROR(__xludf.DUMMYFUNCTION("""COMPUTED_VALUE"""),"Praschberger")</f>
        <v>Praschberger</v>
      </c>
      <c r="B426" s="2" t="str">
        <f>IFERROR(__xludf.DUMMYFUNCTION("""COMPUTED_VALUE"""),"Roman ")</f>
        <v>Roman </v>
      </c>
      <c r="C426" s="2" t="str">
        <f>IFERROR(__xludf.DUMMYFUNCTION("""COMPUTED_VALUE"""),"Key Personnel")</f>
        <v>Key Personnel</v>
      </c>
      <c r="D426" s="2" t="str">
        <f>IFERROR(__xludf.DUMMYFUNCTION("""COMPUTED_VALUE"""),"Verstreken")</f>
        <v>Verstreken</v>
      </c>
      <c r="E426" s="2" t="str">
        <f>IFERROR(__xludf.DUMMYFUNCTION("""COMPUTED_VALUE"""),"Postdoc")</f>
        <v>Postdoc</v>
      </c>
      <c r="F426" s="2" t="str">
        <f>IFERROR(__xludf.DUMMYFUNCTION("""COMPUTED_VALUE"""),"roman.praschberger@kuleuven.be")</f>
        <v>roman.praschberger@kuleuven.be</v>
      </c>
      <c r="G426" s="2" t="str">
        <f>IFERROR(__xludf.DUMMYFUNCTION("""COMPUTED_VALUE"""),"0000-0001-7162-2403")</f>
        <v>0000-0001-7162-2403</v>
      </c>
    </row>
    <row r="427">
      <c r="A427" s="2" t="str">
        <f>IFERROR(__xludf.DUMMYFUNCTION("""COMPUTED_VALUE"""),"Kang")</f>
        <v>Kang</v>
      </c>
      <c r="B427" s="2" t="str">
        <f>IFERROR(__xludf.DUMMYFUNCTION("""COMPUTED_VALUE"""),"Yi-Ning")</f>
        <v>Yi-Ning</v>
      </c>
      <c r="C427" s="2" t="str">
        <f>IFERROR(__xludf.DUMMYFUNCTION("""COMPUTED_VALUE"""),"Key Personnel")</f>
        <v>Key Personnel</v>
      </c>
      <c r="D427" s="2" t="str">
        <f>IFERROR(__xludf.DUMMYFUNCTION("""COMPUTED_VALUE"""),"Boeckxstaens")</f>
        <v>Boeckxstaens</v>
      </c>
      <c r="E427" s="2" t="str">
        <f>IFERROR(__xludf.DUMMYFUNCTION("""COMPUTED_VALUE"""),"PhD student")</f>
        <v>PhD student</v>
      </c>
      <c r="F427" s="2" t="str">
        <f>IFERROR(__xludf.DUMMYFUNCTION("""COMPUTED_VALUE"""),"YiNing.Kang@kuleuven.be")</f>
        <v>YiNing.Kang@kuleuven.be</v>
      </c>
      <c r="G427" s="2" t="str">
        <f>IFERROR(__xludf.DUMMYFUNCTION("""COMPUTED_VALUE"""),"0000-0002-7350-3106")</f>
        <v>0000-0002-7350-3106</v>
      </c>
    </row>
    <row r="428">
      <c r="A428" s="2" t="str">
        <f>IFERROR(__xludf.DUMMYFUNCTION("""COMPUTED_VALUE"""),"Zhao")</f>
        <v>Zhao</v>
      </c>
      <c r="B428" s="2" t="str">
        <f>IFERROR(__xludf.DUMMYFUNCTION("""COMPUTED_VALUE"""),"Liyun")</f>
        <v>Liyun</v>
      </c>
      <c r="C428" s="2" t="str">
        <f>IFERROR(__xludf.DUMMYFUNCTION("""COMPUTED_VALUE"""),"Key Personnel")</f>
        <v>Key Personnel</v>
      </c>
      <c r="D428" s="2" t="str">
        <f>IFERROR(__xludf.DUMMYFUNCTION("""COMPUTED_VALUE"""),"Thienpont")</f>
        <v>Thienpont</v>
      </c>
      <c r="E428" s="2" t="str">
        <f>IFERROR(__xludf.DUMMYFUNCTION("""COMPUTED_VALUE"""),"PhD student")</f>
        <v>PhD student</v>
      </c>
      <c r="F428" s="2" t="str">
        <f>IFERROR(__xludf.DUMMYFUNCTION("""COMPUTED_VALUE"""),"liyun.zhao@kuleuven.be")</f>
        <v>liyun.zhao@kuleuven.be</v>
      </c>
      <c r="G428" s="2" t="str">
        <f>IFERROR(__xludf.DUMMYFUNCTION("""COMPUTED_VALUE"""),"0000-0002-5505-3711")</f>
        <v>0000-0002-5505-3711</v>
      </c>
    </row>
    <row r="429">
      <c r="A429" s="2" t="str">
        <f>IFERROR(__xludf.DUMMYFUNCTION("""COMPUTED_VALUE"""),"Emili Garcia-Segura")</f>
        <v>Emili Garcia-Segura</v>
      </c>
      <c r="B429" s="2" t="str">
        <f>IFERROR(__xludf.DUMMYFUNCTION("""COMPUTED_VALUE"""),"Monica")</f>
        <v>Monica</v>
      </c>
      <c r="C429" s="2" t="str">
        <f>IFERROR(__xludf.DUMMYFUNCTION("""COMPUTED_VALUE"""),"Key Personnel")</f>
        <v>Key Personnel</v>
      </c>
      <c r="D429" s="2" t="str">
        <f>IFERROR(__xludf.DUMMYFUNCTION("""COMPUTED_VALUE"""),"Proukakis")</f>
        <v>Proukakis</v>
      </c>
      <c r="E429" s="2" t="str">
        <f>IFERROR(__xludf.DUMMYFUNCTION("""COMPUTED_VALUE"""),"Research assistant")</f>
        <v>Research assistant</v>
      </c>
      <c r="F429" s="2" t="str">
        <f>IFERROR(__xludf.DUMMYFUNCTION("""COMPUTED_VALUE"""),"m.garcia-segura@ucl.ac.uk")</f>
        <v>m.garcia-segura@ucl.ac.uk</v>
      </c>
      <c r="G429" s="2" t="str">
        <f>IFERROR(__xludf.DUMMYFUNCTION("""COMPUTED_VALUE"""),"0000-0003-0250-6868")</f>
        <v>0000-0003-0250-6868</v>
      </c>
    </row>
    <row r="430">
      <c r="A430" s="2" t="str">
        <f>IFERROR(__xludf.DUMMYFUNCTION("""COMPUTED_VALUE"""),"Flerin ")</f>
        <v>Flerin </v>
      </c>
      <c r="B430" s="2" t="str">
        <f>IFERROR(__xludf.DUMMYFUNCTION("""COMPUTED_VALUE"""),"Chris ")</f>
        <v>Chris </v>
      </c>
      <c r="C430" s="2" t="str">
        <f>IFERROR(__xludf.DUMMYFUNCTION("""COMPUTED_VALUE"""),"Key Personnel")</f>
        <v>Key Personnel</v>
      </c>
      <c r="D430" s="2" t="str">
        <f>IFERROR(__xludf.DUMMYFUNCTION("""COMPUTED_VALUE"""),"Aerts")</f>
        <v>Aerts</v>
      </c>
      <c r="E430" s="2" t="str">
        <f>IFERROR(__xludf.DUMMYFUNCTION("""COMPUTED_VALUE"""),"Postdoc")</f>
        <v>Postdoc</v>
      </c>
      <c r="F430" s="2" t="str">
        <f>IFERROR(__xludf.DUMMYFUNCTION("""COMPUTED_VALUE"""),"christopher.flerin@kuleuven.be")</f>
        <v>christopher.flerin@kuleuven.be</v>
      </c>
      <c r="G430" s="2" t="str">
        <f>IFERROR(__xludf.DUMMYFUNCTION("""COMPUTED_VALUE"""),"0000-0003-1883-871X")</f>
        <v>0000-0003-1883-871X</v>
      </c>
    </row>
    <row r="431">
      <c r="A431" s="2" t="str">
        <f>IFERROR(__xludf.DUMMYFUNCTION("""COMPUTED_VALUE"""),"Kalef-Ezra")</f>
        <v>Kalef-Ezra</v>
      </c>
      <c r="B431" s="2" t="str">
        <f>IFERROR(__xludf.DUMMYFUNCTION("""COMPUTED_VALUE"""),"Ester")</f>
        <v>Ester</v>
      </c>
      <c r="C431" s="2" t="str">
        <f>IFERROR(__xludf.DUMMYFUNCTION("""COMPUTED_VALUE"""),"Key Personnel")</f>
        <v>Key Personnel</v>
      </c>
      <c r="D431" s="2" t="str">
        <f>IFERROR(__xludf.DUMMYFUNCTION("""COMPUTED_VALUE"""),"Proukakis")</f>
        <v>Proukakis</v>
      </c>
      <c r="E431" s="2" t="str">
        <f>IFERROR(__xludf.DUMMYFUNCTION("""COMPUTED_VALUE"""),"Postdoc")</f>
        <v>Postdoc</v>
      </c>
      <c r="F431" s="2" t="str">
        <f>IFERROR(__xludf.DUMMYFUNCTION("""COMPUTED_VALUE"""),"e.kalef-ezra@ucl.ac.uk")</f>
        <v>e.kalef-ezra@ucl.ac.uk</v>
      </c>
      <c r="G431" s="2" t="str">
        <f>IFERROR(__xludf.DUMMYFUNCTION("""COMPUTED_VALUE"""),"0000-0002-1297-3315")</f>
        <v>0000-0002-1297-3315</v>
      </c>
    </row>
    <row r="432">
      <c r="A432" s="2" t="str">
        <f>IFERROR(__xludf.DUMMYFUNCTION("""COMPUTED_VALUE"""),"Horner ")</f>
        <v>Horner </v>
      </c>
      <c r="B432" s="2" t="str">
        <f>IFERROR(__xludf.DUMMYFUNCTION("""COMPUTED_VALUE"""),"Dominic ")</f>
        <v>Dominic </v>
      </c>
      <c r="C432" s="2" t="str">
        <f>IFERROR(__xludf.DUMMYFUNCTION("""COMPUTED_VALUE"""),"Key Personnel")</f>
        <v>Key Personnel</v>
      </c>
      <c r="D432" s="2" t="str">
        <f>IFERROR(__xludf.DUMMYFUNCTION("""COMPUTED_VALUE"""),"Proukakis")</f>
        <v>Proukakis</v>
      </c>
      <c r="E432" s="2" t="str">
        <f>IFERROR(__xludf.DUMMYFUNCTION("""COMPUTED_VALUE"""),"Master Student ")</f>
        <v>Master Student </v>
      </c>
      <c r="F432" s="2" t="str">
        <f>IFERROR(__xludf.DUMMYFUNCTION("""COMPUTED_VALUE"""),"dominic.horner.22@ucl.ac.uk")</f>
        <v>dominic.horner.22@ucl.ac.uk</v>
      </c>
      <c r="G432" s="2"/>
    </row>
    <row r="433">
      <c r="A433" s="2" t="str">
        <f>IFERROR(__xludf.DUMMYFUNCTION("""COMPUTED_VALUE"""),"Harschnitz")</f>
        <v>Harschnitz</v>
      </c>
      <c r="B433" s="2" t="str">
        <f>IFERROR(__xludf.DUMMYFUNCTION("""COMPUTED_VALUE"""),"Oliver")</f>
        <v>Oliver</v>
      </c>
      <c r="C433" s="2" t="str">
        <f>IFERROR(__xludf.DUMMYFUNCTION("""COMPUTED_VALUE"""),"Key Personnel")</f>
        <v>Key Personnel</v>
      </c>
      <c r="D433" s="2" t="str">
        <f>IFERROR(__xludf.DUMMYFUNCTION("""COMPUTED_VALUE"""),"Studer ")</f>
        <v>Studer </v>
      </c>
      <c r="E433" s="2" t="str">
        <f>IFERROR(__xludf.DUMMYFUNCTION("""COMPUTED_VALUE"""),"Postdoc")</f>
        <v>Postdoc</v>
      </c>
      <c r="F433" s="2" t="str">
        <f>IFERROR(__xludf.DUMMYFUNCTION("""COMPUTED_VALUE"""),"harschno@mskcc.org")</f>
        <v>harschno@mskcc.org</v>
      </c>
      <c r="G433" s="2" t="str">
        <f>IFERROR(__xludf.DUMMYFUNCTION("""COMPUTED_VALUE"""),"0000-0001-6496-881X")</f>
        <v>0000-0001-6496-881X</v>
      </c>
    </row>
    <row r="434">
      <c r="A434" s="2" t="str">
        <f>IFERROR(__xludf.DUMMYFUNCTION("""COMPUTED_VALUE"""),"Qian")</f>
        <v>Qian</v>
      </c>
      <c r="B434" s="2" t="str">
        <f>IFERROR(__xludf.DUMMYFUNCTION("""COMPUTED_VALUE"""),"Wesley Wei")</f>
        <v>Wesley Wei</v>
      </c>
      <c r="C434" s="2" t="str">
        <f>IFERROR(__xludf.DUMMYFUNCTION("""COMPUTED_VALUE"""),"Key Personnel")</f>
        <v>Key Personnel</v>
      </c>
      <c r="D434" s="2" t="str">
        <f>IFERROR(__xludf.DUMMYFUNCTION("""COMPUTED_VALUE"""),"Peng")</f>
        <v>Peng</v>
      </c>
      <c r="E434" s="2" t="str">
        <f>IFERROR(__xludf.DUMMYFUNCTION("""COMPUTED_VALUE"""),"Graduate Student")</f>
        <v>Graduate Student</v>
      </c>
      <c r="F434" s="2" t="str">
        <f>IFERROR(__xludf.DUMMYFUNCTION("""COMPUTED_VALUE"""),"weiqian3@illinois.edu")</f>
        <v>weiqian3@illinois.edu</v>
      </c>
      <c r="G434" s="2" t="str">
        <f>IFERROR(__xludf.DUMMYFUNCTION("""COMPUTED_VALUE"""),"0000-0003-0726-575X")</f>
        <v>0000-0003-0726-575X</v>
      </c>
    </row>
    <row r="435">
      <c r="A435" s="2" t="str">
        <f>IFERROR(__xludf.DUMMYFUNCTION("""COMPUTED_VALUE"""),"Peng")</f>
        <v>Peng</v>
      </c>
      <c r="B435" s="2" t="str">
        <f>IFERROR(__xludf.DUMMYFUNCTION("""COMPUTED_VALUE"""),"Jian")</f>
        <v>Jian</v>
      </c>
      <c r="C435" s="2" t="str">
        <f>IFERROR(__xludf.DUMMYFUNCTION("""COMPUTED_VALUE"""),"Co-PI")</f>
        <v>Co-PI</v>
      </c>
      <c r="D435" s="2"/>
      <c r="E435" s="2"/>
      <c r="F435" s="2" t="str">
        <f>IFERROR(__xludf.DUMMYFUNCTION("""COMPUTED_VALUE"""),"jianpeng@illinois.edu")</f>
        <v>jianpeng@illinois.edu</v>
      </c>
      <c r="G435" s="2" t="str">
        <f>IFERROR(__xludf.DUMMYFUNCTION("""COMPUTED_VALUE"""),"0000-0002-1736-2978")</f>
        <v>0000-0002-1736-2978</v>
      </c>
    </row>
    <row r="436">
      <c r="A436" s="2" t="str">
        <f>IFERROR(__xludf.DUMMYFUNCTION("""COMPUTED_VALUE"""),"Henderson")</f>
        <v>Henderson</v>
      </c>
      <c r="B436" s="2" t="str">
        <f>IFERROR(__xludf.DUMMYFUNCTION("""COMPUTED_VALUE"""),"Alex")</f>
        <v>Alex</v>
      </c>
      <c r="C436" s="2" t="str">
        <f>IFERROR(__xludf.DUMMYFUNCTION("""COMPUTED_VALUE"""),"Program Manager")</f>
        <v>Program Manager</v>
      </c>
      <c r="D436" s="2" t="str">
        <f>IFERROR(__xludf.DUMMYFUNCTION("""COMPUTED_VALUE"""),"Studer")</f>
        <v>Studer</v>
      </c>
      <c r="E436" s="2"/>
      <c r="F436" s="2" t="str">
        <f>IFERROR(__xludf.DUMMYFUNCTION("""COMPUTED_VALUE"""),"hendersa@mskcc.org")</f>
        <v>hendersa@mskcc.org</v>
      </c>
      <c r="G436" s="2" t="str">
        <f>IFERROR(__xludf.DUMMYFUNCTION("""COMPUTED_VALUE"""),"0000-0003-0355-3092")</f>
        <v>0000-0003-0355-3092</v>
      </c>
    </row>
    <row r="437">
      <c r="A437" s="2" t="str">
        <f>IFERROR(__xludf.DUMMYFUNCTION("""COMPUTED_VALUE"""),"Noggle")</f>
        <v>Noggle</v>
      </c>
      <c r="B437" s="2" t="str">
        <f>IFERROR(__xludf.DUMMYFUNCTION("""COMPUTED_VALUE"""),"Scott")</f>
        <v>Scott</v>
      </c>
      <c r="C437" s="2" t="str">
        <f>IFERROR(__xludf.DUMMYFUNCTION("""COMPUTED_VALUE"""),"Key Personnel")</f>
        <v>Key Personnel</v>
      </c>
      <c r="D437" s="2" t="str">
        <f>IFERROR(__xludf.DUMMYFUNCTION("""COMPUTED_VALUE"""),"Croft")</f>
        <v>Croft</v>
      </c>
      <c r="E437" s="2"/>
      <c r="F437" s="2" t="str">
        <f>IFERROR(__xludf.DUMMYFUNCTION("""COMPUTED_VALUE"""),"snoggle@nyscf.org")</f>
        <v>snoggle@nyscf.org</v>
      </c>
      <c r="G437" s="2" t="str">
        <f>IFERROR(__xludf.DUMMYFUNCTION("""COMPUTED_VALUE"""),"0000-0002-0374-2240")</f>
        <v>0000-0002-0374-2240</v>
      </c>
    </row>
    <row r="438">
      <c r="A438" s="2" t="str">
        <f>IFERROR(__xludf.DUMMYFUNCTION("""COMPUTED_VALUE"""),"Bauer")</f>
        <v>Bauer</v>
      </c>
      <c r="B438" s="2" t="str">
        <f>IFERROR(__xludf.DUMMYFUNCTION("""COMPUTED_VALUE"""),"Lauren")</f>
        <v>Lauren</v>
      </c>
      <c r="C438" s="2" t="str">
        <f>IFERROR(__xludf.DUMMYFUNCTION("""COMPUTED_VALUE"""),"Key Personnel")</f>
        <v>Key Personnel</v>
      </c>
      <c r="D438" s="2" t="str">
        <f>IFERROR(__xludf.DUMMYFUNCTION("""COMPUTED_VALUE"""),"Croft")</f>
        <v>Croft</v>
      </c>
      <c r="E438" s="2"/>
      <c r="F438" s="2" t="str">
        <f>IFERROR(__xludf.DUMMYFUNCTION("""COMPUTED_VALUE"""),"lbauer@nyscf.org")</f>
        <v>lbauer@nyscf.org</v>
      </c>
      <c r="G438" s="2" t="str">
        <f>IFERROR(__xludf.DUMMYFUNCTION("""COMPUTED_VALUE"""),"0000-0002-0947-7652")</f>
        <v>0000-0002-0947-7652</v>
      </c>
    </row>
    <row r="439">
      <c r="A439" s="2" t="str">
        <f>IFERROR(__xludf.DUMMYFUNCTION("""COMPUTED_VALUE"""),"Di Domenico")</f>
        <v>Di Domenico</v>
      </c>
      <c r="B439" s="2" t="str">
        <f>IFERROR(__xludf.DUMMYFUNCTION("""COMPUTED_VALUE"""),"Angelique")</f>
        <v>Angelique</v>
      </c>
      <c r="C439" s="2" t="str">
        <f>IFERROR(__xludf.DUMMYFUNCTION("""COMPUTED_VALUE"""),"Key Personnel")</f>
        <v>Key Personnel</v>
      </c>
      <c r="D439" s="2" t="str">
        <f>IFERROR(__xludf.DUMMYFUNCTION("""COMPUTED_VALUE"""),"Croft")</f>
        <v>Croft</v>
      </c>
      <c r="E439" s="2" t="str">
        <f>IFERROR(__xludf.DUMMYFUNCTION("""COMPUTED_VALUE"""),"Postdoc")</f>
        <v>Postdoc</v>
      </c>
      <c r="F439" s="2" t="str">
        <f>IFERROR(__xludf.DUMMYFUNCTION("""COMPUTED_VALUE"""),"adidomenico@nyscf.org")</f>
        <v>adidomenico@nyscf.org</v>
      </c>
      <c r="G439" s="2" t="str">
        <f>IFERROR(__xludf.DUMMYFUNCTION("""COMPUTED_VALUE"""),"0000-0002-0592-2560")</f>
        <v>0000-0002-0592-2560</v>
      </c>
    </row>
    <row r="440">
      <c r="A440" s="2" t="str">
        <f>IFERROR(__xludf.DUMMYFUNCTION("""COMPUTED_VALUE"""),"McKinnis")</f>
        <v>McKinnis</v>
      </c>
      <c r="B440" s="2" t="str">
        <f>IFERROR(__xludf.DUMMYFUNCTION("""COMPUTED_VALUE"""),"Kat")</f>
        <v>Kat</v>
      </c>
      <c r="C440" s="2" t="str">
        <f>IFERROR(__xludf.DUMMYFUNCTION("""COMPUTED_VALUE"""),"Key Personnel")</f>
        <v>Key Personnel</v>
      </c>
      <c r="D440" s="2" t="str">
        <f>IFERROR(__xludf.DUMMYFUNCTION("""COMPUTED_VALUE"""),"Croft")</f>
        <v>Croft</v>
      </c>
      <c r="E440" s="2" t="str">
        <f>IFERROR(__xludf.DUMMYFUNCTION("""COMPUTED_VALUE"""),"Undergraduate Intern")</f>
        <v>Undergraduate Intern</v>
      </c>
      <c r="F440" s="2" t="str">
        <f>IFERROR(__xludf.DUMMYFUNCTION("""COMPUTED_VALUE"""),"kmckinnis@nyscf.org")</f>
        <v>kmckinnis@nyscf.org</v>
      </c>
      <c r="G440" s="2" t="str">
        <f>IFERROR(__xludf.DUMMYFUNCTION("""COMPUTED_VALUE"""),"0000-0002-3931-8652")</f>
        <v>0000-0002-3931-8652</v>
      </c>
    </row>
    <row r="441">
      <c r="A441" s="2" t="str">
        <f>IFERROR(__xludf.DUMMYFUNCTION("""COMPUTED_VALUE"""),"Zhou")</f>
        <v>Zhou</v>
      </c>
      <c r="B441" s="2" t="str">
        <f>IFERROR(__xludf.DUMMYFUNCTION("""COMPUTED_VALUE"""),"Ming-ming")</f>
        <v>Ming-ming</v>
      </c>
      <c r="C441" s="2" t="str">
        <f>IFERROR(__xludf.DUMMYFUNCTION("""COMPUTED_VALUE"""),"Key Personnel")</f>
        <v>Key Personnel</v>
      </c>
      <c r="D441" s="2" t="str">
        <f>IFERROR(__xludf.DUMMYFUNCTION("""COMPUTED_VALUE"""),"Croft")</f>
        <v>Croft</v>
      </c>
      <c r="E441" s="2" t="str">
        <f>IFERROR(__xludf.DUMMYFUNCTION("""COMPUTED_VALUE"""),"Postdoc")</f>
        <v>Postdoc</v>
      </c>
      <c r="F441" s="2" t="str">
        <f>IFERROR(__xludf.DUMMYFUNCTION("""COMPUTED_VALUE"""),"mmzhou@nyscf.org")</f>
        <v>mmzhou@nyscf.org</v>
      </c>
      <c r="G441" s="2" t="str">
        <f>IFERROR(__xludf.DUMMYFUNCTION("""COMPUTED_VALUE"""),"0000-0003-3157-3672")</f>
        <v>0000-0003-3157-3672</v>
      </c>
    </row>
    <row r="442">
      <c r="A442" s="2" t="str">
        <f>IFERROR(__xludf.DUMMYFUNCTION("""COMPUTED_VALUE"""),"Guarin")</f>
        <v>Guarin</v>
      </c>
      <c r="B442" s="2" t="str">
        <f>IFERROR(__xludf.DUMMYFUNCTION("""COMPUTED_VALUE"""),"David")</f>
        <v>David</v>
      </c>
      <c r="C442" s="2" t="str">
        <f>IFERROR(__xludf.DUMMYFUNCTION("""COMPUTED_VALUE"""),"Key Personnel")</f>
        <v>Key Personnel</v>
      </c>
      <c r="D442" s="2" t="str">
        <f>IFERROR(__xludf.DUMMYFUNCTION("""COMPUTED_VALUE"""),"Khurana")</f>
        <v>Khurana</v>
      </c>
      <c r="E442" s="2" t="str">
        <f>IFERROR(__xludf.DUMMYFUNCTION("""COMPUTED_VALUE"""),"Postdoc")</f>
        <v>Postdoc</v>
      </c>
      <c r="F442" s="2" t="str">
        <f>IFERROR(__xludf.DUMMYFUNCTION("""COMPUTED_VALUE"""),"dguarin@mgh.harvard.edu")</f>
        <v>dguarin@mgh.harvard.edu</v>
      </c>
      <c r="G442" s="2" t="str">
        <f>IFERROR(__xludf.DUMMYFUNCTION("""COMPUTED_VALUE"""),"0000-0003-3011-3252")</f>
        <v>0000-0003-3011-3252</v>
      </c>
    </row>
    <row r="443">
      <c r="A443" s="2" t="str">
        <f>IFERROR(__xludf.DUMMYFUNCTION("""COMPUTED_VALUE"""),"Monzio Compagnoni")</f>
        <v>Monzio Compagnoni</v>
      </c>
      <c r="B443" s="2" t="str">
        <f>IFERROR(__xludf.DUMMYFUNCTION("""COMPUTED_VALUE"""),"Giacomo")</f>
        <v>Giacomo</v>
      </c>
      <c r="C443" s="2" t="str">
        <f>IFERROR(__xludf.DUMMYFUNCTION("""COMPUTED_VALUE"""),"Key Personnel")</f>
        <v>Key Personnel</v>
      </c>
      <c r="D443" s="2" t="str">
        <f>IFERROR(__xludf.DUMMYFUNCTION("""COMPUTED_VALUE"""),"Khurana")</f>
        <v>Khurana</v>
      </c>
      <c r="E443" s="2" t="str">
        <f>IFERROR(__xludf.DUMMYFUNCTION("""COMPUTED_VALUE"""),"Postdoc")</f>
        <v>Postdoc</v>
      </c>
      <c r="F443" s="2" t="str">
        <f>IFERROR(__xludf.DUMMYFUNCTION("""COMPUTED_VALUE"""),"gmonziocompagnoni@bwh.harvard.edu")</f>
        <v>gmonziocompagnoni@bwh.harvard.edu</v>
      </c>
      <c r="G443" s="2" t="str">
        <f>IFERROR(__xludf.DUMMYFUNCTION("""COMPUTED_VALUE"""),"0000-0001-5323-8766")</f>
        <v>0000-0001-5323-8766</v>
      </c>
    </row>
    <row r="444">
      <c r="A444" s="2" t="str">
        <f>IFERROR(__xludf.DUMMYFUNCTION("""COMPUTED_VALUE"""),"Hallacli")</f>
        <v>Hallacli</v>
      </c>
      <c r="B444" s="2" t="str">
        <f>IFERROR(__xludf.DUMMYFUNCTION("""COMPUTED_VALUE"""),"Erinc")</f>
        <v>Erinc</v>
      </c>
      <c r="C444" s="2" t="str">
        <f>IFERROR(__xludf.DUMMYFUNCTION("""COMPUTED_VALUE"""),"Key Personnel")</f>
        <v>Key Personnel</v>
      </c>
      <c r="D444" s="2" t="str">
        <f>IFERROR(__xludf.DUMMYFUNCTION("""COMPUTED_VALUE"""),"Khurana")</f>
        <v>Khurana</v>
      </c>
      <c r="E444" s="2" t="str">
        <f>IFERROR(__xludf.DUMMYFUNCTION("""COMPUTED_VALUE"""),"Instructor")</f>
        <v>Instructor</v>
      </c>
      <c r="F444" s="2" t="str">
        <f>IFERROR(__xludf.DUMMYFUNCTION("""COMPUTED_VALUE"""),"ehallacli@bwh.harvard.edu")</f>
        <v>ehallacli@bwh.harvard.edu</v>
      </c>
      <c r="G444" s="2" t="str">
        <f>IFERROR(__xludf.DUMMYFUNCTION("""COMPUTED_VALUE"""),"0000-0002-5850-6974")</f>
        <v>0000-0002-5850-6974</v>
      </c>
    </row>
    <row r="445">
      <c r="A445" s="2" t="str">
        <f>IFERROR(__xludf.DUMMYFUNCTION("""COMPUTED_VALUE"""),"Wise")</f>
        <v>Wise</v>
      </c>
      <c r="B445" s="2" t="str">
        <f>IFERROR(__xludf.DUMMYFUNCTION("""COMPUTED_VALUE"""),"Kelly")</f>
        <v>Kelly</v>
      </c>
      <c r="C445" s="2" t="str">
        <f>IFERROR(__xludf.DUMMYFUNCTION("""COMPUTED_VALUE"""),"Key Personnel")</f>
        <v>Key Personnel</v>
      </c>
      <c r="D445" s="2" t="str">
        <f>IFERROR(__xludf.DUMMYFUNCTION("""COMPUTED_VALUE"""),"Powell")</f>
        <v>Powell</v>
      </c>
      <c r="E445" s="2" t="str">
        <f>IFERROR(__xludf.DUMMYFUNCTION("""COMPUTED_VALUE"""),"Research Assistant")</f>
        <v>Research Assistant</v>
      </c>
      <c r="F445" s="2" t="str">
        <f>IFERROR(__xludf.DUMMYFUNCTION("""COMPUTED_VALUE"""),"k.wise@garvan.org.au")</f>
        <v>k.wise@garvan.org.au</v>
      </c>
      <c r="G445" s="2" t="str">
        <f>IFERROR(__xludf.DUMMYFUNCTION("""COMPUTED_VALUE"""),"0000-0002-3274-9687")</f>
        <v>0000-0002-3274-9687</v>
      </c>
    </row>
    <row r="446">
      <c r="A446" s="2" t="str">
        <f>IFERROR(__xludf.DUMMYFUNCTION("""COMPUTED_VALUE"""),"Murphy")</f>
        <v>Murphy</v>
      </c>
      <c r="B446" s="2" t="str">
        <f>IFERROR(__xludf.DUMMYFUNCTION("""COMPUTED_VALUE"""),"Angela")</f>
        <v>Angela</v>
      </c>
      <c r="C446" s="2" t="str">
        <f>IFERROR(__xludf.DUMMYFUNCTION("""COMPUTED_VALUE"""),"Key Personnel")</f>
        <v>Key Personnel</v>
      </c>
      <c r="D446" s="2" t="str">
        <f>IFERROR(__xludf.DUMMYFUNCTION("""COMPUTED_VALUE"""),"Powell")</f>
        <v>Powell</v>
      </c>
      <c r="E446" s="2"/>
      <c r="F446" s="2" t="str">
        <f>IFERROR(__xludf.DUMMYFUNCTION("""COMPUTED_VALUE"""),"a.murphy@garvan.org.au")</f>
        <v>a.murphy@garvan.org.au</v>
      </c>
      <c r="G446" s="2" t="str">
        <f>IFERROR(__xludf.DUMMYFUNCTION("""COMPUTED_VALUE"""),"0000-0002-8910-7626")</f>
        <v>0000-0002-8910-7626</v>
      </c>
    </row>
    <row r="447">
      <c r="A447" s="2" t="str">
        <f>IFERROR(__xludf.DUMMYFUNCTION("""COMPUTED_VALUE"""),"Moutinho")</f>
        <v>Moutinho</v>
      </c>
      <c r="B447" s="2" t="str">
        <f>IFERROR(__xludf.DUMMYFUNCTION("""COMPUTED_VALUE"""),"Catia")</f>
        <v>Catia</v>
      </c>
      <c r="C447" s="2" t="str">
        <f>IFERROR(__xludf.DUMMYFUNCTION("""COMPUTED_VALUE"""),"Key Personnel")</f>
        <v>Key Personnel</v>
      </c>
      <c r="D447" s="2" t="str">
        <f>IFERROR(__xludf.DUMMYFUNCTION("""COMPUTED_VALUE"""),"Powell")</f>
        <v>Powell</v>
      </c>
      <c r="E447" s="2" t="str">
        <f>IFERROR(__xludf.DUMMYFUNCTION("""COMPUTED_VALUE"""),"Postdoc")</f>
        <v>Postdoc</v>
      </c>
      <c r="F447" s="2" t="str">
        <f>IFERROR(__xludf.DUMMYFUNCTION("""COMPUTED_VALUE"""),"c.moutinho@garvan.org.au")</f>
        <v>c.moutinho@garvan.org.au</v>
      </c>
      <c r="G447" s="2" t="str">
        <f>IFERROR(__xludf.DUMMYFUNCTION("""COMPUTED_VALUE"""),"0000-0003-3885-0847")</f>
        <v>0000-0003-3885-0847</v>
      </c>
    </row>
    <row r="448">
      <c r="A448" s="2" t="str">
        <f>IFERROR(__xludf.DUMMYFUNCTION("""COMPUTED_VALUE"""),"Bermudez")</f>
        <v>Bermudez</v>
      </c>
      <c r="B448" s="2" t="str">
        <f>IFERROR(__xludf.DUMMYFUNCTION("""COMPUTED_VALUE"""),"Yasmine")</f>
        <v>Yasmine</v>
      </c>
      <c r="C448" s="2" t="str">
        <f>IFERROR(__xludf.DUMMYFUNCTION("""COMPUTED_VALUE"""),"Key Personnel")</f>
        <v>Key Personnel</v>
      </c>
      <c r="D448" s="2" t="str">
        <f>IFERROR(__xludf.DUMMYFUNCTION("""COMPUTED_VALUE"""),"Powell")</f>
        <v>Powell</v>
      </c>
      <c r="E448" s="2" t="str">
        <f>IFERROR(__xludf.DUMMYFUNCTION("""COMPUTED_VALUE"""),"Postdoc")</f>
        <v>Postdoc</v>
      </c>
      <c r="F448" s="2" t="str">
        <f>IFERROR(__xludf.DUMMYFUNCTION("""COMPUTED_VALUE"""),"Y.Bermudez@garvan.org.au")</f>
        <v>Y.Bermudez@garvan.org.au</v>
      </c>
      <c r="G448" s="2" t="str">
        <f>IFERROR(__xludf.DUMMYFUNCTION("""COMPUTED_VALUE"""),"0000-0001-9187-2653")</f>
        <v>0000-0001-9187-2653</v>
      </c>
    </row>
    <row r="449">
      <c r="A449" s="2" t="str">
        <f>IFERROR(__xludf.DUMMYFUNCTION("""COMPUTED_VALUE"""),"Tae Wan  ")</f>
        <v>Tae Wan  </v>
      </c>
      <c r="B449" s="2" t="str">
        <f>IFERROR(__xludf.DUMMYFUNCTION("""COMPUTED_VALUE"""),"Kim")</f>
        <v>Kim</v>
      </c>
      <c r="C449" s="2" t="str">
        <f>IFERROR(__xludf.DUMMYFUNCTION("""COMPUTED_VALUE"""),"Key Personnel")</f>
        <v>Key Personnel</v>
      </c>
      <c r="D449" s="2" t="str">
        <f>IFERROR(__xludf.DUMMYFUNCTION("""COMPUTED_VALUE"""),"Studer ")</f>
        <v>Studer </v>
      </c>
      <c r="E449" s="2" t="str">
        <f>IFERROR(__xludf.DUMMYFUNCTION("""COMPUTED_VALUE"""),"Postdoc")</f>
        <v>Postdoc</v>
      </c>
      <c r="F449" s="2" t="str">
        <f>IFERROR(__xludf.DUMMYFUNCTION("""COMPUTED_VALUE"""),"kimt3@mskcc.org")</f>
        <v>kimt3@mskcc.org</v>
      </c>
      <c r="G449" s="2" t="str">
        <f>IFERROR(__xludf.DUMMYFUNCTION("""COMPUTED_VALUE"""),"0000-0002-0831-6881")</f>
        <v>0000-0002-0831-6881</v>
      </c>
    </row>
    <row r="450">
      <c r="A450" s="2" t="str">
        <f>IFERROR(__xludf.DUMMYFUNCTION("""COMPUTED_VALUE"""),"Giacomelli")</f>
        <v>Giacomelli</v>
      </c>
      <c r="B450" s="2" t="str">
        <f>IFERROR(__xludf.DUMMYFUNCTION("""COMPUTED_VALUE"""),"Elisa")</f>
        <v>Elisa</v>
      </c>
      <c r="C450" s="2" t="str">
        <f>IFERROR(__xludf.DUMMYFUNCTION("""COMPUTED_VALUE"""),"Key Personnel")</f>
        <v>Key Personnel</v>
      </c>
      <c r="D450" s="2" t="str">
        <f>IFERROR(__xludf.DUMMYFUNCTION("""COMPUTED_VALUE"""),"Studer ")</f>
        <v>Studer </v>
      </c>
      <c r="E450" s="2" t="str">
        <f>IFERROR(__xludf.DUMMYFUNCTION("""COMPUTED_VALUE"""),"Postdoc")</f>
        <v>Postdoc</v>
      </c>
      <c r="F450" s="2" t="str">
        <f>IFERROR(__xludf.DUMMYFUNCTION("""COMPUTED_VALUE"""),"giacomee@mskcc.org")</f>
        <v>giacomee@mskcc.org</v>
      </c>
      <c r="G450" s="2" t="str">
        <f>IFERROR(__xludf.DUMMYFUNCTION("""COMPUTED_VALUE"""),"0000-0001-9233-235X")</f>
        <v>0000-0001-9233-235X</v>
      </c>
    </row>
    <row r="451">
      <c r="A451" s="2" t="str">
        <f>IFERROR(__xludf.DUMMYFUNCTION("""COMPUTED_VALUE"""),"Koo")</f>
        <v>Koo</v>
      </c>
      <c r="B451" s="2" t="str">
        <f>IFERROR(__xludf.DUMMYFUNCTION("""COMPUTED_VALUE"""),"So-Yeon")</f>
        <v>So-Yeon</v>
      </c>
      <c r="C451" s="2" t="str">
        <f>IFERROR(__xludf.DUMMYFUNCTION("""COMPUTED_VALUE"""),"Key Personnel")</f>
        <v>Key Personnel</v>
      </c>
      <c r="D451" s="2" t="str">
        <f>IFERROR(__xludf.DUMMYFUNCTION("""COMPUTED_VALUE"""),"Studer ")</f>
        <v>Studer </v>
      </c>
      <c r="E451" s="2" t="str">
        <f>IFERROR(__xludf.DUMMYFUNCTION("""COMPUTED_VALUE"""),"Graduate Student ")</f>
        <v>Graduate Student </v>
      </c>
      <c r="F451" s="2" t="str">
        <f>IFERROR(__xludf.DUMMYFUNCTION("""COMPUTED_VALUE"""),"sok2017@med.cornell.edu")</f>
        <v>sok2017@med.cornell.edu</v>
      </c>
      <c r="G451" s="2" t="str">
        <f>IFERROR(__xludf.DUMMYFUNCTION("""COMPUTED_VALUE"""),"0000-0001-8634-7643")</f>
        <v>0000-0001-8634-7643</v>
      </c>
    </row>
    <row r="452">
      <c r="A452" s="2" t="str">
        <f>IFERROR(__xludf.DUMMYFUNCTION("""COMPUTED_VALUE"""),"De Luzy")</f>
        <v>De Luzy</v>
      </c>
      <c r="B452" s="2" t="str">
        <f>IFERROR(__xludf.DUMMYFUNCTION("""COMPUTED_VALUE"""),"Isabelle")</f>
        <v>Isabelle</v>
      </c>
      <c r="C452" s="2" t="str">
        <f>IFERROR(__xludf.DUMMYFUNCTION("""COMPUTED_VALUE"""),"Key Personnel")</f>
        <v>Key Personnel</v>
      </c>
      <c r="D452" s="2" t="str">
        <f>IFERROR(__xludf.DUMMYFUNCTION("""COMPUTED_VALUE"""),"Studer ")</f>
        <v>Studer </v>
      </c>
      <c r="E452" s="2" t="str">
        <f>IFERROR(__xludf.DUMMYFUNCTION("""COMPUTED_VALUE"""),"Postdoc")</f>
        <v>Postdoc</v>
      </c>
      <c r="F452" s="2" t="str">
        <f>IFERROR(__xludf.DUMMYFUNCTION("""COMPUTED_VALUE"""),"deluzyi@mskcc.org")</f>
        <v>deluzyi@mskcc.org</v>
      </c>
      <c r="G452" s="2" t="str">
        <f>IFERROR(__xludf.DUMMYFUNCTION("""COMPUTED_VALUE"""),"0000-0003-0672-0829")</f>
        <v>0000-0003-0672-0829</v>
      </c>
    </row>
    <row r="453">
      <c r="A453" s="2" t="str">
        <f>IFERROR(__xludf.DUMMYFUNCTION("""COMPUTED_VALUE"""),"Chen")</f>
        <v>Chen</v>
      </c>
      <c r="B453" s="2" t="str">
        <f>IFERROR(__xludf.DUMMYFUNCTION("""COMPUTED_VALUE"""),"Wenna")</f>
        <v>Wenna</v>
      </c>
      <c r="C453" s="2" t="str">
        <f>IFERROR(__xludf.DUMMYFUNCTION("""COMPUTED_VALUE"""),"Key Personnel")</f>
        <v>Key Personnel</v>
      </c>
      <c r="D453" s="2" t="str">
        <f>IFERROR(__xludf.DUMMYFUNCTION("""COMPUTED_VALUE"""),"Studer")</f>
        <v>Studer</v>
      </c>
      <c r="E453" s="2" t="str">
        <f>IFERROR(__xludf.DUMMYFUNCTION("""COMPUTED_VALUE"""),"Research Technician")</f>
        <v>Research Technician</v>
      </c>
      <c r="F453" s="2" t="str">
        <f>IFERROR(__xludf.DUMMYFUNCTION("""COMPUTED_VALUE"""),"cheny17@mskcc.org")</f>
        <v>cheny17@mskcc.org</v>
      </c>
      <c r="G453" s="2" t="str">
        <f>IFERROR(__xludf.DUMMYFUNCTION("""COMPUTED_VALUE"""),"0000-0002-4954-2025")</f>
        <v>0000-0002-4954-2025</v>
      </c>
    </row>
    <row r="454">
      <c r="A454" s="2" t="str">
        <f>IFERROR(__xludf.DUMMYFUNCTION("""COMPUTED_VALUE"""),"Rahman")</f>
        <v>Rahman</v>
      </c>
      <c r="B454" s="2" t="str">
        <f>IFERROR(__xludf.DUMMYFUNCTION("""COMPUTED_VALUE"""),"Maliha")</f>
        <v>Maliha</v>
      </c>
      <c r="C454" s="2" t="str">
        <f>IFERROR(__xludf.DUMMYFUNCTION("""COMPUTED_VALUE"""),"Key Personnel")</f>
        <v>Key Personnel</v>
      </c>
      <c r="D454" s="2" t="str">
        <f>IFERROR(__xludf.DUMMYFUNCTION("""COMPUTED_VALUE"""),"Studer")</f>
        <v>Studer</v>
      </c>
      <c r="E454" s="2" t="str">
        <f>IFERROR(__xludf.DUMMYFUNCTION("""COMPUTED_VALUE"""),"Research Technician")</f>
        <v>Research Technician</v>
      </c>
      <c r="F454" s="2" t="str">
        <f>IFERROR(__xludf.DUMMYFUNCTION("""COMPUTED_VALUE"""),"rahmanm1@mskcc.org")</f>
        <v>rahmanm1@mskcc.org</v>
      </c>
      <c r="G454" s="2" t="str">
        <f>IFERROR(__xludf.DUMMYFUNCTION("""COMPUTED_VALUE"""),"0000-0002-0429-9762")</f>
        <v>0000-0002-0429-9762</v>
      </c>
    </row>
    <row r="455">
      <c r="A455" s="2" t="str">
        <f>IFERROR(__xludf.DUMMYFUNCTION("""COMPUTED_VALUE"""),"Cherian")</f>
        <v>Cherian</v>
      </c>
      <c r="B455" s="2" t="str">
        <f>IFERROR(__xludf.DUMMYFUNCTION("""COMPUTED_VALUE"""),"Suraj")</f>
        <v>Suraj</v>
      </c>
      <c r="C455" s="2" t="str">
        <f>IFERROR(__xludf.DUMMYFUNCTION("""COMPUTED_VALUE"""),"Key Personnel")</f>
        <v>Key Personnel</v>
      </c>
      <c r="D455" s="2" t="str">
        <f>IFERROR(__xludf.DUMMYFUNCTION("""COMPUTED_VALUE"""),"Hong-Yuan")</f>
        <v>Hong-Yuan</v>
      </c>
      <c r="E455" s="2"/>
      <c r="F455" s="2" t="str">
        <f>IFERROR(__xludf.DUMMYFUNCTION("""COMPUTED_VALUE"""),"cheria12@msu.edu")</f>
        <v>cheria12@msu.edu</v>
      </c>
      <c r="G455" s="2" t="str">
        <f>IFERROR(__xludf.DUMMYFUNCTION("""COMPUTED_VALUE"""),"0000-0003-1148-770X")</f>
        <v>0000-0003-1148-770X</v>
      </c>
    </row>
    <row r="456">
      <c r="A456" s="2" t="str">
        <f>IFERROR(__xludf.DUMMYFUNCTION("""COMPUTED_VALUE"""),"Dvorak")</f>
        <v>Dvorak</v>
      </c>
      <c r="B456" s="2" t="str">
        <f>IFERROR(__xludf.DUMMYFUNCTION("""COMPUTED_VALUE"""),"Rachel")</f>
        <v>Rachel</v>
      </c>
      <c r="C456" s="2" t="str">
        <f>IFERROR(__xludf.DUMMYFUNCTION("""COMPUTED_VALUE"""),"Key Personnel")</f>
        <v>Key Personnel</v>
      </c>
      <c r="D456" s="2" t="str">
        <f>IFERROR(__xludf.DUMMYFUNCTION("""COMPUTED_VALUE"""),"Hong-Yuan")</f>
        <v>Hong-Yuan</v>
      </c>
      <c r="E456" s="2" t="str">
        <f>IFERROR(__xludf.DUMMYFUNCTION("""COMPUTED_VALUE"""),"Research technician")</f>
        <v>Research technician</v>
      </c>
      <c r="F456" s="2" t="str">
        <f>IFERROR(__xludf.DUMMYFUNCTION("""COMPUTED_VALUE"""),"Rachel.Dvorak@vai.org")</f>
        <v>Rachel.Dvorak@vai.org</v>
      </c>
      <c r="G456" s="2" t="str">
        <f>IFERROR(__xludf.DUMMYFUNCTION("""COMPUTED_VALUE"""),"0000-0002-1245-710X")</f>
        <v>0000-0002-1245-710X</v>
      </c>
    </row>
    <row r="457">
      <c r="A457" s="2" t="str">
        <f>IFERROR(__xludf.DUMMYFUNCTION("""COMPUTED_VALUE"""),"Lopez")</f>
        <v>Lopez</v>
      </c>
      <c r="B457" s="2" t="str">
        <f>IFERROR(__xludf.DUMMYFUNCTION("""COMPUTED_VALUE"""),"Alejandro")</f>
        <v>Alejandro</v>
      </c>
      <c r="C457" s="2" t="str">
        <f>IFERROR(__xludf.DUMMYFUNCTION("""COMPUTED_VALUE"""),"Key Personnel")</f>
        <v>Key Personnel</v>
      </c>
      <c r="D457" s="2" t="str">
        <f>IFERROR(__xludf.DUMMYFUNCTION("""COMPUTED_VALUE"""),"Smith")</f>
        <v>Smith</v>
      </c>
      <c r="E457" s="2" t="str">
        <f>IFERROR(__xludf.DUMMYFUNCTION("""COMPUTED_VALUE"""),"postdoc")</f>
        <v>postdoc</v>
      </c>
      <c r="F457" s="2" t="str">
        <f>IFERROR(__xludf.DUMMYFUNCTION("""COMPUTED_VALUE"""),"alejandro.lopez@emory.edu")</f>
        <v>alejandro.lopez@emory.edu</v>
      </c>
      <c r="G457" s="2" t="str">
        <f>IFERROR(__xludf.DUMMYFUNCTION("""COMPUTED_VALUE"""),"0000-0002-6509-0137")</f>
        <v>0000-0002-6509-0137</v>
      </c>
    </row>
    <row r="458">
      <c r="A458" s="2" t="str">
        <f>IFERROR(__xludf.DUMMYFUNCTION("""COMPUTED_VALUE"""),"Sayed")</f>
        <v>Sayed</v>
      </c>
      <c r="B458" s="2" t="str">
        <f>IFERROR(__xludf.DUMMYFUNCTION("""COMPUTED_VALUE"""),"Imran")</f>
        <v>Imran</v>
      </c>
      <c r="C458" s="2" t="str">
        <f>IFERROR(__xludf.DUMMYFUNCTION("""COMPUTED_VALUE""")," Former Project Manager")</f>
        <v> Former Project Manager</v>
      </c>
      <c r="D458" s="2"/>
      <c r="E458" s="2"/>
      <c r="F458" s="2" t="str">
        <f>IFERROR(__xludf.DUMMYFUNCTION("""COMPUTED_VALUE"""),"i.sayed@ucl.ac.uk")</f>
        <v>i.sayed@ucl.ac.uk</v>
      </c>
      <c r="G458" s="2" t="str">
        <f>IFERROR(__xludf.DUMMYFUNCTION("""COMPUTED_VALUE"""),"-")</f>
        <v>-</v>
      </c>
    </row>
    <row r="459">
      <c r="A459" s="2" t="str">
        <f>IFERROR(__xludf.DUMMYFUNCTION("""COMPUTED_VALUE"""),"Zhang")</f>
        <v>Zhang</v>
      </c>
      <c r="B459" s="2" t="str">
        <f>IFERROR(__xludf.DUMMYFUNCTION("""COMPUTED_VALUE"""),"Yu")</f>
        <v>Yu</v>
      </c>
      <c r="C459" s="2" t="str">
        <f>IFERROR(__xludf.DUMMYFUNCTION("""COMPUTED_VALUE"""),"Key Personnel")</f>
        <v>Key Personnel</v>
      </c>
      <c r="D459" s="2" t="str">
        <f>IFERROR(__xludf.DUMMYFUNCTION("""COMPUTED_VALUE"""),"Lee S")</f>
        <v>Lee S</v>
      </c>
      <c r="E459" s="2" t="str">
        <f>IFERROR(__xludf.DUMMYFUNCTION("""COMPUTED_VALUE"""),"post doc")</f>
        <v>post doc</v>
      </c>
      <c r="F459" s="2" t="str">
        <f>IFERROR(__xludf.DUMMYFUNCTION("""COMPUTED_VALUE"""),"yz421@cam.ac.uk")</f>
        <v>yz421@cam.ac.uk</v>
      </c>
      <c r="G459" s="2" t="str">
        <f>IFERROR(__xludf.DUMMYFUNCTION("""COMPUTED_VALUE"""),"-")</f>
        <v>-</v>
      </c>
    </row>
    <row r="460">
      <c r="A460" s="2" t="str">
        <f>IFERROR(__xludf.DUMMYFUNCTION("""COMPUTED_VALUE"""),"Chant")</f>
        <v>Chant</v>
      </c>
      <c r="B460" s="2" t="str">
        <f>IFERROR(__xludf.DUMMYFUNCTION("""COMPUTED_VALUE"""),"Gregory")</f>
        <v>Gregory</v>
      </c>
      <c r="C460" s="2" t="str">
        <f>IFERROR(__xludf.DUMMYFUNCTION("""COMPUTED_VALUE"""),"Key Personnel")</f>
        <v>Key Personnel</v>
      </c>
      <c r="D460" s="2" t="str">
        <f>IFERROR(__xludf.DUMMYFUNCTION("""COMPUTED_VALUE"""),"Lee S")</f>
        <v>Lee S</v>
      </c>
      <c r="E460" s="2" t="str">
        <f>IFERROR(__xludf.DUMMYFUNCTION("""COMPUTED_VALUE"""),"post doc")</f>
        <v>post doc</v>
      </c>
      <c r="F460" s="2" t="str">
        <f>IFERROR(__xludf.DUMMYFUNCTION("""COMPUTED_VALUE"""),"gjc48@hermes.cam.ac.uk")</f>
        <v>gjc48@hermes.cam.ac.uk</v>
      </c>
      <c r="G460" s="2"/>
    </row>
    <row r="461">
      <c r="A461" s="2" t="str">
        <f>IFERROR(__xludf.DUMMYFUNCTION("""COMPUTED_VALUE"""),"Venuytsel")</f>
        <v>Venuytsel</v>
      </c>
      <c r="B461" s="2" t="str">
        <f>IFERROR(__xludf.DUMMYFUNCTION("""COMPUTED_VALUE"""),"Steven")</f>
        <v>Steven</v>
      </c>
      <c r="C461" s="2" t="str">
        <f>IFERROR(__xludf.DUMMYFUNCTION("""COMPUTED_VALUE"""),"Key Personnel")</f>
        <v>Key Personnel</v>
      </c>
      <c r="D461" s="2" t="str">
        <f>IFERROR(__xludf.DUMMYFUNCTION("""COMPUTED_VALUE"""),"Lee")</f>
        <v>Lee</v>
      </c>
      <c r="E461" s="2" t="str">
        <f>IFERROR(__xludf.DUMMYFUNCTION("""COMPUTED_VALUE"""),"pdra")</f>
        <v>pdra</v>
      </c>
      <c r="F461" s="2" t="str">
        <f>IFERROR(__xludf.DUMMYFUNCTION("""COMPUTED_VALUE"""),"skv27@cam.ac.uk")</f>
        <v>skv27@cam.ac.uk</v>
      </c>
      <c r="G461" s="2" t="str">
        <f>IFERROR(__xludf.DUMMYFUNCTION("""COMPUTED_VALUE"""),"0000-0002-9768-4343")</f>
        <v>0000-0002-9768-4343</v>
      </c>
    </row>
    <row r="462">
      <c r="A462" s="2" t="str">
        <f>IFERROR(__xludf.DUMMYFUNCTION("""COMPUTED_VALUE"""),"Melandri")</f>
        <v>Melandri</v>
      </c>
      <c r="B462" s="2" t="str">
        <f>IFERROR(__xludf.DUMMYFUNCTION("""COMPUTED_VALUE"""),"Daniela")</f>
        <v>Daniela</v>
      </c>
      <c r="C462" s="2" t="str">
        <f>IFERROR(__xludf.DUMMYFUNCTION("""COMPUTED_VALUE"""),"Key Personnel")</f>
        <v>Key Personnel</v>
      </c>
      <c r="D462" s="2" t="str">
        <f>IFERROR(__xludf.DUMMYFUNCTION("""COMPUTED_VALUE"""),"Gandhi")</f>
        <v>Gandhi</v>
      </c>
      <c r="E462" s="2" t="str">
        <f>IFERROR(__xludf.DUMMYFUNCTION("""COMPUTED_VALUE"""),"phd student")</f>
        <v>phd student</v>
      </c>
      <c r="F462" s="2" t="str">
        <f>IFERROR(__xludf.DUMMYFUNCTION("""COMPUTED_VALUE"""),"daniela.melandri.15@ucl.ac.uk")</f>
        <v>daniela.melandri.15@ucl.ac.uk</v>
      </c>
      <c r="G462" s="2"/>
    </row>
    <row r="463">
      <c r="A463" s="2" t="str">
        <f>IFERROR(__xludf.DUMMYFUNCTION("""COMPUTED_VALUE"""),"Zhang")</f>
        <v>Zhang</v>
      </c>
      <c r="B463" s="2" t="str">
        <f>IFERROR(__xludf.DUMMYFUNCTION("""COMPUTED_VALUE"""),"Wei- Jia")</f>
        <v>Wei- Jia</v>
      </c>
      <c r="C463" s="2" t="str">
        <f>IFERROR(__xludf.DUMMYFUNCTION("""COMPUTED_VALUE"""),"Key Personnel")</f>
        <v>Key Personnel</v>
      </c>
      <c r="D463" s="2" t="str">
        <f>IFERROR(__xludf.DUMMYFUNCTION("""COMPUTED_VALUE"""),"Gandhi")</f>
        <v>Gandhi</v>
      </c>
      <c r="E463" s="2" t="str">
        <f>IFERROR(__xludf.DUMMYFUNCTION("""COMPUTED_VALUE"""),"clinician")</f>
        <v>clinician</v>
      </c>
      <c r="F463" s="2" t="str">
        <f>IFERROR(__xludf.DUMMYFUNCTION("""COMPUTED_VALUE"""),"wei-jia.zhang@ucl.ac.uk")</f>
        <v>wei-jia.zhang@ucl.ac.uk</v>
      </c>
      <c r="G463" s="2"/>
    </row>
    <row r="464">
      <c r="A464" s="2" t="str">
        <f>IFERROR(__xludf.DUMMYFUNCTION("""COMPUTED_VALUE"""),"Athauda")</f>
        <v>Athauda</v>
      </c>
      <c r="B464" s="2" t="str">
        <f>IFERROR(__xludf.DUMMYFUNCTION("""COMPUTED_VALUE"""),"Dilan")</f>
        <v>Dilan</v>
      </c>
      <c r="C464" s="2" t="str">
        <f>IFERROR(__xludf.DUMMYFUNCTION("""COMPUTED_VALUE"""),"Key Personnel")</f>
        <v>Key Personnel</v>
      </c>
      <c r="D464" s="2" t="str">
        <f>IFERROR(__xludf.DUMMYFUNCTION("""COMPUTED_VALUE"""),"Gandhi")</f>
        <v>Gandhi</v>
      </c>
      <c r="E464" s="2" t="str">
        <f>IFERROR(__xludf.DUMMYFUNCTION("""COMPUTED_VALUE"""),"Clinical Fellow")</f>
        <v>Clinical Fellow</v>
      </c>
      <c r="F464" s="2" t="str">
        <f>IFERROR(__xludf.DUMMYFUNCTION("""COMPUTED_VALUE"""),"d.athauda@ucl.ac.uk")</f>
        <v>d.athauda@ucl.ac.uk</v>
      </c>
      <c r="G464" s="2"/>
    </row>
    <row r="465">
      <c r="A465" s="2" t="str">
        <f>IFERROR(__xludf.DUMMYFUNCTION("""COMPUTED_VALUE"""),"Shadman Zanjani")</f>
        <v>Shadman Zanjani</v>
      </c>
      <c r="B465" s="2" t="str">
        <f>IFERROR(__xludf.DUMMYFUNCTION("""COMPUTED_VALUE"""),"Zeinab")</f>
        <v>Zeinab</v>
      </c>
      <c r="C465" s="2" t="str">
        <f>IFERROR(__xludf.DUMMYFUNCTION("""COMPUTED_VALUE"""),"Key Personnel")</f>
        <v>Key Personnel</v>
      </c>
      <c r="D465" s="2" t="str">
        <f>IFERROR(__xludf.DUMMYFUNCTION("""COMPUTED_VALUE"""),"Gandhi")</f>
        <v>Gandhi</v>
      </c>
      <c r="E465" s="2" t="str">
        <f>IFERROR(__xludf.DUMMYFUNCTION("""COMPUTED_VALUE"""),"Technician")</f>
        <v>Technician</v>
      </c>
      <c r="F465" s="2" t="str">
        <f>IFERROR(__xludf.DUMMYFUNCTION("""COMPUTED_VALUE"""),"z.zanjani@ucl.ac.uk")</f>
        <v>z.zanjani@ucl.ac.uk</v>
      </c>
      <c r="G465" s="2" t="str">
        <f>IFERROR(__xludf.DUMMYFUNCTION("""COMPUTED_VALUE"""),"0000-0001-9144-1503")</f>
        <v>0000-0001-9144-1503</v>
      </c>
    </row>
    <row r="466">
      <c r="A466" s="2" t="str">
        <f>IFERROR(__xludf.DUMMYFUNCTION("""COMPUTED_VALUE"""),"Frias")</f>
        <v>Frias</v>
      </c>
      <c r="B466" s="2" t="str">
        <f>IFERROR(__xludf.DUMMYFUNCTION("""COMPUTED_VALUE"""),"Barbasa")</f>
        <v>Barbasa</v>
      </c>
      <c r="C466" s="2" t="str">
        <f>IFERROR(__xludf.DUMMYFUNCTION("""COMPUTED_VALUE"""),"Key Personnel")</f>
        <v>Key Personnel</v>
      </c>
      <c r="D466" s="2" t="str">
        <f>IFERROR(__xludf.DUMMYFUNCTION("""COMPUTED_VALUE"""),"Gandhi")</f>
        <v>Gandhi</v>
      </c>
      <c r="E466" s="2" t="str">
        <f>IFERROR(__xludf.DUMMYFUNCTION("""COMPUTED_VALUE"""),"senior tecghnician")</f>
        <v>senior tecghnician</v>
      </c>
      <c r="F466" s="2" t="str">
        <f>IFERROR(__xludf.DUMMYFUNCTION("""COMPUTED_VALUE"""),"b.frias@ucl.ac.uk")</f>
        <v>b.frias@ucl.ac.uk</v>
      </c>
      <c r="G466" s="2" t="str">
        <f>IFERROR(__xludf.DUMMYFUNCTION("""COMPUTED_VALUE"""),"0000-0001-9517-2259")</f>
        <v>0000-0001-9517-2259</v>
      </c>
    </row>
    <row r="467">
      <c r="A467" s="2" t="str">
        <f>IFERROR(__xludf.DUMMYFUNCTION("""COMPUTED_VALUE"""),"Deconfin")</f>
        <v>Deconfin</v>
      </c>
      <c r="B467" s="2" t="str">
        <f>IFERROR(__xludf.DUMMYFUNCTION("""COMPUTED_VALUE"""),"Angèle")</f>
        <v>Angèle</v>
      </c>
      <c r="C467" s="2" t="str">
        <f>IFERROR(__xludf.DUMMYFUNCTION("""COMPUTED_VALUE"""),"Key Personnel")</f>
        <v>Key Personnel</v>
      </c>
      <c r="D467" s="2" t="str">
        <f>IFERROR(__xludf.DUMMYFUNCTION("""COMPUTED_VALUE"""),"Lee")</f>
        <v>Lee</v>
      </c>
      <c r="E467" s="2" t="str">
        <f>IFERROR(__xludf.DUMMYFUNCTION("""COMPUTED_VALUE"""),"intern")</f>
        <v>intern</v>
      </c>
      <c r="F467" s="2" t="str">
        <f>IFERROR(__xludf.DUMMYFUNCTION("""COMPUTED_VALUE"""),"ad2185@cam.ac.uk")</f>
        <v>ad2185@cam.ac.uk</v>
      </c>
      <c r="G467" s="2" t="str">
        <f>IFERROR(__xludf.DUMMYFUNCTION("""COMPUTED_VALUE"""),"0000-0003-1007-8496")</f>
        <v>0000-0003-1007-8496</v>
      </c>
    </row>
    <row r="468">
      <c r="A468" s="2" t="str">
        <f>IFERROR(__xludf.DUMMYFUNCTION("""COMPUTED_VALUE"""),"Storm")</f>
        <v>Storm</v>
      </c>
      <c r="B468" s="2" t="str">
        <f>IFERROR(__xludf.DUMMYFUNCTION("""COMPUTED_VALUE"""),"Catherine")</f>
        <v>Catherine</v>
      </c>
      <c r="C468" s="2" t="str">
        <f>IFERROR(__xludf.DUMMYFUNCTION("""COMPUTED_VALUE"""),"Key Personnel")</f>
        <v>Key Personnel</v>
      </c>
      <c r="D468" s="2" t="str">
        <f>IFERROR(__xludf.DUMMYFUNCTION("""COMPUTED_VALUE"""),"Wood")</f>
        <v>Wood</v>
      </c>
      <c r="E468" s="2" t="str">
        <f>IFERROR(__xludf.DUMMYFUNCTION("""COMPUTED_VALUE"""),"PhD Student")</f>
        <v>PhD Student</v>
      </c>
      <c r="F468" s="2" t="str">
        <f>IFERROR(__xludf.DUMMYFUNCTION("""COMPUTED_VALUE"""),"catherine.storm.14@ucl.ac.uk")</f>
        <v>catherine.storm.14@ucl.ac.uk</v>
      </c>
      <c r="G468" s="2" t="str">
        <f>IFERROR(__xludf.DUMMYFUNCTION("""COMPUTED_VALUE"""),"0000-0003-4957-1712")</f>
        <v>0000-0003-4957-1712</v>
      </c>
    </row>
    <row r="469">
      <c r="A469" s="2" t="str">
        <f>IFERROR(__xludf.DUMMYFUNCTION("""COMPUTED_VALUE"""),"Jonvik")</f>
        <v>Jonvik</v>
      </c>
      <c r="B469" s="2" t="str">
        <f>IFERROR(__xludf.DUMMYFUNCTION("""COMPUTED_VALUE"""),"Hallgeir")</f>
        <v>Hallgeir</v>
      </c>
      <c r="C469" s="2" t="str">
        <f>IFERROR(__xludf.DUMMYFUNCTION("""COMPUTED_VALUE"""),"Key Personnel")</f>
        <v>Key Personnel</v>
      </c>
      <c r="D469" s="2" t="str">
        <f>IFERROR(__xludf.DUMMYFUNCTION("""COMPUTED_VALUE"""),"Wood")</f>
        <v>Wood</v>
      </c>
      <c r="E469" s="2" t="str">
        <f>IFERROR(__xludf.DUMMYFUNCTION("""COMPUTED_VALUE"""),"Database manager")</f>
        <v>Database manager</v>
      </c>
      <c r="F469" s="2" t="str">
        <f>IFERROR(__xludf.DUMMYFUNCTION("""COMPUTED_VALUE"""),"h.jonvik@ucl.ac.uk")</f>
        <v>h.jonvik@ucl.ac.uk</v>
      </c>
      <c r="G469" s="2" t="str">
        <f>IFERROR(__xludf.DUMMYFUNCTION("""COMPUTED_VALUE"""),"0000-0002-1306-8958")</f>
        <v>0000-0002-1306-8958</v>
      </c>
    </row>
    <row r="470">
      <c r="A470" s="2" t="str">
        <f>IFERROR(__xludf.DUMMYFUNCTION("""COMPUTED_VALUE"""),"Reynolds")</f>
        <v>Reynolds</v>
      </c>
      <c r="B470" s="2" t="str">
        <f>IFERROR(__xludf.DUMMYFUNCTION("""COMPUTED_VALUE"""),"Regina")</f>
        <v>Regina</v>
      </c>
      <c r="C470" s="2" t="str">
        <f>IFERROR(__xludf.DUMMYFUNCTION("""COMPUTED_VALUE"""),"Key Personnel")</f>
        <v>Key Personnel</v>
      </c>
      <c r="D470" s="2" t="str">
        <f>IFERROR(__xludf.DUMMYFUNCTION("""COMPUTED_VALUE"""),"Ryten")</f>
        <v>Ryten</v>
      </c>
      <c r="E470" s="2" t="str">
        <f>IFERROR(__xludf.DUMMYFUNCTION("""COMPUTED_VALUE"""),"postdoc")</f>
        <v>postdoc</v>
      </c>
      <c r="F470" s="2" t="str">
        <f>IFERROR(__xludf.DUMMYFUNCTION("""COMPUTED_VALUE"""),"regina.reynolds.16@ucl.ac.uk")</f>
        <v>regina.reynolds.16@ucl.ac.uk</v>
      </c>
      <c r="G470" s="2" t="str">
        <f>IFERROR(__xludf.DUMMYFUNCTION("""COMPUTED_VALUE"""),"0000-0001-6470-7919")</f>
        <v>0000-0001-6470-7919</v>
      </c>
    </row>
    <row r="471">
      <c r="A471" s="2" t="str">
        <f>IFERROR(__xludf.DUMMYFUNCTION("""COMPUTED_VALUE"""),"Zhang")</f>
        <v>Zhang</v>
      </c>
      <c r="B471" s="2" t="str">
        <f>IFERROR(__xludf.DUMMYFUNCTION("""COMPUTED_VALUE"""),"David")</f>
        <v>David</v>
      </c>
      <c r="C471" s="2" t="str">
        <f>IFERROR(__xludf.DUMMYFUNCTION("""COMPUTED_VALUE"""),"Key Personnel")</f>
        <v>Key Personnel</v>
      </c>
      <c r="D471" s="2" t="str">
        <f>IFERROR(__xludf.DUMMYFUNCTION("""COMPUTED_VALUE"""),"Ryten")</f>
        <v>Ryten</v>
      </c>
      <c r="E471" s="2" t="str">
        <f>IFERROR(__xludf.DUMMYFUNCTION("""COMPUTED_VALUE"""),"RA")</f>
        <v>RA</v>
      </c>
      <c r="F471" s="2" t="str">
        <f>IFERROR(__xludf.DUMMYFUNCTION("""COMPUTED_VALUE"""),"zcbtdzh@ucl.ac.uk")</f>
        <v>zcbtdzh@ucl.ac.uk</v>
      </c>
      <c r="G471" s="2" t="str">
        <f>IFERROR(__xludf.DUMMYFUNCTION("""COMPUTED_VALUE"""),"0000-0003-2382-8460")</f>
        <v>0000-0003-2382-8460</v>
      </c>
    </row>
    <row r="472">
      <c r="A472" s="2" t="str">
        <f>IFERROR(__xludf.DUMMYFUNCTION("""COMPUTED_VALUE"""),"Sethi")</f>
        <v>Sethi</v>
      </c>
      <c r="B472" s="2" t="str">
        <f>IFERROR(__xludf.DUMMYFUNCTION("""COMPUTED_VALUE"""),"Siddharth")</f>
        <v>Siddharth</v>
      </c>
      <c r="C472" s="2" t="str">
        <f>IFERROR(__xludf.DUMMYFUNCTION("""COMPUTED_VALUE"""),"Key Personnel")</f>
        <v>Key Personnel</v>
      </c>
      <c r="D472" s="2" t="str">
        <f>IFERROR(__xludf.DUMMYFUNCTION("""COMPUTED_VALUE"""),"Ryten")</f>
        <v>Ryten</v>
      </c>
      <c r="E472" s="2" t="str">
        <f>IFERROR(__xludf.DUMMYFUNCTION("""COMPUTED_VALUE"""),"Postdoctoral Research Fellow")</f>
        <v>Postdoctoral Research Fellow</v>
      </c>
      <c r="F472" s="2" t="str">
        <f>IFERROR(__xludf.DUMMYFUNCTION("""COMPUTED_VALUE"""),"siddharth.sethi@astx.com")</f>
        <v>siddharth.sethi@astx.com</v>
      </c>
      <c r="G472" s="2" t="str">
        <f>IFERROR(__xludf.DUMMYFUNCTION("""COMPUTED_VALUE"""),"0000-0002-4398-4295")</f>
        <v>0000-0002-4398-4295</v>
      </c>
    </row>
    <row r="473">
      <c r="A473" s="2" t="str">
        <f>IFERROR(__xludf.DUMMYFUNCTION("""COMPUTED_VALUE"""),"Reynolds")</f>
        <v>Reynolds</v>
      </c>
      <c r="B473" s="2" t="str">
        <f>IFERROR(__xludf.DUMMYFUNCTION("""COMPUTED_VALUE"""),"Regina")</f>
        <v>Regina</v>
      </c>
      <c r="C473" s="2" t="str">
        <f>IFERROR(__xludf.DUMMYFUNCTION("""COMPUTED_VALUE"""),"Key Personnel")</f>
        <v>Key Personnel</v>
      </c>
      <c r="D473" s="2" t="str">
        <f>IFERROR(__xludf.DUMMYFUNCTION("""COMPUTED_VALUE"""),"Ryten")</f>
        <v>Ryten</v>
      </c>
      <c r="E473" s="2" t="str">
        <f>IFERROR(__xludf.DUMMYFUNCTION("""COMPUTED_VALUE"""),"postdoc")</f>
        <v>postdoc</v>
      </c>
      <c r="F473" s="2" t="str">
        <f>IFERROR(__xludf.DUMMYFUNCTION("""COMPUTED_VALUE"""),"regina.reynolds.16@ucl.ac.uk")</f>
        <v>regina.reynolds.16@ucl.ac.uk</v>
      </c>
      <c r="G473" s="2" t="str">
        <f>IFERROR(__xludf.DUMMYFUNCTION("""COMPUTED_VALUE"""),"0000-0001-6470-7919")</f>
        <v>0000-0001-6470-7919</v>
      </c>
    </row>
    <row r="474">
      <c r="A474" s="2" t="str">
        <f>IFERROR(__xludf.DUMMYFUNCTION("""COMPUTED_VALUE"""),"Zhang")</f>
        <v>Zhang</v>
      </c>
      <c r="B474" s="2" t="str">
        <f>IFERROR(__xludf.DUMMYFUNCTION("""COMPUTED_VALUE"""),"David")</f>
        <v>David</v>
      </c>
      <c r="C474" s="2" t="str">
        <f>IFERROR(__xludf.DUMMYFUNCTION("""COMPUTED_VALUE"""),"Key Personnel")</f>
        <v>Key Personnel</v>
      </c>
      <c r="D474" s="2" t="str">
        <f>IFERROR(__xludf.DUMMYFUNCTION("""COMPUTED_VALUE"""),"Ryten")</f>
        <v>Ryten</v>
      </c>
      <c r="E474" s="2" t="str">
        <f>IFERROR(__xludf.DUMMYFUNCTION("""COMPUTED_VALUE"""),"RA")</f>
        <v>RA</v>
      </c>
      <c r="F474" s="2" t="str">
        <f>IFERROR(__xludf.DUMMYFUNCTION("""COMPUTED_VALUE"""),"zcbtdzh@ucl.ac.uk")</f>
        <v>zcbtdzh@ucl.ac.uk</v>
      </c>
      <c r="G474" s="2" t="str">
        <f>IFERROR(__xludf.DUMMYFUNCTION("""COMPUTED_VALUE"""),"0000-0003-2382-8460")</f>
        <v>0000-0003-2382-8460</v>
      </c>
    </row>
    <row r="475">
      <c r="A475" s="2" t="str">
        <f>IFERROR(__xludf.DUMMYFUNCTION("""COMPUTED_VALUE"""),"Choi")</f>
        <v>Choi</v>
      </c>
      <c r="B475" s="2" t="str">
        <f>IFERROR(__xludf.DUMMYFUNCTION("""COMPUTED_VALUE"""),"Minee")</f>
        <v>Minee</v>
      </c>
      <c r="C475" s="2" t="str">
        <f>IFERROR(__xludf.DUMMYFUNCTION("""COMPUTED_VALUE"""),"Key Personnel")</f>
        <v>Key Personnel</v>
      </c>
      <c r="D475" s="2" t="str">
        <f>IFERROR(__xludf.DUMMYFUNCTION("""COMPUTED_VALUE"""),"Gandhi ")</f>
        <v>Gandhi </v>
      </c>
      <c r="E475" s="2" t="str">
        <f>IFERROR(__xludf.DUMMYFUNCTION("""COMPUTED_VALUE"""),"research fellow")</f>
        <v>research fellow</v>
      </c>
      <c r="F475" s="2" t="str">
        <f>IFERROR(__xludf.DUMMYFUNCTION("""COMPUTED_VALUE"""),"minee-liane.choi@crick.ac.uk")</f>
        <v>minee-liane.choi@crick.ac.uk</v>
      </c>
      <c r="G475" s="2" t="str">
        <f>IFERROR(__xludf.DUMMYFUNCTION("""COMPUTED_VALUE"""),"0000-0001-9414-8214")</f>
        <v>0000-0001-9414-8214</v>
      </c>
    </row>
    <row r="476">
      <c r="A476" s="2" t="str">
        <f>IFERROR(__xludf.DUMMYFUNCTION("""COMPUTED_VALUE"""),"Rodriquez-Lopez")</f>
        <v>Rodriquez-Lopez</v>
      </c>
      <c r="B476" s="2" t="str">
        <f>IFERROR(__xludf.DUMMYFUNCTION("""COMPUTED_VALUE"""),"Maria")</f>
        <v>Maria</v>
      </c>
      <c r="C476" s="2" t="str">
        <f>IFERROR(__xludf.DUMMYFUNCTION("""COMPUTED_VALUE"""),"Key Personnel")</f>
        <v>Key Personnel</v>
      </c>
      <c r="D476" s="2" t="str">
        <f>IFERROR(__xludf.DUMMYFUNCTION("""COMPUTED_VALUE"""),"Gandhi")</f>
        <v>Gandhi</v>
      </c>
      <c r="E476" s="2" t="str">
        <f>IFERROR(__xludf.DUMMYFUNCTION("""COMPUTED_VALUE"""),"senior post doc")</f>
        <v>senior post doc</v>
      </c>
      <c r="F476" s="2" t="str">
        <f>IFERROR(__xludf.DUMMYFUNCTION("""COMPUTED_VALUE"""),"maria.rodriguez@crick.ac.uk")</f>
        <v>maria.rodriguez@crick.ac.uk</v>
      </c>
      <c r="G476" s="2" t="str">
        <f>IFERROR(__xludf.DUMMYFUNCTION("""COMPUTED_VALUE"""),"0000-0002-2066-0589")</f>
        <v>0000-0002-2066-0589</v>
      </c>
    </row>
    <row r="477">
      <c r="A477" s="2" t="str">
        <f>IFERROR(__xludf.DUMMYFUNCTION("""COMPUTED_VALUE"""),"Wernick")</f>
        <v>Wernick</v>
      </c>
      <c r="B477" s="2" t="str">
        <f>IFERROR(__xludf.DUMMYFUNCTION("""COMPUTED_VALUE"""),"Anna")</f>
        <v>Anna</v>
      </c>
      <c r="C477" s="2" t="str">
        <f>IFERROR(__xludf.DUMMYFUNCTION("""COMPUTED_VALUE"""),"Key Personnel")</f>
        <v>Key Personnel</v>
      </c>
      <c r="D477" s="2" t="str">
        <f>IFERROR(__xludf.DUMMYFUNCTION("""COMPUTED_VALUE"""),"Gandhi")</f>
        <v>Gandhi</v>
      </c>
      <c r="E477" s="2" t="str">
        <f>IFERROR(__xludf.DUMMYFUNCTION("""COMPUTED_VALUE"""),"phd student")</f>
        <v>phd student</v>
      </c>
      <c r="F477" s="2" t="str">
        <f>IFERROR(__xludf.DUMMYFUNCTION("""COMPUTED_VALUE"""),"anna.wernick.19@ucl.ac.uk")</f>
        <v>anna.wernick.19@ucl.ac.uk</v>
      </c>
      <c r="G477" s="2" t="str">
        <f>IFERROR(__xludf.DUMMYFUNCTION("""COMPUTED_VALUE"""),"0000-0001-9048-9492")</f>
        <v>0000-0001-9048-9492</v>
      </c>
    </row>
    <row r="478">
      <c r="A478" s="2" t="str">
        <f>IFERROR(__xludf.DUMMYFUNCTION("""COMPUTED_VALUE"""),"Jaunmuktane")</f>
        <v>Jaunmuktane</v>
      </c>
      <c r="B478" s="2" t="str">
        <f>IFERROR(__xludf.DUMMYFUNCTION("""COMPUTED_VALUE"""),"Zane")</f>
        <v>Zane</v>
      </c>
      <c r="C478" s="2" t="str">
        <f>IFERROR(__xludf.DUMMYFUNCTION("""COMPUTED_VALUE"""),"Key Personnel")</f>
        <v>Key Personnel</v>
      </c>
      <c r="D478" s="2" t="str">
        <f>IFERROR(__xludf.DUMMYFUNCTION("""COMPUTED_VALUE"""),"Jaunmuktane")</f>
        <v>Jaunmuktane</v>
      </c>
      <c r="E478" s="2" t="str">
        <f>IFERROR(__xludf.DUMMYFUNCTION("""COMPUTED_VALUE"""),"Clinical Lecturer")</f>
        <v>Clinical Lecturer</v>
      </c>
      <c r="F478" s="2" t="str">
        <f>IFERROR(__xludf.DUMMYFUNCTION("""COMPUTED_VALUE"""),"z.jaunmuktane@ucl.ac.uk")</f>
        <v>z.jaunmuktane@ucl.ac.uk</v>
      </c>
      <c r="G478" s="2" t="str">
        <f>IFERROR(__xludf.DUMMYFUNCTION("""COMPUTED_VALUE"""),"0000-0001-7738-8881")</f>
        <v>0000-0001-7738-8881</v>
      </c>
    </row>
    <row r="479">
      <c r="A479" s="2" t="str">
        <f>IFERROR(__xludf.DUMMYFUNCTION("""COMPUTED_VALUE"""),"Proukakis")</f>
        <v>Proukakis</v>
      </c>
      <c r="B479" s="2" t="str">
        <f>IFERROR(__xludf.DUMMYFUNCTION("""COMPUTED_VALUE"""),"Christos")</f>
        <v>Christos</v>
      </c>
      <c r="C479" s="2" t="str">
        <f>IFERROR(__xludf.DUMMYFUNCTION("""COMPUTED_VALUE"""),"Key Personnel")</f>
        <v>Key Personnel</v>
      </c>
      <c r="D479" s="2" t="str">
        <f>IFERROR(__xludf.DUMMYFUNCTION("""COMPUTED_VALUE"""),"Wood/ Voet")</f>
        <v>Wood/ Voet</v>
      </c>
      <c r="E479" s="2" t="str">
        <f>IFERROR(__xludf.DUMMYFUNCTION("""COMPUTED_VALUE"""),"associate")</f>
        <v>associate</v>
      </c>
      <c r="F479" s="2" t="str">
        <f>IFERROR(__xludf.DUMMYFUNCTION("""COMPUTED_VALUE"""),"c.proukakis@ucl.ac.uk")</f>
        <v>c.proukakis@ucl.ac.uk</v>
      </c>
      <c r="G479" s="2" t="str">
        <f>IFERROR(__xludf.DUMMYFUNCTION("""COMPUTED_VALUE"""),"0000-0001-6423-6539")</f>
        <v>0000-0001-6423-6539</v>
      </c>
    </row>
    <row r="480">
      <c r="A480" s="2" t="str">
        <f>IFERROR(__xludf.DUMMYFUNCTION("""COMPUTED_VALUE"""),"Virdi")</f>
        <v>Virdi</v>
      </c>
      <c r="B480" s="2" t="str">
        <f>IFERROR(__xludf.DUMMYFUNCTION("""COMPUTED_VALUE"""),"Gurvir")</f>
        <v>Gurvir</v>
      </c>
      <c r="C480" s="2" t="str">
        <f>IFERROR(__xludf.DUMMYFUNCTION("""COMPUTED_VALUE"""),"Key Personnel")</f>
        <v>Key Personnel</v>
      </c>
      <c r="D480" s="2" t="str">
        <f>IFERROR(__xludf.DUMMYFUNCTION("""COMPUTED_VALUE"""),"Gandhi")</f>
        <v>Gandhi</v>
      </c>
      <c r="E480" s="2" t="str">
        <f>IFERROR(__xludf.DUMMYFUNCTION("""COMPUTED_VALUE"""),"PhD student")</f>
        <v>PhD student</v>
      </c>
      <c r="F480" s="2" t="str">
        <f>IFERROR(__xludf.DUMMYFUNCTION("""COMPUTED_VALUE"""),"gurvir.virdi@crick.ac.uk")</f>
        <v>gurvir.virdi@crick.ac.uk</v>
      </c>
      <c r="G480" s="2" t="str">
        <f>IFERROR(__xludf.DUMMYFUNCTION("""COMPUTED_VALUE"""),"0000-0002-8942-0903")</f>
        <v>0000-0002-8942-0903</v>
      </c>
    </row>
    <row r="481">
      <c r="A481" s="2" t="str">
        <f>IFERROR(__xludf.DUMMYFUNCTION("""COMPUTED_VALUE"""),"Tian")</f>
        <v>Tian</v>
      </c>
      <c r="B481" s="2" t="str">
        <f>IFERROR(__xludf.DUMMYFUNCTION("""COMPUTED_VALUE"""),"Ru")</f>
        <v>Ru</v>
      </c>
      <c r="C481" s="2" t="str">
        <f>IFERROR(__xludf.DUMMYFUNCTION("""COMPUTED_VALUE"""),"Key Personnel")</f>
        <v>Key Personnel</v>
      </c>
      <c r="D481" s="2" t="str">
        <f>IFERROR(__xludf.DUMMYFUNCTION("""COMPUTED_VALUE"""),"Lee S")</f>
        <v>Lee S</v>
      </c>
      <c r="E481" s="2" t="str">
        <f>IFERROR(__xludf.DUMMYFUNCTION("""COMPUTED_VALUE"""),"PhD student")</f>
        <v>PhD student</v>
      </c>
      <c r="F481" s="2" t="str">
        <f>IFERROR(__xludf.DUMMYFUNCTION("""COMPUTED_VALUE"""),"rt562@cam.ac.uk")</f>
        <v>rt562@cam.ac.uk</v>
      </c>
      <c r="G481" s="2" t="str">
        <f>IFERROR(__xludf.DUMMYFUNCTION("""COMPUTED_VALUE"""),"0000-0002-2201-8928")</f>
        <v>0000-0002-2201-8928</v>
      </c>
    </row>
    <row r="482">
      <c r="A482" s="2" t="str">
        <f>IFERROR(__xludf.DUMMYFUNCTION("""COMPUTED_VALUE"""),"Botia")</f>
        <v>Botia</v>
      </c>
      <c r="B482" s="2" t="str">
        <f>IFERROR(__xludf.DUMMYFUNCTION("""COMPUTED_VALUE"""),"Juan")</f>
        <v>Juan</v>
      </c>
      <c r="C482" s="2" t="str">
        <f>IFERROR(__xludf.DUMMYFUNCTION("""COMPUTED_VALUE"""),"Key Personnel")</f>
        <v>Key Personnel</v>
      </c>
      <c r="D482" s="2" t="str">
        <f>IFERROR(__xludf.DUMMYFUNCTION("""COMPUTED_VALUE"""),"Ryten")</f>
        <v>Ryten</v>
      </c>
      <c r="E482" s="2" t="str">
        <f>IFERROR(__xludf.DUMMYFUNCTION("""COMPUTED_VALUE"""),"postdoc/ hon professor")</f>
        <v>postdoc/ hon professor</v>
      </c>
      <c r="F482" s="2" t="str">
        <f>IFERROR(__xludf.DUMMYFUNCTION("""COMPUTED_VALUE"""),"j.botia@ucl.ac.uk")</f>
        <v>j.botia@ucl.ac.uk</v>
      </c>
      <c r="G482" s="2" t="str">
        <f>IFERROR(__xludf.DUMMYFUNCTION("""COMPUTED_VALUE"""),"0000-0002-6992-598X")</f>
        <v>0000-0002-6992-598X</v>
      </c>
    </row>
    <row r="483">
      <c r="A483" s="2" t="str">
        <f>IFERROR(__xludf.DUMMYFUNCTION("""COMPUTED_VALUE"""),"Kalef-Ezra")</f>
        <v>Kalef-Ezra</v>
      </c>
      <c r="B483" s="2" t="str">
        <f>IFERROR(__xludf.DUMMYFUNCTION("""COMPUTED_VALUE"""),"Ester")</f>
        <v>Ester</v>
      </c>
      <c r="C483" s="2" t="str">
        <f>IFERROR(__xludf.DUMMYFUNCTION("""COMPUTED_VALUE"""),"Key Personnel")</f>
        <v>Key Personnel</v>
      </c>
      <c r="D483" s="2" t="str">
        <f>IFERROR(__xludf.DUMMYFUNCTION("""COMPUTED_VALUE"""),"Proukakis")</f>
        <v>Proukakis</v>
      </c>
      <c r="E483" s="2" t="str">
        <f>IFERROR(__xludf.DUMMYFUNCTION("""COMPUTED_VALUE"""),"post doc")</f>
        <v>post doc</v>
      </c>
      <c r="F483" s="2" t="str">
        <f>IFERROR(__xludf.DUMMYFUNCTION("""COMPUTED_VALUE"""),"e.kalef-ezra@ucl.ac.uk")</f>
        <v>e.kalef-ezra@ucl.ac.uk</v>
      </c>
      <c r="G483" s="2" t="str">
        <f>IFERROR(__xludf.DUMMYFUNCTION("""COMPUTED_VALUE"""),"0000-0002-1297-3315")</f>
        <v>0000-0002-1297-3315</v>
      </c>
    </row>
    <row r="484">
      <c r="A484" s="2" t="str">
        <f>IFERROR(__xludf.DUMMYFUNCTION("""COMPUTED_VALUE"""),"Andrews")</f>
        <v>Andrews</v>
      </c>
      <c r="B484" s="2" t="str">
        <f>IFERROR(__xludf.DUMMYFUNCTION("""COMPUTED_VALUE"""),"Rebecca")</f>
        <v>Rebecca</v>
      </c>
      <c r="C484" s="2" t="str">
        <f>IFERROR(__xludf.DUMMYFUNCTION("""COMPUTED_VALUE"""),"Key Personnel")</f>
        <v>Key Personnel</v>
      </c>
      <c r="D484" s="2" t="str">
        <f>IFERROR(__xludf.DUMMYFUNCTION("""COMPUTED_VALUE"""),"Lee")</f>
        <v>Lee</v>
      </c>
      <c r="E484" s="2" t="str">
        <f>IFERROR(__xludf.DUMMYFUNCTION("""COMPUTED_VALUE"""),"POst doc")</f>
        <v>POst doc</v>
      </c>
      <c r="F484" s="2" t="str">
        <f>IFERROR(__xludf.DUMMYFUNCTION("""COMPUTED_VALUE"""),"ra636@cam.ac.uk")</f>
        <v>ra636@cam.ac.uk</v>
      </c>
      <c r="G484" s="2" t="str">
        <f>IFERROR(__xludf.DUMMYFUNCTION("""COMPUTED_VALUE"""),"0000-0001-8954-1652")</f>
        <v>0000-0001-8954-1652</v>
      </c>
    </row>
    <row r="485">
      <c r="A485" s="2" t="str">
        <f>IFERROR(__xludf.DUMMYFUNCTION("""COMPUTED_VALUE"""),"Jonvik")</f>
        <v>Jonvik</v>
      </c>
      <c r="B485" s="2" t="str">
        <f>IFERROR(__xludf.DUMMYFUNCTION("""COMPUTED_VALUE"""),"Hallgeir")</f>
        <v>Hallgeir</v>
      </c>
      <c r="C485" s="2" t="str">
        <f>IFERROR(__xludf.DUMMYFUNCTION("""COMPUTED_VALUE"""),"Key Personnel")</f>
        <v>Key Personnel</v>
      </c>
      <c r="D485" s="2" t="str">
        <f>IFERROR(__xludf.DUMMYFUNCTION("""COMPUTED_VALUE"""),"Wood")</f>
        <v>Wood</v>
      </c>
      <c r="E485" s="2" t="str">
        <f>IFERROR(__xludf.DUMMYFUNCTION("""COMPUTED_VALUE"""),"Database manager")</f>
        <v>Database manager</v>
      </c>
      <c r="F485" s="2" t="str">
        <f>IFERROR(__xludf.DUMMYFUNCTION("""COMPUTED_VALUE"""),"h.jonvik@ucl.ac.uk")</f>
        <v>h.jonvik@ucl.ac.uk</v>
      </c>
      <c r="G485" s="2" t="str">
        <f>IFERROR(__xludf.DUMMYFUNCTION("""COMPUTED_VALUE"""),"0000-0002-1306-8958")</f>
        <v>0000-0002-1306-8958</v>
      </c>
    </row>
    <row r="486">
      <c r="A486" s="2" t="str">
        <f>IFERROR(__xludf.DUMMYFUNCTION("""COMPUTED_VALUE"""),"Hicks")</f>
        <v>Hicks</v>
      </c>
      <c r="B486" s="2" t="str">
        <f>IFERROR(__xludf.DUMMYFUNCTION("""COMPUTED_VALUE"""),"Amy")</f>
        <v>Amy</v>
      </c>
      <c r="C486" s="2" t="str">
        <f>IFERROR(__xludf.DUMMYFUNCTION("""COMPUTED_VALUE"""),"Key Personnel")</f>
        <v>Key Personnel</v>
      </c>
      <c r="D486" s="2" t="str">
        <f>IFERROR(__xludf.DUMMYFUNCTION("""COMPUTED_VALUE"""),"Ryten")</f>
        <v>Ryten</v>
      </c>
      <c r="E486" s="2" t="str">
        <f>IFERROR(__xludf.DUMMYFUNCTION("""COMPUTED_VALUE"""),"PhD student")</f>
        <v>PhD student</v>
      </c>
      <c r="F486" s="2" t="str">
        <f>IFERROR(__xludf.DUMMYFUNCTION("""COMPUTED_VALUE"""),"amy.hicks.19@ucl.ac.uk")</f>
        <v>amy.hicks.19@ucl.ac.uk</v>
      </c>
      <c r="G486" s="2" t="str">
        <f>IFERROR(__xludf.DUMMYFUNCTION("""COMPUTED_VALUE"""),"0000-0002-3965-5253")</f>
        <v>0000-0002-3965-5253</v>
      </c>
    </row>
    <row r="487">
      <c r="A487" s="2" t="str">
        <f>IFERROR(__xludf.DUMMYFUNCTION("""COMPUTED_VALUE"""),"Nisar ")</f>
        <v>Nisar </v>
      </c>
      <c r="B487" s="2" t="str">
        <f>IFERROR(__xludf.DUMMYFUNCTION("""COMPUTED_VALUE"""),"Shar")</f>
        <v>Shar</v>
      </c>
      <c r="C487" s="2" t="str">
        <f>IFERROR(__xludf.DUMMYFUNCTION("""COMPUTED_VALUE"""),"Key Personnel")</f>
        <v>Key Personnel</v>
      </c>
      <c r="D487" s="2" t="str">
        <f>IFERROR(__xludf.DUMMYFUNCTION("""COMPUTED_VALUE"""),"Wood")</f>
        <v>Wood</v>
      </c>
      <c r="E487" s="2" t="str">
        <f>IFERROR(__xludf.DUMMYFUNCTION("""COMPUTED_VALUE"""),"pdra")</f>
        <v>pdra</v>
      </c>
      <c r="F487" s="2" t="str">
        <f>IFERROR(__xludf.DUMMYFUNCTION("""COMPUTED_VALUE"""),"n.shar@ucl.ac.uk")</f>
        <v>n.shar@ucl.ac.uk</v>
      </c>
      <c r="G487" s="2" t="str">
        <f>IFERROR(__xludf.DUMMYFUNCTION("""COMPUTED_VALUE"""),"0000-0002-1293-8894")</f>
        <v>0000-0002-1293-8894</v>
      </c>
    </row>
    <row r="488">
      <c r="A488" s="2" t="str">
        <f>IFERROR(__xludf.DUMMYFUNCTION("""COMPUTED_VALUE"""),"Demis")</f>
        <v>Demis</v>
      </c>
      <c r="B488" s="2" t="str">
        <f>IFERROR(__xludf.DUMMYFUNCTION("""COMPUTED_VALUE"""),"Kia")</f>
        <v>Kia</v>
      </c>
      <c r="C488" s="2" t="str">
        <f>IFERROR(__xludf.DUMMYFUNCTION("""COMPUTED_VALUE"""),"Key Personnel")</f>
        <v>Key Personnel</v>
      </c>
      <c r="D488" s="2" t="str">
        <f>IFERROR(__xludf.DUMMYFUNCTION("""COMPUTED_VALUE"""),"Wood")</f>
        <v>Wood</v>
      </c>
      <c r="E488" s="2" t="str">
        <f>IFERROR(__xludf.DUMMYFUNCTION("""COMPUTED_VALUE"""),"PhD student ")</f>
        <v>PhD student </v>
      </c>
      <c r="F488" s="2" t="str">
        <f>IFERROR(__xludf.DUMMYFUNCTION("""COMPUTED_VALUE"""),"demis.kia.10@ucl.ac.uk")</f>
        <v>demis.kia.10@ucl.ac.uk</v>
      </c>
      <c r="G488" s="2"/>
    </row>
    <row r="489">
      <c r="A489" s="2" t="str">
        <f>IFERROR(__xludf.DUMMYFUNCTION("""COMPUTED_VALUE"""),"Anderson")</f>
        <v>Anderson</v>
      </c>
      <c r="B489" s="2" t="str">
        <f>IFERROR(__xludf.DUMMYFUNCTION("""COMPUTED_VALUE"""),"Claire")</f>
        <v>Claire</v>
      </c>
      <c r="C489" s="2" t="str">
        <f>IFERROR(__xludf.DUMMYFUNCTION("""COMPUTED_VALUE"""),"Key Personnel")</f>
        <v>Key Personnel</v>
      </c>
      <c r="D489" s="2" t="str">
        <f>IFERROR(__xludf.DUMMYFUNCTION("""COMPUTED_VALUE"""),"Ryten")</f>
        <v>Ryten</v>
      </c>
      <c r="E489" s="2" t="str">
        <f>IFERROR(__xludf.DUMMYFUNCTION("""COMPUTED_VALUE"""),"post doc")</f>
        <v>post doc</v>
      </c>
      <c r="F489" s="2" t="str">
        <f>IFERROR(__xludf.DUMMYFUNCTION("""COMPUTED_VALUE"""),"claire.anderson@ucl.ac.uk")</f>
        <v>claire.anderson@ucl.ac.uk</v>
      </c>
      <c r="G489" s="2" t="str">
        <f>IFERROR(__xludf.DUMMYFUNCTION("""COMPUTED_VALUE"""),"0000-0002-4069-7012")</f>
        <v>0000-0002-4069-7012</v>
      </c>
    </row>
    <row r="490">
      <c r="A490" s="2" t="str">
        <f>IFERROR(__xludf.DUMMYFUNCTION("""COMPUTED_VALUE"""),"Gaskin")</f>
        <v>Gaskin</v>
      </c>
      <c r="B490" s="2" t="str">
        <f>IFERROR(__xludf.DUMMYFUNCTION("""COMPUTED_VALUE"""),"Mark")</f>
        <v>Mark</v>
      </c>
      <c r="C490" s="2" t="str">
        <f>IFERROR(__xludf.DUMMYFUNCTION("""COMPUTED_VALUE"""),"Key Personnel")</f>
        <v>Key Personnel</v>
      </c>
      <c r="D490" s="2" t="str">
        <f>IFERROR(__xludf.DUMMYFUNCTION("""COMPUTED_VALUE"""),"Wood")</f>
        <v>Wood</v>
      </c>
      <c r="E490" s="2" t="str">
        <f>IFERROR(__xludf.DUMMYFUNCTION("""COMPUTED_VALUE"""),"Lab Manager")</f>
        <v>Lab Manager</v>
      </c>
      <c r="F490" s="2" t="str">
        <f>IFERROR(__xludf.DUMMYFUNCTION("""COMPUTED_VALUE"""),"mark.gaskin@ucl.ac.uk")</f>
        <v>mark.gaskin@ucl.ac.uk</v>
      </c>
      <c r="G490" s="2" t="str">
        <f>IFERROR(__xludf.DUMMYFUNCTION("""COMPUTED_VALUE"""),"0009-0005-7795-0404")</f>
        <v>0009-0005-7795-0404</v>
      </c>
    </row>
    <row r="491">
      <c r="A491" s="2" t="str">
        <f>IFERROR(__xludf.DUMMYFUNCTION("""COMPUTED_VALUE"""),"Chen")</f>
        <v>Chen</v>
      </c>
      <c r="B491" s="2" t="str">
        <f>IFERROR(__xludf.DUMMYFUNCTION("""COMPUTED_VALUE"""),"Zhongbo ")</f>
        <v>Zhongbo </v>
      </c>
      <c r="C491" s="2" t="str">
        <f>IFERROR(__xludf.DUMMYFUNCTION("""COMPUTED_VALUE"""),"Key Personnel")</f>
        <v>Key Personnel</v>
      </c>
      <c r="D491" s="2" t="str">
        <f>IFERROR(__xludf.DUMMYFUNCTION("""COMPUTED_VALUE"""),"Ryten")</f>
        <v>Ryten</v>
      </c>
      <c r="E491" s="2" t="str">
        <f>IFERROR(__xludf.DUMMYFUNCTION("""COMPUTED_VALUE"""),"postdoc")</f>
        <v>postdoc</v>
      </c>
      <c r="F491" s="2" t="str">
        <f>IFERROR(__xludf.DUMMYFUNCTION("""COMPUTED_VALUE"""),"zhongbo.chen@ucl.ac.uk")</f>
        <v>zhongbo.chen@ucl.ac.uk</v>
      </c>
      <c r="G491" s="2" t="str">
        <f>IFERROR(__xludf.DUMMYFUNCTION("""COMPUTED_VALUE"""),"0000-0001-6668-7202")</f>
        <v>0000-0001-6668-7202</v>
      </c>
    </row>
    <row r="492">
      <c r="A492" s="2" t="str">
        <f>IFERROR(__xludf.DUMMYFUNCTION("""COMPUTED_VALUE"""),"Rodrigues")</f>
        <v>Rodrigues</v>
      </c>
      <c r="B492" s="2" t="str">
        <f>IFERROR(__xludf.DUMMYFUNCTION("""COMPUTED_VALUE"""),"Joao")</f>
        <v>Joao</v>
      </c>
      <c r="C492" s="2" t="str">
        <f>IFERROR(__xludf.DUMMYFUNCTION("""COMPUTED_VALUE"""),"Key Personnel")</f>
        <v>Key Personnel</v>
      </c>
      <c r="D492" s="2" t="str">
        <f>IFERROR(__xludf.DUMMYFUNCTION("""COMPUTED_VALUE"""),"Arlehamn")</f>
        <v>Arlehamn</v>
      </c>
      <c r="E492" s="2" t="str">
        <f>IFERROR(__xludf.DUMMYFUNCTION("""COMPUTED_VALUE"""),"Postdoc")</f>
        <v>Postdoc</v>
      </c>
      <c r="F492" s="2" t="str">
        <f>IFERROR(__xludf.DUMMYFUNCTION("""COMPUTED_VALUE"""),"jrodrigues@lji.org")</f>
        <v>jrodrigues@lji.org</v>
      </c>
      <c r="G492" s="2" t="str">
        <f>IFERROR(__xludf.DUMMYFUNCTION("""COMPUTED_VALUE"""),"0000-0002-8354-8842")</f>
        <v>0000-0002-8354-8842</v>
      </c>
    </row>
    <row r="493">
      <c r="A493" s="2" t="str">
        <f>IFERROR(__xludf.DUMMYFUNCTION("""COMPUTED_VALUE"""),"Xu ")</f>
        <v>Xu </v>
      </c>
      <c r="B493" s="2" t="str">
        <f>IFERROR(__xludf.DUMMYFUNCTION("""COMPUTED_VALUE"""),"Yaqian (Heather)")</f>
        <v>Yaqian (Heather)</v>
      </c>
      <c r="C493" s="2" t="str">
        <f>IFERROR(__xludf.DUMMYFUNCTION("""COMPUTED_VALUE"""),"Project Manager")</f>
        <v>Project Manager</v>
      </c>
      <c r="D493" s="2" t="str">
        <f>IFERROR(__xludf.DUMMYFUNCTION("""COMPUTED_VALUE"""),"Sulzer")</f>
        <v>Sulzer</v>
      </c>
      <c r="E493" s="2" t="str">
        <f>IFERROR(__xludf.DUMMYFUNCTION("""COMPUTED_VALUE"""),"Project Manager")</f>
        <v>Project Manager</v>
      </c>
      <c r="F493" s="2" t="str">
        <f>IFERROR(__xludf.DUMMYFUNCTION("""COMPUTED_VALUE"""),"yx2389@cumc.columbia.edu")</f>
        <v>yx2389@cumc.columbia.edu</v>
      </c>
      <c r="G493" s="2" t="str">
        <f>IFERROR(__xludf.DUMMYFUNCTION("""COMPUTED_VALUE"""),"0000-0001-5890-3446")</f>
        <v>0000-0001-5890-3446</v>
      </c>
    </row>
    <row r="494">
      <c r="A494" s="2" t="str">
        <f>IFERROR(__xludf.DUMMYFUNCTION("""COMPUTED_VALUE"""),"Williams")</f>
        <v>Williams</v>
      </c>
      <c r="B494" s="2" t="str">
        <f>IFERROR(__xludf.DUMMYFUNCTION("""COMPUTED_VALUE"""),"Gregory")</f>
        <v>Gregory</v>
      </c>
      <c r="C494" s="2" t="str">
        <f>IFERROR(__xludf.DUMMYFUNCTION("""COMPUTED_VALUE"""),"Key Personnel")</f>
        <v>Key Personnel</v>
      </c>
      <c r="D494" s="2" t="str">
        <f>IFERROR(__xludf.DUMMYFUNCTION("""COMPUTED_VALUE"""),"Arlehamn")</f>
        <v>Arlehamn</v>
      </c>
      <c r="E494" s="2" t="str">
        <f>IFERROR(__xludf.DUMMYFUNCTION("""COMPUTED_VALUE"""),"Postdoc")</f>
        <v>Postdoc</v>
      </c>
      <c r="F494" s="2" t="str">
        <f>IFERROR(__xludf.DUMMYFUNCTION("""COMPUTED_VALUE"""),"gwilliams@lji.org")</f>
        <v>gwilliams@lji.org</v>
      </c>
      <c r="G494" s="2" t="str">
        <f>IFERROR(__xludf.DUMMYFUNCTION("""COMPUTED_VALUE"""),"0000-0001-9523-1781")</f>
        <v>0000-0001-9523-1781</v>
      </c>
    </row>
    <row r="495">
      <c r="A495" s="2" t="str">
        <f>IFERROR(__xludf.DUMMYFUNCTION("""COMPUTED_VALUE"""),"Muskat")</f>
        <v>Muskat</v>
      </c>
      <c r="B495" s="2" t="str">
        <f>IFERROR(__xludf.DUMMYFUNCTION("""COMPUTED_VALUE"""),"Kaylin")</f>
        <v>Kaylin</v>
      </c>
      <c r="C495" s="2" t="str">
        <f>IFERROR(__xludf.DUMMYFUNCTION("""COMPUTED_VALUE"""),"Key Personnel")</f>
        <v>Key Personnel</v>
      </c>
      <c r="D495" s="2" t="str">
        <f>IFERROR(__xludf.DUMMYFUNCTION("""COMPUTED_VALUE"""),"Arlehamn")</f>
        <v>Arlehamn</v>
      </c>
      <c r="E495" s="2" t="str">
        <f>IFERROR(__xludf.DUMMYFUNCTION("""COMPUTED_VALUE"""),"Research tech")</f>
        <v>Research tech</v>
      </c>
      <c r="F495" s="2" t="str">
        <f>IFERROR(__xludf.DUMMYFUNCTION("""COMPUTED_VALUE"""),"kmuskat@lji.org")</f>
        <v>kmuskat@lji.org</v>
      </c>
      <c r="G495" s="2" t="str">
        <f>IFERROR(__xludf.DUMMYFUNCTION("""COMPUTED_VALUE"""),"0000-0002-0228-521X")</f>
        <v>0000-0002-0228-521X</v>
      </c>
    </row>
    <row r="496">
      <c r="A496" s="2" t="str">
        <f>IFERROR(__xludf.DUMMYFUNCTION("""COMPUTED_VALUE"""),"Abdel-haq")</f>
        <v>Abdel-haq</v>
      </c>
      <c r="B496" s="2" t="str">
        <f>IFERROR(__xludf.DUMMYFUNCTION("""COMPUTED_VALUE"""),"Reem")</f>
        <v>Reem</v>
      </c>
      <c r="C496" s="2" t="str">
        <f>IFERROR(__xludf.DUMMYFUNCTION("""COMPUTED_VALUE"""),"Key Personnel")</f>
        <v>Key Personnel</v>
      </c>
      <c r="D496" s="2" t="str">
        <f>IFERROR(__xludf.DUMMYFUNCTION("""COMPUTED_VALUE"""),"Mazmanian")</f>
        <v>Mazmanian</v>
      </c>
      <c r="E496" s="2" t="str">
        <f>IFERROR(__xludf.DUMMYFUNCTION("""COMPUTED_VALUE"""),"Postdoc")</f>
        <v>Postdoc</v>
      </c>
      <c r="F496" s="2" t="str">
        <f>IFERROR(__xludf.DUMMYFUNCTION("""COMPUTED_VALUE"""),"rabdelha@caltech.edu")</f>
        <v>rabdelha@caltech.edu</v>
      </c>
      <c r="G496" s="2" t="str">
        <f>IFERROR(__xludf.DUMMYFUNCTION("""COMPUTED_VALUE"""),"0000-0002-7418-5736")</f>
        <v>0000-0002-7418-5736</v>
      </c>
    </row>
    <row r="497">
      <c r="A497" s="2" t="str">
        <f>IFERROR(__xludf.DUMMYFUNCTION("""COMPUTED_VALUE"""),"Tran")</f>
        <v>Tran</v>
      </c>
      <c r="B497" s="2" t="str">
        <f>IFERROR(__xludf.DUMMYFUNCTION("""COMPUTED_VALUE"""),"Kim (Ngan)")</f>
        <v>Kim (Ngan)</v>
      </c>
      <c r="C497" s="2" t="str">
        <f>IFERROR(__xludf.DUMMYFUNCTION("""COMPUTED_VALUE"""),"Project Manager")</f>
        <v>Project Manager</v>
      </c>
      <c r="D497" s="2" t="str">
        <f>IFERROR(__xludf.DUMMYFUNCTION("""COMPUTED_VALUE"""),"Sulzer")</f>
        <v>Sulzer</v>
      </c>
      <c r="E497" s="2" t="str">
        <f>IFERROR(__xludf.DUMMYFUNCTION("""COMPUTED_VALUE"""),"Project Manager")</f>
        <v>Project Manager</v>
      </c>
      <c r="F497" s="2" t="str">
        <f>IFERROR(__xludf.DUMMYFUNCTION("""COMPUTED_VALUE"""),"nkt2118@cumc.columbia.edu")</f>
        <v>nkt2118@cumc.columbia.edu</v>
      </c>
      <c r="G497" s="2" t="str">
        <f>IFERROR(__xludf.DUMMYFUNCTION("""COMPUTED_VALUE"""),"0000-0001-8006-2508")</f>
        <v>0000-0001-8006-2508</v>
      </c>
    </row>
    <row r="498">
      <c r="A498" s="2" t="str">
        <f>IFERROR(__xludf.DUMMYFUNCTION("""COMPUTED_VALUE"""),"Somayaji")</f>
        <v>Somayaji</v>
      </c>
      <c r="B498" s="2" t="str">
        <f>IFERROR(__xludf.DUMMYFUNCTION("""COMPUTED_VALUE"""),"Mahalakshmi")</f>
        <v>Mahalakshmi</v>
      </c>
      <c r="C498" s="2"/>
      <c r="D498" s="2" t="str">
        <f>IFERROR(__xludf.DUMMYFUNCTION("""COMPUTED_VALUE"""),"Sulzer")</f>
        <v>Sulzer</v>
      </c>
      <c r="E498" s="2" t="str">
        <f>IFERROR(__xludf.DUMMYFUNCTION("""COMPUTED_VALUE"""),"Postdoc")</f>
        <v>Postdoc</v>
      </c>
      <c r="F498" s="2" t="str">
        <f>IFERROR(__xludf.DUMMYFUNCTION("""COMPUTED_VALUE"""),"ms5335@cumc.columbia.edu")</f>
        <v>ms5335@cumc.columbia.edu</v>
      </c>
      <c r="G498" s="2" t="str">
        <f>IFERROR(__xludf.DUMMYFUNCTION("""COMPUTED_VALUE"""),"0000-0002-6209-9400")</f>
        <v>0000-0002-6209-9400</v>
      </c>
    </row>
    <row r="499">
      <c r="A499" s="2" t="str">
        <f>IFERROR(__xludf.DUMMYFUNCTION("""COMPUTED_VALUE"""),"Shapiro")</f>
        <v>Shapiro</v>
      </c>
      <c r="B499" s="2" t="str">
        <f>IFERROR(__xludf.DUMMYFUNCTION("""COMPUTED_VALUE"""),"Kendra")</f>
        <v>Kendra</v>
      </c>
      <c r="C499" s="2" t="str">
        <f>IFERROR(__xludf.DUMMYFUNCTION("""COMPUTED_VALUE"""),"Key Personnel")</f>
        <v>Key Personnel</v>
      </c>
      <c r="D499" s="2" t="str">
        <f>IFERROR(__xludf.DUMMYFUNCTION("""COMPUTED_VALUE"""),"Arlehamn")</f>
        <v>Arlehamn</v>
      </c>
      <c r="E499" s="2" t="str">
        <f>IFERROR(__xludf.DUMMYFUNCTION("""COMPUTED_VALUE"""),"Research Technician")</f>
        <v>Research Technician</v>
      </c>
      <c r="F499" s="2" t="str">
        <f>IFERROR(__xludf.DUMMYFUNCTION("""COMPUTED_VALUE"""),"kendrashapiro@lji.org")</f>
        <v>kendrashapiro@lji.org</v>
      </c>
      <c r="G499" s="2"/>
    </row>
    <row r="500">
      <c r="A500" s="2" t="str">
        <f>IFERROR(__xludf.DUMMYFUNCTION("""COMPUTED_VALUE"""),"Freuchet")</f>
        <v>Freuchet</v>
      </c>
      <c r="B500" s="2" t="str">
        <f>IFERROR(__xludf.DUMMYFUNCTION("""COMPUTED_VALUE"""),"Antoine")</f>
        <v>Antoine</v>
      </c>
      <c r="C500" s="2" t="str">
        <f>IFERROR(__xludf.DUMMYFUNCTION("""COMPUTED_VALUE"""),"Key Personnel")</f>
        <v>Key Personnel</v>
      </c>
      <c r="D500" s="2" t="str">
        <f>IFERROR(__xludf.DUMMYFUNCTION("""COMPUTED_VALUE"""),"Arlehamn")</f>
        <v>Arlehamn</v>
      </c>
      <c r="E500" s="2" t="str">
        <f>IFERROR(__xludf.DUMMYFUNCTION("""COMPUTED_VALUE"""),"Postdoc")</f>
        <v>Postdoc</v>
      </c>
      <c r="F500" s="2" t="str">
        <f>IFERROR(__xludf.DUMMYFUNCTION("""COMPUTED_VALUE"""),"afreuchet@lji.org")</f>
        <v>afreuchet@lji.org</v>
      </c>
      <c r="G500" s="2"/>
    </row>
    <row r="501">
      <c r="A501" s="2" t="str">
        <f>IFERROR(__xludf.DUMMYFUNCTION("""COMPUTED_VALUE"""),"Hobson")</f>
        <v>Hobson</v>
      </c>
      <c r="B501" s="2" t="str">
        <f>IFERROR(__xludf.DUMMYFUNCTION("""COMPUTED_VALUE"""),"Benjamin")</f>
        <v>Benjamin</v>
      </c>
      <c r="C501" s="2" t="str">
        <f>IFERROR(__xludf.DUMMYFUNCTION("""COMPUTED_VALUE"""),"Key Personnel")</f>
        <v>Key Personnel</v>
      </c>
      <c r="D501" s="2" t="str">
        <f>IFERROR(__xludf.DUMMYFUNCTION("""COMPUTED_VALUE"""),"Sulzer")</f>
        <v>Sulzer</v>
      </c>
      <c r="E501" s="2" t="str">
        <f>IFERROR(__xludf.DUMMYFUNCTION("""COMPUTED_VALUE"""),"Graduate student")</f>
        <v>Graduate student</v>
      </c>
      <c r="F501" s="2" t="str">
        <f>IFERROR(__xludf.DUMMYFUNCTION("""COMPUTED_VALUE"""),"bh2573@cumc.columbia.edu")</f>
        <v>bh2573@cumc.columbia.edu</v>
      </c>
      <c r="G501" s="2" t="str">
        <f>IFERROR(__xludf.DUMMYFUNCTION("""COMPUTED_VALUE"""),"0000-0002-2745-5318")</f>
        <v>0000-0002-2745-5318</v>
      </c>
    </row>
    <row r="502">
      <c r="A502" s="2" t="str">
        <f>IFERROR(__xludf.DUMMYFUNCTION("""COMPUTED_VALUE"""),"Bostick")</f>
        <v>Bostick</v>
      </c>
      <c r="B502" s="2" t="str">
        <f>IFERROR(__xludf.DUMMYFUNCTION("""COMPUTED_VALUE"""),"John")</f>
        <v>John</v>
      </c>
      <c r="C502" s="2" t="str">
        <f>IFERROR(__xludf.DUMMYFUNCTION("""COMPUTED_VALUE"""),"Key Personnel")</f>
        <v>Key Personnel</v>
      </c>
      <c r="D502" s="2" t="str">
        <f>IFERROR(__xludf.DUMMYFUNCTION("""COMPUTED_VALUE"""),"Mazmanian")</f>
        <v>Mazmanian</v>
      </c>
      <c r="E502" s="2" t="str">
        <f>IFERROR(__xludf.DUMMYFUNCTION("""COMPUTED_VALUE"""),"Postdoc")</f>
        <v>Postdoc</v>
      </c>
      <c r="F502" s="2" t="str">
        <f>IFERROR(__xludf.DUMMYFUNCTION("""COMPUTED_VALUE"""),"jbostick@caltech.edu")</f>
        <v>jbostick@caltech.edu</v>
      </c>
      <c r="G502" s="2" t="str">
        <f>IFERROR(__xludf.DUMMYFUNCTION("""COMPUTED_VALUE"""),"0000-0001-8925-2447")</f>
        <v>0000-0001-8925-2447</v>
      </c>
    </row>
  </sheetData>
  <drawing r:id="rId1"/>
</worksheet>
</file>