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"/>
    </mc:Choice>
  </mc:AlternateContent>
  <xr:revisionPtr revIDLastSave="0" documentId="13_ncr:1_{0C8AB510-896E-4E2F-B7F9-D263E13449BC}" xr6:coauthVersionLast="47" xr6:coauthVersionMax="47" xr10:uidLastSave="{00000000-0000-0000-0000-000000000000}"/>
  <bookViews>
    <workbookView xWindow="-100" yWindow="-100" windowWidth="21467" windowHeight="11443" tabRatio="845" activeTab="4" xr2:uid="{00000000-000D-0000-FFFF-FFFF00000000}"/>
  </bookViews>
  <sheets>
    <sheet name="liabilities" sheetId="10" r:id="rId1"/>
    <sheet name="bills" sheetId="28" r:id="rId2"/>
    <sheet name="saving-investment chart" sheetId="2" r:id="rId3"/>
    <sheet name="savings" sheetId="4" r:id="rId4"/>
    <sheet name="pswd" sheetId="5" r:id="rId5"/>
    <sheet name="tax-on-salary" sheetId="36" r:id="rId6"/>
    <sheet name="mutual funds" sheetId="29" r:id="rId7"/>
    <sheet name="mutual funds - mother" sheetId="31" r:id="rId8"/>
    <sheet name="mother-medical-expenses" sheetId="33" r:id="rId9"/>
    <sheet name="mutual funds withdrawl" sheetId="30" r:id="rId10"/>
    <sheet name="epf-details" sheetId="1" r:id="rId11"/>
    <sheet name="salary" sheetId="27" r:id="rId12"/>
    <sheet name="kashmir-itinery" sheetId="35" r:id="rId13"/>
    <sheet name="leh-ladakh-itinery" sheetId="34" r:id="rId14"/>
    <sheet name="Interior" sheetId="6" r:id="rId15"/>
    <sheet name="Sal Increement" sheetId="7" r:id="rId16"/>
    <sheet name="Tenants-Elec-old" sheetId="8" r:id="rId17"/>
    <sheet name="Tenants-Elec1" sheetId="9" r:id="rId18"/>
    <sheet name="RBL CC Statements" sheetId="11" r:id="rId19"/>
    <sheet name="Sugar-Tests" sheetId="12" r:id="rId20"/>
    <sheet name="Home-Loan-Synd" sheetId="13" r:id="rId21"/>
    <sheet name="stellar-flat-cost" sheetId="14" r:id="rId22"/>
    <sheet name="kitchen-granite" sheetId="32" r:id="rId23"/>
    <sheet name="Sheet2" sheetId="15" r:id="rId24"/>
    <sheet name="vaccination" sheetId="16" r:id="rId25"/>
    <sheet name="bills_pending_dates" sheetId="17" r:id="rId26"/>
    <sheet name="canada" sheetId="18" r:id="rId27"/>
    <sheet name="Sheet1" sheetId="19" r:id="rId28"/>
    <sheet name="Sheet3" sheetId="20" r:id="rId29"/>
    <sheet name="innominds-offer" sheetId="21" r:id="rId30"/>
    <sheet name="innominds" sheetId="22" r:id="rId31"/>
    <sheet name="hydbd-noida" sheetId="23" r:id="rId32"/>
    <sheet name="enginee.ai password" sheetId="24" r:id="rId33"/>
    <sheet name="Sheet20" sheetId="25" r:id="rId34"/>
  </sheets>
  <definedNames>
    <definedName name="_xlnm._FilterDatabase" localSheetId="6" hidden="1">'mutual funds'!$A$1:$Z$76</definedName>
    <definedName name="FD_RATE_OF_INTEREST">0.07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" l="1"/>
  <c r="E47" i="10"/>
  <c r="E23" i="10"/>
  <c r="B17" i="2"/>
  <c r="E23" i="31"/>
  <c r="E22" i="31"/>
  <c r="R18" i="31"/>
  <c r="R12" i="31"/>
  <c r="R17" i="31"/>
  <c r="S6" i="31"/>
  <c r="I47" i="4"/>
  <c r="H39" i="4"/>
  <c r="B29" i="2"/>
  <c r="I19" i="4"/>
  <c r="J19" i="4"/>
  <c r="AA58" i="29"/>
  <c r="AA59" i="29" s="1"/>
  <c r="R24" i="31"/>
  <c r="R25" i="31" s="1"/>
  <c r="P24" i="31"/>
  <c r="P25" i="31" s="1"/>
  <c r="P2" i="31"/>
  <c r="U2" i="31" s="1"/>
  <c r="P16" i="31"/>
  <c r="U16" i="31" s="1"/>
  <c r="P15" i="31"/>
  <c r="U15" i="31" s="1"/>
  <c r="P14" i="31"/>
  <c r="U14" i="31" s="1"/>
  <c r="P13" i="31"/>
  <c r="U13" i="31" s="1"/>
  <c r="P11" i="31"/>
  <c r="U11" i="31" s="1"/>
  <c r="P10" i="31"/>
  <c r="P9" i="31"/>
  <c r="Q9" i="31" s="1"/>
  <c r="P8" i="31"/>
  <c r="U8" i="31" s="1"/>
  <c r="P7" i="31"/>
  <c r="Q7" i="31" s="1"/>
  <c r="P6" i="31"/>
  <c r="U6" i="31" s="1"/>
  <c r="P5" i="31"/>
  <c r="Q5" i="31" s="1"/>
  <c r="P4" i="31"/>
  <c r="U4" i="31" s="1"/>
  <c r="P3" i="31"/>
  <c r="Q3" i="31" s="1"/>
  <c r="G15" i="4"/>
  <c r="F40" i="4"/>
  <c r="E40" i="4"/>
  <c r="U49" i="29"/>
  <c r="U48" i="29"/>
  <c r="U47" i="29"/>
  <c r="U46" i="29"/>
  <c r="U45" i="29"/>
  <c r="U44" i="29"/>
  <c r="U43" i="29"/>
  <c r="R2" i="29"/>
  <c r="W2" i="29" s="1"/>
  <c r="R3" i="29"/>
  <c r="W3" i="29" s="1"/>
  <c r="R4" i="29"/>
  <c r="W4" i="29" s="1"/>
  <c r="E48" i="10"/>
  <c r="D28" i="10"/>
  <c r="E31" i="10" s="1"/>
  <c r="E15" i="10"/>
  <c r="O49" i="29"/>
  <c r="O48" i="29"/>
  <c r="M13" i="31"/>
  <c r="M14" i="31"/>
  <c r="M15" i="31"/>
  <c r="M16" i="31"/>
  <c r="R26" i="29"/>
  <c r="W26" i="29" s="1"/>
  <c r="U35" i="29"/>
  <c r="F71" i="29" s="1"/>
  <c r="G71" i="29" s="1"/>
  <c r="R38" i="29"/>
  <c r="S38" i="29" s="1"/>
  <c r="X38" i="29" s="1"/>
  <c r="O47" i="29"/>
  <c r="O46" i="29"/>
  <c r="T5" i="29"/>
  <c r="T13" i="29"/>
  <c r="T22" i="29"/>
  <c r="T28" i="29"/>
  <c r="T34" i="29"/>
  <c r="T41" i="29"/>
  <c r="F21" i="36"/>
  <c r="E14" i="36"/>
  <c r="F15" i="36" s="1"/>
  <c r="F7" i="36"/>
  <c r="F8" i="36" s="1"/>
  <c r="F10" i="36" s="1"/>
  <c r="F16" i="36" s="1"/>
  <c r="F22" i="36" s="1"/>
  <c r="R49" i="29"/>
  <c r="S49" i="29" s="1"/>
  <c r="R48" i="29"/>
  <c r="S48" i="29" s="1"/>
  <c r="R47" i="29"/>
  <c r="W47" i="29" s="1"/>
  <c r="R46" i="29"/>
  <c r="W46" i="29" s="1"/>
  <c r="R45" i="29"/>
  <c r="W45" i="29" s="1"/>
  <c r="R44" i="29"/>
  <c r="W44" i="29" s="1"/>
  <c r="R43" i="29"/>
  <c r="W43" i="29" s="1"/>
  <c r="R40" i="29"/>
  <c r="W40" i="29" s="1"/>
  <c r="R39" i="29"/>
  <c r="W39" i="29" s="1"/>
  <c r="R37" i="29"/>
  <c r="S37" i="29" s="1"/>
  <c r="X37" i="29" s="1"/>
  <c r="R36" i="29"/>
  <c r="S36" i="29" s="1"/>
  <c r="X36" i="29" s="1"/>
  <c r="R35" i="29"/>
  <c r="W35" i="29" s="1"/>
  <c r="R33" i="29"/>
  <c r="W33" i="29" s="1"/>
  <c r="R32" i="29"/>
  <c r="W32" i="29" s="1"/>
  <c r="R31" i="29"/>
  <c r="W31" i="29" s="1"/>
  <c r="R30" i="29"/>
  <c r="S30" i="29" s="1"/>
  <c r="X30" i="29" s="1"/>
  <c r="R29" i="29"/>
  <c r="W29" i="29" s="1"/>
  <c r="R27" i="29"/>
  <c r="W27" i="29" s="1"/>
  <c r="R25" i="29"/>
  <c r="S25" i="29" s="1"/>
  <c r="R24" i="29"/>
  <c r="W24" i="29" s="1"/>
  <c r="R23" i="29"/>
  <c r="W23" i="29" s="1"/>
  <c r="R21" i="29"/>
  <c r="S21" i="29" s="1"/>
  <c r="X21" i="29" s="1"/>
  <c r="R20" i="29"/>
  <c r="W20" i="29" s="1"/>
  <c r="R19" i="29"/>
  <c r="W19" i="29" s="1"/>
  <c r="R18" i="29"/>
  <c r="S18" i="29" s="1"/>
  <c r="X18" i="29" s="1"/>
  <c r="R17" i="29"/>
  <c r="S17" i="29" s="1"/>
  <c r="X17" i="29" s="1"/>
  <c r="R16" i="29"/>
  <c r="S16" i="29" s="1"/>
  <c r="X16" i="29" s="1"/>
  <c r="R15" i="29"/>
  <c r="W15" i="29" s="1"/>
  <c r="R14" i="29"/>
  <c r="W14" i="29" s="1"/>
  <c r="R12" i="29"/>
  <c r="W12" i="29" s="1"/>
  <c r="R11" i="29"/>
  <c r="S11" i="29" s="1"/>
  <c r="X11" i="29" s="1"/>
  <c r="R10" i="29"/>
  <c r="W10" i="29" s="1"/>
  <c r="R9" i="29"/>
  <c r="W9" i="29" s="1"/>
  <c r="R8" i="29"/>
  <c r="W8" i="29" s="1"/>
  <c r="R7" i="29"/>
  <c r="W7" i="29" s="1"/>
  <c r="R6" i="29"/>
  <c r="W6" i="29" s="1"/>
  <c r="Y58" i="29"/>
  <c r="Y59" i="29" s="1"/>
  <c r="W58" i="29"/>
  <c r="W59" i="29" s="1"/>
  <c r="F57" i="4"/>
  <c r="G56" i="4"/>
  <c r="B30" i="2"/>
  <c r="S10" i="31"/>
  <c r="S8" i="31"/>
  <c r="S4" i="31"/>
  <c r="S2" i="31"/>
  <c r="F45" i="4"/>
  <c r="E45" i="4"/>
  <c r="B14" i="2" s="1"/>
  <c r="F7" i="4"/>
  <c r="F73" i="29"/>
  <c r="G73" i="29" s="1"/>
  <c r="F72" i="29"/>
  <c r="G72" i="29" s="1"/>
  <c r="U25" i="29"/>
  <c r="F70" i="29" s="1"/>
  <c r="G70" i="29" s="1"/>
  <c r="U40" i="29"/>
  <c r="U32" i="29"/>
  <c r="U29" i="29"/>
  <c r="U23" i="29"/>
  <c r="U9" i="29"/>
  <c r="U6" i="29"/>
  <c r="U4" i="29"/>
  <c r="U2" i="29"/>
  <c r="U20" i="29"/>
  <c r="U14" i="29"/>
  <c r="F81" i="4"/>
  <c r="G54" i="4"/>
  <c r="G55" i="4"/>
  <c r="N24" i="31"/>
  <c r="N25" i="31" s="1"/>
  <c r="F12" i="4"/>
  <c r="E24" i="31"/>
  <c r="E25" i="31"/>
  <c r="L22" i="31"/>
  <c r="L24" i="31"/>
  <c r="L25" i="31" s="1"/>
  <c r="S12" i="31"/>
  <c r="E8" i="33"/>
  <c r="E17" i="33"/>
  <c r="E26" i="33"/>
  <c r="F20" i="4"/>
  <c r="B9" i="2" s="1"/>
  <c r="C9" i="2" s="1"/>
  <c r="C7" i="2"/>
  <c r="F18" i="4"/>
  <c r="B8" i="2" s="1"/>
  <c r="E44" i="10"/>
  <c r="E42" i="10"/>
  <c r="E36" i="10"/>
  <c r="U58" i="29"/>
  <c r="U59" i="29" s="1"/>
  <c r="J24" i="31"/>
  <c r="S58" i="29"/>
  <c r="S59" i="29" s="1"/>
  <c r="U9" i="31" l="1"/>
  <c r="U7" i="31"/>
  <c r="U5" i="31"/>
  <c r="U3" i="31"/>
  <c r="G57" i="4"/>
  <c r="W36" i="29"/>
  <c r="W48" i="29"/>
  <c r="W49" i="29"/>
  <c r="W37" i="29"/>
  <c r="W38" i="29"/>
  <c r="W30" i="29"/>
  <c r="W25" i="29"/>
  <c r="W21" i="29"/>
  <c r="W18" i="29"/>
  <c r="W17" i="29"/>
  <c r="W16" i="29"/>
  <c r="W11" i="29"/>
  <c r="F31" i="10"/>
  <c r="F48" i="10"/>
  <c r="T42" i="29"/>
  <c r="F56" i="29"/>
  <c r="F67" i="29"/>
  <c r="G67" i="29" s="1"/>
  <c r="T49" i="29"/>
  <c r="F75" i="29" s="1"/>
  <c r="G75" i="29" s="1"/>
  <c r="T48" i="29"/>
  <c r="F74" i="29" s="1"/>
  <c r="F69" i="29"/>
  <c r="G69" i="29" s="1"/>
  <c r="U42" i="29"/>
  <c r="X25" i="29"/>
  <c r="J27" i="4"/>
  <c r="S4" i="29"/>
  <c r="X4" i="29" s="1"/>
  <c r="S32" i="29"/>
  <c r="S20" i="29"/>
  <c r="G13" i="35"/>
  <c r="D17" i="35" s="1"/>
  <c r="F13" i="35"/>
  <c r="D16" i="35" s="1"/>
  <c r="U10" i="31"/>
  <c r="F60" i="29"/>
  <c r="G60" i="29" s="1"/>
  <c r="S31" i="29"/>
  <c r="X31" i="29" s="1"/>
  <c r="E16" i="34"/>
  <c r="D16" i="34"/>
  <c r="R16" i="31"/>
  <c r="S16" i="31" s="1"/>
  <c r="R13" i="31"/>
  <c r="J32" i="25"/>
  <c r="J31" i="25"/>
  <c r="J30" i="25"/>
  <c r="J29" i="25"/>
  <c r="J25" i="25"/>
  <c r="J24" i="25"/>
  <c r="F19" i="25"/>
  <c r="F18" i="25"/>
  <c r="F17" i="25"/>
  <c r="F16" i="25"/>
  <c r="F15" i="25"/>
  <c r="F14" i="25"/>
  <c r="F13" i="25"/>
  <c r="N12" i="25"/>
  <c r="F12" i="25"/>
  <c r="F11" i="25"/>
  <c r="F10" i="25"/>
  <c r="N9" i="25"/>
  <c r="F9" i="25"/>
  <c r="E71" i="24"/>
  <c r="E68" i="24"/>
  <c r="D61" i="24"/>
  <c r="F59" i="24"/>
  <c r="E59" i="24"/>
  <c r="F57" i="24"/>
  <c r="E57" i="24"/>
  <c r="F55" i="24"/>
  <c r="E55" i="24"/>
  <c r="F54" i="24"/>
  <c r="F53" i="24"/>
  <c r="E53" i="24"/>
  <c r="F49" i="24"/>
  <c r="E49" i="24"/>
  <c r="G47" i="24"/>
  <c r="F47" i="24"/>
  <c r="E47" i="24"/>
  <c r="F45" i="24"/>
  <c r="E45" i="24"/>
  <c r="F43" i="24"/>
  <c r="E43" i="24"/>
  <c r="H42" i="24"/>
  <c r="F41" i="24"/>
  <c r="E41" i="24"/>
  <c r="H40" i="24"/>
  <c r="H39" i="24"/>
  <c r="F39" i="24"/>
  <c r="E39" i="24"/>
  <c r="H35" i="24"/>
  <c r="C34" i="24"/>
  <c r="I32" i="24"/>
  <c r="H32" i="24"/>
  <c r="G32" i="24"/>
  <c r="F32" i="24"/>
  <c r="E32" i="24"/>
  <c r="D32" i="24"/>
  <c r="C32" i="24"/>
  <c r="B32" i="24"/>
  <c r="B15" i="23"/>
  <c r="B12" i="23"/>
  <c r="F11" i="23"/>
  <c r="B11" i="23"/>
  <c r="F10" i="23"/>
  <c r="B10" i="23"/>
  <c r="F9" i="23"/>
  <c r="D9" i="23"/>
  <c r="H6" i="23"/>
  <c r="J27" i="22"/>
  <c r="J25" i="22"/>
  <c r="F18" i="22"/>
  <c r="E18" i="22"/>
  <c r="D18" i="22"/>
  <c r="C18" i="22"/>
  <c r="I17" i="22"/>
  <c r="F17" i="22"/>
  <c r="E17" i="22"/>
  <c r="D17" i="22"/>
  <c r="C17" i="22"/>
  <c r="H14" i="22"/>
  <c r="H12" i="22"/>
  <c r="I9" i="22"/>
  <c r="F9" i="22"/>
  <c r="E9" i="22"/>
  <c r="D9" i="22"/>
  <c r="C9" i="22"/>
  <c r="F8" i="22"/>
  <c r="E8" i="22"/>
  <c r="D8" i="22"/>
  <c r="C8" i="22"/>
  <c r="C6" i="22"/>
  <c r="C5" i="22"/>
  <c r="F42" i="21"/>
  <c r="I40" i="21"/>
  <c r="F40" i="21"/>
  <c r="I39" i="21"/>
  <c r="F39" i="21"/>
  <c r="E39" i="21"/>
  <c r="J38" i="21"/>
  <c r="J37" i="21"/>
  <c r="J36" i="21"/>
  <c r="I36" i="21"/>
  <c r="J35" i="21"/>
  <c r="F35" i="21"/>
  <c r="I34" i="21"/>
  <c r="F34" i="21"/>
  <c r="I33" i="21"/>
  <c r="I26" i="21"/>
  <c r="F26" i="21"/>
  <c r="F21" i="21"/>
  <c r="E21" i="21"/>
  <c r="E14" i="21"/>
  <c r="O27" i="20"/>
  <c r="J21" i="20"/>
  <c r="J19" i="20"/>
  <c r="N32" i="19"/>
  <c r="N30" i="19"/>
  <c r="N25" i="19"/>
  <c r="G25" i="19"/>
  <c r="N23" i="19"/>
  <c r="G22" i="19"/>
  <c r="G13" i="19"/>
  <c r="G10" i="19"/>
  <c r="C9" i="19"/>
  <c r="P19" i="18"/>
  <c r="P7" i="18"/>
  <c r="P5" i="18"/>
  <c r="H70" i="17"/>
  <c r="G70" i="17"/>
  <c r="F70" i="17"/>
  <c r="E70" i="17"/>
  <c r="J69" i="17"/>
  <c r="I69" i="17"/>
  <c r="H69" i="17"/>
  <c r="G69" i="17"/>
  <c r="F69" i="17"/>
  <c r="E69" i="17"/>
  <c r="H65" i="17"/>
  <c r="G65" i="17"/>
  <c r="F65" i="17"/>
  <c r="E65" i="17"/>
  <c r="J64" i="17"/>
  <c r="I64" i="17"/>
  <c r="H64" i="17"/>
  <c r="G64" i="17"/>
  <c r="F64" i="17"/>
  <c r="E64" i="17"/>
  <c r="H61" i="17"/>
  <c r="G61" i="17"/>
  <c r="F61" i="17"/>
  <c r="E61" i="17"/>
  <c r="J60" i="17"/>
  <c r="I60" i="17"/>
  <c r="H60" i="17"/>
  <c r="G60" i="17"/>
  <c r="F60" i="17"/>
  <c r="E60" i="17"/>
  <c r="H58" i="17"/>
  <c r="G58" i="17"/>
  <c r="F58" i="17"/>
  <c r="E58" i="17"/>
  <c r="J57" i="17"/>
  <c r="I57" i="17"/>
  <c r="H57" i="17"/>
  <c r="G57" i="17"/>
  <c r="F57" i="17"/>
  <c r="E57" i="17"/>
  <c r="H54" i="17"/>
  <c r="G54" i="17"/>
  <c r="F54" i="17"/>
  <c r="E54" i="17"/>
  <c r="J53" i="17"/>
  <c r="I53" i="17"/>
  <c r="H53" i="17"/>
  <c r="G53" i="17"/>
  <c r="F53" i="17"/>
  <c r="E53" i="17"/>
  <c r="H48" i="17"/>
  <c r="G48" i="17"/>
  <c r="F48" i="17"/>
  <c r="E48" i="17"/>
  <c r="J47" i="17"/>
  <c r="I47" i="17"/>
  <c r="H47" i="17"/>
  <c r="G47" i="17"/>
  <c r="F47" i="17"/>
  <c r="E47" i="17"/>
  <c r="H43" i="17"/>
  <c r="G43" i="17"/>
  <c r="F43" i="17"/>
  <c r="E43" i="17"/>
  <c r="J42" i="17"/>
  <c r="I42" i="17"/>
  <c r="H42" i="17"/>
  <c r="G42" i="17"/>
  <c r="F42" i="17"/>
  <c r="E42" i="17"/>
  <c r="H39" i="17"/>
  <c r="G39" i="17"/>
  <c r="F39" i="17"/>
  <c r="E39" i="17"/>
  <c r="H38" i="17"/>
  <c r="G38" i="17"/>
  <c r="F38" i="17"/>
  <c r="E38" i="17"/>
  <c r="H36" i="17"/>
  <c r="G36" i="17"/>
  <c r="F36" i="17"/>
  <c r="E36" i="17"/>
  <c r="J35" i="17"/>
  <c r="I35" i="17"/>
  <c r="H35" i="17"/>
  <c r="G35" i="17"/>
  <c r="F35" i="17"/>
  <c r="E35" i="17"/>
  <c r="H32" i="17"/>
  <c r="G32" i="17"/>
  <c r="F32" i="17"/>
  <c r="E32" i="17"/>
  <c r="J31" i="17"/>
  <c r="I31" i="17"/>
  <c r="H31" i="17"/>
  <c r="G31" i="17"/>
  <c r="F31" i="17"/>
  <c r="E31" i="17"/>
  <c r="H20" i="15"/>
  <c r="P17" i="15"/>
  <c r="H8" i="15"/>
  <c r="H7" i="15"/>
  <c r="H6" i="15"/>
  <c r="L21" i="32"/>
  <c r="L8" i="32"/>
  <c r="B340" i="14"/>
  <c r="B337" i="14"/>
  <c r="B335" i="14"/>
  <c r="B333" i="14"/>
  <c r="B331" i="14"/>
  <c r="B329" i="14"/>
  <c r="B327" i="14"/>
  <c r="B319" i="14"/>
  <c r="B314" i="14"/>
  <c r="B302" i="14"/>
  <c r="B297" i="14"/>
  <c r="B296" i="14"/>
  <c r="B295" i="14"/>
  <c r="B293" i="14"/>
  <c r="B290" i="14"/>
  <c r="B288" i="14"/>
  <c r="B284" i="14"/>
  <c r="B283" i="14"/>
  <c r="B282" i="14"/>
  <c r="B268" i="14"/>
  <c r="B267" i="14"/>
  <c r="B266" i="14"/>
  <c r="B265" i="14"/>
  <c r="B264" i="14"/>
  <c r="B263" i="14"/>
  <c r="B262" i="14"/>
  <c r="B261" i="14"/>
  <c r="B260" i="14"/>
  <c r="B254" i="14"/>
  <c r="B247" i="14"/>
  <c r="B246" i="14"/>
  <c r="B245" i="14"/>
  <c r="B244" i="14"/>
  <c r="B243" i="14"/>
  <c r="B242" i="14"/>
  <c r="B238" i="14"/>
  <c r="B237" i="14"/>
  <c r="B236" i="14"/>
  <c r="B235" i="14"/>
  <c r="B234" i="14"/>
  <c r="B227" i="14"/>
  <c r="B226" i="14"/>
  <c r="B223" i="14"/>
  <c r="B220" i="14"/>
  <c r="B219" i="14"/>
  <c r="B218" i="14"/>
  <c r="B217" i="14"/>
  <c r="B216" i="14"/>
  <c r="B213" i="14"/>
  <c r="B212" i="14"/>
  <c r="B210" i="14"/>
  <c r="B196" i="14"/>
  <c r="B195" i="14"/>
  <c r="B194" i="14"/>
  <c r="B191" i="14"/>
  <c r="B190" i="14"/>
  <c r="B189" i="14"/>
  <c r="B187" i="14"/>
  <c r="B185" i="14"/>
  <c r="B184" i="14"/>
  <c r="B183" i="14"/>
  <c r="B182" i="14"/>
  <c r="B179" i="14"/>
  <c r="B169" i="14"/>
  <c r="B168" i="14"/>
  <c r="B166" i="14"/>
  <c r="B164" i="14"/>
  <c r="B162" i="14"/>
  <c r="B161" i="14"/>
  <c r="B160" i="14"/>
  <c r="B153" i="14"/>
  <c r="B152" i="14"/>
  <c r="B148" i="14"/>
  <c r="B141" i="14"/>
  <c r="B137" i="14"/>
  <c r="A128" i="14"/>
  <c r="K103" i="14"/>
  <c r="M102" i="14"/>
  <c r="D94" i="14"/>
  <c r="D92" i="14"/>
  <c r="D89" i="14"/>
  <c r="D85" i="14"/>
  <c r="D81" i="14"/>
  <c r="M76" i="14"/>
  <c r="D76" i="14"/>
  <c r="D69" i="14"/>
  <c r="D64" i="14"/>
  <c r="D56" i="14"/>
  <c r="D54" i="14"/>
  <c r="D49" i="14"/>
  <c r="D45" i="14"/>
  <c r="K44" i="14"/>
  <c r="D41" i="14"/>
  <c r="C35" i="14"/>
  <c r="C33" i="14"/>
  <c r="C31" i="14"/>
  <c r="C29" i="14"/>
  <c r="C27" i="14"/>
  <c r="C25" i="14"/>
  <c r="C24" i="14"/>
  <c r="C23" i="14"/>
  <c r="C22" i="14"/>
  <c r="C21" i="14"/>
  <c r="D19" i="14"/>
  <c r="D15" i="14"/>
  <c r="C14" i="14"/>
  <c r="C13" i="14"/>
  <c r="C10" i="14"/>
  <c r="D8" i="14"/>
  <c r="C5" i="14"/>
  <c r="E60" i="13"/>
  <c r="D60" i="13"/>
  <c r="D58" i="13"/>
  <c r="D57" i="13"/>
  <c r="D55" i="13"/>
  <c r="D54" i="13"/>
  <c r="D53" i="13"/>
  <c r="E49" i="13"/>
  <c r="D49" i="13"/>
  <c r="D46" i="11"/>
  <c r="E45" i="11"/>
  <c r="D41" i="11"/>
  <c r="E27" i="11"/>
  <c r="E66" i="10"/>
  <c r="F66" i="10" s="1"/>
  <c r="E61" i="10"/>
  <c r="F61" i="10" s="1"/>
  <c r="E57" i="10"/>
  <c r="F57" i="10" s="1"/>
  <c r="E52" i="10"/>
  <c r="F52" i="10" s="1"/>
  <c r="F44" i="10"/>
  <c r="F42" i="10"/>
  <c r="F40" i="10"/>
  <c r="F38" i="10"/>
  <c r="F36" i="10"/>
  <c r="F23" i="10"/>
  <c r="F15" i="10"/>
  <c r="D23" i="9"/>
  <c r="C17" i="9"/>
  <c r="G4" i="9"/>
  <c r="F4" i="9"/>
  <c r="G3" i="9"/>
  <c r="F3" i="9"/>
  <c r="J104" i="8"/>
  <c r="I104" i="8"/>
  <c r="J101" i="8"/>
  <c r="I101" i="8"/>
  <c r="J95" i="8"/>
  <c r="I95" i="8"/>
  <c r="J92" i="8"/>
  <c r="I92" i="8"/>
  <c r="C87" i="8"/>
  <c r="J86" i="8"/>
  <c r="I86" i="8"/>
  <c r="C85" i="8"/>
  <c r="C84" i="8"/>
  <c r="J83" i="8"/>
  <c r="I83" i="8"/>
  <c r="C82" i="8"/>
  <c r="J77" i="8"/>
  <c r="I77" i="8"/>
  <c r="L75" i="8"/>
  <c r="J74" i="8"/>
  <c r="I74" i="8"/>
  <c r="C74" i="8"/>
  <c r="C69" i="8"/>
  <c r="J68" i="8"/>
  <c r="I68" i="8"/>
  <c r="J65" i="8"/>
  <c r="I65" i="8"/>
  <c r="J59" i="8"/>
  <c r="I59" i="8"/>
  <c r="J56" i="8"/>
  <c r="I56" i="8"/>
  <c r="J50" i="8"/>
  <c r="I50" i="8"/>
  <c r="J47" i="8"/>
  <c r="I47" i="8"/>
  <c r="J41" i="8"/>
  <c r="I41" i="8"/>
  <c r="J38" i="8"/>
  <c r="I38" i="8"/>
  <c r="J32" i="8"/>
  <c r="I32" i="8"/>
  <c r="J29" i="8"/>
  <c r="I29" i="8"/>
  <c r="C28" i="8"/>
  <c r="J23" i="8"/>
  <c r="I23" i="8"/>
  <c r="J20" i="8"/>
  <c r="I20" i="8"/>
  <c r="C14" i="8"/>
  <c r="J13" i="8"/>
  <c r="C13" i="8"/>
  <c r="C11" i="8"/>
  <c r="J10" i="8"/>
  <c r="I10" i="8"/>
  <c r="C7" i="8"/>
  <c r="J5" i="8"/>
  <c r="I5" i="8"/>
  <c r="I30" i="7"/>
  <c r="R28" i="7"/>
  <c r="L28" i="7"/>
  <c r="I28" i="7"/>
  <c r="P26" i="7"/>
  <c r="O26" i="7"/>
  <c r="P25" i="7"/>
  <c r="O25" i="7"/>
  <c r="P24" i="7"/>
  <c r="O24" i="7"/>
  <c r="I20" i="7"/>
  <c r="I19" i="7"/>
  <c r="G14" i="7"/>
  <c r="G13" i="7"/>
  <c r="G12" i="7"/>
  <c r="G11" i="7"/>
  <c r="G10" i="7"/>
  <c r="G9" i="7"/>
  <c r="G8" i="7"/>
  <c r="M6" i="7"/>
  <c r="M5" i="7"/>
  <c r="F5" i="7"/>
  <c r="E5" i="7"/>
  <c r="M4" i="7"/>
  <c r="E207" i="6"/>
  <c r="I197" i="6"/>
  <c r="I196" i="6"/>
  <c r="J194" i="6"/>
  <c r="I193" i="6"/>
  <c r="E193" i="6"/>
  <c r="E192" i="6"/>
  <c r="E191" i="6"/>
  <c r="I190" i="6"/>
  <c r="I189" i="6"/>
  <c r="E188" i="6"/>
  <c r="E187" i="6"/>
  <c r="I186" i="6"/>
  <c r="E184" i="6"/>
  <c r="H181" i="6"/>
  <c r="H177" i="6"/>
  <c r="H176" i="6"/>
  <c r="H175" i="6"/>
  <c r="F175" i="6"/>
  <c r="H174" i="6"/>
  <c r="F174" i="6"/>
  <c r="H172" i="6"/>
  <c r="H171" i="6"/>
  <c r="H170" i="6"/>
  <c r="H169" i="6"/>
  <c r="H166" i="6"/>
  <c r="F166" i="6"/>
  <c r="H165" i="6"/>
  <c r="F165" i="6"/>
  <c r="H164" i="6"/>
  <c r="F164" i="6"/>
  <c r="H163" i="6"/>
  <c r="F163" i="6"/>
  <c r="J159" i="6"/>
  <c r="I159" i="6"/>
  <c r="H159" i="6"/>
  <c r="H157" i="6"/>
  <c r="I156" i="6"/>
  <c r="H156" i="6"/>
  <c r="I155" i="6"/>
  <c r="H155" i="6"/>
  <c r="G155" i="6"/>
  <c r="H151" i="6"/>
  <c r="I150" i="6"/>
  <c r="H150" i="6"/>
  <c r="I149" i="6"/>
  <c r="H149" i="6"/>
  <c r="G149" i="6"/>
  <c r="I145" i="6"/>
  <c r="I144" i="6"/>
  <c r="G144" i="6"/>
  <c r="H138" i="6"/>
  <c r="G138" i="6"/>
  <c r="E138" i="6"/>
  <c r="G137" i="6"/>
  <c r="G136" i="6"/>
  <c r="G135" i="6"/>
  <c r="G134" i="6"/>
  <c r="G133" i="6"/>
  <c r="B133" i="6"/>
  <c r="F128" i="6"/>
  <c r="E128" i="6"/>
  <c r="E127" i="6"/>
  <c r="E126" i="6"/>
  <c r="E125" i="6"/>
  <c r="E124" i="6"/>
  <c r="I123" i="6"/>
  <c r="I122" i="6"/>
  <c r="G122" i="6"/>
  <c r="F122" i="6"/>
  <c r="G121" i="6"/>
  <c r="F121" i="6"/>
  <c r="G120" i="6"/>
  <c r="F120" i="6"/>
  <c r="G119" i="6"/>
  <c r="F119" i="6"/>
  <c r="F118" i="6"/>
  <c r="F117" i="6"/>
  <c r="F116" i="6"/>
  <c r="E116" i="6"/>
  <c r="F115" i="6"/>
  <c r="E115" i="6"/>
  <c r="F114" i="6"/>
  <c r="E114" i="6"/>
  <c r="F112" i="6"/>
  <c r="F111" i="6"/>
  <c r="E111" i="6"/>
  <c r="F110" i="6"/>
  <c r="E110" i="6"/>
  <c r="F109" i="6"/>
  <c r="E109" i="6"/>
  <c r="F108" i="6"/>
  <c r="E108" i="6"/>
  <c r="F107" i="6"/>
  <c r="E107" i="6"/>
  <c r="F105" i="6"/>
  <c r="F104" i="6"/>
  <c r="E104" i="6"/>
  <c r="F103" i="6"/>
  <c r="E103" i="6"/>
  <c r="F102" i="6"/>
  <c r="E102" i="6"/>
  <c r="F100" i="6"/>
  <c r="F99" i="6"/>
  <c r="E99" i="6"/>
  <c r="F98" i="6"/>
  <c r="E98" i="6"/>
  <c r="F97" i="6"/>
  <c r="E97" i="6"/>
  <c r="E96" i="6"/>
  <c r="E95" i="6"/>
  <c r="C95" i="6"/>
  <c r="F94" i="6"/>
  <c r="E94" i="6"/>
  <c r="F93" i="6"/>
  <c r="E93" i="6"/>
  <c r="F92" i="6"/>
  <c r="E92" i="6"/>
  <c r="E91" i="6"/>
  <c r="F90" i="6"/>
  <c r="E90" i="6"/>
  <c r="F88" i="6"/>
  <c r="F87" i="6"/>
  <c r="E87" i="6"/>
  <c r="F86" i="6"/>
  <c r="E86" i="6"/>
  <c r="E84" i="6"/>
  <c r="F83" i="6"/>
  <c r="E83" i="6"/>
  <c r="F81" i="6"/>
  <c r="F80" i="6"/>
  <c r="E80" i="6"/>
  <c r="F79" i="6"/>
  <c r="E79" i="6"/>
  <c r="E78" i="6"/>
  <c r="F77" i="6"/>
  <c r="E77" i="6"/>
  <c r="F76" i="6"/>
  <c r="E76" i="6"/>
  <c r="E75" i="6"/>
  <c r="E74" i="6"/>
  <c r="F73" i="6"/>
  <c r="E73" i="6"/>
  <c r="F71" i="6"/>
  <c r="F70" i="6"/>
  <c r="E70" i="6"/>
  <c r="F69" i="6"/>
  <c r="E69" i="6"/>
  <c r="F68" i="6"/>
  <c r="E68" i="6"/>
  <c r="F67" i="6"/>
  <c r="E67" i="6"/>
  <c r="F65" i="6"/>
  <c r="F64" i="6"/>
  <c r="E64" i="6"/>
  <c r="F63" i="6"/>
  <c r="E63" i="6"/>
  <c r="E62" i="6"/>
  <c r="F61" i="6"/>
  <c r="E61" i="6"/>
  <c r="F60" i="6"/>
  <c r="E60" i="6"/>
  <c r="E59" i="6"/>
  <c r="F58" i="6"/>
  <c r="E58" i="6"/>
  <c r="F56" i="6"/>
  <c r="F55" i="6"/>
  <c r="E55" i="6"/>
  <c r="F54" i="6"/>
  <c r="E54" i="6"/>
  <c r="F53" i="6"/>
  <c r="E53" i="6"/>
  <c r="F51" i="6"/>
  <c r="F50" i="6"/>
  <c r="E50" i="6"/>
  <c r="F49" i="6"/>
  <c r="E49" i="6"/>
  <c r="F48" i="6"/>
  <c r="E48" i="6"/>
  <c r="F47" i="6"/>
  <c r="E47" i="6"/>
  <c r="F46" i="6"/>
  <c r="E46" i="6"/>
  <c r="F45" i="6"/>
  <c r="E45" i="6"/>
  <c r="E44" i="6"/>
  <c r="E43" i="6"/>
  <c r="F42" i="6"/>
  <c r="E42" i="6"/>
  <c r="F40" i="6"/>
  <c r="F39" i="6"/>
  <c r="E39" i="6"/>
  <c r="F38" i="6"/>
  <c r="E38" i="6"/>
  <c r="F37" i="6"/>
  <c r="E37" i="6"/>
  <c r="F36" i="6"/>
  <c r="E36" i="6"/>
  <c r="E35" i="6"/>
  <c r="F34" i="6"/>
  <c r="E34" i="6"/>
  <c r="F33" i="6"/>
  <c r="E33" i="6"/>
  <c r="E32" i="6"/>
  <c r="F31" i="6"/>
  <c r="E31" i="6"/>
  <c r="H26" i="6"/>
  <c r="H25" i="6"/>
  <c r="H24" i="6"/>
  <c r="H23" i="6"/>
  <c r="H22" i="6"/>
  <c r="H21" i="6"/>
  <c r="E21" i="6"/>
  <c r="H20" i="6"/>
  <c r="E20" i="6"/>
  <c r="H19" i="6"/>
  <c r="E19" i="6"/>
  <c r="H18" i="6"/>
  <c r="H17" i="6"/>
  <c r="H12" i="6"/>
  <c r="H11" i="6"/>
  <c r="H10" i="6"/>
  <c r="H9" i="6"/>
  <c r="E9" i="6"/>
  <c r="H8" i="6"/>
  <c r="E8" i="6"/>
  <c r="H7" i="6"/>
  <c r="E7" i="6"/>
  <c r="H6" i="6"/>
  <c r="H5" i="6"/>
  <c r="D146" i="5"/>
  <c r="D147" i="5" s="1"/>
  <c r="C146" i="5"/>
  <c r="C147" i="5" s="1"/>
  <c r="E91" i="4"/>
  <c r="E90" i="4"/>
  <c r="G81" i="4"/>
  <c r="I81" i="4" s="1"/>
  <c r="F72" i="4"/>
  <c r="J72" i="4" s="1"/>
  <c r="B18" i="2"/>
  <c r="C18" i="2" s="1"/>
  <c r="C14" i="2"/>
  <c r="H44" i="4"/>
  <c r="H43" i="4"/>
  <c r="H36" i="4"/>
  <c r="H23" i="4"/>
  <c r="B2" i="2"/>
  <c r="B57" i="2"/>
  <c r="B58" i="2" s="1"/>
  <c r="D55" i="2"/>
  <c r="B54" i="2"/>
  <c r="G52" i="2"/>
  <c r="G51" i="2"/>
  <c r="B51" i="2"/>
  <c r="B53" i="2" s="1"/>
  <c r="G50" i="2"/>
  <c r="G49" i="2"/>
  <c r="G46" i="2"/>
  <c r="B43" i="2"/>
  <c r="B42" i="2"/>
  <c r="B40" i="2"/>
  <c r="C36" i="2"/>
  <c r="C31" i="2"/>
  <c r="C30" i="2"/>
  <c r="B13" i="2"/>
  <c r="C8" i="2"/>
  <c r="B6" i="2"/>
  <c r="C6" i="2" s="1"/>
  <c r="B5" i="2"/>
  <c r="C5" i="2" s="1"/>
  <c r="B4" i="2"/>
  <c r="C4" i="2" s="1"/>
  <c r="B3" i="2"/>
  <c r="C3" i="2" s="1"/>
  <c r="T17" i="31"/>
  <c r="T18" i="31" s="1"/>
  <c r="Q16" i="31"/>
  <c r="Q15" i="31"/>
  <c r="R15" i="31"/>
  <c r="S15" i="31" s="1"/>
  <c r="Q14" i="31"/>
  <c r="R14" i="31"/>
  <c r="S14" i="31" s="1"/>
  <c r="Q13" i="31"/>
  <c r="Q11" i="31"/>
  <c r="Q6" i="31"/>
  <c r="V6" i="31" s="1"/>
  <c r="F61" i="29"/>
  <c r="G61" i="29" s="1"/>
  <c r="X47" i="29"/>
  <c r="S47" i="29"/>
  <c r="X46" i="29"/>
  <c r="S46" i="29"/>
  <c r="T46" i="29"/>
  <c r="X45" i="29"/>
  <c r="S45" i="29"/>
  <c r="O45" i="29"/>
  <c r="X44" i="29"/>
  <c r="O44" i="29"/>
  <c r="X43" i="29"/>
  <c r="O43" i="29"/>
  <c r="V42" i="29"/>
  <c r="F59" i="29"/>
  <c r="G59" i="29" s="1"/>
  <c r="S35" i="29"/>
  <c r="S33" i="29"/>
  <c r="S27" i="29"/>
  <c r="S10" i="29"/>
  <c r="X10" i="29" s="1"/>
  <c r="S9" i="29"/>
  <c r="F55" i="29"/>
  <c r="G55" i="29" s="1"/>
  <c r="S3" i="29"/>
  <c r="X3" i="29" s="1"/>
  <c r="W8" i="30"/>
  <c r="Q7" i="30"/>
  <c r="R7" i="30" s="1"/>
  <c r="N7" i="30"/>
  <c r="S7" i="30" s="1"/>
  <c r="Q6" i="30"/>
  <c r="R6" i="30" s="1"/>
  <c r="N6" i="30"/>
  <c r="S6" i="30" s="1"/>
  <c r="S4" i="30"/>
  <c r="P4" i="30"/>
  <c r="U4" i="30" s="1"/>
  <c r="S3" i="30"/>
  <c r="P3" i="30"/>
  <c r="U3" i="30" s="1"/>
  <c r="K68" i="1"/>
  <c r="K67" i="1"/>
  <c r="J67" i="1"/>
  <c r="I67" i="1"/>
  <c r="K65" i="1"/>
  <c r="K62" i="1"/>
  <c r="K61" i="1"/>
  <c r="K60" i="1"/>
  <c r="J60" i="1"/>
  <c r="I60" i="1"/>
  <c r="H57" i="1"/>
  <c r="G57" i="1"/>
  <c r="H55" i="1"/>
  <c r="G55" i="1"/>
  <c r="J54" i="1"/>
  <c r="I54" i="1"/>
  <c r="J53" i="1"/>
  <c r="I53" i="1"/>
  <c r="H53" i="1"/>
  <c r="G53" i="1"/>
  <c r="J52" i="1"/>
  <c r="I52" i="1"/>
  <c r="H52" i="1"/>
  <c r="G52" i="1"/>
  <c r="L46" i="1"/>
  <c r="M45" i="1"/>
  <c r="I45" i="1"/>
  <c r="N44" i="1"/>
  <c r="M44" i="1"/>
  <c r="J44" i="1"/>
  <c r="I44" i="1"/>
  <c r="L42" i="1"/>
  <c r="K42" i="1"/>
  <c r="L40" i="1"/>
  <c r="K40" i="1"/>
  <c r="N39" i="1"/>
  <c r="M39" i="1"/>
  <c r="F39" i="1"/>
  <c r="E39" i="1"/>
  <c r="N38" i="1"/>
  <c r="M38" i="1"/>
  <c r="L38" i="1"/>
  <c r="K38" i="1"/>
  <c r="N37" i="1"/>
  <c r="M37" i="1"/>
  <c r="L37" i="1"/>
  <c r="K37" i="1"/>
  <c r="G28" i="1"/>
  <c r="H27" i="1"/>
  <c r="G27" i="1"/>
  <c r="I26" i="1"/>
  <c r="H26" i="1"/>
  <c r="G26" i="1"/>
  <c r="H25" i="1"/>
  <c r="G25" i="1"/>
  <c r="H24" i="1"/>
  <c r="G24" i="1"/>
  <c r="H21" i="1"/>
  <c r="G21" i="1"/>
  <c r="I17" i="1"/>
  <c r="H17" i="1"/>
  <c r="G17" i="1"/>
  <c r="I15" i="1"/>
  <c r="H15" i="1"/>
  <c r="G15" i="1"/>
  <c r="I12" i="1"/>
  <c r="H12" i="1"/>
  <c r="G12" i="1"/>
  <c r="L10" i="1"/>
  <c r="K10" i="1"/>
  <c r="I10" i="1"/>
  <c r="H10" i="1"/>
  <c r="G10" i="1"/>
  <c r="I7" i="1"/>
  <c r="H7" i="1"/>
  <c r="G7" i="1"/>
  <c r="B5" i="1"/>
  <c r="A5" i="1"/>
  <c r="C19" i="27"/>
  <c r="C15" i="27"/>
  <c r="G9" i="27"/>
  <c r="C8" i="27"/>
  <c r="G6" i="27"/>
  <c r="U12" i="31" l="1"/>
  <c r="E87" i="4"/>
  <c r="T47" i="29"/>
  <c r="T50" i="29" s="1"/>
  <c r="F71" i="10"/>
  <c r="G54" i="2"/>
  <c r="B44" i="2"/>
  <c r="B37" i="2"/>
  <c r="C37" i="2"/>
  <c r="B16" i="2"/>
  <c r="C16" i="2" s="1"/>
  <c r="F66" i="29"/>
  <c r="S13" i="31"/>
  <c r="V11" i="31"/>
  <c r="F57" i="29"/>
  <c r="G57" i="29" s="1"/>
  <c r="D19" i="35"/>
  <c r="Q10" i="31"/>
  <c r="V10" i="31" s="1"/>
  <c r="X27" i="29"/>
  <c r="X35" i="29"/>
  <c r="X9" i="29"/>
  <c r="B15" i="2"/>
  <c r="C13" i="2"/>
  <c r="C15" i="2" s="1"/>
  <c r="V51" i="29"/>
  <c r="S8" i="29"/>
  <c r="X8" i="29" s="1"/>
  <c r="B10" i="2"/>
  <c r="C2" i="2"/>
  <c r="Q8" i="31"/>
  <c r="V8" i="31" s="1"/>
  <c r="T6" i="30"/>
  <c r="V6" i="30"/>
  <c r="S39" i="29"/>
  <c r="X39" i="29" s="1"/>
  <c r="S24" i="29"/>
  <c r="X24" i="29" s="1"/>
  <c r="Q4" i="31"/>
  <c r="V4" i="31" s="1"/>
  <c r="S43" i="29"/>
  <c r="S12" i="29"/>
  <c r="X12" i="29" s="1"/>
  <c r="S19" i="29"/>
  <c r="X19" i="29" s="1"/>
  <c r="T7" i="30"/>
  <c r="V7" i="30"/>
  <c r="S6" i="29"/>
  <c r="X6" i="29" s="1"/>
  <c r="S15" i="29"/>
  <c r="X15" i="29" s="1"/>
  <c r="S29" i="29"/>
  <c r="X29" i="29" s="1"/>
  <c r="Q4" i="30"/>
  <c r="V4" i="30" s="1"/>
  <c r="S23" i="29"/>
  <c r="X23" i="29" s="1"/>
  <c r="S2" i="29"/>
  <c r="X2" i="29" s="1"/>
  <c r="S14" i="29"/>
  <c r="X14" i="29" s="1"/>
  <c r="S40" i="29"/>
  <c r="X40" i="29" s="1"/>
  <c r="S44" i="29"/>
  <c r="Q2" i="31"/>
  <c r="V2" i="31" s="1"/>
  <c r="S7" i="29"/>
  <c r="X7" i="29" s="1"/>
  <c r="Q3" i="30"/>
  <c r="V3" i="30" s="1"/>
  <c r="B22" i="2" l="1"/>
  <c r="C22" i="2" s="1"/>
  <c r="F68" i="29"/>
  <c r="G68" i="29" s="1"/>
  <c r="E69" i="10"/>
  <c r="T51" i="29"/>
  <c r="G74" i="29"/>
  <c r="F58" i="29"/>
  <c r="F62" i="29" s="1"/>
  <c r="U50" i="29"/>
  <c r="U51" i="29" s="1"/>
  <c r="S17" i="31"/>
  <c r="S18" i="31" s="1"/>
  <c r="C10" i="2"/>
  <c r="D9" i="2" s="1"/>
  <c r="U17" i="31"/>
  <c r="W42" i="29"/>
  <c r="E26" i="31"/>
  <c r="W50" i="29" l="1"/>
  <c r="W51" i="29" s="1"/>
  <c r="Y51" i="29" s="1"/>
  <c r="U18" i="31"/>
  <c r="F51" i="4"/>
  <c r="J25" i="31"/>
  <c r="E27" i="31"/>
  <c r="D2" i="2"/>
  <c r="D7" i="2"/>
  <c r="D6" i="2"/>
  <c r="G66" i="29"/>
  <c r="G76" i="29" s="1"/>
  <c r="F76" i="29"/>
  <c r="G58" i="29"/>
  <c r="D8" i="2"/>
  <c r="D4" i="2"/>
  <c r="D5" i="2"/>
  <c r="D3" i="2"/>
  <c r="D10" i="2" l="1"/>
  <c r="F50" i="4" l="1"/>
  <c r="G56" i="29"/>
  <c r="G62" i="29" s="1"/>
  <c r="F52" i="4" l="1"/>
  <c r="J82" i="4" l="1"/>
  <c r="C17" i="2" l="1"/>
  <c r="B19" i="2"/>
  <c r="B23" i="2" s="1"/>
  <c r="B24" i="2" l="1"/>
  <c r="C19" i="2"/>
  <c r="D15" i="2" l="1"/>
  <c r="C23" i="2"/>
  <c r="C24" i="2" s="1"/>
  <c r="D16" i="2"/>
  <c r="D18" i="2"/>
  <c r="D17" i="2"/>
  <c r="D19" i="2" l="1"/>
  <c r="D246" i="6"/>
</calcChain>
</file>

<file path=xl/sharedStrings.xml><?xml version="1.0" encoding="utf-8"?>
<sst xmlns="http://schemas.openxmlformats.org/spreadsheetml/2006/main" count="2797" uniqueCount="2039">
  <si>
    <t>Organiation</t>
  </si>
  <si>
    <t>Member Id</t>
  </si>
  <si>
    <t>start date</t>
  </si>
  <si>
    <t>end date</t>
  </si>
  <si>
    <t xml:space="preserve">Employee share </t>
  </si>
  <si>
    <t>Employer Share</t>
  </si>
  <si>
    <t>Pension Contribution</t>
  </si>
  <si>
    <t>kronos</t>
  </si>
  <si>
    <t>DSNHP00345330000000005</t>
  </si>
  <si>
    <t>Kronos Earned</t>
  </si>
  <si>
    <t>Kronos Interest</t>
  </si>
  <si>
    <t>till mar 2020</t>
  </si>
  <si>
    <t>Closing Balance</t>
  </si>
  <si>
    <t>till jan 2021</t>
  </si>
  <si>
    <t>innominds</t>
  </si>
  <si>
    <t>APHYD10878170000010474</t>
  </si>
  <si>
    <t>Innominds Earned</t>
  </si>
  <si>
    <t>closing balance as on March 2021</t>
  </si>
  <si>
    <t>Transferred from Kronos with interests</t>
  </si>
  <si>
    <t>Interests from Innominds</t>
  </si>
  <si>
    <t>interest not recevied on above from feb 21 onwards</t>
  </si>
  <si>
    <t>builder.ai</t>
  </si>
  <si>
    <t>GNGGN14689480000010273</t>
  </si>
  <si>
    <t>Builder.ai Earned</t>
  </si>
  <si>
    <t>Transferred from Innominds with interests</t>
  </si>
  <si>
    <t>Interests from Builder.ai</t>
  </si>
  <si>
    <t>Coforge</t>
  </si>
  <si>
    <t>DSNHP003369100E0037354</t>
  </si>
  <si>
    <t>till date</t>
  </si>
  <si>
    <t>20-21</t>
  </si>
  <si>
    <t>Earned</t>
  </si>
  <si>
    <t>Interest</t>
  </si>
  <si>
    <t>total</t>
  </si>
  <si>
    <t>21-22</t>
  </si>
  <si>
    <t>Total Coforge Earned</t>
  </si>
  <si>
    <t>Transferred from Builder.ai with Interest</t>
  </si>
  <si>
    <t>Total EPF Amount</t>
  </si>
  <si>
    <t>dussed with Prassana over phone on mismatced interests. He said to check in apri/may 2022 and it there is any gap then contact him in tower c personally.</t>
  </si>
  <si>
    <t>details</t>
  </si>
  <si>
    <t>Contribution</t>
  </si>
  <si>
    <t>interest received</t>
  </si>
  <si>
    <t>estimateed interest</t>
  </si>
  <si>
    <t>estimated total</t>
  </si>
  <si>
    <t>member</t>
  </si>
  <si>
    <t>employer</t>
  </si>
  <si>
    <t>Coforge Apr2020 - Mar2021</t>
  </si>
  <si>
    <t>Coforge Apr2021 - Nov2021</t>
  </si>
  <si>
    <t>transfer from previosus org
on jan 2021</t>
  </si>
  <si>
    <t>interest for feb+mar 2021 (8.5%)</t>
  </si>
  <si>
    <t>intrest from apr21-mar22 (8.1%)</t>
  </si>
  <si>
    <t>Total EPF as on 31/02/2022</t>
  </si>
  <si>
    <t>showing on portal</t>
  </si>
  <si>
    <t>Diffrerences</t>
  </si>
  <si>
    <t>EPF Balance (Apr2021 to Mar2022)</t>
  </si>
  <si>
    <t>contribution</t>
  </si>
  <si>
    <t>interest</t>
  </si>
  <si>
    <t>member (8.1%)</t>
  </si>
  <si>
    <t>employer (8.1%)</t>
  </si>
  <si>
    <t>(opening balance) 20-21</t>
  </si>
  <si>
    <t>epf from 21-22</t>
  </si>
  <si>
    <t>transferred epf (jan 21)</t>
  </si>
  <si>
    <t>estimated epf as mar 2022</t>
  </si>
  <si>
    <t>epf showing on portal mar 2022</t>
  </si>
  <si>
    <t>differences</t>
  </si>
  <si>
    <t>intreset added in apr 22</t>
  </si>
  <si>
    <t>total showing as on apr 2022</t>
  </si>
  <si>
    <t>Fixed</t>
  </si>
  <si>
    <t>amount</t>
  </si>
  <si>
    <t>lacs</t>
  </si>
  <si>
    <t>SBI PPF</t>
  </si>
  <si>
    <t>EPF Coforge</t>
  </si>
  <si>
    <t>PPF NAVYA</t>
  </si>
  <si>
    <t>PPF VIHAAN</t>
  </si>
  <si>
    <t>NPS</t>
  </si>
  <si>
    <t>LIC 25K</t>
  </si>
  <si>
    <t>TOTAL</t>
  </si>
  <si>
    <t>Liquid</t>
  </si>
  <si>
    <t>FD PNB</t>
  </si>
  <si>
    <t>FD Corp Bank</t>
  </si>
  <si>
    <t>FD TOTAL</t>
  </si>
  <si>
    <t>GOLD COINS</t>
  </si>
  <si>
    <t>MF TOTAL</t>
  </si>
  <si>
    <t>Stocks/Shares</t>
  </si>
  <si>
    <t>Overall Savings</t>
  </si>
  <si>
    <t>Fixed (SBI PPF, EPF, NPS, LIC, KIDS)</t>
  </si>
  <si>
    <t>Liquid (FD, MF, STOCKS, GOLD)</t>
  </si>
  <si>
    <t>with seltos finance</t>
  </si>
  <si>
    <t>without seltos finance</t>
  </si>
  <si>
    <t>Sal Components</t>
  </si>
  <si>
    <t>Take home</t>
  </si>
  <si>
    <t>Car EMI</t>
  </si>
  <si>
    <t>EPF</t>
  </si>
  <si>
    <t>Reimbursements</t>
  </si>
  <si>
    <t xml:space="preserve">  - Mobiles</t>
  </si>
  <si>
    <t xml:space="preserve">  - Driver Salary</t>
  </si>
  <si>
    <t xml:space="preserve">  - Petrol</t>
  </si>
  <si>
    <t>Total Salary IN hand</t>
  </si>
  <si>
    <t>Km in Rs 200000</t>
  </si>
  <si>
    <t>Yearly running</t>
  </si>
  <si>
    <t xml:space="preserve">   - Usual daily basis running</t>
  </si>
  <si>
    <t xml:space="preserve">   - trip running (1 trip deh, other one)</t>
  </si>
  <si>
    <t xml:space="preserve">coforge sal flexi deduction </t>
  </si>
  <si>
    <t>seltos price total</t>
  </si>
  <si>
    <t>Seltos cost to me</t>
  </si>
  <si>
    <t>petrol</t>
  </si>
  <si>
    <t>coforge paid to kia</t>
  </si>
  <si>
    <t>downpayment</t>
  </si>
  <si>
    <t>driver</t>
  </si>
  <si>
    <t>1st yr insurance</t>
  </si>
  <si>
    <t>accessrioeis</t>
  </si>
  <si>
    <t>after petrol + driver</t>
  </si>
  <si>
    <t>seat and steering cover</t>
  </si>
  <si>
    <t>insurance 1st year 27213</t>
  </si>
  <si>
    <t>chrome  side bidding</t>
  </si>
  <si>
    <t>emi fo 5 yrs</t>
  </si>
  <si>
    <t>after insurance (emi per month)</t>
  </si>
  <si>
    <t>door rain wisor</t>
  </si>
  <si>
    <t>total amount of emi for 5 yrs</t>
  </si>
  <si>
    <t>coforge paid to KIA</t>
  </si>
  <si>
    <t>down payment (260400+2200) paid by me</t>
  </si>
  <si>
    <t>to be paid to coforge</t>
  </si>
  <si>
    <t>Purchase Amount</t>
  </si>
  <si>
    <t>Total</t>
  </si>
  <si>
    <t>S.No.</t>
  </si>
  <si>
    <t>Particulars</t>
  </si>
  <si>
    <t>Purchase Date</t>
  </si>
  <si>
    <t>Maturity Date</t>
  </si>
  <si>
    <t>Maturity Amount</t>
  </si>
  <si>
    <t>Actual Received</t>
  </si>
  <si>
    <t>Days Remaining</t>
  </si>
  <si>
    <t>LIQUID</t>
  </si>
  <si>
    <t>FIXED</t>
  </si>
  <si>
    <t xml:space="preserve">PPF / EPF / NPS:  </t>
  </si>
  <si>
    <t xml:space="preserve">   SBI PPF, Gr. Noida - Rajpal Singh Dhanai (A/c 10829792830)</t>
  </si>
  <si>
    <t>NPS PRAN Number : 110164945667, Registration Acknwoledge number : 11219516, Registration date : 07/09/2020</t>
  </si>
  <si>
    <t>Employer  Contribution(10% )</t>
  </si>
  <si>
    <t xml:space="preserve">   SBI PPF, Gr. Noida - Rachna/Vihaan Dhanai (A/c 35646627494) – VIHAAN DHANAI</t>
  </si>
  <si>
    <t xml:space="preserve">   SBI Sukanya, Gr. Noida - Navya Dhanai (A/c 35551271054) – NAVYA DHANAI</t>
  </si>
  <si>
    <t>FDR:</t>
  </si>
  <si>
    <t xml:space="preserve">   Submit 15H in duplicate in every financial year Apr-Mar</t>
  </si>
  <si>
    <t>Coropratin Bank A/c '105704101000132 (mother) - NEW 520501000098011</t>
  </si>
  <si>
    <t>CORP0001057, CORPORATION BANK</t>
  </si>
  <si>
    <t xml:space="preserve">   Pay Water bill every year by end of March</t>
  </si>
  <si>
    <t xml:space="preserve">   Water bill paid till 31st march 2018. Last payment made was 2103.66 on 18/07/2017 online 
   on gnida website</t>
  </si>
  <si>
    <t>SBI Bank A/c 00000010404465986 (Mother Pension)</t>
  </si>
  <si>
    <t>Corporation Bank A/c 520501000098011 (Mother Pension)</t>
  </si>
  <si>
    <t>Corporation Bank A/c 520101216883853(rachna)</t>
  </si>
  <si>
    <t>Total Corp FD Rachna</t>
  </si>
  <si>
    <t>Mutual Funds:</t>
  </si>
  <si>
    <t>TOTAL SIP MF</t>
  </si>
  <si>
    <t>TOTAL INVESTMENT ON MUTUAL FUNDS</t>
  </si>
  <si>
    <t>Stockes/Shares: (ICICIDirect.com)</t>
  </si>
  <si>
    <t>TCS - 11 Shares @3830.50, NSE(17,388) on Sept 06, 2021  --&gt;  2 shared got buyback on march 22 amount received - Rs 9000</t>
  </si>
  <si>
    <t>TOTAL INVESTMENT ON STOCKS</t>
  </si>
  <si>
    <t>ICIC Demat / Trading Act:</t>
  </si>
  <si>
    <t>www.icicidirect.com, login id : mobile number, pswd: raj!@#code1</t>
  </si>
  <si>
    <t>Trading account / ICICIDreiect Account Number:  8506732257, Demant Account: IN303028-95727676, Customer Care Number: 08588800310</t>
  </si>
  <si>
    <t>S/A:</t>
  </si>
  <si>
    <t>LIC:</t>
  </si>
  <si>
    <t xml:space="preserve">   LIC of INDIA - Policy # 252904948 -Yearly - August - 2023 approx 2.5 lac on maturity (sbi account updated on lic) - mautiry amount 249600 credit in sbi ac 7002 on 19 aug 2022</t>
  </si>
  <si>
    <t xml:space="preserve">   LIC of INDIA - Policy # 253799493 -Yearly - 28 December 2030 approx 15 lac on maturity (dec2021 preimum paid on 13/12/2021 by paytm) (sbi account updated on lic)</t>
  </si>
  <si>
    <t>25074 * 25</t>
  </si>
  <si>
    <t>Total LIC</t>
  </si>
  <si>
    <t>LIC</t>
  </si>
  <si>
    <t>GOLD:</t>
  </si>
  <si>
    <t>Gold Coins (4.77 + 5.30 gms Swarn Tarash, KDM, HallMark)</t>
  </si>
  <si>
    <t>Gold Coins (10 gms, 24 crt, 99.999% purity from IndiaPost)</t>
  </si>
  <si>
    <t>Gold Coins (5 gms, 24 crt, 99.999% purity from Swarn Tarash) purchased on 17/10/2017</t>
  </si>
  <si>
    <t>Gold Coins (5 gms, 24 crt, 99.999% purity from RJ Jwellers) purchased on 11/11/2020 - Rs 28660</t>
  </si>
  <si>
    <t>Total Gold Coins</t>
  </si>
  <si>
    <t>Total Liquid and Fixed</t>
  </si>
  <si>
    <t>House Maintenance</t>
  </si>
  <si>
    <t>1) Railing &amp; Ramp (Dec 2009)</t>
  </si>
  <si>
    <t xml:space="preserve">    a. Railing</t>
  </si>
  <si>
    <t xml:space="preserve">    B. Ramp Material</t>
  </si>
  <si>
    <t xml:space="preserve">         Rodi - 10'  -- @ Rs32/ft</t>
  </si>
  <si>
    <t xml:space="preserve">         Badarpur - 20' -- @ Rs27/ft</t>
  </si>
  <si>
    <t xml:space="preserve">         Cement 3 Bori -- @ Rs240/bori</t>
  </si>
  <si>
    <t xml:space="preserve">         Rait - 15'  -- @ Rs12/ft</t>
  </si>
  <si>
    <t xml:space="preserve">         Rikshaw - 135</t>
  </si>
  <si>
    <t xml:space="preserve">         Labour 3 days - @Rs275/Mistri  &amp; Rs150/labour </t>
  </si>
  <si>
    <t>2) Whitewash &amp; Paint (Jan 2010)</t>
  </si>
  <si>
    <t xml:space="preserve">   a. Material whitewash and paint</t>
  </si>
  <si>
    <t xml:space="preserve">   b. labour charges @200 * 25</t>
  </si>
  <si>
    <t>8) White Wash (ground floor only in Oct 2012)</t>
  </si>
  <si>
    <t xml:space="preserve">    A. White Wash Labour Contract (for Grround only)</t>
  </si>
  <si>
    <t xml:space="preserve">    B. White Wash Material Cost (for Grround only)</t>
  </si>
  <si>
    <t>Account</t>
  </si>
  <si>
    <t>Username</t>
  </si>
  <si>
    <t>Login Password</t>
  </si>
  <si>
    <t>Transaction Password</t>
  </si>
  <si>
    <t>Payback Card Number</t>
  </si>
  <si>
    <t>Payback PIN</t>
  </si>
  <si>
    <t>incometaxindiaefiling.gov.in</t>
  </si>
  <si>
    <t>agmpd2594a</t>
  </si>
  <si>
    <t>raj!@#{code1}
EVC code to e-verify (5UXX7XKY9Y)</t>
  </si>
  <si>
    <t>apppd6778n (mother)</t>
  </si>
  <si>
    <t>raj!@#{code1} 
EVC code to e-verify (5UXX77VBLY)</t>
  </si>
  <si>
    <t>bmwpd0792d (rachna)  used corp bank details for registration</t>
  </si>
  <si>
    <t>raj!@#{code1}</t>
  </si>
  <si>
    <t>cleartax.com</t>
  </si>
  <si>
    <t>dhanai_rajpal@yahoo.com</t>
  </si>
  <si>
    <t>Aadhaar No. (rajpal)</t>
  </si>
  <si>
    <t>482123942845</t>
  </si>
  <si>
    <t>Skype</t>
  </si>
  <si>
    <t>dhanai_rajpal</t>
  </si>
  <si>
    <t xml:space="preserve"> rajpal!@#{code1}</t>
  </si>
  <si>
    <t>https://afd.csdindia.gov.in/register/</t>
  </si>
  <si>
    <t>rdhanai</t>
  </si>
  <si>
    <t>NPCL 2000005877</t>
  </si>
  <si>
    <t>rsd!@#{code1}</t>
  </si>
  <si>
    <t>NA</t>
  </si>
  <si>
    <t>ndhanai</t>
  </si>
  <si>
    <t>submit live certificate every year in month of Nov from 1st onwards</t>
  </si>
  <si>
    <t>user id - 51265738</t>
  </si>
  <si>
    <t>A/c No.  - 20277397002</t>
  </si>
  <si>
    <t>MICR Code: 110002231</t>
  </si>
  <si>
    <t>rachnad4sbi</t>
  </si>
  <si>
    <t>raj@{code2}</t>
  </si>
  <si>
    <t>A/c No. - 11576458431 (Saving Account)</t>
  </si>
  <si>
    <t>dhanai</t>
  </si>
  <si>
    <t>rachna82</t>
  </si>
  <si>
    <t>unionbank (erstwhile corporation bank rachna) umboile app credentials
umboile login pin : 248* 
umbile transation ping: 197*</t>
  </si>
  <si>
    <t>Kotak Mahindra Bank (Hyderabad) 
Account Number 3112058846
Customer Relation Number: 231529637   
Salary Account Variant: Ace Debit Card Variant: Platinum
IFSC code: KKBK0000958
Customer Care # : 18602662666
PIN : 248***</t>
  </si>
  <si>
    <t>231529637/rdhanai</t>
  </si>
  <si>
    <t>kotak fast tag
fastag.kotak.com</t>
  </si>
  <si>
    <t>Raj!@#{code1}</t>
  </si>
  <si>
    <t xml:space="preserve">ICICI Bank, S-4, Gamma 1, Gamma Shopping Complex, Gr Noida -201306 
A/c :  003101214569  ifsc : ICIC0003488, </t>
  </si>
  <si>
    <t>raj{code2}</t>
  </si>
  <si>
    <t/>
  </si>
  <si>
    <t xml:space="preserve"> Customer Id (50478170)</t>
  </si>
  <si>
    <t>Rsd!@#{code1}</t>
  </si>
  <si>
    <t>Raj!@#{code2}</t>
  </si>
  <si>
    <t>HDFC Credit Card 
4639170012826279</t>
  </si>
  <si>
    <t>rsdhanai</t>
  </si>
  <si>
    <t/>
  </si>
  <si>
    <t>RBL Credit Card – MASTER CARD
5243736500108605</t>
  </si>
  <si>
    <t>'5243-7365-0010-8605</t>
  </si>
  <si>
    <t>Raj!@#{code1} (162)  -&gt; raj!@#{code1} --&gt; expira 02/26</t>
  </si>
  <si>
    <t>otp sent on mobile on every transaction</t>
  </si>
  <si>
    <t>RBL Credit Card Reedem (www.rblrewards.com)</t>
  </si>
  <si>
    <t>enter{code2}</t>
  </si>
  <si>
    <t>2262327777 (customer care number)</t>
  </si>
  <si>
    <t>HSBC Credit Card 
4862698910548916</t>
  </si>
  <si>
    <t>LIC of India</t>
  </si>
  <si>
    <t>passport website</t>
  </si>
  <si>
    <t>EPF website
http://uanmembers.epfoservices.in/index.php
https://unifiedportal-mem.epfindia.gov.in/memberinterface/
https://passbook.epfindia.gov.in/MemberPassBook/Login.jsp</t>
  </si>
  <si>
    <t>100298357745</t>
  </si>
  <si>
    <t>Rajp!@#{code1}</t>
  </si>
  <si>
    <t>http://hfmpl.in/ (stellar)</t>
  </si>
  <si>
    <t>ET money (app/website)</t>
  </si>
  <si>
    <t>rajpal.dhanai@gmail.com</t>
  </si>
  <si>
    <t>groww app</t>
  </si>
  <si>
    <t>dhanai_rajpal@yahoo.com / PIN (mie 4 digit code)</t>
  </si>
  <si>
    <t>pgadmin (run locally in ubuntu OSO</t>
  </si>
  <si>
    <t/>
  </si>
  <si>
    <t>Emailid : rajpal.dhanai@engineer.ai</t>
  </si>
  <si>
    <t>password: raj{code1}</t>
  </si>
  <si>
    <t/>
  </si>
  <si>
    <t>https://echs.sourceinfosys.com/ Userid – 9899114717</t>
  </si>
  <si>
    <t>Raj!@#123</t>
  </si>
  <si>
    <t>Application from number: 1355085</t>
  </si>
  <si>
    <t>rajpald (burst credential)</t>
  </si>
  <si>
    <t>rsd!@#123</t>
  </si>
  <si>
    <t>twitter</t>
  </si>
  <si>
    <t>Naukri.com</t>
  </si>
  <si>
    <t>rsd{code1}</t>
  </si>
  <si>
    <t>Yahoo Email</t>
  </si>
  <si>
    <t>Hotmail</t>
  </si>
  <si>
    <t>rdhanai@hotmail.com</t>
  </si>
  <si>
    <t xml:space="preserve">Gmail </t>
  </si>
  <si>
    <t>Facebook</t>
  </si>
  <si>
    <t>Linkedin</t>
  </si>
  <si>
    <t>Skype- Rajpal</t>
  </si>
  <si>
    <t>Skype- Rachna</t>
  </si>
  <si>
    <t>dhanai_rachna</t>
  </si>
  <si>
    <t>rachna!@#{code1}</t>
  </si>
  <si>
    <t>Google - Rachna</t>
  </si>
  <si>
    <t>rachnad4@gmail.com</t>
  </si>
  <si>
    <t>99 acres.com</t>
  </si>
  <si>
    <t>raj{code1}</t>
  </si>
  <si>
    <t>oline editor sharing
https://code.stypi.com/rdhanai/untitled</t>
  </si>
  <si>
    <t>https://jsfiddle.net/</t>
  </si>
  <si>
    <t xml:space="preserve">income - tax- </t>
  </si>
  <si>
    <t>traces website</t>
  </si>
  <si>
    <t>e stamp</t>
  </si>
  <si>
    <t>birth place question hint: mie</t>
  </si>
  <si>
    <t>https://mypayroll.myndsolution.com/Login.aspx?CID=ENGINEERAI (ESS)</t>
  </si>
  <si>
    <t>SMXSDG801</t>
  </si>
  <si>
    <t>irctc</t>
  </si>
  <si>
    <t>noidapower.com</t>
  </si>
  <si>
    <t>igl online</t>
  </si>
  <si>
    <t>Login (BP No. 6000019300)</t>
  </si>
  <si>
    <t>http://www.investgnida.in/myGNIDAServices/
Water bill of d-69, submit every year by march 31
greater noida authority</t>
  </si>
  <si>
    <t>allotment no. (g0120249)</t>
  </si>
  <si>
    <t>http://www.paytm.com - rajpal</t>
  </si>
  <si>
    <t>emaiid or mobile no.</t>
  </si>
  <si>
    <t>http://www.paytm.com - rachna</t>
  </si>
  <si>
    <t>rachna{code1}</t>
  </si>
  <si>
    <t>https://global.gotomeeting.com/</t>
  </si>
  <si>
    <t>rajpalsingh.dhanai@kronos.com</t>
  </si>
  <si>
    <t>https://www.benefitme.co.in/kronos</t>
  </si>
  <si>
    <t>15537@kronos.com</t>
  </si>
  <si>
    <t>https://www.fhpl.net/fhpllogins/Ecard/Login.aspx?Type=ecard</t>
  </si>
  <si>
    <t>corporate id: 2806, username: 2935</t>
  </si>
  <si>
    <t>sapient (sapient.taleo.net)</t>
  </si>
  <si>
    <t>rsdhanai (email used rajpal.dhanai@gmail.com)</t>
  </si>
  <si>
    <t>DPS GREATER NOIDA</t>
  </si>
  <si>
    <t xml:space="preserve">Navya Dhanai - </t>
  </si>
  <si>
    <t>student id :-- 2012251</t>
  </si>
  <si>
    <t xml:space="preserve">Vihaan Dhanai - </t>
  </si>
  <si>
    <t>student id :-- 2015390</t>
  </si>
  <si>
    <t/>
  </si>
  <si>
    <t>user: dhanai_rajpal@yahoo.com</t>
  </si>
  <si>
    <t>spellbeeinternational.com</t>
  </si>
  <si>
    <t>password</t>
  </si>
  <si>
    <t>Vihaan Dhanai (1914171424)</t>
  </si>
  <si>
    <t>Navya Dhanai (1914171602)</t>
  </si>
  <si>
    <t>HOUSE RENT RECEIPTS</t>
  </si>
  <si>
    <t>Rent</t>
  </si>
  <si>
    <t/>
  </si>
  <si>
    <t>Apr2015- Mar2016 --&gt; 37,000 pm</t>
  </si>
  <si>
    <t xml:space="preserve">Rajpal Singh Dhanai S/o Late Bhola Singh Dhanai 
R/o D-69, Gama 1, Greater Noi, </t>
  </si>
  <si>
    <t>Apr2016- Mar2017 --&gt; 40,000 pm</t>
  </si>
  <si>
    <t>accurev (server: engaccurev, port: 5051)</t>
  </si>
  <si>
    <t>rajpalsingh.dhanai</t>
  </si>
  <si>
    <t>kronova8</t>
  </si>
  <si>
    <t>House Rent declared for 2017-2018 in EDP</t>
  </si>
  <si>
    <t>45,000/- per month</t>
  </si>
  <si>
    <t>Rachna Dhanai  W/o Rajpal Singh Dhanai</t>
  </si>
  <si>
    <t>R/o C-211, New Ashok Nagar, Delhi - 110096</t>
  </si>
  <si>
    <t>House Rent declared for Apr 2020- Mar 2021 in NIIT portal</t>
  </si>
  <si>
    <t>House No. C-211, Block C, New Ashok Nagar, Delhi - 110096</t>
  </si>
  <si>
    <t>PAN # BMWPD0792D</t>
  </si>
  <si>
    <t>npmjs.com</t>
  </si>
  <si>
    <t>github.com</t>
  </si>
  <si>
    <t>heroku.com</t>
  </si>
  <si>
    <t>mongodb</t>
  </si>
  <si>
    <t>weatherstack</t>
  </si>
  <si>
    <t>key: 1689a643cdcf0571d86541791b40d0b1</t>
  </si>
  <si>
    <t>2 lacs as home loan interests</t>
  </si>
  <si>
    <t>LIC INSURANCE - 37000/-</t>
  </si>
  <si>
    <t>PPF  110000/-</t>
  </si>
  <si>
    <t>SUKANYA - 10000</t>
  </si>
  <si>
    <t xml:space="preserve">RENT - 35000/- PM </t>
  </si>
  <si>
    <t>NARA DEVI</t>
  </si>
  <si>
    <t>B-407, Ace Atlantis</t>
  </si>
  <si>
    <t>Chaitanya Enclave, Khajaguda, Manikonda</t>
  </si>
  <si>
    <t>Hyderabad Telangana 500075</t>
  </si>
  <si>
    <t>Now prod admin app credential</t>
  </si>
  <si>
    <t>admin@example.com/admin@password</t>
  </si>
  <si>
    <t>Now staging admin app credential</t>
  </si>
  <si>
    <t>https://api-staging-now.engineer.ai/admin/login</t>
  </si>
  <si>
    <t>rajpal.singh@engineer.ai/admin@password</t>
  </si>
  <si>
    <t>https://coforge.percipio.com/</t>
  </si>
  <si>
    <t>www.sbimf.com (userid: dhanai_rajpal@yahoo.com passowrd: Raj@code1), Et money credentials : id : rajpal.dhanai@gmail.com</t>
  </si>
  <si>
    <t>samsung things</t>
  </si>
  <si>
    <t>9899114717/raj!@#248</t>
  </si>
  <si>
    <t>samsung login</t>
  </si>
  <si>
    <t>icicidirect.com</t>
  </si>
  <si>
    <t>udemy.com</t>
  </si>
  <si>
    <t>dhanai_rajpal@yahoo.com/raj!@#{code1}</t>
  </si>
  <si>
    <t>rsdhanai.drive@gmail.com</t>
  </si>
  <si>
    <t>google GCP credentials</t>
  </si>
  <si>
    <t>https://www.partneradvantage.goog</t>
  </si>
  <si>
    <t>rajpal.dhanai@coforge.com/raj!@#123</t>
  </si>
  <si>
    <t>Mousami Painter</t>
  </si>
  <si>
    <t>WTBD</t>
  </si>
  <si>
    <t>Covered SQFT</t>
  </si>
  <si>
    <t>Rate @</t>
  </si>
  <si>
    <t xml:space="preserve">Rate </t>
  </si>
  <si>
    <t>Rates Products</t>
  </si>
  <si>
    <t>Rooms Walls Paint Normal</t>
  </si>
  <si>
    <t>Royal Mate @35 &amp; Texture Paint  @70</t>
  </si>
  <si>
    <t>Rooms Walls Paint Texture</t>
  </si>
  <si>
    <t>Bathroom Tiles</t>
  </si>
  <si>
    <t>30 Rs sqft tiles rate</t>
  </si>
  <si>
    <t>Wood work bathroom</t>
  </si>
  <si>
    <t>SDMR Rs 100 sqft</t>
  </si>
  <si>
    <t xml:space="preserve">Temple </t>
  </si>
  <si>
    <t>Normal 18mm Rs 90 sqft</t>
  </si>
  <si>
    <t>Main Door</t>
  </si>
  <si>
    <t>30-35 Rs sqft tiles rate</t>
  </si>
  <si>
    <t>LED Unit</t>
  </si>
  <si>
    <t>Manovar</t>
  </si>
  <si>
    <t>55 Rs sqft tiles rate</t>
  </si>
  <si>
    <t>Main Door Titles</t>
  </si>
  <si>
    <t>Doors Iron Fabric</t>
  </si>
  <si>
    <t>Glosy</t>
  </si>
  <si>
    <t>Doors Wood</t>
  </si>
  <si>
    <t xml:space="preserve">Sattern </t>
  </si>
  <si>
    <t>Paint Work</t>
  </si>
  <si>
    <t>Covered After minus</t>
  </si>
  <si>
    <t>Rate Premium Paint @25</t>
  </si>
  <si>
    <t>Rate Royale Paint @70</t>
  </si>
  <si>
    <t>Master Bedroom</t>
  </si>
  <si>
    <t xml:space="preserve"> - wardrobe wall  8.2 * 9</t>
  </si>
  <si>
    <t xml:space="preserve">     - door 2  (2.6 * 6.11)</t>
  </si>
  <si>
    <t xml:space="preserve"> - ac wall  13.9 * 9</t>
  </si>
  <si>
    <t xml:space="preserve">     - window (5.4 * 5)</t>
  </si>
  <si>
    <t xml:space="preserve"> - main wall  16.5 * 9</t>
  </si>
  <si>
    <t xml:space="preserve"> - roof 16.5 * 13.9</t>
  </si>
  <si>
    <t xml:space="preserve"> - bahroom wall 30.4 * 2</t>
  </si>
  <si>
    <t xml:space="preserve"> - bahroom roof 5.10 * 9.4</t>
  </si>
  <si>
    <t>Total Master Bedroom</t>
  </si>
  <si>
    <t>Kids Rooms</t>
  </si>
  <si>
    <t xml:space="preserve"> - blackboard wall 14.6 * 9</t>
  </si>
  <si>
    <t xml:space="preserve">     - door (2.6 * 6.11)</t>
  </si>
  <si>
    <t xml:space="preserve">     - window (5.5 * 5)</t>
  </si>
  <si>
    <t xml:space="preserve"> - clock wall 13.6 * 9</t>
  </si>
  <si>
    <t xml:space="preserve"> - photo frame wall  11.9 * 9</t>
  </si>
  <si>
    <t xml:space="preserve"> - entrance wall 3.2*2.5, 1.4*9</t>
  </si>
  <si>
    <t xml:space="preserve"> - roof room 11.9 * 13.6</t>
  </si>
  <si>
    <t/>
  </si>
  <si>
    <t xml:space="preserve"> - bahroom roof 10.1 * 7.2</t>
  </si>
  <si>
    <t>Total Kids Bedroom</t>
  </si>
  <si>
    <t>Center Wall Area</t>
  </si>
  <si>
    <t xml:space="preserve"> - cener wall 7*9</t>
  </si>
  <si>
    <t xml:space="preserve"> - wall opposite bathroom door 6.8 *3</t>
  </si>
  <si>
    <t xml:space="preserve"> - wall - master bedroom door (4.1 * 2.4) + (6.6 * 1)</t>
  </si>
  <si>
    <t>Total Central Wall Area</t>
  </si>
  <si>
    <t>Dining Hall Area</t>
  </si>
  <si>
    <t xml:space="preserve"> - Wallpaper Wall  17.3 * 9</t>
  </si>
  <si>
    <t xml:space="preserve">     - door (6.6*3)</t>
  </si>
  <si>
    <t xml:space="preserve"> - Roof 21 * 10.8</t>
  </si>
  <si>
    <t xml:space="preserve"> - Temple Wall 6.8 * 9</t>
  </si>
  <si>
    <t xml:space="preserve">     - door (6.6*2.6)</t>
  </si>
  <si>
    <t>- top above wooden pillar (9.9 * 1.1)</t>
  </si>
  <si>
    <t>- top above wooden pillar (1 * 9)</t>
  </si>
  <si>
    <t>Total Dining Hall Area</t>
  </si>
  <si>
    <t>Entrance Area</t>
  </si>
  <si>
    <t xml:space="preserve"> - left and right Wall  9 * 9 * 2</t>
  </si>
  <si>
    <t xml:space="preserve"> - Roof 4 * 9</t>
  </si>
  <si>
    <t xml:space="preserve"> - Wall above main door 4 * 2.4</t>
  </si>
  <si>
    <t xml:space="preserve"> - Wall above mother door 3.4*2.5</t>
  </si>
  <si>
    <t>Total Enrance Area</t>
  </si>
  <si>
    <t>Living Room</t>
  </si>
  <si>
    <t xml:space="preserve"> - door wall 12.8 * 9</t>
  </si>
  <si>
    <t xml:space="preserve">     - door (2.10 * 7.7)</t>
  </si>
  <si>
    <t xml:space="preserve">     - window (5 * 5)</t>
  </si>
  <si>
    <t xml:space="preserve"> - tv panel wall 13.1 * 2.3 + side wall (1.9 * 6.10)</t>
  </si>
  <si>
    <t xml:space="preserve"> - wallpaper wall 13.1 * 9</t>
  </si>
  <si>
    <t xml:space="preserve">     - wallpaper area (11.7 * 7.8)</t>
  </si>
  <si>
    <t xml:space="preserve"> - pillar above area 12.8 * 1</t>
  </si>
  <si>
    <t xml:space="preserve"> - roof 13.1 * 12.8</t>
  </si>
  <si>
    <t>Total Living Area</t>
  </si>
  <si>
    <t>Temple Area</t>
  </si>
  <si>
    <t>Total Temple Area</t>
  </si>
  <si>
    <t>Mother's Room</t>
  </si>
  <si>
    <t xml:space="preserve"> - Entrance Door Wall 12 * 9</t>
  </si>
  <si>
    <t xml:space="preserve">     - door (6.10*3.2)</t>
  </si>
  <si>
    <t xml:space="preserve"> - Frame wall Wall 12*9</t>
  </si>
  <si>
    <t xml:space="preserve"> - Wall opposite Frame wall 12*9</t>
  </si>
  <si>
    <t xml:space="preserve"> - Balcony Dool Wall 12*9</t>
  </si>
  <si>
    <t xml:space="preserve">     - door (3*7.10)</t>
  </si>
  <si>
    <t xml:space="preserve">     - window (2.5 * 5)</t>
  </si>
  <si>
    <t xml:space="preserve"> - roof room 12*12</t>
  </si>
  <si>
    <t xml:space="preserve"> - bathroom top (7.9 * 2 * 2) + (5.8*2*2)</t>
  </si>
  <si>
    <t xml:space="preserve"> - bathroom roof 7.9*5.8</t>
  </si>
  <si>
    <t>Kitchen</t>
  </si>
  <si>
    <t xml:space="preserve"> - Entrance Door Wall (6.7 * 3) + (3 * 1)</t>
  </si>
  <si>
    <t xml:space="preserve"> - kitchen top (9 * 2 * 1) + (11*2*1)</t>
  </si>
  <si>
    <t xml:space="preserve"> - roof kitchen 9 * 11</t>
  </si>
  <si>
    <t>Total Kitchen Area</t>
  </si>
  <si>
    <t>Kitchen Balcony</t>
  </si>
  <si>
    <t xml:space="preserve"> - Entrance Door Wall (6.4* 4)</t>
  </si>
  <si>
    <t xml:space="preserve"> - Wall opposite entrance Door (10.8 *3)</t>
  </si>
  <si>
    <t>- side wall first 4.6 * 8.5</t>
  </si>
  <si>
    <t>- side wall second 4.6 * 3</t>
  </si>
  <si>
    <t xml:space="preserve"> - balcony roof 10.8 * 4.6</t>
  </si>
  <si>
    <t>Total Kitchen Balcony Area</t>
  </si>
  <si>
    <t>Main Balcony Area</t>
  </si>
  <si>
    <t xml:space="preserve"> - Entrance Door Wall (2.9 * 5) + (3.1 * 5)</t>
  </si>
  <si>
    <t>- top wall area (18.10 * 2 * 1) + (4.5 * 2 * 1)</t>
  </si>
  <si>
    <t xml:space="preserve"> - balcony roof 18.10 * 4.5</t>
  </si>
  <si>
    <t>Total Balcony Area</t>
  </si>
  <si>
    <t>TOTAL AREA OF PAINT</t>
  </si>
  <si>
    <t>total paint area</t>
  </si>
  <si>
    <t>- normal paint area @25</t>
  </si>
  <si>
    <t>total price normal + texture paint</t>
  </si>
  <si>
    <t xml:space="preserve">total Wooden Door area </t>
  </si>
  <si>
    <t xml:space="preserve">total wooden small doors 2.6*7 *2 * 5 </t>
  </si>
  <si>
    <t xml:space="preserve">total wooden large door 3*7 *2 * 3 </t>
  </si>
  <si>
    <t>tractror emulsion premium /apcolite shyne</t>
  </si>
  <si>
    <t>main wooden door 4*7 *2 * 1</t>
  </si>
  <si>
    <t>Rs 5200-5700</t>
  </si>
  <si>
    <t>total metal door 3*7 *2 *4</t>
  </si>
  <si>
    <t>for door - glossy enamel or satin enamul</t>
  </si>
  <si>
    <t>total area of door paint</t>
  </si>
  <si>
    <t>primer is must before paint</t>
  </si>
  <si>
    <t>Tiles Work</t>
  </si>
  <si>
    <t>Rate Tiles @60</t>
  </si>
  <si>
    <t>Labour @10</t>
  </si>
  <si>
    <t>Cement, Rait Etc.</t>
  </si>
  <si>
    <t>Kitchen Tiles</t>
  </si>
  <si>
    <t>Balcony Tiles</t>
  </si>
  <si>
    <t>Main Door Front</t>
  </si>
  <si>
    <t>Main Door Walls</t>
  </si>
  <si>
    <t>sal 2021</t>
  </si>
  <si>
    <t>sal 2022</t>
  </si>
  <si>
    <t>increement</t>
  </si>
  <si>
    <t>increement %</t>
  </si>
  <si>
    <t>variable</t>
  </si>
  <si>
    <t>nps</t>
  </si>
  <si>
    <t>pf</t>
  </si>
  <si>
    <t>tax</t>
  </si>
  <si>
    <t>balance</t>
  </si>
  <si>
    <t>pm</t>
  </si>
  <si>
    <t>difference</t>
  </si>
  <si>
    <t>Mediclaim Premium</t>
  </si>
  <si>
    <t>Life Insurance Premium</t>
  </si>
  <si>
    <t>Estimate</t>
  </si>
  <si>
    <t>Actual</t>
  </si>
  <si>
    <t>Fans</t>
  </si>
  <si>
    <t>Fan (Living+Dining) decorated</t>
  </si>
  <si>
    <t>October</t>
  </si>
  <si>
    <t>Fan (Bedrooms) decorated</t>
  </si>
  <si>
    <t>1st Floor</t>
  </si>
  <si>
    <t>Reading On</t>
  </si>
  <si>
    <t>Difference</t>
  </si>
  <si>
    <t>Amount</t>
  </si>
  <si>
    <t>Kitchen &amp; Balcony(small plain)</t>
  </si>
  <si>
    <t>Oct</t>
  </si>
  <si>
    <t>15/09/16</t>
  </si>
  <si>
    <t>bathrooms exauts fan (small)</t>
  </si>
  <si>
    <t>15/10/16</t>
  </si>
  <si>
    <t>Mirrors</t>
  </si>
  <si>
    <t>November</t>
  </si>
  <si>
    <t>Bathrooms Mirror</t>
  </si>
  <si>
    <t>towel hanger</t>
  </si>
  <si>
    <t>Nov</t>
  </si>
  <si>
    <t>15/11/16</t>
  </si>
  <si>
    <t>Lights</t>
  </si>
  <si>
    <t>Ground</t>
  </si>
  <si>
    <t>Kitchen LED (3 wt phlips Sec 9 Noida @500) - 2</t>
  </si>
  <si>
    <t>10/10/2016</t>
  </si>
  <si>
    <t>-</t>
  </si>
  <si>
    <t>Kitchen LED (2 wt wipro Jagat Farm, Gr Noida @280) - total 4</t>
  </si>
  <si>
    <t>14/11/2016</t>
  </si>
  <si>
    <t>Main Gate</t>
  </si>
  <si>
    <t>1 (main gate)</t>
  </si>
  <si>
    <t>Main Meter</t>
  </si>
  <si>
    <t>Entrance, Living, Dining</t>
  </si>
  <si>
    <t>6 (decorated)</t>
  </si>
  <si>
    <t>Kitchen (hanging)</t>
  </si>
  <si>
    <t>2 (hanging)</t>
  </si>
  <si>
    <t>Main Balcony + Kitchen Balcony</t>
  </si>
  <si>
    <t>3 (rounded)</t>
  </si>
  <si>
    <t>December</t>
  </si>
  <si>
    <t>2 hanging</t>
  </si>
  <si>
    <t>1 tube  + 1 deco</t>
  </si>
  <si>
    <t>Mother Bedroom</t>
  </si>
  <si>
    <t>15/12/16</t>
  </si>
  <si>
    <t>Kids Bedroom</t>
  </si>
  <si>
    <t>Bathroom 1</t>
  </si>
  <si>
    <t>1 mirror light + 1 main light</t>
  </si>
  <si>
    <t>Bathroom 2</t>
  </si>
  <si>
    <t>14/12/2016</t>
  </si>
  <si>
    <t>Bathroom 3</t>
  </si>
  <si>
    <t xml:space="preserve">Store Room </t>
  </si>
  <si>
    <t>1 holder + bulb</t>
  </si>
  <si>
    <t>Bell</t>
  </si>
  <si>
    <t>January</t>
  </si>
  <si>
    <t>15/01/17</t>
  </si>
  <si>
    <t>IGL BP Number : 6000019300</t>
  </si>
  <si>
    <t>Kasna Branch : 0120-6492526/27</t>
  </si>
  <si>
    <t>pincode of Stellar MI Legacy : 201309</t>
  </si>
  <si>
    <t>14/1/2017</t>
  </si>
  <si>
    <t>Meter Reading Guy: Sunil Kumar 8800266851</t>
  </si>
  <si>
    <t>whatsup no. for meter reading: 9717827778</t>
  </si>
  <si>
    <t>February</t>
  </si>
  <si>
    <t>bill quereis : anandi mishra - 011 46074811</t>
  </si>
  <si>
    <t>Nidhi Joshi - 011- 46074806</t>
  </si>
  <si>
    <t>17/02/17</t>
  </si>
  <si>
    <t>16/2/2017</t>
  </si>
  <si>
    <t>March</t>
  </si>
  <si>
    <t>Electiry bill recharge</t>
  </si>
  <si>
    <t xml:space="preserve">17/02/2017 - 714232 - 2500 </t>
  </si>
  <si>
    <t>18/03/17</t>
  </si>
  <si>
    <t>14/3/2017</t>
  </si>
  <si>
    <t>April</t>
  </si>
  <si>
    <t>20/04/17</t>
  </si>
  <si>
    <t>17/4/2017</t>
  </si>
  <si>
    <t>Household rent</t>
  </si>
  <si>
    <t>Fridge – (Jun – Aug) – 550 pm = 1650</t>
  </si>
  <si>
    <t>Cot- (jJun – Aug) 200 pm – 600</t>
  </si>
  <si>
    <t>May</t>
  </si>
  <si>
    <t>Paid on bank a/c 2140 (sept 15 2018)</t>
  </si>
  <si>
    <t>Bank Details</t>
  </si>
  <si>
    <t>Rent Starting from 17/09/2018)</t>
  </si>
  <si>
    <t>21/05/17</t>
  </si>
  <si>
    <t>Name : Rachna Dhanai</t>
  </si>
  <si>
    <t xml:space="preserve">Monthly Rent </t>
  </si>
  <si>
    <t/>
  </si>
  <si>
    <t>Security Amount</t>
  </si>
  <si>
    <t/>
  </si>
  <si>
    <t>17/5/2017</t>
  </si>
  <si>
    <t>Bank: Corporation Bank, Jagat Farm, Gr Noida.</t>
  </si>
  <si>
    <t>minus</t>
  </si>
  <si>
    <t>- advance given</t>
  </si>
  <si>
    <t>- plumber</t>
  </si>
  <si>
    <t>June</t>
  </si>
  <si>
    <t>Total to be paid</t>
  </si>
  <si>
    <t>20/06/17</t>
  </si>
  <si>
    <t>16/6/2017</t>
  </si>
  <si>
    <t>Meter Reading on 19/10/2018</t>
  </si>
  <si>
    <t>previous reading</t>
  </si>
  <si>
    <t>July</t>
  </si>
  <si>
    <t>90 * 5.40</t>
  </si>
  <si>
    <t>fixed charges</t>
  </si>
  <si>
    <t>Additional 13% tax of total 586</t>
  </si>
  <si>
    <t>20/07/17</t>
  </si>
  <si>
    <t>total electricity bill</t>
  </si>
  <si>
    <t>rent of oct</t>
  </si>
  <si>
    <t>total amount (rent+elec)</t>
  </si>
  <si>
    <t>18/7/2017</t>
  </si>
  <si>
    <t>Aug</t>
  </si>
  <si>
    <t>20/08/17</t>
  </si>
  <si>
    <t>19/8/2017</t>
  </si>
  <si>
    <t>Floor</t>
  </si>
  <si>
    <t>Ccurrent Reading</t>
  </si>
  <si>
    <t>Prev Reading</t>
  </si>
  <si>
    <t>Date</t>
  </si>
  <si>
    <t>Reading</t>
  </si>
  <si>
    <t>Ground Floor</t>
  </si>
  <si>
    <t>24/10/17</t>
  </si>
  <si>
    <t>17/09/17</t>
  </si>
  <si>
    <t>22/10/17</t>
  </si>
  <si>
    <t>22/09/17</t>
  </si>
  <si>
    <t>MAR</t>
  </si>
  <si>
    <t>sdadadas</t>
  </si>
  <si>
    <t>APR</t>
  </si>
  <si>
    <t>MAY</t>
  </si>
  <si>
    <t>JUNE</t>
  </si>
  <si>
    <t>hero_fetuare_id</t>
  </si>
  <si>
    <t>Monthly Expenditures</t>
  </si>
  <si>
    <t>Kids School Fee &amp; transport</t>
  </si>
  <si>
    <t xml:space="preserve">  - Navya's school fee</t>
  </si>
  <si>
    <t xml:space="preserve">  - Vihaan's school fee</t>
  </si>
  <si>
    <t>Ration</t>
  </si>
  <si>
    <t>Phones, Internet &amp; TV bills</t>
  </si>
  <si>
    <t>PNG</t>
  </si>
  <si>
    <t>Electricity &amp; Water Bill</t>
  </si>
  <si>
    <t>Flat Maintenance</t>
  </si>
  <si>
    <t>LIC policies premium</t>
  </si>
  <si>
    <t>Car Insurance</t>
  </si>
  <si>
    <t>Medicines  &amp; Doctor consultancy</t>
  </si>
  <si>
    <t xml:space="preserve">  - Medicnes</t>
  </si>
  <si>
    <t>Shoppings</t>
  </si>
  <si>
    <t xml:space="preserve">  - Family</t>
  </si>
  <si>
    <t xml:space="preserve">  - Kids</t>
  </si>
  <si>
    <t>Fitness</t>
  </si>
  <si>
    <t xml:space="preserve">  - Rajpal Swimming</t>
  </si>
  <si>
    <t>Others/Misc</t>
  </si>
  <si>
    <t xml:space="preserve">  - Eating outside</t>
  </si>
  <si>
    <t xml:space="preserve">  </t>
  </si>
  <si>
    <t>Monthly Fixed Expenses</t>
  </si>
  <si>
    <t>Credit Card No.</t>
  </si>
  <si>
    <t>5243736500108605</t>
  </si>
  <si>
    <t>Statements Period</t>
  </si>
  <si>
    <t>Statement Date</t>
  </si>
  <si>
    <t>Payment Due Date</t>
  </si>
  <si>
    <t>Closing Reward Points</t>
  </si>
  <si>
    <t>04/02/2016 to 03/03/2016</t>
  </si>
  <si>
    <t>04/03/2016 to 03/04/2016</t>
  </si>
  <si>
    <t>04/04/2016 to 03/05/2016</t>
  </si>
  <si>
    <t>04/05/2016 to 03/06/2016</t>
  </si>
  <si>
    <t>04/06/2016 to 03/07/2016</t>
  </si>
  <si>
    <t>04/07/2016 to 03/08/2016</t>
  </si>
  <si>
    <t>04/08/2016 to 03/09/2016</t>
  </si>
  <si>
    <t>04/09/2016 to 03/10/2016</t>
  </si>
  <si>
    <t>23/10/2016</t>
  </si>
  <si>
    <t>04/10/2016 to 03/11/2016</t>
  </si>
  <si>
    <t>23/11/2016</t>
  </si>
  <si>
    <t>04/11/2016 to 03/12/2016</t>
  </si>
  <si>
    <t>23/12/2016</t>
  </si>
  <si>
    <t>04/12/2016 to 03/01/2017</t>
  </si>
  <si>
    <t>23/01/2017</t>
  </si>
  <si>
    <t>04/01/2017 to 03/02/2017</t>
  </si>
  <si>
    <t>23/02/2017</t>
  </si>
  <si>
    <t>04/02/2017 to 03/03/2017</t>
  </si>
  <si>
    <t>23/03/2017</t>
  </si>
  <si>
    <t>04/03/2017 to 03/04/2017</t>
  </si>
  <si>
    <t>23/04/2017</t>
  </si>
  <si>
    <t>04/04/2017 to 03/05/2017</t>
  </si>
  <si>
    <t>23/05/2017</t>
  </si>
  <si>
    <t>04/05/2017 to 03/06/2017</t>
  </si>
  <si>
    <t>23/06/2017</t>
  </si>
  <si>
    <t>04/06/2017 to 03/07/2017</t>
  </si>
  <si>
    <t>23/07/2017</t>
  </si>
  <si>
    <t>04/07/2017 to 03/08/2017</t>
  </si>
  <si>
    <t>23/08/2017</t>
  </si>
  <si>
    <t>04/08/2017 to 03/09/2017</t>
  </si>
  <si>
    <t>23/09/2017</t>
  </si>
  <si>
    <t>04/09/2017 to 03/10/2017</t>
  </si>
  <si>
    <t>23/10/2017</t>
  </si>
  <si>
    <t>04/10/2017 to 03/11/2017</t>
  </si>
  <si>
    <t>23/11/2017</t>
  </si>
  <si>
    <t>04/11/2017 to 03/12/2017</t>
  </si>
  <si>
    <t>23/12/2017</t>
  </si>
  <si>
    <t>04/mar/2018 to 03/apr/2018</t>
  </si>
  <si>
    <t>03/apr/2018</t>
  </si>
  <si>
    <t>23/apr/2018</t>
  </si>
  <si>
    <t>RBL Bank credit</t>
  </si>
  <si>
    <t>Use IFSC code RATN0CRCARD</t>
  </si>
  <si>
    <t>hdfc</t>
  </si>
  <si>
    <t>15/11/2106</t>
  </si>
  <si>
    <t>Request to reversal of annula fee (499 + tax = 573.85)</t>
  </si>
  <si>
    <t>Request made on 20/03/2017</t>
  </si>
  <si>
    <t>Request # 78610</t>
  </si>
  <si>
    <t>rbl.reward.com</t>
  </si>
  <si>
    <t xml:space="preserve">Card </t>
  </si>
  <si>
    <t>Hdfc – 4639170011468974</t>
  </si>
  <si>
    <t/>
  </si>
  <si>
    <t/>
  </si>
  <si>
    <t xml:space="preserve">RBL - </t>
  </si>
  <si>
    <t/>
  </si>
  <si>
    <t/>
  </si>
  <si>
    <t>Person</t>
  </si>
  <si>
    <t>Fasting</t>
  </si>
  <si>
    <t>PP</t>
  </si>
  <si>
    <t>Medium</t>
  </si>
  <si>
    <t>22/4/2017</t>
  </si>
  <si>
    <t>Mother</t>
  </si>
  <si>
    <t>GlucoMeter</t>
  </si>
  <si>
    <t>Rajpal</t>
  </si>
  <si>
    <t>29/4/2017</t>
  </si>
  <si>
    <t>Dr Lal Path</t>
  </si>
  <si>
    <t>Description</t>
  </si>
  <si>
    <t>Debit</t>
  </si>
  <si>
    <t>Credit</t>
  </si>
  <si>
    <t>25/05/2016</t>
  </si>
  <si>
    <t>Loan Amount Received from Synd
BY TR 88959740000032</t>
  </si>
  <si>
    <t>30/06/2016</t>
  </si>
  <si>
    <t>Drawdown Effected 88959740000032</t>
  </si>
  <si>
    <t>Insurance paymet</t>
  </si>
  <si>
    <t>31/07/2016</t>
  </si>
  <si>
    <t>31/08/2016</t>
  </si>
  <si>
    <t>30/09/2016</t>
  </si>
  <si>
    <t>29/10/2016</t>
  </si>
  <si>
    <t>Prepayment TO TR 88959740000032
Cheque No. 290051792692</t>
  </si>
  <si>
    <t>30/11/2016</t>
  </si>
  <si>
    <t>31/12/2016</t>
  </si>
  <si>
    <t>TO TR 88959740000032</t>
  </si>
  <si>
    <t>SI-88959740000032</t>
  </si>
  <si>
    <t>31/03/2017</t>
  </si>
  <si>
    <t>29/04/2017</t>
  </si>
  <si>
    <t>31/05/2017</t>
  </si>
  <si>
    <t>30/06/2017</t>
  </si>
  <si>
    <t>31/07/2017</t>
  </si>
  <si>
    <t>31/08/2017</t>
  </si>
  <si>
    <t>30/09/2017</t>
  </si>
  <si>
    <t>31/10/2017</t>
  </si>
  <si>
    <t xml:space="preserve">Prepayment TO TR 88959740000032
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</si>
  <si>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</si>
  <si>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</si>
  <si>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</si>
  <si>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</si>
  <si>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</si>
  <si>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</si>
  <si>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</si>
  <si>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</si>
  <si>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</si>
  <si>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</si>
  <si>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</si>
  <si>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</si>
  <si>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</si>
  <si>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</si>
  <si>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</si>
  <si>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</si>
  <si>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</si>
  <si>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</si>
  <si>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</si>
  <si>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Total paid to home loan</t>
  </si>
  <si>
    <t>outstanding as on 31/12/2018</t>
  </si>
  <si>
    <t>Loan amount</t>
  </si>
  <si>
    <t>total of paid (EMI+Down Payment)</t>
  </si>
  <si>
    <t>remaing actual</t>
  </si>
  <si>
    <t>outstanding amount</t>
  </si>
  <si>
    <t>interest paid</t>
  </si>
  <si>
    <t>total time passed in months</t>
  </si>
  <si>
    <t>acutal intrest paid in %</t>
  </si>
  <si>
    <t>Interior/Finishing Non-Portable</t>
  </si>
  <si>
    <t>Cost (approx)</t>
  </si>
  <si>
    <t>Steller MI Legacy 3 bhk (2227 sqft)</t>
  </si>
  <si>
    <t>Flat Costs total</t>
  </si>
  <si>
    <t>Doors</t>
  </si>
  <si>
    <t xml:space="preserve">Paid amount </t>
  </si>
  <si>
    <t>Net Door (Metal - Main Door)</t>
  </si>
  <si>
    <t>bed</t>
  </si>
  <si>
    <t>Net Door (Metal) @6000 per door</t>
  </si>
  <si>
    <t>Shifting Aluminiym door inside</t>
  </si>
  <si>
    <t>living</t>
  </si>
  <si>
    <t xml:space="preserve">Fan (Living+Dining) decorated Orient PSPO @1250 </t>
  </si>
  <si>
    <t>dining</t>
  </si>
  <si>
    <t>Fan (Kids Room) decorated</t>
  </si>
  <si>
    <t>kit</t>
  </si>
  <si>
    <t xml:space="preserve">Fan Mater Bedroom 56"  Sunflame @1346 </t>
  </si>
  <si>
    <t xml:space="preserve">Kitchen &amp; Balcony(small plain) @1200 </t>
  </si>
  <si>
    <t>store</t>
  </si>
  <si>
    <t>bathrooms exauts fan (small) @825  - total 3</t>
  </si>
  <si>
    <t>bath</t>
  </si>
  <si>
    <t>Bathrooms Mirror from Sector 9, Noida</t>
  </si>
  <si>
    <t>Mirror Kids Room</t>
  </si>
  <si>
    <t>balcon</t>
  </si>
  <si>
    <t>CFL Bulb 8W Philips (from Canteen) @97 - total 5</t>
  </si>
  <si>
    <t>CFL Bulb 5W Philips (from Canteen) @84 - total 8</t>
  </si>
  <si>
    <t>Kitchen LED Top (12 wt Sec 9 Noida @825) - total 2</t>
  </si>
  <si>
    <t>passage</t>
  </si>
  <si>
    <t>4 (decorated)</t>
  </si>
  <si>
    <t>actual carptet area</t>
  </si>
  <si>
    <t>66% of 2227</t>
  </si>
  <si>
    <t>Main Balcony + Kitchen Balcony @150</t>
  </si>
  <si>
    <t>saleable area</t>
  </si>
  <si>
    <t>loading</t>
  </si>
  <si>
    <t>LED Tubes Wipro Garnet 20W @540 from Triputi Rampur 2yr Warranty</t>
  </si>
  <si>
    <t>1 deco</t>
  </si>
  <si>
    <t>builder shown carpet area</t>
  </si>
  <si>
    <t>22% of 2227</t>
  </si>
  <si>
    <t>Bathroom Mirror Lights @350</t>
  </si>
  <si>
    <t>Master Bathroom Mirror Light @625 LED</t>
  </si>
  <si>
    <t>Bathrooms top light LED @325 + 1 adapter @75</t>
  </si>
  <si>
    <t>Lights fixing</t>
  </si>
  <si>
    <t>Lights Master bathroom Wipro</t>
  </si>
  <si>
    <t>Lights Living Room (dolphin + bulbs)</t>
  </si>
  <si>
    <t>flat cost</t>
  </si>
  <si>
    <t>Curtain Rods</t>
  </si>
  <si>
    <t>Self funding (20%)</t>
  </si>
  <si>
    <t>Rods + Latto</t>
  </si>
  <si>
    <t>paid (10%)</t>
  </si>
  <si>
    <t>Rods fixing</t>
  </si>
  <si>
    <t>Others</t>
  </si>
  <si>
    <t>Sanitary Bathrooms</t>
  </si>
  <si>
    <t>Towel Rods, Handel, Corners etc</t>
  </si>
  <si>
    <t>Wall papers</t>
  </si>
  <si>
    <t>Wall paper bricks (3 roll @2200)</t>
  </si>
  <si>
    <t>Wall paper flower (2 roll @2300)</t>
  </si>
  <si>
    <t>Total Cost</t>
  </si>
  <si>
    <t>Total cost</t>
  </si>
  <si>
    <t>Interior/Furniture Portable</t>
  </si>
  <si>
    <t>Chimney/Gas Stove</t>
  </si>
  <si>
    <t>Chimney</t>
  </si>
  <si>
    <t>Gas Stove</t>
  </si>
  <si>
    <t>Kitchen Gyser</t>
  </si>
  <si>
    <t>Coolers/AC</t>
  </si>
  <si>
    <t>Cooler Mother Bedroom</t>
  </si>
  <si>
    <t>Master Bedroom AC (Voltas Inverter 1.5 ton)</t>
  </si>
  <si>
    <t>Living Room AC (Voltas 1.5 ton 3 star rating)</t>
  </si>
  <si>
    <t>Dininig Table</t>
  </si>
  <si>
    <t>maintains &amp; other</t>
  </si>
  <si>
    <t>Dining Table (from Sajawat Site 4)</t>
  </si>
  <si>
    <t>Sofa + Center Table (Vardhan Site 4)</t>
  </si>
  <si>
    <t>Dressing Table</t>
  </si>
  <si>
    <t>Bed (Header and Footer and 2 side tables)</t>
  </si>
  <si>
    <t>Kids Bed</t>
  </si>
  <si>
    <t>registry</t>
  </si>
  <si>
    <t>Curtains</t>
  </si>
  <si>
    <t>Kids curtains</t>
  </si>
  <si>
    <t>curtains patching</t>
  </si>
  <si>
    <t>Carpet Living Room</t>
  </si>
  <si>
    <t>carpet livnig room 9*6 (amazon)</t>
  </si>
  <si>
    <t>Chest Living Room</t>
  </si>
  <si>
    <t>Matresses</t>
  </si>
  <si>
    <t>Springwel matresses (72 * 70 * 5) @ 13500 pair on 17/10/2107 by Jagatfarm</t>
  </si>
  <si>
    <t>Due amount</t>
  </si>
  <si>
    <t>Stellar Payment Made</t>
  </si>
  <si>
    <t>cheque no.</t>
  </si>
  <si>
    <t>date</t>
  </si>
  <si>
    <t>bank</t>
  </si>
  <si>
    <t>Cheque Cleared On</t>
  </si>
  <si>
    <t>purchased on 24 of april</t>
  </si>
  <si>
    <t>30/04/2016</t>
  </si>
  <si>
    <t>RBS</t>
  </si>
  <si>
    <t>purchased on 2016</t>
  </si>
  <si>
    <t>c-402</t>
  </si>
  <si>
    <t>ONLINE NEFT 
UTR Number:P16052473898956</t>
  </si>
  <si>
    <t>24/05/2016</t>
  </si>
  <si>
    <t>Syndicate Bank</t>
  </si>
  <si>
    <t>birth day 15 july</t>
  </si>
  <si>
    <t>Benefiary A/c : 4613002100005099</t>
  </si>
  <si>
    <t>home loan account last digit</t>
  </si>
  <si>
    <t>Name: Hirise Facility Management Private</t>
  </si>
  <si>
    <t>d 69 - total</t>
  </si>
  <si>
    <t>IFSC CODE: PUNB0461300</t>
  </si>
  <si>
    <t>lucky number</t>
  </si>
  <si>
    <t>ONLINE IMPS</t>
  </si>
  <si>
    <t>IMPS IB DR RR-614522085595</t>
  </si>
  <si>
    <t>INTERNET BANKING</t>
  </si>
  <si>
    <t>NSDL TAX Debit-50773100000018</t>
  </si>
  <si>
    <t>NEFT P16052574279855 SVPL AND MI LEGACY</t>
  </si>
  <si>
    <t>26/05/2016</t>
  </si>
  <si>
    <t>RTGS:SYNBR92016052600471981:STOCK HOLDING CORPORATION OF INDIA:FAST</t>
  </si>
  <si>
    <t>Flat Cost</t>
  </si>
  <si>
    <t>booking amount</t>
  </si>
  <si>
    <t>full down payment</t>
  </si>
  <si>
    <t>TDS 1% of flat cost</t>
  </si>
  <si>
    <t>Other Charges</t>
  </si>
  <si>
    <t>IGL Connection</t>
  </si>
  <si>
    <t>Electricity Meter Charges</t>
  </si>
  <si>
    <t>Sub Lease Deed Charges</t>
  </si>
  <si>
    <t>Stellar Advocate Fee</t>
  </si>
  <si>
    <t>Stamp paper 100 * 5 for lease deed</t>
  </si>
  <si>
    <t>Stamp paper 100 * 3 for bank loan</t>
  </si>
  <si>
    <t>Stamp paper for bank loan 10000</t>
  </si>
  <si>
    <t>Insurance of flat</t>
  </si>
  <si>
    <t>Registry Charges</t>
  </si>
  <si>
    <t>Authority + Registrar Fee</t>
  </si>
  <si>
    <t>Registry e-Stamp Fee</t>
  </si>
  <si>
    <t>Flat Total Cost</t>
  </si>
  <si>
    <t>Modular Kitchen</t>
  </si>
  <si>
    <t xml:space="preserve">Modular Kitchen design consultancy </t>
  </si>
  <si>
    <t>Pending now</t>
  </si>
  <si>
    <t>bulb on store</t>
  </si>
  <si>
    <t>Ply &amp; Wood, Laxmi Timber Site 4, Gr Noida</t>
  </si>
  <si>
    <t>bulb on mother bathroom 5w</t>
  </si>
  <si>
    <t>Plywood 8*4,18mm Black Cat @ 66 - total 10</t>
  </si>
  <si>
    <t>wiring on kitchen cabinets</t>
  </si>
  <si>
    <t>Plywood 8*4,18mm Magsum BWR @ 70 - total 1</t>
  </si>
  <si>
    <t xml:space="preserve">bathroom coarner </t>
  </si>
  <si>
    <t>Board 8*4, 21mm Black Tiger (Pine, Double Core) @ 66 - total 4</t>
  </si>
  <si>
    <t>bathroom liqued despencer</t>
  </si>
  <si>
    <t>Board 8*4, 21mm Magsum (BWR, Double Core) @ 70 - total 1</t>
  </si>
  <si>
    <t>bathroom soap container</t>
  </si>
  <si>
    <t>Ply 8*4, 6mm Black Cat @ 31 - total 6</t>
  </si>
  <si>
    <t>bathroom towel rode</t>
  </si>
  <si>
    <t>Ply 8*4, 6mm Magsum BWR @ 36 - total 1</t>
  </si>
  <si>
    <t>wiring on exauts fan</t>
  </si>
  <si>
    <t>Mica 8*4, White (0.8mm) Soniar @ 455 - total 25</t>
  </si>
  <si>
    <t>kids room bulb</t>
  </si>
  <si>
    <t>Delivery charges Rs 450</t>
  </si>
  <si>
    <t>kids room fan</t>
  </si>
  <si>
    <t>Kitchen Doors Mica 8*4 1mm @1200 per sheet - total 5</t>
  </si>
  <si>
    <t>mother room fan</t>
  </si>
  <si>
    <t>Total Ply wood</t>
  </si>
  <si>
    <t>bathroom gyzer</t>
  </si>
  <si>
    <t>Hardware &amp; Misc, Akshar Village Site 4 Gr Noida</t>
  </si>
  <si>
    <t>789 acryalic (for filling)</t>
  </si>
  <si>
    <t>Fevicol 20kg bucket</t>
  </si>
  <si>
    <t>woodwork pending</t>
  </si>
  <si>
    <t>Anti Termite</t>
  </si>
  <si>
    <t>crousal fix</t>
  </si>
  <si>
    <t>Masking Tape 30 mtr * 6 * 4</t>
  </si>
  <si>
    <t>lock on one cabinet</t>
  </si>
  <si>
    <t>Mirror Screw with Cap total @4 total 50</t>
  </si>
  <si>
    <t>board in store room</t>
  </si>
  <si>
    <t>Neils</t>
  </si>
  <si>
    <t>wood skarting near almirah</t>
  </si>
  <si>
    <t>Kitchen Cabinets Legs @50 total 20</t>
  </si>
  <si>
    <t>wood skarting near door</t>
  </si>
  <si>
    <t>Aerolite 180gm @260</t>
  </si>
  <si>
    <t>wood work for Mandir</t>
  </si>
  <si>
    <t>POP 2kg @10 per kig</t>
  </si>
  <si>
    <t>Total Hardware</t>
  </si>
  <si>
    <t>Other Hardware &amp; Misc, Garg Enterprises E-34, Site 4 Gr Noida</t>
  </si>
  <si>
    <t>Cabinet Shelf Plastic buttons @6 - total 50 pieces</t>
  </si>
  <si>
    <t>Sliders 20" Hettech @380 - total 11 piece</t>
  </si>
  <si>
    <t xml:space="preserve">Kabje Zero number, Hettech @65 - total 16 pieces </t>
  </si>
  <si>
    <t xml:space="preserve">Kabje Eight number, Hettech @68 - total 10 pieces </t>
  </si>
  <si>
    <t>Kabje Corner, Kaff @480 - total 2 set</t>
  </si>
  <si>
    <t>White Cement 1kg @25</t>
  </si>
  <si>
    <t>PVC Fevicol @260 - 3kg</t>
  </si>
  <si>
    <t>Kanghi Patti 1/2" 250 gm</t>
  </si>
  <si>
    <t>Kitchen Cabinets Handles Small 4" @95 - total 21</t>
  </si>
  <si>
    <t>Kitchen Drawrers Handles Big 8" - total 10</t>
  </si>
  <si>
    <t>Total Hardware &amp; Misc</t>
  </si>
  <si>
    <t>PVC Tape (sector 9 noida)</t>
  </si>
  <si>
    <t>PVC White Tape (Normal) 0.45mm @8 per meter - 50 meter</t>
  </si>
  <si>
    <t>PVC Red Tape (High Gloss) 0.8mm @26 per meter - 60 meter</t>
  </si>
  <si>
    <t>PVC White Tape (High Gloss) 0.8mm @26 per meter - 40 meter</t>
  </si>
  <si>
    <t>Total PVC tape</t>
  </si>
  <si>
    <t>Kitchen Baskets - Peocock Rivera/Forever , H-15, Site 4 Gr Noida</t>
  </si>
  <si>
    <t>(Lifetime Warranty 60% discount on price list)</t>
  </si>
  <si>
    <t>Cuttlary 15*20*4 @1170 - 1 piece</t>
  </si>
  <si>
    <t>Cup &amp; Soucer 15*20*4 @735 - 1 piece</t>
  </si>
  <si>
    <t>Multi/Plaint Basket 15*20*6 @653 - 1 piece</t>
  </si>
  <si>
    <t>Multi/Plaint Basket 15*20*4 @540 - 1 piece</t>
  </si>
  <si>
    <t>Multi/Plaint Basket 15*20*8 @765 - 3 pieces</t>
  </si>
  <si>
    <t>Bottle Basket 6" @1032 - 1 piece</t>
  </si>
  <si>
    <t>Crousal (corner) 22" @1935 - 1 piece</t>
  </si>
  <si>
    <t>GTPT (Disc) 30" @1100 - 1 piece</t>
  </si>
  <si>
    <t>Multi/Plain Basket 17*20*6 @708 - 1 piece</t>
  </si>
  <si>
    <t>Thali Basket 17*20*8 @979 -1 piece</t>
  </si>
  <si>
    <t>Dustbin Holder @266 - 1 piece</t>
  </si>
  <si>
    <t>Total Kitchen Baskets</t>
  </si>
  <si>
    <t>Kitchen Front window Glasses (saint gobin)</t>
  </si>
  <si>
    <t>Kitchen Labor Cost @230 per sqft - total 112 sqft</t>
  </si>
  <si>
    <t>Total Amount Kitchen</t>
  </si>
  <si>
    <t>Wardrobe Master Bedroom</t>
  </si>
  <si>
    <t>Board 8*4, 2.5mm Core Black Commando @ 44 - total 3</t>
  </si>
  <si>
    <t>Board 8*4, Double Core Black Commando @ 49 - total 1</t>
  </si>
  <si>
    <t>Ply 8*4, 6mm Black Commando @ 19.5 total 1</t>
  </si>
  <si>
    <t>Mica 8*4, White (0.8mm) Virgo @ 465 - total 9</t>
  </si>
  <si>
    <t>Wardrobe Doors Mica 8*4 1mm @1250 per sheet - total 3</t>
  </si>
  <si>
    <t xml:space="preserve">Margin (teek wood 22 mm) - 6 ft @3.90 - total 7 piece </t>
  </si>
  <si>
    <t>Delivery charges Rs 300</t>
  </si>
  <si>
    <t>Hardware &amp; Misc, Garg Enterprises E-34, Site 4 Gr Noida</t>
  </si>
  <si>
    <t>Sliders 18" Hettech @420 - total 2 piece</t>
  </si>
  <si>
    <t>Almira long kabje 1/2 * 3/4 (7 ft) @95 - total 5</t>
  </si>
  <si>
    <t>Fevicol 10kg bucket @1680</t>
  </si>
  <si>
    <t xml:space="preserve">Fevicol </t>
  </si>
  <si>
    <t>Almira locks, rod, magnets, chatakni</t>
  </si>
  <si>
    <t>bubbule sheet for almira</t>
  </si>
  <si>
    <t>pench almira</t>
  </si>
  <si>
    <t>Locker's lock and handle</t>
  </si>
  <si>
    <t>Door Handles 8" @210 - total 3</t>
  </si>
  <si>
    <t>Door Handles 4" @150 - total 3</t>
  </si>
  <si>
    <t>Almira Labor Cost @200 per sqft - total 46 sqft</t>
  </si>
  <si>
    <t>Total Amount Wardrobe</t>
  </si>
  <si>
    <t>Wardrobe Kids Room</t>
  </si>
  <si>
    <t>Ply and Wood - Galaxy Site IV</t>
  </si>
  <si>
    <t>Board 8*4, 2.5mm Core Ozone @ 56 psqft - total 10</t>
  </si>
  <si>
    <t>Ply 8*4, 6mm Ozone @ 28.5 total 4</t>
  </si>
  <si>
    <t>Mica 8*4, Off White (0.8mm) Ozone @ 400 - total 15</t>
  </si>
  <si>
    <t>Mica HG 8*4 Digital bubble (1mm) Vergo @ 1600 - total 2</t>
  </si>
  <si>
    <t>Mica HG Green Color (1mm) Vergo @ 1000 - total 4</t>
  </si>
  <si>
    <t>bubbule sheet for almira @150 - total 3</t>
  </si>
  <si>
    <t>Cartirigde and loading (250 + 240 + 300)</t>
  </si>
  <si>
    <t>Hardware &amp; Misc</t>
  </si>
  <si>
    <t>Fevical 10kg @ 1600</t>
  </si>
  <si>
    <t>Fevicol 5kg @880</t>
  </si>
  <si>
    <t>SR (Sulochan) 1 kg @370</t>
  </si>
  <si>
    <t>Chatakni 6" @30 - total 2</t>
  </si>
  <si>
    <t>Plaza Lock for Almirah @80</t>
  </si>
  <si>
    <t>Cubboard Rod for clothes @25 psft - total 113 inches</t>
  </si>
  <si>
    <t>Rod bracket @12 - 3pair</t>
  </si>
  <si>
    <t>Almirah Magent @10 - total 20</t>
  </si>
  <si>
    <t>Channel Kaff 20" @330 - total 3</t>
  </si>
  <si>
    <t>Channel Kaff 18" @320 - total 2</t>
  </si>
  <si>
    <t>Almirah Kabje (1/2-3/4) 7' @95 -total 2</t>
  </si>
  <si>
    <t>Almirah Kabje (1/2-3/4) 6' @85 -total 6</t>
  </si>
  <si>
    <t>Almirah Handle 10" @125 - total 4</t>
  </si>
  <si>
    <t>Almirah Handle 6" @80 - total 13</t>
  </si>
  <si>
    <t>Margin Tabe @25 - total 6</t>
  </si>
  <si>
    <t>Mirror Screw 2.5" @3 - total 12</t>
  </si>
  <si>
    <t>Shelves Button @5 - total 16</t>
  </si>
  <si>
    <t>Neils (3/4 20 no.) - 250 gm</t>
  </si>
  <si>
    <t>Neils (20x5) - 3 packet</t>
  </si>
  <si>
    <t>Neils (2" 14 no.) - 500 gm</t>
  </si>
  <si>
    <t>Neils 2.5" - 1/2 kg</t>
  </si>
  <si>
    <t>Deemak Oil 500ml</t>
  </si>
  <si>
    <t>Screw 19x6 SS - 10 dozen</t>
  </si>
  <si>
    <t>Silicone 1 tube</t>
  </si>
  <si>
    <t>Tape Offwhite @6 Rs - total 15 meter</t>
  </si>
  <si>
    <t>Margin Wood (2 soot) 7.5' @3.9 per ft - total 100 fit</t>
  </si>
  <si>
    <t>PVC Tape 0.8mm Green color @750 for 50 meter bundle</t>
  </si>
  <si>
    <t>PVC ProBond Fevical @260 - 1</t>
  </si>
  <si>
    <t>Mirrors for study table rack</t>
  </si>
  <si>
    <t>Extra items that carpenter bought</t>
  </si>
  <si>
    <t>Almira Labor Cost @200 per sqft - total 88 sqft</t>
  </si>
  <si>
    <t>Total Amount Kids Wardrobe</t>
  </si>
  <si>
    <t>Shoe Rack</t>
  </si>
  <si>
    <t>Sliders 12" Hettech for Shoe Rack Drawrer @360 - total 2</t>
  </si>
  <si>
    <t>Kitchen Cabinets Legs @50 total 6</t>
  </si>
  <si>
    <t>PVC Brown Shoe rack Tape 0.8mm @25 per meter - 20 meter</t>
  </si>
  <si>
    <t>Synmica Shoe rack</t>
  </si>
  <si>
    <t>Tape Shoe rack</t>
  </si>
  <si>
    <t>Shoe Doors Handles Small 4" @52 - total 5</t>
  </si>
  <si>
    <t>Shoe Doors Handles Big 8" @95 - total 1</t>
  </si>
  <si>
    <t>Shoe Rack Labor Cost @200 per sqft</t>
  </si>
  <si>
    <t>Total Amount Shoe Rack</t>
  </si>
  <si>
    <t>Interiror (TV Panel, Living Room Partition, Crockery Unit)</t>
  </si>
  <si>
    <t>TV Panel, Parition, Crockery</t>
  </si>
  <si>
    <t>Hanging Lights, Switches, LED buls</t>
  </si>
  <si>
    <t>Total Amount</t>
  </si>
  <si>
    <t>Titles (Bathroom, Balcony, Kitchecn Balcony, Front Elevation)</t>
  </si>
  <si>
    <t>Bathroom Tiles Somany Vitrified 12" x 12" @54 total sqft 70,  (Tyshaz Buildmart Site 4)</t>
  </si>
  <si>
    <t>Bathroom Tiles Somany Satin @45 12" x 18" total sqft 130,  (Kansal Sanitary &amp; Pipe Store Site 4)</t>
  </si>
  <si>
    <t>Chemical For Fixing Tiles @560 per bag total  bags (latti grade 315 number)</t>
  </si>
  <si>
    <t xml:space="preserve">Cement 2 bags black @350, Badarput @60 psft 7 </t>
  </si>
  <si>
    <t>Kitchen Balcony Tiles Kajaria Satin @41 12" x 18" total sqft 126,  (K Mangalam Site 4)</t>
  </si>
  <si>
    <t>Passage Balcony Tiles Kajaria Satin @41 12" x 18" total sqft 72,  (K Mangalam Site 4)</t>
  </si>
  <si>
    <t>Front Door Tiles Kajaria Satin @41 12" x 18" total sqft 36,  (K Mangalam Site 4)</t>
  </si>
  <si>
    <t>Cartridge (Bhada)</t>
  </si>
  <si>
    <t xml:space="preserve">Labour Cost for complete tiles fixing </t>
  </si>
  <si>
    <t>Kitchen, Wardrobe &amp; Shoe Rack - Total</t>
  </si>
  <si>
    <t>Interirior Non-Portable</t>
  </si>
  <si>
    <t>Furniture</t>
  </si>
  <si>
    <t>Interiror TV Panel, Parition, Crockery Unit</t>
  </si>
  <si>
    <t>Tiles Works</t>
  </si>
  <si>
    <t>Total Cost of Flat with 
(woodwork and interiror)</t>
  </si>
  <si>
    <t>Kids Beds</t>
  </si>
  <si>
    <t>Contractor:</t>
  </si>
  <si>
    <t>Gajendra Sharma : 9313836655</t>
  </si>
  <si>
    <t xml:space="preserve">Ply Board 6x4 18mm </t>
  </si>
  <si>
    <t xml:space="preserve">Ply Board 6x3 15mm </t>
  </si>
  <si>
    <t xml:space="preserve">Ply Board 6x3 12mm </t>
  </si>
  <si>
    <t>Legs (toon)</t>
  </si>
  <si>
    <t>Interest Income</t>
  </si>
  <si>
    <t>194A</t>
  </si>
  <si>
    <t>Lamination 6*4</t>
  </si>
  <si>
    <t>Wood 3x1.5 6ft</t>
  </si>
  <si>
    <t>Wood 1.5x1 6ft</t>
  </si>
  <si>
    <t xml:space="preserve">Fevicol Marine </t>
  </si>
  <si>
    <t>4/5kg</t>
  </si>
  <si>
    <t>6 ft Kabje</t>
  </si>
  <si>
    <t xml:space="preserve">handles </t>
  </si>
  <si>
    <t>Bed joint (bolt)</t>
  </si>
  <si>
    <t>Maskin Tape</t>
  </si>
  <si>
    <t>3 role</t>
  </si>
  <si>
    <t>Neils 2 inch 14 number</t>
  </si>
  <si>
    <t>300 gm</t>
  </si>
  <si>
    <t>Neils 1.5 inch 14 number</t>
  </si>
  <si>
    <t>https://kamuk.wordpress.com/2008/01/17/ladies_tailor2/</t>
  </si>
  <si>
    <t>4 &gt;= 4</t>
  </si>
  <si>
    <t>Vaccination Card - Navya</t>
  </si>
  <si>
    <t>Vaccination Name</t>
  </si>
  <si>
    <t>BCG</t>
  </si>
  <si>
    <t>30/08/2008</t>
  </si>
  <si>
    <t>Hep B</t>
  </si>
  <si>
    <t>DPT+OPV+Hib</t>
  </si>
  <si>
    <t>Prevenar</t>
  </si>
  <si>
    <t>Pentraxion</t>
  </si>
  <si>
    <t>Heb B</t>
  </si>
  <si>
    <t>30/9/2008</t>
  </si>
  <si>
    <t>Service/Investments</t>
  </si>
  <si>
    <t>Bill Generation Date</t>
  </si>
  <si>
    <t>Bill Due Date</t>
  </si>
  <si>
    <t>Paid</t>
  </si>
  <si>
    <t>Rajpal Airtel Mobile</t>
  </si>
  <si>
    <t>9th of month</t>
  </si>
  <si>
    <t>27th of month</t>
  </si>
  <si>
    <t>Rachna's Airtel Mobile</t>
  </si>
  <si>
    <t>24th of month</t>
  </si>
  <si>
    <t>3rd of month</t>
  </si>
  <si>
    <t>Airtel Broadband</t>
  </si>
  <si>
    <t>26th of month</t>
  </si>
  <si>
    <t>16th of month</t>
  </si>
  <si>
    <t>HDFC Credit Card</t>
  </si>
  <si>
    <t>15th of month</t>
  </si>
  <si>
    <t>03 of month</t>
  </si>
  <si>
    <t>LIC Policy # 252904948</t>
  </si>
  <si>
    <t xml:space="preserve"> 9th Aug</t>
  </si>
  <si>
    <t>LIC Policy # 253799493</t>
  </si>
  <si>
    <t>10th Dec</t>
  </si>
  <si>
    <t xml:space="preserve"> </t>
  </si>
  <si>
    <t>10hrs daily</t>
  </si>
  <si>
    <t>EER</t>
  </si>
  <si>
    <t>capacity</t>
  </si>
  <si>
    <t>unit</t>
  </si>
  <si>
    <t>10 hrs</t>
  </si>
  <si>
    <t>price daily</t>
  </si>
  <si>
    <t>price monthly</t>
  </si>
  <si>
    <t>saving monthly</t>
  </si>
  <si>
    <t>7 months</t>
  </si>
  <si>
    <t>hitachi 1 ton 3*</t>
  </si>
  <si>
    <t>hitachi 1 ton 5*</t>
  </si>
  <si>
    <t>hitachi 1.5 ton 3*</t>
  </si>
  <si>
    <t>hitachi 1.5 ton 5*</t>
  </si>
  <si>
    <t>voltas 1 ton 3*</t>
  </si>
  <si>
    <t>voltas 1 ton 5*</t>
  </si>
  <si>
    <t>voltas 1.5 ton 3*</t>
  </si>
  <si>
    <t>voltas 1.5 ton 5*</t>
  </si>
  <si>
    <t>8 hr daily</t>
  </si>
  <si>
    <t>per unit</t>
  </si>
  <si>
    <t>CALCULATION SHEET</t>
  </si>
  <si>
    <t>Rater</t>
  </si>
  <si>
    <t>Vehicle IDV</t>
  </si>
  <si>
    <t>Normal Rate A/B</t>
  </si>
  <si>
    <t>Loading / Discount</t>
  </si>
  <si>
    <t>OD Premium</t>
  </si>
  <si>
    <t>Non Elect Acc IDV</t>
  </si>
  <si>
    <t>CNG IDV</t>
  </si>
  <si>
    <t>Elect Acc IDV</t>
  </si>
  <si>
    <t>V.EX</t>
  </si>
  <si>
    <t>NCB</t>
  </si>
  <si>
    <t>a.t</t>
  </si>
  <si>
    <t>Add-on OD Premium</t>
  </si>
  <si>
    <t>CNG-Add-on OD Premium</t>
  </si>
  <si>
    <t>New OD Premium</t>
  </si>
  <si>
    <t>Third Party</t>
  </si>
  <si>
    <t>Onwer Driver</t>
  </si>
  <si>
    <t>Paid Driver</t>
  </si>
  <si>
    <t>Passenger</t>
  </si>
  <si>
    <t>CNG Third Party</t>
  </si>
  <si>
    <t>Emp Liab</t>
  </si>
  <si>
    <t>Comprehensive(OD+TP)</t>
  </si>
  <si>
    <t>S.TAX</t>
  </si>
  <si>
    <t>OM PRAKASH</t>
  </si>
  <si>
    <t>paid</t>
  </si>
  <si>
    <t>fd</t>
  </si>
  <si>
    <t>rbs</t>
  </si>
  <si>
    <t>rachna corp</t>
  </si>
  <si>
    <t>mutual fund</t>
  </si>
  <si>
    <t>4 yrs</t>
  </si>
  <si>
    <t>Total available</t>
  </si>
  <si>
    <t>emi</t>
  </si>
  <si>
    <t>to arrange</t>
  </si>
  <si>
    <t>5 yrs</t>
  </si>
  <si>
    <t>EVERYDAY SHOPPING MART NOIDA UTT</t>
  </si>
  <si>
    <t>19-03-17</t>
  </si>
  <si>
    <t>COBB APPARELS GREATER NOIDA UTT</t>
  </si>
  <si>
    <t>COTTON HOUSE NOIDA IND</t>
  </si>
  <si>
    <t>20-03-17</t>
  </si>
  <si>
    <t>PAYTM MOBILE SOLUT INR www.paytm.in IND</t>
  </si>
  <si>
    <t>21-03-17</t>
  </si>
  <si>
    <t>BHARTI AIRTEL LIMITED GURGAON IND</t>
  </si>
  <si>
    <t>27-03-17</t>
  </si>
  <si>
    <t>30-03-17</t>
  </si>
  <si>
    <t>MEDI PLUS PHARMACY GREATER NOIDA IND</t>
  </si>
  <si>
    <t>31-03-17</t>
  </si>
  <si>
    <t>DOMINOS PIZZA NOIDA UTT</t>
  </si>
  <si>
    <t>DELHI PUBLIC SCHOOL NOIDA UTT</t>
  </si>
  <si>
    <t>URC H/Q PASCHIM UP SUB NOIDA IND</t>
  </si>
  <si>
    <t>Reliance Super NOIDA IND</t>
  </si>
  <si>
    <t>KAILASH HOSPITALS LTD NOIDA UTT</t>
  </si>
  <si>
    <t>www.airtel.in www.airtel.in IND</t>
  </si>
  <si>
    <t>SERVICE TAX @ 14.0%</t>
  </si>
  <si>
    <t>SWACHH BHARAT CESS @ 0.5%</t>
  </si>
  <si>
    <t>KRISHI KALYAN CESS @ 0.5%</t>
  </si>
  <si>
    <t>inno minds offer</t>
  </si>
  <si>
    <t>joining bonus and amount</t>
  </si>
  <si>
    <t>monthly</t>
  </si>
  <si>
    <t>joing date ?</t>
  </si>
  <si>
    <t>what is average appraisal percentage</t>
  </si>
  <si>
    <t>transport?</t>
  </si>
  <si>
    <t>Basic</t>
  </si>
  <si>
    <t>wha is appraisal cycle</t>
  </si>
  <si>
    <t>House Rent</t>
  </si>
  <si>
    <t>PAN card of landlord ,  rent agreement on stamp paper?</t>
  </si>
  <si>
    <t>Fixed Travel Allowance</t>
  </si>
  <si>
    <t>meal card</t>
  </si>
  <si>
    <t>provident fund</t>
  </si>
  <si>
    <t>Gratuaity</t>
  </si>
  <si>
    <t>when I will be entitled for this amount</t>
  </si>
  <si>
    <t>Special Allowance</t>
  </si>
  <si>
    <t>Company Performance Pay @10%</t>
  </si>
  <si>
    <t>6 momths</t>
  </si>
  <si>
    <t>Performance/Differed Pay</t>
  </si>
  <si>
    <t>will be paid after 6 months?</t>
  </si>
  <si>
    <t>Flexible Benefit Plan</t>
  </si>
  <si>
    <t>Telephone/Mobile/internet</t>
  </si>
  <si>
    <t>Entertaimain reimbursement</t>
  </si>
  <si>
    <t>?</t>
  </si>
  <si>
    <t>Books &amp; periodicals</t>
  </si>
  <si>
    <t>Medical Allowance</t>
  </si>
  <si>
    <t>Gross Salary = Cost to Company(CTC) - Employer's PF Contribution(EPF) - Gratuity.</t>
  </si>
  <si>
    <t>a</t>
  </si>
  <si>
    <t>Gross Sal</t>
  </si>
  <si>
    <t>2800000-45000</t>
  </si>
  <si>
    <t>income</t>
  </si>
  <si>
    <t>b</t>
  </si>
  <si>
    <t xml:space="preserve">Non-taxable </t>
  </si>
  <si>
    <t>non-taxable</t>
  </si>
  <si>
    <t>house rent</t>
  </si>
  <si>
    <t xml:space="preserve">employee pf </t>
  </si>
  <si>
    <t>employees pf</t>
  </si>
  <si>
    <t>other</t>
  </si>
  <si>
    <t>telephone bills</t>
  </si>
  <si>
    <t>saving</t>
  </si>
  <si>
    <t>entertainmaint reimbursement</t>
  </si>
  <si>
    <t>hra</t>
  </si>
  <si>
    <t>books</t>
  </si>
  <si>
    <t>medical bills</t>
  </si>
  <si>
    <t>taxable income</t>
  </si>
  <si>
    <t>c</t>
  </si>
  <si>
    <t>taxable income a-b</t>
  </si>
  <si>
    <t>0-2.5</t>
  </si>
  <si>
    <t>d</t>
  </si>
  <si>
    <t xml:space="preserve">income taxes </t>
  </si>
  <si>
    <t>2.5-5</t>
  </si>
  <si>
    <t>e</t>
  </si>
  <si>
    <t>2.5 - 5 (5%)</t>
  </si>
  <si>
    <t>5-10</t>
  </si>
  <si>
    <t>f</t>
  </si>
  <si>
    <t>5-10 (20%)</t>
  </si>
  <si>
    <t>g</t>
  </si>
  <si>
    <t>10 &amp; above (30%)</t>
  </si>
  <si>
    <t>total tax</t>
  </si>
  <si>
    <t>take home = c - d</t>
  </si>
  <si>
    <t>innominds health insureance</t>
  </si>
  <si>
    <t>2 lacs</t>
  </si>
  <si>
    <t>2+1</t>
  </si>
  <si>
    <t>2+2</t>
  </si>
  <si>
    <t>2+3</t>
  </si>
  <si>
    <t>kids</t>
  </si>
  <si>
    <t>wife+myself</t>
  </si>
  <si>
    <t>mother</t>
  </si>
  <si>
    <t>yearly</t>
  </si>
  <si>
    <t>Opted for family 2+1 lacs (27492 pa)</t>
  </si>
  <si>
    <t>self</t>
  </si>
  <si>
    <t>navya</t>
  </si>
  <si>
    <t>vihaan</t>
  </si>
  <si>
    <t>rachna</t>
  </si>
  <si>
    <t>myself</t>
  </si>
  <si>
    <t>top up (1 lac)</t>
  </si>
  <si>
    <t>Hyderabad Vs Gr Noida Expenses</t>
  </si>
  <si>
    <t>My Monthly Expenses</t>
  </si>
  <si>
    <t>Family Expenses in Gr Noida</t>
  </si>
  <si>
    <t>Family Expenses in Hyderabad</t>
  </si>
  <si>
    <t>Earning from rent</t>
  </si>
  <si>
    <t>rent</t>
  </si>
  <si>
    <t>maintenance</t>
  </si>
  <si>
    <t>Gama house</t>
  </si>
  <si>
    <t>gym</t>
  </si>
  <si>
    <t>school fee</t>
  </si>
  <si>
    <t>flat</t>
  </si>
  <si>
    <t>cook</t>
  </si>
  <si>
    <t>car/scooty petrol</t>
  </si>
  <si>
    <t>transport</t>
  </si>
  <si>
    <t>food</t>
  </si>
  <si>
    <t>Home loan EMI</t>
  </si>
  <si>
    <t>drinks</t>
  </si>
  <si>
    <t>sum</t>
  </si>
  <si>
    <t>deduction (flat rent)</t>
  </si>
  <si>
    <t>6 flights in a year</t>
  </si>
  <si>
    <t>Items to be transferred</t>
  </si>
  <si>
    <t>aggarwal.in</t>
  </si>
  <si>
    <t>Double Bed</t>
  </si>
  <si>
    <t>9 300 300 300 / 098 6001 5001</t>
  </si>
  <si>
    <t>Dining table</t>
  </si>
  <si>
    <t>Dressing table</t>
  </si>
  <si>
    <t>fridge</t>
  </si>
  <si>
    <t>washing machine</t>
  </si>
  <si>
    <t xml:space="preserve">AC </t>
  </si>
  <si>
    <t>Godrej Almirah</t>
  </si>
  <si>
    <t>Double bed side tables</t>
  </si>
  <si>
    <t>scooty</t>
  </si>
  <si>
    <t>car</t>
  </si>
  <si>
    <t>kitchen utensils</t>
  </si>
  <si>
    <t>7 containers</t>
  </si>
  <si>
    <t>clothes</t>
  </si>
  <si>
    <t>decorative items</t>
  </si>
  <si>
    <t>4 containers</t>
  </si>
  <si>
    <t>username</t>
  </si>
  <si>
    <t>avocode credentials</t>
  </si>
  <si>
    <t>nitin.gupta@engineer.ai</t>
  </si>
  <si>
    <t>sd2labswalapassword</t>
  </si>
  <si>
    <t>Car CNG conveyance</t>
  </si>
  <si>
    <t>June 2019</t>
  </si>
  <si>
    <t>July 2019</t>
  </si>
  <si>
    <t>Aug 2019</t>
  </si>
  <si>
    <t>Sept 2019</t>
  </si>
  <si>
    <t>Oct 2019</t>
  </si>
  <si>
    <t>Nov 2019</t>
  </si>
  <si>
    <t>dec 2019</t>
  </si>
  <si>
    <t>Jan 2020</t>
  </si>
  <si>
    <t>amazon books</t>
  </si>
  <si>
    <t>ACTUAL PRICE</t>
  </si>
  <si>
    <t>DISCOUNTED PRICE</t>
  </si>
  <si>
    <t>DISCOUNT %</t>
  </si>
  <si>
    <t>Learning Scientific Programming with Python by Christian Hill</t>
  </si>
  <si>
    <t>Theories of Programming Languages – John C. Reynolds</t>
  </si>
  <si>
    <t>Concepts in Programming Languages – John C. Mitchell</t>
  </si>
  <si>
    <t>Head First JavaScript Programming – Eric T Morrison</t>
  </si>
  <si>
    <t>Front-end web development A Complete Guide – Geradus Blokdyk</t>
  </si>
  <si>
    <t>Mastering Node.js – Kevin Faaborg</t>
  </si>
  <si>
    <t>Project Management Simplified – Barbara Karten</t>
  </si>
  <si>
    <t>Scrum Master A Complete Guide</t>
  </si>
  <si>
    <t>Pro MEAN Stack Development – Elad Elrom</t>
  </si>
  <si>
    <t>Head First Design Patterns – Eric Freeman</t>
  </si>
  <si>
    <t>The Angular Tutorial – Adam Morgan</t>
  </si>
  <si>
    <t xml:space="preserve">Levi's Men's (511) Slim Fit Jeans  - Blue (32) |
B07HB5ZRVP ( Tf-MrnHs-Sb-32-Tfl ) </t>
  </si>
  <si>
    <t xml:space="preserve">Levi's Men's (511) Slim Fit Jeans  - Black (32) |
B07HB5ZRVP ( Tf-MrnHs-Sb-32-Tfl ) </t>
  </si>
  <si>
    <t xml:space="preserve">Levi's Men's T-Shirt  - (X-Large) |
T01KB3ZRVP </t>
  </si>
  <si>
    <t>Reebok Men's Pump Supreme Ultk Running Shoes</t>
  </si>
  <si>
    <t xml:space="preserve">MOZRI Leather Jacket for Men's -  Brown (X-Large) | MZ-Krstdn-Lb-XL ) </t>
  </si>
  <si>
    <t>Reebok Men's Track Suit (DP6576_Black_X-Large)</t>
  </si>
  <si>
    <t>3nh coffee : car car-styling accessories dashboard cover for</t>
  </si>
  <si>
    <t>engineer.ai</t>
  </si>
  <si>
    <t>NIIT technologies</t>
  </si>
  <si>
    <t>m</t>
  </si>
  <si>
    <t>y</t>
  </si>
  <si>
    <t>??</t>
  </si>
  <si>
    <t>HRA</t>
  </si>
  <si>
    <t>Special</t>
  </si>
  <si>
    <t>monthly vc</t>
  </si>
  <si>
    <t>EPF Employer</t>
  </si>
  <si>
    <t>flexi basket</t>
  </si>
  <si>
    <t>Variable</t>
  </si>
  <si>
    <t xml:space="preserve">  conveyance</t>
  </si>
  <si>
    <t>Entitlement for Reimbursements</t>
  </si>
  <si>
    <t xml:space="preserve">  LTA</t>
  </si>
  <si>
    <t>Reimbursement of Petrol</t>
  </si>
  <si>
    <t xml:space="preserve">  Vehicle reiumbursement</t>
  </si>
  <si>
    <t>Reimbursement of Mobile</t>
  </si>
  <si>
    <t>Uniform</t>
  </si>
  <si>
    <t>Car Maintenance</t>
  </si>
  <si>
    <t>News Paper &amp; Books</t>
  </si>
  <si>
    <t>Gross Total</t>
  </si>
  <si>
    <t>total monthly</t>
  </si>
  <si>
    <t>Yearly</t>
  </si>
  <si>
    <t>PF</t>
  </si>
  <si>
    <t>Mediclaim</t>
  </si>
  <si>
    <t>benefits</t>
  </si>
  <si>
    <t>total yearl</t>
  </si>
  <si>
    <t>VC yearly</t>
  </si>
  <si>
    <t>Total actual cost</t>
  </si>
  <si>
    <t>New Toilet Sheets</t>
  </si>
  <si>
    <t>Toilet Seats (Master and Kids Room)</t>
  </si>
  <si>
    <t>Kajaria Kerovit Seats @10500 + 1000 installation)</t>
  </si>
  <si>
    <t>500 sqft room putty cost (2 cot)</t>
  </si>
  <si>
    <t>1 kg putty covers 15 sqtt in 2 cotes</t>
  </si>
  <si>
    <t xml:space="preserve">putty cost </t>
  </si>
  <si>
    <t>1 bag  = 40 kg = 800</t>
  </si>
  <si>
    <t xml:space="preserve">labor cost </t>
  </si>
  <si>
    <t xml:space="preserve">Rs 5/sqft </t>
  </si>
  <si>
    <t>500 sqft room primer cost (2 cotes)</t>
  </si>
  <si>
    <t>1 ltr primer covers 70-80 sqft in 2 cotes</t>
  </si>
  <si>
    <t>primer cost @150/ltre</t>
  </si>
  <si>
    <t>labor cost</t>
  </si>
  <si>
    <t>Rs 1.5/sqft</t>
  </si>
  <si>
    <t>asian acolite shine</t>
  </si>
  <si>
    <t>500 sqft room paint cost (2 cotes)</t>
  </si>
  <si>
    <t>1 ltr paint covers 80 sqft in 2 cotes</t>
  </si>
  <si>
    <t>Rs 10/sqft</t>
  </si>
  <si>
    <t>sajid contractrator maeteiral</t>
  </si>
  <si>
    <t>6mm Ply</t>
  </si>
  <si>
    <t xml:space="preserve">19mm Ply Sainik 710 </t>
  </si>
  <si>
    <t>12mm Ply Sainik</t>
  </si>
  <si>
    <t>19mm Ply Sainik</t>
  </si>
  <si>
    <t>@ rate</t>
  </si>
  <si>
    <t>Pieces</t>
  </si>
  <si>
    <t>Sqft</t>
  </si>
  <si>
    <t>tape offwhite internal</t>
  </si>
  <si>
    <t>masking tape</t>
  </si>
  <si>
    <t>Total Mother's Room</t>
  </si>
  <si>
    <t>texture paint area</t>
  </si>
  <si>
    <t>paint cost @280/ltre</t>
  </si>
  <si>
    <t>4000 sqft cost</t>
  </si>
  <si>
    <t>10 mica off white internal</t>
  </si>
  <si>
    <t>Fevicol Marine 1kg</t>
  </si>
  <si>
    <t>Jeenjor 10kg</t>
  </si>
  <si>
    <t>12mm Ply Sainik 710</t>
  </si>
  <si>
    <t>8 Mica off white internal</t>
  </si>
  <si>
    <t>2nd lot on 20Sept</t>
  </si>
  <si>
    <t>1st lot on 16Sept</t>
  </si>
  <si>
    <t>UML online (https://app.creately.com/) dhanai_rajpal@yahoo.com/raj!@#123</t>
  </si>
  <si>
    <t>Material from my side</t>
  </si>
  <si>
    <t>electrical switches, plates, sockets wires 1st time</t>
  </si>
  <si>
    <t>electrical switches, plates, sockets wires 2nd time</t>
  </si>
  <si>
    <t>electrical wires</t>
  </si>
  <si>
    <t>Electricals Expenses</t>
  </si>
  <si>
    <t>Fevicol PVC 1 kg</t>
  </si>
  <si>
    <t xml:space="preserve"> - Temple Door Wall 6.4 * 9.3</t>
  </si>
  <si>
    <t xml:space="preserve">     - door (6.10*2.6)</t>
  </si>
  <si>
    <t xml:space="preserve"> - roof 6.4 * 6.2</t>
  </si>
  <si>
    <t xml:space="preserve"> - side walls 6.2*9.3 *2</t>
  </si>
  <si>
    <t>divide by half for tiles area</t>
  </si>
  <si>
    <t xml:space="preserve"> - tv wall  11.3*2.4 , 1.2 * 4, 1*8</t>
  </si>
  <si>
    <t>ashiyana electricals</t>
  </si>
  <si>
    <t>ashiyana hardwares</t>
  </si>
  <si>
    <t>electrical shai ram electricals 3rd time</t>
  </si>
  <si>
    <t>sunmica 4 @1200</t>
  </si>
  <si>
    <t>synmica 1 black 1200</t>
  </si>
  <si>
    <t xml:space="preserve">electrical profile led lights </t>
  </si>
  <si>
    <t>electrical returns</t>
  </si>
  <si>
    <t>Electrical Labour Charges</t>
  </si>
  <si>
    <t>1000+2000</t>
  </si>
  <si>
    <t>135+90</t>
  </si>
  <si>
    <t>Mateiral :</t>
  </si>
  <si>
    <t>Total Prices agreed upon :</t>
  </si>
  <si>
    <t xml:space="preserve">others </t>
  </si>
  <si>
    <t>6 sockets cost</t>
  </si>
  <si>
    <t>mandir wardrobe depth comproise</t>
  </si>
  <si>
    <t>Work to be completed within 15 days</t>
  </si>
  <si>
    <t/>
  </si>
  <si>
    <t/>
  </si>
  <si>
    <t>- Asian Apcolite Advanced Shyne</t>
  </si>
  <si>
    <t>- Birla Putty Wall Care</t>
  </si>
  <si>
    <t>- Asian Primer Oil Based</t>
  </si>
  <si>
    <t>- Asian Enamel Paint</t>
  </si>
  <si>
    <t xml:space="preserve">   - Sanding, 2 Coats Putty, 1 Coat Primer, 3 Coats Paint on each paint area</t>
  </si>
  <si>
    <t>(wallpapers of upto Rs 2500/per role can be choosen from Contractor or outside)</t>
  </si>
  <si>
    <t>Paint Work Flat C-402, Stellar MI Legacy</t>
  </si>
  <si>
    <t>Contractor : Mr. Deepak</t>
  </si>
  <si>
    <t>All Rooms, Balconies walls and ceiling</t>
  </si>
  <si>
    <t>Rs 20000/- half work done</t>
  </si>
  <si>
    <t>Rs 30000/- on material delivery</t>
  </si>
  <si>
    <t>Rs 22000/- on final day</t>
  </si>
  <si>
    <t>Work Starting Date: 4th Oct</t>
  </si>
  <si>
    <t>Payment mode and time (paytm/google pay)</t>
  </si>
  <si>
    <t>All Metal, Wood doors including Front Gate and railing</t>
  </si>
  <si>
    <t xml:space="preserve"> - Sanding, Acrylic Putty, Primer and 2 Coats Paint</t>
  </si>
  <si>
    <t>- Removal of old wallpapers from 2 wall and base to prepared with putty and primer</t>
  </si>
  <si>
    <t>electrical wires 125 + 210</t>
  </si>
  <si>
    <t>synmica 6 (3 red wood, 3 white marble @1320)</t>
  </si>
  <si>
    <t>sockets and switches</t>
  </si>
  <si>
    <t>used white tape</t>
  </si>
  <si>
    <t>used old board for slabs (21*19, 21*20, 21*30, 16*22, 16*20) = 14.79 ft</t>
  </si>
  <si>
    <t>handles (8" - 4, 6" - 4, 4" - 3)</t>
  </si>
  <si>
    <t>mica white and black</t>
  </si>
  <si>
    <t>mica lcd panel</t>
  </si>
  <si>
    <t>board</t>
  </si>
  <si>
    <t>tape</t>
  </si>
  <si>
    <t xml:space="preserve">sockets 6 </t>
  </si>
  <si>
    <t>extra</t>
  </si>
  <si>
    <t>mica 1320 * 3</t>
  </si>
  <si>
    <t>hitax and nails</t>
  </si>
  <si>
    <t>labor</t>
  </si>
  <si>
    <t>mouding</t>
  </si>
  <si>
    <t>paytm given, 60000, 7000, 15000, 5500, 7000, 5000, 4000, 10000, 10000, 1000</t>
  </si>
  <si>
    <t>payment to deepak</t>
  </si>
  <si>
    <t>amazon.in</t>
  </si>
  <si>
    <t>enter!@#{code1}</t>
  </si>
  <si>
    <t>rdhanaisbi (yono mobile app credetnails : rdhanaisbi/raj!@#{code} and alphaumeric key for fingerprint is raj123</t>
  </si>
  <si>
    <t>Vihaan!@#${CODE1}</t>
  </si>
  <si>
    <t>Branch Code : 050830</t>
  </si>
  <si>
    <t>IFSC Code: SBIN0050830</t>
  </si>
  <si>
    <t>SBI Greater Noida (Rajpal Saving A/c), jagat farm gama 1 branch</t>
  </si>
  <si>
    <t>Jenkins installed on coforeg laptop (admin user pswd)</t>
  </si>
  <si>
    <t>rajpal/123456</t>
  </si>
  <si>
    <t>15H Submitted on 2nd Apr 2023 online on unionbank site</t>
  </si>
  <si>
    <t>15H Submitted on 9nd Apr 2023 online on sbi site</t>
  </si>
  <si>
    <t xml:space="preserve">  - Vihaan's Sport fee</t>
  </si>
  <si>
    <t>A</t>
  </si>
  <si>
    <t>Monthly Salary (Rs.)</t>
  </si>
  <si>
    <t>BASIC</t>
  </si>
  <si>
    <t>FLEXI BASKET</t>
  </si>
  <si>
    <t>Gross Monthly</t>
  </si>
  <si>
    <t>B</t>
  </si>
  <si>
    <t>Annual Benefits (Rs.)</t>
  </si>
  <si>
    <t>LIFE INSURANCE PREMIUM</t>
  </si>
  <si>
    <t>PF(As per act)</t>
  </si>
  <si>
    <t>MEDICLAIM PREMIUM</t>
  </si>
  <si>
    <t xml:space="preserve">Annual Benefits Total </t>
  </si>
  <si>
    <t>C</t>
  </si>
  <si>
    <t>Variable compensation (Rs.) (on achievement of 100 % goals)</t>
  </si>
  <si>
    <t>D</t>
  </si>
  <si>
    <t>Total Annual on target compensation (Rs.)</t>
  </si>
  <si>
    <t>cybercrime.gov.in</t>
  </si>
  <si>
    <t>rsd!@#(code1)</t>
  </si>
  <si>
    <t>aws.amazon.com (email id is rajpal.dhanai@gmail.com, hdfc cc details given for a/c creation)</t>
  </si>
  <si>
    <t>15G Submitted on 1st July 2023 online on unionbank site</t>
  </si>
  <si>
    <t>total ppf</t>
  </si>
  <si>
    <t>rajpal</t>
  </si>
  <si>
    <t>https://unifiedportal-mem.epfindia.gov.in/memberinterface/  (username: 100298357745)</t>
  </si>
  <si>
    <t>https://passbook.epfindia.gov.in/MemberPassBook/Login (username: 100298357745)</t>
  </si>
  <si>
    <t>EPF Coforge Private Trust (pf number  DL/33691/32996)</t>
  </si>
  <si>
    <t>================= rdhanai aws free account - begin =============================</t>
  </si>
  <si>
    <t>root user : rdhanai</t>
  </si>
  <si>
    <t>accountId : 179992876462</t>
  </si>
  <si>
    <t>IAM Users</t>
  </si>
  <si>
    <t>*****************</t>
  </si>
  <si>
    <t>id</t>
  </si>
  <si>
    <t>Pswd</t>
  </si>
  <si>
    <t>---</t>
  </si>
  <si>
    <t>-----</t>
  </si>
  <si>
    <t xml:space="preserve">rajpal </t>
  </si>
  <si>
    <t>raj!@#123   (console pswd)</t>
  </si>
  <si>
    <t>console url for rajpal account (IAM)</t>
  </si>
  <si>
    <t>https://179992876462.signin.aws.amazon.com/console</t>
  </si>
  <si>
    <t>codecommit user/pswd</t>
  </si>
  <si>
    <t>--------------------</t>
  </si>
  <si>
    <t>rajpal-at-179992876462</t>
  </si>
  <si>
    <t>zGcfqcVnUVBv9Ul/DVkl4/x52IDq6NE9WazjcIt9KNc=</t>
  </si>
  <si>
    <t>================= rdhanai aws free account - end =============================</t>
  </si>
  <si>
    <t>emailid: rajpal.dhanai@gmail.com / rsd!@#123</t>
  </si>
  <si>
    <t>www.onedrive.live.com (use personal hotmail id and password upto 5gb is free and shareable on clients laptop)</t>
  </si>
  <si>
    <t>hdfc cc bill</t>
  </si>
  <si>
    <t>icic cc bill</t>
  </si>
  <si>
    <t>rachna grocery</t>
  </si>
  <si>
    <t>grocery shop bill</t>
  </si>
  <si>
    <t>airtel bb bill</t>
  </si>
  <si>
    <t>igl bill</t>
  </si>
  <si>
    <t>NPCL bill</t>
  </si>
  <si>
    <t>Car services</t>
  </si>
  <si>
    <t>airtel tv recharge</t>
  </si>
  <si>
    <t>paytm</t>
  </si>
  <si>
    <t>cc</t>
  </si>
  <si>
    <t>navya school fee</t>
  </si>
  <si>
    <t>vihaan school fee</t>
  </si>
  <si>
    <t>google pay</t>
  </si>
  <si>
    <t>EFDR # 105723030000734</t>
  </si>
  <si>
    <t>3D secure pin - miecode</t>
  </si>
  <si>
    <t>00000042340850720</t>
  </si>
  <si>
    <t>A/c 00000010404465986 , IFSC Code: SBIN0050830, CIF Number: 80314198501, MICR Code : 110002774</t>
  </si>
  <si>
    <t>9899114717/raj!@#{code1}</t>
  </si>
  <si>
    <t>epf coforge: Member</t>
  </si>
  <si>
    <t>epf coforge: Employer</t>
  </si>
  <si>
    <t>pramaan id : 4509055813, for login otp will be sent on registered mobile number 9899114717</t>
  </si>
  <si>
    <t>https://jeevanpramaan.gov.in/ (for mother army pension aacount)</t>
  </si>
  <si>
    <t>Mutual Fund</t>
  </si>
  <si>
    <t>Invested On</t>
  </si>
  <si>
    <t>Folio No.</t>
  </si>
  <si>
    <t>SNo.</t>
  </si>
  <si>
    <t>Edelweiss Large &amp; Mid Cap Direct Plan - Growth</t>
  </si>
  <si>
    <t>SIP</t>
  </si>
  <si>
    <t>Motilal Oswal Nifty Midcap 150 Index Fund Direct Growth</t>
  </si>
  <si>
    <t>8882555/78</t>
  </si>
  <si>
    <t>SmallCap</t>
  </si>
  <si>
    <t>Large &amp; MidCap</t>
  </si>
  <si>
    <t>MidCap</t>
  </si>
  <si>
    <t>18018523/09</t>
  </si>
  <si>
    <t>Category</t>
  </si>
  <si>
    <t>Types</t>
  </si>
  <si>
    <t>Mirae Asset Tax Saver Fund Direct-Growth ELSS</t>
  </si>
  <si>
    <t>3 yrs</t>
  </si>
  <si>
    <t>Canara Robeco ELSS Tax Saver Direct-Growth</t>
  </si>
  <si>
    <t>Exit Load</t>
  </si>
  <si>
    <t>Invested</t>
  </si>
  <si>
    <t>Current Value</t>
  </si>
  <si>
    <t>FD Value</t>
  </si>
  <si>
    <t>Instlmnts</t>
  </si>
  <si>
    <t>Gain</t>
  </si>
  <si>
    <t>1% for 1yr</t>
  </si>
  <si>
    <t>1% for 1m</t>
  </si>
  <si>
    <t>10th</t>
  </si>
  <si>
    <t>ELSS</t>
  </si>
  <si>
    <t>5th</t>
  </si>
  <si>
    <t>AUM (Cr)</t>
  </si>
  <si>
    <t>1% for 3m</t>
  </si>
  <si>
    <t>Withdrawl</t>
  </si>
  <si>
    <t>15/12/2023</t>
  </si>
  <si>
    <t>midcap</t>
  </si>
  <si>
    <t>Instmt</t>
  </si>
  <si>
    <t>Expense
Ratio</t>
  </si>
  <si>
    <t>ET
Rank</t>
  </si>
  <si>
    <t>LockIn</t>
  </si>
  <si>
    <t>Days
Elapsed</t>
  </si>
  <si>
    <t>Inst
Date</t>
  </si>
  <si>
    <t>Lumpsum</t>
  </si>
  <si>
    <t>TOTAL LUMPSUM MF</t>
  </si>
  <si>
    <t>TOTAL LUMPSUM</t>
  </si>
  <si>
    <t>TOTAL SIP</t>
  </si>
  <si>
    <t>SIP MF</t>
  </si>
  <si>
    <t>LUMPSUM MF</t>
  </si>
  <si>
    <t>TOTAL MF</t>
  </si>
  <si>
    <t>Curret profit comparing to FD Rate</t>
  </si>
  <si>
    <t>Nipon India Small Cap Fund</t>
  </si>
  <si>
    <t>Quant Small Cap Fund Direct-Growth</t>
  </si>
  <si>
    <t>Action Date</t>
  </si>
  <si>
    <t>Status</t>
  </si>
  <si>
    <t>SIP stopped</t>
  </si>
  <si>
    <t>large &amp; midcap</t>
  </si>
  <si>
    <t>smallcap</t>
  </si>
  <si>
    <t>flexi/multicap</t>
  </si>
  <si>
    <t>Withdrawl Amount</t>
  </si>
  <si>
    <t>Years
Elapsed</t>
  </si>
  <si>
    <t>MF Categories</t>
  </si>
  <si>
    <t>Gain 
CAGR/XIRR</t>
  </si>
  <si>
    <t>40,045 on 15/12/2023</t>
  </si>
  <si>
    <t>Withdrawl Date</t>
  </si>
  <si>
    <t>LUMPSUM</t>
  </si>
  <si>
    <t>39,815 on 15/12/2023</t>
  </si>
  <si>
    <t>Bank Credit Date</t>
  </si>
  <si>
    <t>20/12/2023</t>
  </si>
  <si>
    <t>FD Value 6.5</t>
  </si>
  <si>
    <t>Tata Small Cap Fund  Direct-Growth</t>
  </si>
  <si>
    <t>not withdrawl</t>
  </si>
  <si>
    <t>FlexiCap</t>
  </si>
  <si>
    <t>1% for 730d</t>
  </si>
  <si>
    <t xml:space="preserve">IndMoney.com </t>
  </si>
  <si>
    <t>user id : 9899114717/dhanai_rajpal@yahoo.com</t>
  </si>
  <si>
    <t>nara devi</t>
  </si>
  <si>
    <t>after that new standing instruction need be set.</t>
  </si>
  <si>
    <t>Amount : 28000</t>
  </si>
  <si>
    <t>SBI monthly fund transfer to union bank account for Mutual Fund SIPs</t>
  </si>
  <si>
    <t>MFInvested through IndMoney App</t>
  </si>
  <si>
    <t>pin : 248179</t>
  </si>
  <si>
    <t>nominee: Rajpal Singh Dhanai 100%</t>
  </si>
  <si>
    <t>HSBC Small Cap Fund Direct-Growth</t>
  </si>
  <si>
    <t>HDFC Small Cap Fund Direct-Growth</t>
  </si>
  <si>
    <t>21619820015102</t>
  </si>
  <si>
    <t>SBI Greater Noida (Mother A/c), Jagat Farm Gama 1 branch</t>
  </si>
  <si>
    <t>SBI Greater Noida (Rachna Dhanai Saving A/c) Jagat Farm Gama 1 branch</t>
  </si>
  <si>
    <t>Union Bank (earlier Corporation Bank)  520501000098011 (mother) - customer id - 2018604066
New IFSC code : UBIN0910571</t>
  </si>
  <si>
    <t>TOTAL FIXED</t>
  </si>
  <si>
    <t>TOTAL LIQUID</t>
  </si>
  <si>
    <t>https://hub.docker.com/</t>
  </si>
  <si>
    <t>username: rsdhanai, email : rajpal.dhanai@gmail.com, password : raj!@#{code1}</t>
  </si>
  <si>
    <t>rajpal.dhanai@gmail.com (for kids passports renewal)</t>
  </si>
  <si>
    <t>dhanai_rajpal@yahoo.com (for myself and rachna password renewal)</t>
  </si>
  <si>
    <t>Navihaan!@#{code1}</t>
  </si>
  <si>
    <t>Current
Value</t>
  </si>
  <si>
    <t>LargeCap</t>
  </si>
  <si>
    <t>largecap</t>
  </si>
  <si>
    <t>7th</t>
  </si>
  <si>
    <t>raj@#${code1}</t>
  </si>
  <si>
    <t>Quant Large &amp; MidCap Fund Direct- Growth - Tran 1</t>
  </si>
  <si>
    <t>Quant Large &amp; MidCap Fund Direct- Growth - Tran 2</t>
  </si>
  <si>
    <t>Kotak Equity Opportunities Fund Direct - Growth - Tran 1</t>
  </si>
  <si>
    <t>Kotak Equity Opportunities Fund Direct - Growth - Tran 2</t>
  </si>
  <si>
    <t>Kotak Equity Opportunities Fund Direct - Growth - Tran 3</t>
  </si>
  <si>
    <t>Kotak Emerging Equity Fund - Tran 1</t>
  </si>
  <si>
    <t>Kotak Emerging Equity Fund - Tran 2</t>
  </si>
  <si>
    <t>Quant Small Cap Fund - Tran 1</t>
  </si>
  <si>
    <t>Quant Small Cap Fund - Tran 2</t>
  </si>
  <si>
    <t>Kotak Emerging Equity Fund - Tran 3</t>
  </si>
  <si>
    <t>sectorial - infra</t>
  </si>
  <si>
    <t>flexi cap</t>
  </si>
  <si>
    <t>Sectorial-Infra</t>
  </si>
  <si>
    <t>1% for 7d</t>
  </si>
  <si>
    <t>largeCap</t>
  </si>
  <si>
    <t>.5% for 3m</t>
  </si>
  <si>
    <t>1% 730d</t>
  </si>
  <si>
    <t>Parag Parikh Flexi Cap Fund Direct - Growth - Tran 1</t>
  </si>
  <si>
    <t>Parag Parikh Flexi Cap Fund Direct - Growth - Tran 2</t>
  </si>
  <si>
    <t>Starting Date : 5/Jan/2024</t>
  </si>
  <si>
    <t>tiles</t>
  </si>
  <si>
    <t>sink</t>
  </si>
  <si>
    <t>18469126/89</t>
  </si>
  <si>
    <t>1% for 15d</t>
  </si>
  <si>
    <t>Quant Flexi Cap Fund Direct - Growth</t>
  </si>
  <si>
    <t>username : rdhanai  and associated email id is rajpal.dhanai@gmail.com</t>
  </si>
  <si>
    <t>github.com for copilot (Generative AI extension for visual source code)</t>
  </si>
  <si>
    <t>coforge@2024</t>
  </si>
  <si>
    <t>username: rajpal-dhanai-coforge and associated email id is rajpal.dhanai@coforge.com</t>
  </si>
  <si>
    <t>wood</t>
  </si>
  <si>
    <t>adheshiv loctite</t>
  </si>
  <si>
    <t>kohler faucert</t>
  </si>
  <si>
    <t>plumber accessories</t>
  </si>
  <si>
    <t>grout, cement</t>
  </si>
  <si>
    <t>silicon</t>
  </si>
  <si>
    <t>hettic kabja</t>
  </si>
  <si>
    <t>carpenter</t>
  </si>
  <si>
    <t>igl meter refixing</t>
  </si>
  <si>
    <t>granite black galaxy @220</t>
  </si>
  <si>
    <t>granite pwhite @55</t>
  </si>
  <si>
    <t>plumber</t>
  </si>
  <si>
    <t>granite labor</t>
  </si>
  <si>
    <t>platform base labour</t>
  </si>
  <si>
    <t>kitchen tiles</t>
  </si>
  <si>
    <t>expense</t>
  </si>
  <si>
    <t>medcines post surgery THR</t>
  </si>
  <si>
    <t>stich removal and catheter change</t>
  </si>
  <si>
    <t>Inst Date</t>
  </si>
  <si>
    <t>catheter removal</t>
  </si>
  <si>
    <t>Quant Large &amp; MidCap Fund Direct- Growth - Tran 3</t>
  </si>
  <si>
    <t>Nippon India Large Cap Fund Direct- Growth - Tran 2</t>
  </si>
  <si>
    <t>Nippon India Large Cap Fund Direct- Growth - Tran 1</t>
  </si>
  <si>
    <t>ET Rank</t>
  </si>
  <si>
    <r>
      <t xml:space="preserve">FDR - PNB Gr. Noida (for Locker) </t>
    </r>
    <r>
      <rPr>
        <b/>
        <sz val="10"/>
        <color rgb="FFFF0000"/>
        <rFont val="Arial"/>
        <family val="2"/>
      </rPr>
      <t>A/c - 460400PR00000671</t>
    </r>
    <r>
      <rPr>
        <sz val="10"/>
        <color rgb="FFFF0000"/>
        <rFont val="Arial"/>
        <family val="2"/>
      </rPr>
      <t>, ifsc code PUNB0460400, micr code 110024429, branch code: 460400</t>
    </r>
  </si>
  <si>
    <r>
      <t>Last payment made on 18/05/2019 online by ICICI bank of Rs. 2399.08 (</t>
    </r>
    <r>
      <rPr>
        <b/>
        <i/>
        <sz val="10"/>
        <color rgb="FFFF0000"/>
        <rFont val="Arial"/>
        <family val="2"/>
      </rPr>
      <t xml:space="preserve">bill paid upto 31/03/2020) </t>
    </r>
  </si>
  <si>
    <r>
      <t>Last payment made on 02/12/2020 online by ICICI bank of Rs. 1351.81 (</t>
    </r>
    <r>
      <rPr>
        <b/>
        <i/>
        <sz val="10"/>
        <color rgb="FFFF0000"/>
        <rFont val="Arial"/>
        <family val="2"/>
      </rPr>
      <t xml:space="preserve">bill paid upto 31/03/2021) </t>
    </r>
  </si>
  <si>
    <r>
      <t>Last payment made on 23/11/2021 online by ICICI bank of Rs. 1513.69 (</t>
    </r>
    <r>
      <rPr>
        <b/>
        <i/>
        <sz val="10"/>
        <color rgb="FFFF0000"/>
        <rFont val="Arial"/>
        <family val="2"/>
      </rPr>
      <t xml:space="preserve">bill paid upto 31/03/2022) </t>
    </r>
  </si>
  <si>
    <r>
      <t>Last payment made on 02/07/2022 online by ICICI bank of Rs. 1716.02 (</t>
    </r>
    <r>
      <rPr>
        <b/>
        <i/>
        <sz val="10"/>
        <color rgb="FFFF0000"/>
        <rFont val="Arial"/>
        <family val="2"/>
      </rPr>
      <t xml:space="preserve">bill paid upto 31/03/2023) </t>
    </r>
  </si>
  <si>
    <r>
      <t xml:space="preserve">invested through mobile app </t>
    </r>
    <r>
      <rPr>
        <b/>
        <sz val="12"/>
        <color rgb="FF000000"/>
        <rFont val="Arial"/>
        <family val="2"/>
      </rPr>
      <t xml:space="preserve">etmoney </t>
    </r>
    <r>
      <rPr>
        <sz val="12"/>
        <color rgb="FF000000"/>
        <rFont val="Arial"/>
        <family val="2"/>
      </rPr>
      <t>(linked with sbi account 7002, login-id - rajpal.dhanai@gmail.com)</t>
    </r>
  </si>
  <si>
    <t>transtered to rajpal sbi a/c</t>
  </si>
  <si>
    <t>7260 on 7/apr/2024</t>
  </si>
  <si>
    <t>DPS Fee Payment (parent.neverskip.com)</t>
  </si>
  <si>
    <t>https://www.npmjs.com/</t>
  </si>
  <si>
    <t>username: rdhanai, email : rajpal.dhanai@gmail.com, password : raj!@#{code1}</t>
  </si>
  <si>
    <t>hp.com</t>
  </si>
  <si>
    <t>dhanai_rajpal@yahoo.com/Raj!@#123</t>
  </si>
  <si>
    <t>10488545/01</t>
  </si>
  <si>
    <t>4th</t>
  </si>
  <si>
    <t>greater noida</t>
  </si>
  <si>
    <t>from</t>
  </si>
  <si>
    <t>to</t>
  </si>
  <si>
    <t>jammu</t>
  </si>
  <si>
    <t xml:space="preserve">jammu </t>
  </si>
  <si>
    <t>srinagar</t>
  </si>
  <si>
    <t>distanace</t>
  </si>
  <si>
    <t>time (hrs)</t>
  </si>
  <si>
    <t>route</t>
  </si>
  <si>
    <t>delhi, karnal, jalandhar, pathankot,</t>
  </si>
  <si>
    <t>leh</t>
  </si>
  <si>
    <t>kargil</t>
  </si>
  <si>
    <t>sonmarg, zojial pass, kargil war memorial, kargil</t>
  </si>
  <si>
    <t>magnet hill, gurudhwar patther sahib, indus &amp; zanksa river sangam</t>
  </si>
  <si>
    <t>night stay</t>
  </si>
  <si>
    <t>day</t>
  </si>
  <si>
    <t>leh sight seen</t>
  </si>
  <si>
    <t>shanti stupa, leh palace, hall of fame (Monday closed)</t>
  </si>
  <si>
    <t>Nubra Valley</t>
  </si>
  <si>
    <t>khardungla paas, diskit monestry, sand dunes</t>
  </si>
  <si>
    <t>Nubra</t>
  </si>
  <si>
    <t>Leh</t>
  </si>
  <si>
    <t>Sand Dunes or Nubra</t>
  </si>
  <si>
    <t>Pangok Lake</t>
  </si>
  <si>
    <t>siachen base camp, shyok</t>
  </si>
  <si>
    <t>pangok, spangmik, man or merak village</t>
  </si>
  <si>
    <t>changla pass route</t>
  </si>
  <si>
    <t>manali</t>
  </si>
  <si>
    <t>manali site seeing</t>
  </si>
  <si>
    <t>postpaid sim - 1) jio and 2) airtel</t>
  </si>
  <si>
    <t>permitts online booking</t>
  </si>
  <si>
    <t>download offline google maps</t>
  </si>
  <si>
    <t>diamox tablet, camphor goliyon, portable oxygen cylinder</t>
  </si>
  <si>
    <t>booking of hotels/home stays</t>
  </si>
  <si>
    <t>winter wears (thermal innner wear)</t>
  </si>
  <si>
    <t>monkey cap/scarf</t>
  </si>
  <si>
    <t>touch screen woolen golves</t>
  </si>
  <si>
    <t>goggles</t>
  </si>
  <si>
    <t>portable gas stove, utiles, cups, mugs, water bootles, 5 litre water boottle / for tea, maggi</t>
  </si>
  <si>
    <t>puncture repair kit, tyre inflator</t>
  </si>
  <si>
    <t>gr noida</t>
  </si>
  <si>
    <t>chandigarh</t>
  </si>
  <si>
    <t>srinagar sight seeing</t>
  </si>
  <si>
    <t>ICICI Prudential Infrastructure Direct- Growth - Tran 1</t>
  </si>
  <si>
    <t>ICICI Prudential Infrastructure Direct- Growth - Tran 2</t>
  </si>
  <si>
    <t>Nippon India Small Cap Fund</t>
  </si>
  <si>
    <t>stripe.com</t>
  </si>
  <si>
    <t>rajpal.dhanai@gmail.com/Rajpal!@#(code1)</t>
  </si>
  <si>
    <t>Quant Mid Cap Fund Growth Option Direct Growth - Tran1</t>
  </si>
  <si>
    <t>Quant Mid Cap Fund Growth Option Direct Growth - Tran2</t>
  </si>
  <si>
    <t xml:space="preserve">day 2 - udhampur - Srinagar (stay in houseboat) </t>
  </si>
  <si>
    <t>day 5 - srinagar - pehalgam (stay in pehelgam hotel)</t>
  </si>
  <si>
    <t>day 8 - amritsar sight seeing (stay in amritsar)</t>
  </si>
  <si>
    <t>day 9 - amritsar - gr noida</t>
  </si>
  <si>
    <t>distance/time</t>
  </si>
  <si>
    <t>itenary</t>
  </si>
  <si>
    <t xml:space="preserve">day 6 - pehalgam - sinthan top - anantnag (stay in anantnag) </t>
  </si>
  <si>
    <t>day 7 - anantnag - amritsar (stay in amritsar)</t>
  </si>
  <si>
    <t>stay</t>
  </si>
  <si>
    <t>644 km --&gt; 11hr:30m</t>
  </si>
  <si>
    <t>254 km ---&gt; 6hr</t>
  </si>
  <si>
    <t>hotel in udhampur</t>
  </si>
  <si>
    <t>hotel in anantnag</t>
  </si>
  <si>
    <t>hotel in amritsar</t>
  </si>
  <si>
    <t>houseboat in srinagar</t>
  </si>
  <si>
    <t>80 km --&gt; 2hr:10m</t>
  </si>
  <si>
    <t>hotel in srinagar</t>
  </si>
  <si>
    <t>92 km --&gt; 2hr:15m</t>
  </si>
  <si>
    <t>hotel in pahalgam</t>
  </si>
  <si>
    <t>110 km --&gt; 2hr:45m (pehelgam to sinthan top)</t>
  </si>
  <si>
    <t>71 km --&gt; 1hr:45m (sinthan top to anantnag )</t>
  </si>
  <si>
    <t>360 km --&gt; 9hr</t>
  </si>
  <si>
    <t>sight seen</t>
  </si>
  <si>
    <t>496 km --&gt; 8hr:18m</t>
  </si>
  <si>
    <t xml:space="preserve">day 1 - gr noida - udhampur (stay in udhampur) </t>
  </si>
  <si>
    <t>petrol+toll</t>
  </si>
  <si>
    <t>hotel stay</t>
  </si>
  <si>
    <t>hotels</t>
  </si>
  <si>
    <t>2200km</t>
  </si>
  <si>
    <t>meals</t>
  </si>
  <si>
    <t>pathankot to amritsar - 115km - 2hr</t>
  </si>
  <si>
    <t>pathankot to jalandhar - 113 km - 1hr:20m</t>
  </si>
  <si>
    <t>amritsar to jalandhar - 80k - 1hr:30</t>
  </si>
  <si>
    <t>checklist</t>
  </si>
  <si>
    <t>light clothes warm clotes for nights</t>
  </si>
  <si>
    <t>warm layers</t>
  </si>
  <si>
    <t>sun hats and glassess</t>
  </si>
  <si>
    <t>sunscreen and lim balms</t>
  </si>
  <si>
    <t>toileteries : toothbrus, toothpase, soap, sampoo, facewash</t>
  </si>
  <si>
    <t>napkins, wipes</t>
  </si>
  <si>
    <t>water bottles</t>
  </si>
  <si>
    <t>backpack</t>
  </si>
  <si>
    <t>mobiles, charges</t>
  </si>
  <si>
    <t>medicines</t>
  </si>
  <si>
    <t>LARGE CAP</t>
  </si>
  <si>
    <t>LARGE &amp; MIDCAP</t>
  </si>
  <si>
    <t>MIDCAP</t>
  </si>
  <si>
    <t>SMALLCAP</t>
  </si>
  <si>
    <t>INFRASTRUCTURE</t>
  </si>
  <si>
    <t>FLEXICAP</t>
  </si>
  <si>
    <t>wed</t>
  </si>
  <si>
    <t>thurs</t>
  </si>
  <si>
    <t>Friday</t>
  </si>
  <si>
    <t>activities+shopping</t>
  </si>
  <si>
    <t>booking.com</t>
  </si>
  <si>
    <t>dhanai_rajpal@yahoo.com/h$8+7Fk/E35iN,Y</t>
  </si>
  <si>
    <t>srinanagar sight seeing</t>
  </si>
  <si>
    <t>shankaracharya temple</t>
  </si>
  <si>
    <t>parimahal</t>
  </si>
  <si>
    <t>Sun</t>
  </si>
  <si>
    <t>Mon</t>
  </si>
  <si>
    <t>hotel in kargil</t>
  </si>
  <si>
    <t>day 3 - srinagar sight seeing - sikara ride</t>
  </si>
  <si>
    <t>day 4 - srinagar - sonmarg - kargil</t>
  </si>
  <si>
    <t>Sat</t>
  </si>
  <si>
    <t>Tue</t>
  </si>
  <si>
    <t>day 5 - kargi - srinagar</t>
  </si>
  <si>
    <t>Kotak Emerging Equity Fund - Tran 4</t>
  </si>
  <si>
    <t>Kotak Equity Opportunities Fund Direct - Growth - Tran 4</t>
  </si>
  <si>
    <t>opd, xray left hand wrist fracture</t>
  </si>
  <si>
    <t>adult diapers</t>
  </si>
  <si>
    <t>cred</t>
  </si>
  <si>
    <t>medcines</t>
  </si>
  <si>
    <t>OPD pakka plaster wrist fracture</t>
  </si>
  <si>
    <t>1930 on 3/jul/2024</t>
  </si>
  <si>
    <t>Nipon India Large Cap Fund Director Growth Plan - Tran 2</t>
  </si>
  <si>
    <t>Nipon India Large Cap Fund Director Growth Plan - Tran 1</t>
  </si>
  <si>
    <t>ICICI Prudential Bluechip Fund Direct Plan Growth - Tran 2</t>
  </si>
  <si>
    <t>ICICI Prudential Bluechip Fund Direct Plan Growth - Tran 1</t>
  </si>
  <si>
    <t>Quant Infrastrcuture Fund Growth Option Direct Plan - Tran 2</t>
  </si>
  <si>
    <t>Quant Infrastrcuture Fund Growth Option Direct Plan - Tran 1</t>
  </si>
  <si>
    <t>last updated  on 10 Jul 2024</t>
  </si>
  <si>
    <t>Quant Mid Cap Fund Direct-Growth - Tran 1</t>
  </si>
  <si>
    <t>Quant Mid Cap Fund Direct-Growth - Tran 2</t>
  </si>
  <si>
    <t>Quant Infrastructure Fund Direct - Growth - Tran 1</t>
  </si>
  <si>
    <t>Quant Infrastructure Fund Direct - Growth - Tran 2</t>
  </si>
  <si>
    <t>last updated  on 11/07/2024</t>
  </si>
  <si>
    <t>Nippon</t>
  </si>
  <si>
    <t>ICICI</t>
  </si>
  <si>
    <t>Quant</t>
  </si>
  <si>
    <t>Kotak</t>
  </si>
  <si>
    <t>HDFC</t>
  </si>
  <si>
    <t>Parag Parikh</t>
  </si>
  <si>
    <t>Canara Robeco</t>
  </si>
  <si>
    <t>Mirae Asset</t>
  </si>
  <si>
    <t>Tata</t>
  </si>
  <si>
    <t>HSBC</t>
  </si>
  <si>
    <t>Lacs</t>
  </si>
  <si>
    <t>GCP ACE Certificate Exam Registration (https://www.webassessor.com)</t>
  </si>
  <si>
    <t>Sign in | Google Cloud Skills Boost for Partners</t>
  </si>
  <si>
    <t>Profit</t>
  </si>
  <si>
    <t>Total invested</t>
  </si>
  <si>
    <t>Market value</t>
  </si>
  <si>
    <t>15/07/2024</t>
  </si>
  <si>
    <t>Profit %</t>
  </si>
  <si>
    <t>Value as On</t>
  </si>
  <si>
    <t>aws account for (aditya's project) - username: rajpal, password : raj!@#123</t>
  </si>
  <si>
    <t>rdhanai/raj!@#123</t>
  </si>
  <si>
    <t>gitlab.com (email is rajpal.dhanai@gmail.com)</t>
  </si>
  <si>
    <t>Home Care Service</t>
  </si>
  <si>
    <t>4th Jul - 19th Jul</t>
  </si>
  <si>
    <t>https://ap-south-1.console.aws.amazon.com/console/home?region=ap-south-1</t>
  </si>
  <si>
    <t>travenindia.com</t>
  </si>
  <si>
    <t>account id : 908014149301, username : rajpal , password raj!@#{code1}</t>
  </si>
  <si>
    <t>20jul -3 aug</t>
  </si>
  <si>
    <t xml:space="preserve">3aug- 24 aug </t>
  </si>
  <si>
    <t>plaster removal</t>
  </si>
  <si>
    <t>Union Bank (earlier Corporation Bank)  520101216883853 (rachna) 
New IFSC code : UBIN0910571, MICR CODE : 110026393</t>
  </si>
  <si>
    <t>31/08/2024</t>
  </si>
  <si>
    <t>coforge inspire portal login</t>
  </si>
  <si>
    <t>coforge login credentails (https://ind01.safelinks.protection.outlook.com/?url=https%3A%2F%2Finspireatcoforge.performnet.com%2Finspireatcoforge&amp;data=05%7C02%7CRAJPAL.DHANAI%40COFORGE.COM%7C3b879ea321774ca8ed1708dcca4d5616%7Cb727a530a0d54fb8bd40d8f9763e97db%7C0%7C0%7C638607680717796201%7CUnknown%7CTWFpbGZsb3d8eyJWIjoiMC4wLjAwMDAiLCJQIjoiV2luMzIiLCJBTiI6Ik1haWwiLCJXVCI6Mn0%3D%7C0%7C%7C%7C&amp;sdata=Q5Buu0w0g3E68C4MpabvZTuFKh7%2BqXuDvCPtzOC6IpI%3D&amp;reserved=0)</t>
  </si>
  <si>
    <t xml:space="preserve">  - Navya + Vihaan's school transport</t>
  </si>
  <si>
    <t xml:space="preserve">  - Broadband + Postpaid</t>
  </si>
  <si>
    <t>Coforoge EPF</t>
  </si>
  <si>
    <t>Coforge Gratuity</t>
  </si>
  <si>
    <t>formula:  Basic Salary x (15/26) x Number of years of service</t>
  </si>
  <si>
    <t>as on Mar 01 2025</t>
  </si>
  <si>
    <t>Gratuity Coforge</t>
  </si>
  <si>
    <t>Coforge Eearned Leave Encashment</t>
  </si>
  <si>
    <t>formula:  Basic Salary / 30 x Number of leaves</t>
  </si>
  <si>
    <t>Eearned Leaves Coforge</t>
  </si>
  <si>
    <t>Perct</t>
  </si>
  <si>
    <t>38158 on 14/sept/2024</t>
  </si>
  <si>
    <t>setteled</t>
  </si>
  <si>
    <t>Parag Parikh Flexi Cap Direct Growth - Tran 1</t>
  </si>
  <si>
    <t>14/09/2024</t>
  </si>
  <si>
    <t>shiva@{CODE2} code2 is mie</t>
  </si>
  <si>
    <t>raj{code1}
, raj{code2}</t>
  </si>
  <si>
    <t>nara.devi.1950@gmail.com / Raj!@#{code1}</t>
  </si>
  <si>
    <t>vihaan!@#{code1}</t>
  </si>
  <si>
    <t>vihaan{code1}4</t>
  </si>
  <si>
    <t>Rajpal{code1}456</t>
  </si>
  <si>
    <t>rajpal.dhanai@coforge.com ,  Rsd!@#{code1}</t>
  </si>
  <si>
    <t>https://cra-nsdl.com/CRA/</t>
  </si>
  <si>
    <t>profit</t>
  </si>
  <si>
    <t>rajpal.dhanai@coforge.com, Rudra@2024 salary access (Seltos@123)</t>
  </si>
  <si>
    <t>27/09/2024</t>
  </si>
  <si>
    <r>
      <t>Last payment made on 02/10/2024 online by ICICI bank of Rs. 3974.40 (</t>
    </r>
    <r>
      <rPr>
        <b/>
        <i/>
        <sz val="10"/>
        <color rgb="FFFF0000"/>
        <rFont val="Arial"/>
        <family val="2"/>
      </rPr>
      <t xml:space="preserve">bill paid upto 31/03/2025) </t>
    </r>
  </si>
  <si>
    <t>coforge.udemy.com</t>
  </si>
  <si>
    <t>rajpal.dhanai@coforge.com : raj!@#{code1}</t>
  </si>
  <si>
    <t>Gold Coins (5 gms, 24 crt, 99.999% purity from RJ Jwellers) purchased on 5/11/2024 - Rs 44000</t>
  </si>
  <si>
    <t>https://cp.certmetrics.com/google/en/home/dashboard</t>
  </si>
  <si>
    <t>username: GGLE01169269  password: Rajpal!@#123</t>
  </si>
  <si>
    <t>primary email is rajpal.dhanai@coforge.com and secondary email is rajpal.dhanai@gmail.com</t>
  </si>
  <si>
    <t>Test Taker Authorization Code: 2n55j6mb</t>
  </si>
  <si>
    <t>dps new payment site credentials: 9899114717/Navihaan!@#123</t>
  </si>
  <si>
    <t>https://sparsh.defencepension.gov.in/</t>
  </si>
  <si>
    <t>Rsd@248179</t>
  </si>
  <si>
    <r>
      <rPr>
        <b/>
        <sz val="10"/>
        <color theme="1"/>
        <rFont val="Calibri"/>
        <family val="2"/>
        <scheme val="minor"/>
      </rPr>
      <t xml:space="preserve">personal-data </t>
    </r>
    <r>
      <rPr>
        <sz val="10"/>
        <color theme="1"/>
        <rFont val="Calibri"/>
        <family val="2"/>
        <scheme val="minor"/>
      </rPr>
      <t>repository to transfer personal data from office to personal laptop</t>
    </r>
  </si>
  <si>
    <t>Kotak Emerging Equity Fund - Tran 5</t>
  </si>
  <si>
    <t>Kotak Emerging Equity Fund - Tran 6</t>
  </si>
  <si>
    <t>ICICI Prudential Infrastructure Direct- Growth - Tran 3</t>
  </si>
  <si>
    <t>HDFC Small Cap Fund - Tran 1</t>
  </si>
  <si>
    <t>HDFC Small Cap Fund - Tran 2</t>
  </si>
  <si>
    <t>Quant ELSS Tax Saver Fund Direct-Growth</t>
  </si>
  <si>
    <t>EFDR # 105723030001175</t>
  </si>
  <si>
    <t>updated on 02/Jan/2025</t>
  </si>
  <si>
    <t>Parag Parikh Flexi Cap Fund Direct - Growth - Tran 3</t>
  </si>
  <si>
    <t>rsd!@#{code2}</t>
  </si>
  <si>
    <t>Parag Parikh Flexi Cap Fund Direct - Growth - Tran 4</t>
  </si>
  <si>
    <t>Tata Motors - 230 shares @937.67 NSE on Oct 7, 2024 total paid Rs 2,15,000/-</t>
  </si>
  <si>
    <t>Tata Motors - 130 shares @764.65 NSE on Jan 11, 2025 total paid Rs 1,07,000/-</t>
  </si>
  <si>
    <t>19/01/2025</t>
  </si>
  <si>
    <t>For Vihaan School ms teams (2015390@dpsgrnoida.com/Vac2299)</t>
  </si>
  <si>
    <t>Gross Salary</t>
  </si>
  <si>
    <t xml:space="preserve">less </t>
  </si>
  <si>
    <t>variable pay</t>
  </si>
  <si>
    <t>car lease</t>
  </si>
  <si>
    <t>total less</t>
  </si>
  <si>
    <t>Salary (a-b)</t>
  </si>
  <si>
    <t>perquisites</t>
  </si>
  <si>
    <t>Salary (c+d)</t>
  </si>
  <si>
    <t>exemptions</t>
  </si>
  <si>
    <t>Standard deduction</t>
  </si>
  <si>
    <t>LTA</t>
  </si>
  <si>
    <t>total exemptions</t>
  </si>
  <si>
    <t>salary(e-f)</t>
  </si>
  <si>
    <t>deductions</t>
  </si>
  <si>
    <t>80c</t>
  </si>
  <si>
    <t>80CCD(1B) NPS Self Contribution</t>
  </si>
  <si>
    <t>80CCD(2) NPS Employer's Contribution 14% of NPS</t>
  </si>
  <si>
    <t>h</t>
  </si>
  <si>
    <t>total deductions</t>
  </si>
  <si>
    <t>i</t>
  </si>
  <si>
    <t>salary(g-h)</t>
  </si>
  <si>
    <t>tax deduction in 2023-24</t>
  </si>
  <si>
    <t>6.5 lac</t>
  </si>
  <si>
    <t xml:space="preserve">  - Navya's Tution fee (IPM+Account)</t>
  </si>
  <si>
    <t xml:space="preserve">  - Vihaan's Coching fee</t>
  </si>
  <si>
    <t>Maid, Bartan, Press, Car Wash</t>
  </si>
  <si>
    <t>Last updated on 01/03/2025</t>
  </si>
  <si>
    <t>navya acc tution</t>
  </si>
  <si>
    <t>Parag Parikh Flexi Cap Fund Direct - Growth - Tran 5</t>
  </si>
  <si>
    <t>HDFC Small Cap Fund - Tran 3</t>
  </si>
  <si>
    <t>Petrol Seltos</t>
  </si>
  <si>
    <t>Enter@#${code2}</t>
  </si>
  <si>
    <t>userid : 110164945667 - Mahadev!@#{CODE1}</t>
  </si>
  <si>
    <t>rsd{code2}@</t>
  </si>
  <si>
    <r>
      <rPr>
        <b/>
        <sz val="10"/>
        <color rgb="FF000000"/>
        <rFont val="Arial"/>
        <family val="2"/>
      </rPr>
      <t xml:space="preserve">Rajpal </t>
    </r>
    <r>
      <rPr>
        <sz val="10"/>
        <color rgb="FF000000"/>
        <rFont val="Arial"/>
        <family val="2"/>
      </rPr>
      <t xml:space="preserve">S/A ICICI, Noida </t>
    </r>
    <r>
      <rPr>
        <b/>
        <sz val="10"/>
        <color rgb="FF000000"/>
        <rFont val="Arial"/>
        <family val="2"/>
      </rPr>
      <t>(A/c 003101214569, CustId 517614919)</t>
    </r>
    <r>
      <rPr>
        <sz val="10"/>
        <color rgb="FF000000"/>
        <rFont val="Arial"/>
        <family val="2"/>
      </rPr>
      <t xml:space="preserve"> IFSC CODE : </t>
    </r>
    <r>
      <rPr>
        <b/>
        <sz val="10"/>
        <color rgb="FF000000"/>
        <rFont val="Arial"/>
        <family val="2"/>
      </rPr>
      <t>ICIC0003488</t>
    </r>
  </si>
  <si>
    <r>
      <rPr>
        <b/>
        <sz val="10"/>
        <color rgb="FF000000"/>
        <rFont val="Arial"/>
        <family val="2"/>
      </rPr>
      <t xml:space="preserve">Rajpal </t>
    </r>
    <r>
      <rPr>
        <sz val="10"/>
        <color rgb="FF000000"/>
        <rFont val="Arial"/>
        <family val="2"/>
      </rPr>
      <t>S/A SBI, Gr Noida (</t>
    </r>
    <r>
      <rPr>
        <b/>
        <sz val="10"/>
        <color rgb="FF000000"/>
        <rFont val="Arial"/>
        <family val="2"/>
      </rPr>
      <t xml:space="preserve">A/c 20277397002) </t>
    </r>
    <r>
      <rPr>
        <sz val="10"/>
        <color rgb="FF000000"/>
        <rFont val="Arial"/>
        <family val="2"/>
      </rPr>
      <t xml:space="preserve">IFSC CODE : </t>
    </r>
    <r>
      <rPr>
        <b/>
        <sz val="10"/>
        <color rgb="FF000000"/>
        <rFont val="Arial"/>
        <family val="2"/>
      </rPr>
      <t>SBIN0050830</t>
    </r>
  </si>
  <si>
    <r>
      <rPr>
        <b/>
        <sz val="10"/>
        <color rgb="FF000000"/>
        <rFont val="Arial"/>
        <family val="2"/>
      </rPr>
      <t xml:space="preserve">Rachna </t>
    </r>
    <r>
      <rPr>
        <sz val="10"/>
        <color rgb="FF000000"/>
        <rFont val="Arial"/>
        <family val="2"/>
      </rPr>
      <t>S/A Corporation Bank, Greater Noida</t>
    </r>
    <r>
      <rPr>
        <b/>
        <sz val="10"/>
        <color rgb="FF000000"/>
        <rFont val="Arial"/>
        <family val="2"/>
      </rPr>
      <t xml:space="preserve"> - Rachna (SB01011263) </t>
    </r>
    <r>
      <rPr>
        <sz val="10"/>
        <color rgb="FF000000"/>
        <rFont val="Arial"/>
        <family val="2"/>
      </rPr>
      <t xml:space="preserve">IFSC CODE : </t>
    </r>
    <r>
      <rPr>
        <b/>
        <sz val="10"/>
        <color rgb="FF000000"/>
        <rFont val="Arial"/>
        <family val="2"/>
      </rPr>
      <t>SBIN0050830</t>
    </r>
  </si>
  <si>
    <r>
      <rPr>
        <b/>
        <sz val="10"/>
        <color rgb="FF000000"/>
        <rFont val="Arial"/>
        <family val="2"/>
      </rPr>
      <t xml:space="preserve">Mother </t>
    </r>
    <r>
      <rPr>
        <sz val="10"/>
        <color rgb="FF000000"/>
        <rFont val="Arial"/>
        <family val="2"/>
      </rPr>
      <t>S/A Corporation Bank, Greater Noida</t>
    </r>
    <r>
      <rPr>
        <b/>
        <sz val="10"/>
        <color rgb="FF000000"/>
        <rFont val="Arial"/>
        <family val="2"/>
      </rPr>
      <t xml:space="preserve"> - Mother (SBMP000132) </t>
    </r>
    <r>
      <rPr>
        <sz val="10"/>
        <color rgb="FF000000"/>
        <rFont val="Arial"/>
        <family val="2"/>
      </rPr>
      <t>IFSC CODE :</t>
    </r>
    <r>
      <rPr>
        <b/>
        <sz val="10"/>
        <color rgb="FF000000"/>
        <rFont val="Arial"/>
        <family val="2"/>
      </rPr>
      <t xml:space="preserve"> SBIN0050830</t>
    </r>
  </si>
  <si>
    <r>
      <rPr>
        <b/>
        <sz val="10"/>
        <color rgb="FF000000"/>
        <rFont val="Arial"/>
        <family val="2"/>
      </rPr>
      <t xml:space="preserve">Rajpal+Rachna </t>
    </r>
    <r>
      <rPr>
        <sz val="10"/>
        <color rgb="FF000000"/>
        <rFont val="Arial"/>
        <family val="2"/>
      </rPr>
      <t>S/A PNB, Greater Noida (Joint A/c)</t>
    </r>
  </si>
  <si>
    <t>updated on 05/Apr/2024</t>
  </si>
  <si>
    <t xml:space="preserve">  - Navya tution transport</t>
  </si>
  <si>
    <t xml:space="preserve">  - Vihaan tution transport</t>
  </si>
  <si>
    <t>Stellar Shop</t>
  </si>
  <si>
    <t>Rachna for grocery + vegetables</t>
  </si>
  <si>
    <t>Rachna Day-2-Day grocery</t>
  </si>
  <si>
    <t xml:space="preserve">  - Maid (jhadu pocha)</t>
  </si>
  <si>
    <t xml:space="preserve">  - Maid (bartan)</t>
  </si>
  <si>
    <t xml:space="preserve">  - Press Wala</t>
  </si>
  <si>
    <t xml:space="preserve">  - Car Cleaning</t>
  </si>
  <si>
    <t>105723030001274</t>
  </si>
  <si>
    <t>updated on 04/May/2025</t>
  </si>
  <si>
    <t>updated on 4/May/2025</t>
  </si>
  <si>
    <t>medicne + foot shoe 6500</t>
  </si>
  <si>
    <t>settled</t>
  </si>
  <si>
    <t>27/6/2025</t>
  </si>
  <si>
    <t>ICICI Prudential Large Cap Fund Direct-Growth - Tran 1</t>
  </si>
  <si>
    <t>updated on 27/June/2025</t>
  </si>
  <si>
    <t>Navihaan!@#{code1}, 866</t>
  </si>
  <si>
    <t>Sold MF</t>
  </si>
  <si>
    <t>sold amount</t>
  </si>
  <si>
    <t>sold date</t>
  </si>
  <si>
    <t>LTCG</t>
  </si>
  <si>
    <t>tax on LTCG</t>
  </si>
  <si>
    <t>scribed.com : registed for gcp ace exam… unsubscrite credit card before aug-19-2025</t>
  </si>
  <si>
    <t>rdhanai/Raj!@#123</t>
  </si>
  <si>
    <t>skillcertpro.com (for gcp ace practise mock exams)</t>
  </si>
  <si>
    <t>rajpal.dhanai@coforge.com (use signin with google with this account)</t>
  </si>
  <si>
    <t>userid: vihaandhanai/vihaan!@#123</t>
  </si>
  <si>
    <t>userid: navyadhanai/navya!@#123</t>
  </si>
  <si>
    <t>mongodb credentials</t>
  </si>
  <si>
    <t>login using github account (rdhanai/rsd!@#123)</t>
  </si>
  <si>
    <t>https://www.credly.com/earner/dashboard (for gcp certificates)</t>
  </si>
  <si>
    <t>dhanai_rajpal@yahoo.com/raj!@#123</t>
  </si>
  <si>
    <t>learn.mongodb.com (for mongodb certificate)</t>
  </si>
  <si>
    <t xml:space="preserve">Canteen </t>
  </si>
  <si>
    <t>Meat</t>
  </si>
  <si>
    <t>Var Pay (assuming 50* of actual received and 30% tax deducted)</t>
  </si>
  <si>
    <t>credential : 00077853/Bholenath!@#{code1}</t>
  </si>
  <si>
    <t>https://delivery-readiness-portal.cloud.google/app/login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</si>
</sst>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[$-409]d\-mmm\-yy"/>
    <numFmt numFmtId="165" formatCode="[$-409]dd\-mmm\-yy"/>
    <numFmt numFmtId="166" formatCode="#,##0.00;[Red]#,##0.00"/>
    <numFmt numFmtId="167" formatCode="0.0%"/>
    <numFmt numFmtId="168" formatCode="d\-mmm\-yyyy"/>
    <numFmt numFmtId="169" formatCode="0.00;[Red]0.00"/>
    <numFmt numFmtId="170" formatCode="[$₹-4009]#,##0.00;[Red]\-[$₹-4009]#,##0.00"/>
    <numFmt numFmtId="171" formatCode="mm/yy"/>
    <numFmt numFmtId="172" formatCode="dd/mm/yy"/>
    <numFmt numFmtId="173" formatCode="yyyy\-mm\-dd"/>
    <numFmt numFmtId="174" formatCode="[$-409]d\-mmm\-yy;@"/>
    <numFmt numFmtId="175" formatCode="[$-409]dd\-mmm\-yy;@"/>
    <numFmt numFmtId="176" formatCode="[$₹-439]#,##0;[Red][$₹-439]#,##0"/>
    <numFmt numFmtId="177" formatCode="[$₹-439]#,##0.00;[Red][$₹-439]#,##0.00"/>
    <numFmt numFmtId="178" formatCode="0.0"/>
  </numFmts>
  <fonts count="110">
    <font>
      <sz val="10"/>
      <color rgb="FF000000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8"/>
      <color theme="1"/>
      <name val="Arial"/>
      <family val="2"/>
    </font>
    <font>
      <sz val="10"/>
      <color rgb="FF00B0F0"/>
      <name val="Arial"/>
      <family val="2"/>
    </font>
    <font>
      <b/>
      <sz val="16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FF66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trike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trike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2"/>
      <color rgb="FF1155CC"/>
      <name val="Arial"/>
      <family val="2"/>
    </font>
    <font>
      <sz val="14"/>
      <color rgb="FF6A9955"/>
      <name val="Consolas"/>
      <family val="3"/>
    </font>
    <font>
      <sz val="16"/>
      <color rgb="FF000000"/>
      <name val="Arial"/>
      <family val="2"/>
    </font>
    <font>
      <sz val="11"/>
      <color rgb="FF172F52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24"/>
      <color theme="1"/>
      <name val="Arial"/>
      <family val="2"/>
    </font>
    <font>
      <b/>
      <sz val="11"/>
      <color theme="1"/>
      <name val="Calibri"/>
      <family val="2"/>
    </font>
    <font>
      <sz val="6"/>
      <color rgb="FF000000"/>
      <name val="Arial"/>
      <family val="2"/>
    </font>
    <font>
      <sz val="9"/>
      <color rgb="FF1D1C1D"/>
      <name val="Arial"/>
      <family val="2"/>
    </font>
    <font>
      <b/>
      <sz val="12"/>
      <color rgb="FF00B0F0"/>
      <name val="Arial"/>
      <family val="2"/>
    </font>
    <font>
      <sz val="12"/>
      <color rgb="FF00B0F0"/>
      <name val="Arial"/>
      <family val="2"/>
    </font>
    <font>
      <sz val="22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595959"/>
      <name val="Arial"/>
      <family val="2"/>
    </font>
    <font>
      <sz val="8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0070C0"/>
      <name val="Arial"/>
      <family val="2"/>
    </font>
    <font>
      <sz val="14"/>
      <color theme="1"/>
      <name val="Arial"/>
      <family val="2"/>
    </font>
    <font>
      <i/>
      <sz val="18"/>
      <color theme="1"/>
      <name val="Balthazar"/>
    </font>
    <font>
      <i/>
      <sz val="10"/>
      <color theme="1"/>
      <name val="Verdana"/>
      <family val="2"/>
    </font>
    <font>
      <i/>
      <sz val="18"/>
      <color rgb="FFFF0000"/>
      <name val="Arial"/>
      <family val="2"/>
    </font>
    <font>
      <i/>
      <sz val="18"/>
      <color theme="1"/>
      <name val="Arial"/>
      <family val="2"/>
    </font>
    <font>
      <sz val="24"/>
      <color theme="1"/>
      <name val="Arial"/>
      <family val="2"/>
    </font>
    <font>
      <b/>
      <sz val="18"/>
      <color rgb="FF333333"/>
      <name val="Arial"/>
      <family val="2"/>
    </font>
    <font>
      <b/>
      <sz val="14"/>
      <color rgb="FF333333"/>
      <name val="Arial"/>
      <family val="2"/>
    </font>
    <font>
      <sz val="7"/>
      <color rgb="FFDD4B39"/>
      <name val="Arial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b/>
      <sz val="10"/>
      <color rgb="FFFF6600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6"/>
      <color rgb="FF000033"/>
      <name val="Verdana"/>
      <family val="2"/>
    </font>
    <font>
      <b/>
      <sz val="10"/>
      <color rgb="FFFF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u/>
      <sz val="10"/>
      <color rgb="FF000000"/>
      <name val="Times New Roman"/>
      <family val="1"/>
    </font>
    <font>
      <sz val="7"/>
      <color rgb="FF000000"/>
      <name val="Calibri"/>
      <family val="2"/>
      <scheme val="minor"/>
    </font>
    <font>
      <b/>
      <sz val="18"/>
      <color theme="0"/>
      <name val="Arial"/>
      <family val="2"/>
    </font>
    <font>
      <b/>
      <sz val="14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binet-grotesk-extrabold"/>
    </font>
    <font>
      <b/>
      <sz val="16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rgb="FFFF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0.5"/>
      <color rgb="FF353A40"/>
      <name val="Calibri"/>
      <family val="2"/>
      <scheme val="minor"/>
    </font>
    <font>
      <sz val="10"/>
      <color rgb="FF1F1F1F"/>
      <name val="Calibri"/>
      <family val="2"/>
      <scheme val="minor"/>
    </font>
    <font>
      <sz val="11.5"/>
      <color rgb="FF444444"/>
      <name val="Roboto"/>
    </font>
    <font>
      <sz val="10"/>
      <color rgb="FF44444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7"/>
      <name val="Calibri"/>
      <family val="2"/>
      <scheme val="minor"/>
    </font>
    <font>
      <sz val="10"/>
      <color rgb="FFEE000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E2EFD9"/>
        <bgColor rgb="FFE2EFD9"/>
      </patternFill>
    </fill>
    <fill>
      <patternFill patternType="solid">
        <fgColor rgb="FFF4F9F1"/>
        <bgColor rgb="FFF4F9F1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theme="7"/>
        <bgColor theme="7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99CC00"/>
        <bgColor rgb="FF99CC00"/>
      </patternFill>
    </fill>
    <fill>
      <patternFill patternType="solid">
        <fgColor rgb="FF92D050"/>
        <bgColor rgb="FF92D050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1D000"/>
        <bgColor rgb="FFC1D000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00FF"/>
        <bgColor rgb="FFFF00FF"/>
      </patternFill>
    </fill>
    <fill>
      <patternFill patternType="solid">
        <fgColor rgb="FF0066CC"/>
        <bgColor rgb="FF0066CC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4B083"/>
        <bgColor rgb="FFF4B083"/>
      </patternFill>
    </fill>
    <fill>
      <patternFill patternType="solid">
        <fgColor rgb="FFDBEEF4"/>
        <bgColor rgb="FFDBEEF4"/>
      </patternFill>
    </fill>
    <fill>
      <patternFill patternType="solid">
        <fgColor theme="0"/>
        <bgColor theme="0"/>
      </patternFill>
    </fill>
    <fill>
      <patternFill patternType="solid">
        <fgColor rgb="FFFCD5B5"/>
        <bgColor rgb="FFFCD5B5"/>
      </patternFill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FFBCC"/>
        <bgColor rgb="FFFFFBCC"/>
      </patternFill>
    </fill>
    <fill>
      <patternFill patternType="solid">
        <fgColor rgb="FFDDDDDD"/>
        <bgColor rgb="FFDDDDDD"/>
      </patternFill>
    </fill>
    <fill>
      <patternFill patternType="solid">
        <fgColor rgb="FF8CCFB7"/>
        <bgColor rgb="FF8CCFB7"/>
      </patternFill>
    </fill>
    <fill>
      <patternFill patternType="solid">
        <fgColor rgb="FFE6E0EC"/>
        <bgColor rgb="FFE6E0EC"/>
      </patternFill>
    </fill>
    <fill>
      <patternFill patternType="solid">
        <fgColor rgb="FF93CDDD"/>
        <bgColor rgb="FF93CDDD"/>
      </patternFill>
    </fill>
    <fill>
      <patternFill patternType="solid">
        <fgColor rgb="FFB3A2C7"/>
        <bgColor rgb="FFB3A2C7"/>
      </patternFill>
    </fill>
    <fill>
      <patternFill patternType="solid">
        <fgColor rgb="FFB9CDE5"/>
        <bgColor rgb="FFB9CDE5"/>
      </patternFill>
    </fill>
    <fill>
      <patternFill patternType="solid">
        <fgColor rgb="FFD7E4BD"/>
        <bgColor rgb="FFD7E4BD"/>
      </patternFill>
    </fill>
    <fill>
      <patternFill patternType="solid">
        <fgColor rgb="FFE6B9B8"/>
        <bgColor rgb="FFE6B9B8"/>
      </patternFill>
    </fill>
    <fill>
      <patternFill patternType="solid">
        <fgColor rgb="FFFAC090"/>
        <bgColor rgb="FFFAC090"/>
      </patternFill>
    </fill>
    <fill>
      <patternFill patternType="solid">
        <fgColor rgb="FFDCE6F2"/>
        <bgColor rgb="FFDCE6F2"/>
      </patternFill>
    </fill>
    <fill>
      <patternFill patternType="solid">
        <fgColor rgb="FF00FF00"/>
        <bgColor rgb="FF00FF00"/>
      </patternFill>
    </fill>
    <fill>
      <patternFill patternType="solid">
        <fgColor rgb="FFFEFECB"/>
        <bgColor rgb="FFFEFECB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rgb="FFFBE4D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rgb="FF99CC00"/>
        <bgColor rgb="FF92D050"/>
      </patternFill>
    </fill>
    <fill>
      <patternFill patternType="solid">
        <fgColor theme="7" tint="0.79998168889431442"/>
        <bgColor rgb="FF99CC00"/>
      </patternFill>
    </fill>
    <fill>
      <patternFill patternType="solid">
        <fgColor theme="2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ED1C24"/>
      </left>
      <right/>
      <top style="thin">
        <color rgb="FFED1C24"/>
      </top>
      <bottom style="thin">
        <color rgb="FFED1C24"/>
      </bottom>
      <diagonal/>
    </border>
    <border>
      <left/>
      <right/>
      <top style="thin">
        <color rgb="FFED1C24"/>
      </top>
      <bottom style="thin">
        <color rgb="FFED1C24"/>
      </bottom>
      <diagonal/>
    </border>
    <border>
      <left/>
      <right style="thin">
        <color rgb="FFED1C24"/>
      </right>
      <top style="thin">
        <color rgb="FFED1C24"/>
      </top>
      <bottom style="thin">
        <color rgb="FFED1C2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8" fillId="0" borderId="0" applyNumberFormat="0" applyFill="0" applyBorder="0" applyAlignment="0" applyProtection="0"/>
  </cellStyleXfs>
  <cellXfs count="1272">
    <xf numFmtId="0" fontId="0" fillId="0" borderId="0" xfId="0"/>
    <xf numFmtId="4" fontId="1" fillId="0" borderId="0" xfId="0" applyNumberFormat="1" applyFont="1"/>
    <xf numFmtId="40" fontId="1" fillId="0" borderId="0" xfId="0" applyNumberFormat="1" applyFont="1"/>
    <xf numFmtId="0" fontId="2" fillId="2" borderId="1" xfId="0" applyFont="1" applyFill="1" applyBorder="1"/>
    <xf numFmtId="4" fontId="2" fillId="2" borderId="1" xfId="0" applyNumberFormat="1" applyFont="1" applyFill="1" applyBorder="1"/>
    <xf numFmtId="40" fontId="2" fillId="2" borderId="1" xfId="0" applyNumberFormat="1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5" fontId="1" fillId="3" borderId="1" xfId="0" applyNumberFormat="1" applyFont="1" applyFill="1" applyBorder="1"/>
    <xf numFmtId="40" fontId="1" fillId="3" borderId="1" xfId="0" applyNumberFormat="1" applyFont="1" applyFill="1" applyBorder="1"/>
    <xf numFmtId="0" fontId="3" fillId="0" borderId="0" xfId="0" applyFont="1"/>
    <xf numFmtId="0" fontId="2" fillId="0" borderId="0" xfId="0" applyFont="1"/>
    <xf numFmtId="40" fontId="1" fillId="3" borderId="8" xfId="0" applyNumberFormat="1" applyFont="1" applyFill="1" applyBorder="1"/>
    <xf numFmtId="4" fontId="2" fillId="0" borderId="0" xfId="0" applyNumberFormat="1" applyFont="1"/>
    <xf numFmtId="17" fontId="1" fillId="0" borderId="0" xfId="0" applyNumberFormat="1" applyFont="1"/>
    <xf numFmtId="40" fontId="2" fillId="4" borderId="12" xfId="0" applyNumberFormat="1" applyFont="1" applyFill="1" applyBorder="1"/>
    <xf numFmtId="40" fontId="2" fillId="4" borderId="13" xfId="0" applyNumberFormat="1" applyFont="1" applyFill="1" applyBorder="1"/>
    <xf numFmtId="0" fontId="1" fillId="5" borderId="14" xfId="0" applyFont="1" applyFill="1" applyBorder="1"/>
    <xf numFmtId="164" fontId="1" fillId="5" borderId="14" xfId="0" applyNumberFormat="1" applyFont="1" applyFill="1" applyBorder="1"/>
    <xf numFmtId="165" fontId="1" fillId="5" borderId="14" xfId="0" applyNumberFormat="1" applyFont="1" applyFill="1" applyBorder="1"/>
    <xf numFmtId="40" fontId="1" fillId="5" borderId="14" xfId="0" applyNumberFormat="1" applyFont="1" applyFill="1" applyBorder="1"/>
    <xf numFmtId="40" fontId="1" fillId="5" borderId="1" xfId="0" applyNumberFormat="1" applyFont="1" applyFill="1" applyBorder="1"/>
    <xf numFmtId="40" fontId="1" fillId="6" borderId="1" xfId="0" applyNumberFormat="1" applyFont="1" applyFill="1" applyBorder="1"/>
    <xf numFmtId="0" fontId="5" fillId="0" borderId="0" xfId="0" applyFont="1"/>
    <xf numFmtId="40" fontId="1" fillId="5" borderId="8" xfId="0" applyNumberFormat="1" applyFont="1" applyFill="1" applyBorder="1"/>
    <xf numFmtId="40" fontId="2" fillId="7" borderId="12" xfId="0" applyNumberFormat="1" applyFont="1" applyFill="1" applyBorder="1"/>
    <xf numFmtId="40" fontId="2" fillId="7" borderId="13" xfId="0" applyNumberFormat="1" applyFont="1" applyFill="1" applyBorder="1"/>
    <xf numFmtId="0" fontId="1" fillId="8" borderId="14" xfId="0" applyFont="1" applyFill="1" applyBorder="1"/>
    <xf numFmtId="164" fontId="1" fillId="8" borderId="14" xfId="0" applyNumberFormat="1" applyFont="1" applyFill="1" applyBorder="1"/>
    <xf numFmtId="165" fontId="1" fillId="8" borderId="14" xfId="0" applyNumberFormat="1" applyFont="1" applyFill="1" applyBorder="1"/>
    <xf numFmtId="40" fontId="1" fillId="8" borderId="14" xfId="0" applyNumberFormat="1" applyFont="1" applyFill="1" applyBorder="1"/>
    <xf numFmtId="40" fontId="1" fillId="8" borderId="8" xfId="0" applyNumberFormat="1" applyFont="1" applyFill="1" applyBorder="1"/>
    <xf numFmtId="40" fontId="2" fillId="9" borderId="12" xfId="0" applyNumberFormat="1" applyFont="1" applyFill="1" applyBorder="1"/>
    <xf numFmtId="40" fontId="2" fillId="9" borderId="13" xfId="0" applyNumberFormat="1" applyFont="1" applyFill="1" applyBorder="1"/>
    <xf numFmtId="0" fontId="1" fillId="10" borderId="14" xfId="0" applyFont="1" applyFill="1" applyBorder="1"/>
    <xf numFmtId="164" fontId="1" fillId="10" borderId="14" xfId="0" applyNumberFormat="1" applyFont="1" applyFill="1" applyBorder="1"/>
    <xf numFmtId="165" fontId="1" fillId="10" borderId="14" xfId="0" applyNumberFormat="1" applyFont="1" applyFill="1" applyBorder="1"/>
    <xf numFmtId="40" fontId="1" fillId="10" borderId="14" xfId="0" applyNumberFormat="1" applyFont="1" applyFill="1" applyBorder="1"/>
    <xf numFmtId="40" fontId="1" fillId="11" borderId="14" xfId="0" applyNumberFormat="1" applyFont="1" applyFill="1" applyBorder="1"/>
    <xf numFmtId="40" fontId="1" fillId="11" borderId="1" xfId="0" applyNumberFormat="1" applyFont="1" applyFill="1" applyBorder="1"/>
    <xf numFmtId="40" fontId="2" fillId="11" borderId="1" xfId="0" applyNumberFormat="1" applyFont="1" applyFill="1" applyBorder="1"/>
    <xf numFmtId="40" fontId="2" fillId="10" borderId="14" xfId="0" applyNumberFormat="1" applyFont="1" applyFill="1" applyBorder="1"/>
    <xf numFmtId="40" fontId="2" fillId="12" borderId="12" xfId="0" applyNumberFormat="1" applyFont="1" applyFill="1" applyBorder="1"/>
    <xf numFmtId="40" fontId="1" fillId="12" borderId="13" xfId="0" applyNumberFormat="1" applyFont="1" applyFill="1" applyBorder="1"/>
    <xf numFmtId="40" fontId="1" fillId="6" borderId="14" xfId="0" applyNumberFormat="1" applyFont="1" applyFill="1" applyBorder="1"/>
    <xf numFmtId="40" fontId="1" fillId="13" borderId="8" xfId="0" applyNumberFormat="1" applyFont="1" applyFill="1" applyBorder="1"/>
    <xf numFmtId="0" fontId="1" fillId="0" borderId="1" xfId="0" applyFont="1" applyBorder="1"/>
    <xf numFmtId="4" fontId="1" fillId="3" borderId="1" xfId="0" applyNumberFormat="1" applyFont="1" applyFill="1" applyBorder="1"/>
    <xf numFmtId="40" fontId="1" fillId="9" borderId="1" xfId="0" applyNumberFormat="1" applyFont="1" applyFill="1" applyBorder="1"/>
    <xf numFmtId="40" fontId="1" fillId="14" borderId="1" xfId="0" applyNumberFormat="1" applyFont="1" applyFill="1" applyBorder="1"/>
    <xf numFmtId="40" fontId="1" fillId="12" borderId="1" xfId="0" applyNumberFormat="1" applyFont="1" applyFill="1" applyBorder="1"/>
    <xf numFmtId="40" fontId="1" fillId="14" borderId="28" xfId="0" applyNumberFormat="1" applyFont="1" applyFill="1" applyBorder="1"/>
    <xf numFmtId="0" fontId="1" fillId="14" borderId="28" xfId="0" applyFont="1" applyFill="1" applyBorder="1"/>
    <xf numFmtId="0" fontId="1" fillId="15" borderId="28" xfId="0" applyFont="1" applyFill="1" applyBorder="1"/>
    <xf numFmtId="4" fontId="1" fillId="15" borderId="28" xfId="0" applyNumberFormat="1" applyFont="1" applyFill="1" applyBorder="1"/>
    <xf numFmtId="40" fontId="1" fillId="15" borderId="28" xfId="0" applyNumberFormat="1" applyFont="1" applyFill="1" applyBorder="1"/>
    <xf numFmtId="40" fontId="1" fillId="15" borderId="8" xfId="0" applyNumberFormat="1" applyFont="1" applyFill="1" applyBorder="1"/>
    <xf numFmtId="40" fontId="2" fillId="15" borderId="1" xfId="0" applyNumberFormat="1" applyFont="1" applyFill="1" applyBorder="1"/>
    <xf numFmtId="40" fontId="2" fillId="15" borderId="29" xfId="0" applyNumberFormat="1" applyFont="1" applyFill="1" applyBorder="1"/>
    <xf numFmtId="4" fontId="1" fillId="15" borderId="8" xfId="0" applyNumberFormat="1" applyFont="1" applyFill="1" applyBorder="1"/>
    <xf numFmtId="4" fontId="1" fillId="15" borderId="1" xfId="0" applyNumberFormat="1" applyFont="1" applyFill="1" applyBorder="1"/>
    <xf numFmtId="40" fontId="1" fillId="15" borderId="14" xfId="0" applyNumberFormat="1" applyFont="1" applyFill="1" applyBorder="1"/>
    <xf numFmtId="4" fontId="1" fillId="15" borderId="14" xfId="0" applyNumberFormat="1" applyFont="1" applyFill="1" applyBorder="1"/>
    <xf numFmtId="0" fontId="1" fillId="16" borderId="28" xfId="0" applyFont="1" applyFill="1" applyBorder="1"/>
    <xf numFmtId="4" fontId="1" fillId="16" borderId="28" xfId="0" applyNumberFormat="1" applyFont="1" applyFill="1" applyBorder="1"/>
    <xf numFmtId="40" fontId="1" fillId="16" borderId="28" xfId="0" applyNumberFormat="1" applyFont="1" applyFill="1" applyBorder="1"/>
    <xf numFmtId="4" fontId="8" fillId="16" borderId="28" xfId="0" applyNumberFormat="1" applyFont="1" applyFill="1" applyBorder="1"/>
    <xf numFmtId="4" fontId="1" fillId="0" borderId="1" xfId="0" applyNumberFormat="1" applyFont="1" applyBorder="1" applyAlignment="1">
      <alignment horizontal="right"/>
    </xf>
    <xf numFmtId="4" fontId="1" fillId="0" borderId="1" xfId="0" quotePrefix="1" applyNumberFormat="1" applyFont="1" applyBorder="1" applyAlignment="1">
      <alignment horizontal="right"/>
    </xf>
    <xf numFmtId="40" fontId="1" fillId="0" borderId="1" xfId="0" applyNumberFormat="1" applyFont="1" applyBorder="1" applyAlignment="1">
      <alignment horizontal="right"/>
    </xf>
    <xf numFmtId="40" fontId="1" fillId="14" borderId="1" xfId="0" applyNumberFormat="1" applyFont="1" applyFill="1" applyBorder="1" applyAlignment="1">
      <alignment horizontal="right"/>
    </xf>
    <xf numFmtId="4" fontId="1" fillId="0" borderId="1" xfId="0" applyNumberFormat="1" applyFont="1" applyBorder="1"/>
    <xf numFmtId="40" fontId="1" fillId="0" borderId="1" xfId="0" applyNumberFormat="1" applyFont="1" applyBorder="1"/>
    <xf numFmtId="40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40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6" fontId="1" fillId="0" borderId="1" xfId="0" applyNumberFormat="1" applyFont="1" applyBorder="1"/>
    <xf numFmtId="166" fontId="5" fillId="0" borderId="1" xfId="0" applyNumberFormat="1" applyFont="1" applyBorder="1"/>
    <xf numFmtId="4" fontId="8" fillId="0" borderId="1" xfId="0" applyNumberFormat="1" applyFont="1" applyBorder="1"/>
    <xf numFmtId="166" fontId="1" fillId="0" borderId="0" xfId="0" applyNumberFormat="1" applyFont="1"/>
    <xf numFmtId="40" fontId="2" fillId="0" borderId="0" xfId="0" applyNumberFormat="1" applyFont="1"/>
    <xf numFmtId="0" fontId="2" fillId="10" borderId="1" xfId="0" applyFont="1" applyFill="1" applyBorder="1"/>
    <xf numFmtId="0" fontId="2" fillId="10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10" borderId="1" xfId="0" applyFont="1" applyFill="1" applyBorder="1" applyAlignment="1">
      <alignment horizontal="left"/>
    </xf>
    <xf numFmtId="166" fontId="1" fillId="10" borderId="1" xfId="0" applyNumberFormat="1" applyFont="1" applyFill="1" applyBorder="1" applyAlignment="1">
      <alignment horizontal="right"/>
    </xf>
    <xf numFmtId="166" fontId="1" fillId="10" borderId="1" xfId="0" applyNumberFormat="1" applyFont="1" applyFill="1" applyBorder="1" applyAlignment="1">
      <alignment horizontal="left"/>
    </xf>
    <xf numFmtId="167" fontId="1" fillId="10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166" fontId="2" fillId="6" borderId="1" xfId="0" applyNumberFormat="1" applyFont="1" applyFill="1" applyBorder="1" applyAlignment="1">
      <alignment horizontal="left"/>
    </xf>
    <xf numFmtId="9" fontId="2" fillId="6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66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166" fontId="2" fillId="17" borderId="1" xfId="0" applyNumberFormat="1" applyFont="1" applyFill="1" applyBorder="1" applyAlignment="1">
      <alignment horizontal="right"/>
    </xf>
    <xf numFmtId="166" fontId="2" fillId="17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1" fillId="8" borderId="1" xfId="0" applyFont="1" applyFill="1" applyBorder="1" applyAlignment="1">
      <alignment horizontal="left"/>
    </xf>
    <xf numFmtId="4" fontId="1" fillId="8" borderId="1" xfId="0" applyNumberFormat="1" applyFont="1" applyFill="1" applyBorder="1" applyAlignment="1">
      <alignment horizontal="right"/>
    </xf>
    <xf numFmtId="166" fontId="1" fillId="8" borderId="1" xfId="0" applyNumberFormat="1" applyFont="1" applyFill="1" applyBorder="1" applyAlignment="1">
      <alignment horizontal="left"/>
    </xf>
    <xf numFmtId="0" fontId="2" fillId="18" borderId="1" xfId="0" applyFont="1" applyFill="1" applyBorder="1" applyAlignment="1">
      <alignment horizontal="left"/>
    </xf>
    <xf numFmtId="4" fontId="2" fillId="18" borderId="1" xfId="0" applyNumberFormat="1" applyFont="1" applyFill="1" applyBorder="1" applyAlignment="1">
      <alignment horizontal="right"/>
    </xf>
    <xf numFmtId="166" fontId="2" fillId="18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/>
    <xf numFmtId="0" fontId="10" fillId="0" borderId="0" xfId="0" applyFont="1" applyAlignment="1">
      <alignment horizontal="left"/>
    </xf>
    <xf numFmtId="166" fontId="1" fillId="12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168" fontId="2" fillId="6" borderId="1" xfId="0" applyNumberFormat="1" applyFont="1" applyFill="1" applyBorder="1" applyAlignment="1">
      <alignment horizontal="right"/>
    </xf>
    <xf numFmtId="169" fontId="2" fillId="6" borderId="1" xfId="0" applyNumberFormat="1" applyFont="1" applyFill="1" applyBorder="1" applyAlignment="1">
      <alignment horizontal="right"/>
    </xf>
    <xf numFmtId="0" fontId="1" fillId="19" borderId="1" xfId="0" applyFont="1" applyFill="1" applyBorder="1" applyAlignment="1">
      <alignment horizontal="right"/>
    </xf>
    <xf numFmtId="0" fontId="11" fillId="19" borderId="1" xfId="0" applyFont="1" applyFill="1" applyBorder="1" applyAlignment="1">
      <alignment horizontal="left"/>
    </xf>
    <xf numFmtId="168" fontId="1" fillId="19" borderId="1" xfId="0" applyNumberFormat="1" applyFont="1" applyFill="1" applyBorder="1" applyAlignment="1">
      <alignment horizontal="right"/>
    </xf>
    <xf numFmtId="166" fontId="1" fillId="19" borderId="1" xfId="0" applyNumberFormat="1" applyFont="1" applyFill="1" applyBorder="1" applyAlignment="1">
      <alignment horizontal="right"/>
    </xf>
    <xf numFmtId="169" fontId="1" fillId="19" borderId="32" xfId="0" applyNumberFormat="1" applyFont="1" applyFill="1" applyBorder="1" applyAlignment="1">
      <alignment horizontal="right"/>
    </xf>
    <xf numFmtId="0" fontId="1" fillId="19" borderId="1" xfId="0" applyFont="1" applyFill="1" applyBorder="1"/>
    <xf numFmtId="170" fontId="1" fillId="19" borderId="1" xfId="0" applyNumberFormat="1" applyFont="1" applyFill="1" applyBorder="1"/>
    <xf numFmtId="0" fontId="1" fillId="19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 wrapText="1"/>
    </xf>
    <xf numFmtId="168" fontId="13" fillId="19" borderId="1" xfId="0" applyNumberFormat="1" applyFont="1" applyFill="1" applyBorder="1" applyAlignment="1">
      <alignment horizontal="right"/>
    </xf>
    <xf numFmtId="0" fontId="2" fillId="19" borderId="1" xfId="0" applyFont="1" applyFill="1" applyBorder="1" applyAlignment="1">
      <alignment horizontal="left" wrapText="1"/>
    </xf>
    <xf numFmtId="2" fontId="1" fillId="19" borderId="1" xfId="0" applyNumberFormat="1" applyFont="1" applyFill="1" applyBorder="1" applyAlignment="1">
      <alignment horizontal="right"/>
    </xf>
    <xf numFmtId="168" fontId="1" fillId="19" borderId="1" xfId="0" applyNumberFormat="1" applyFont="1" applyFill="1" applyBorder="1" applyAlignment="1">
      <alignment horizontal="left"/>
    </xf>
    <xf numFmtId="0" fontId="1" fillId="21" borderId="1" xfId="0" applyFont="1" applyFill="1" applyBorder="1" applyAlignment="1">
      <alignment horizontal="right"/>
    </xf>
    <xf numFmtId="0" fontId="11" fillId="21" borderId="1" xfId="0" applyFont="1" applyFill="1" applyBorder="1" applyAlignment="1">
      <alignment horizontal="left"/>
    </xf>
    <xf numFmtId="168" fontId="1" fillId="21" borderId="1" xfId="0" applyNumberFormat="1" applyFont="1" applyFill="1" applyBorder="1" applyAlignment="1">
      <alignment horizontal="right"/>
    </xf>
    <xf numFmtId="166" fontId="1" fillId="21" borderId="1" xfId="0" applyNumberFormat="1" applyFont="1" applyFill="1" applyBorder="1" applyAlignment="1">
      <alignment horizontal="right"/>
    </xf>
    <xf numFmtId="169" fontId="1" fillId="21" borderId="32" xfId="0" applyNumberFormat="1" applyFont="1" applyFill="1" applyBorder="1" applyAlignment="1">
      <alignment horizontal="right"/>
    </xf>
    <xf numFmtId="0" fontId="1" fillId="21" borderId="1" xfId="0" applyFont="1" applyFill="1" applyBorder="1"/>
    <xf numFmtId="170" fontId="1" fillId="21" borderId="1" xfId="0" applyNumberFormat="1" applyFont="1" applyFill="1" applyBorder="1" applyAlignment="1">
      <alignment horizontal="right"/>
    </xf>
    <xf numFmtId="169" fontId="1" fillId="21" borderId="1" xfId="0" applyNumberFormat="1" applyFont="1" applyFill="1" applyBorder="1" applyAlignment="1">
      <alignment horizontal="right"/>
    </xf>
    <xf numFmtId="0" fontId="15" fillId="21" borderId="1" xfId="0" applyFont="1" applyFill="1" applyBorder="1" applyAlignment="1">
      <alignment horizontal="left"/>
    </xf>
    <xf numFmtId="0" fontId="2" fillId="21" borderId="1" xfId="0" applyFont="1" applyFill="1" applyBorder="1" applyAlignment="1">
      <alignment horizontal="left"/>
    </xf>
    <xf numFmtId="0" fontId="16" fillId="21" borderId="1" xfId="0" applyFont="1" applyFill="1" applyBorder="1" applyAlignment="1">
      <alignment horizontal="left"/>
    </xf>
    <xf numFmtId="166" fontId="2" fillId="21" borderId="1" xfId="0" applyNumberFormat="1" applyFont="1" applyFill="1" applyBorder="1" applyAlignment="1">
      <alignment horizontal="right"/>
    </xf>
    <xf numFmtId="0" fontId="2" fillId="12" borderId="1" xfId="0" applyFont="1" applyFill="1" applyBorder="1" applyAlignment="1">
      <alignment horizontal="left"/>
    </xf>
    <xf numFmtId="168" fontId="1" fillId="12" borderId="1" xfId="0" applyNumberFormat="1" applyFont="1" applyFill="1" applyBorder="1" applyAlignment="1">
      <alignment horizontal="right"/>
    </xf>
    <xf numFmtId="166" fontId="2" fillId="12" borderId="1" xfId="0" applyNumberFormat="1" applyFont="1" applyFill="1" applyBorder="1" applyAlignment="1">
      <alignment horizontal="right"/>
    </xf>
    <xf numFmtId="0" fontId="1" fillId="12" borderId="1" xfId="0" applyFont="1" applyFill="1" applyBorder="1"/>
    <xf numFmtId="170" fontId="1" fillId="12" borderId="1" xfId="0" applyNumberFormat="1" applyFont="1" applyFill="1" applyBorder="1" applyAlignment="1">
      <alignment horizontal="right"/>
    </xf>
    <xf numFmtId="166" fontId="5" fillId="12" borderId="1" xfId="0" applyNumberFormat="1" applyFont="1" applyFill="1" applyBorder="1" applyAlignment="1">
      <alignment horizontal="right"/>
    </xf>
    <xf numFmtId="166" fontId="17" fillId="12" borderId="1" xfId="0" applyNumberFormat="1" applyFont="1" applyFill="1" applyBorder="1" applyAlignment="1">
      <alignment horizontal="right"/>
    </xf>
    <xf numFmtId="0" fontId="1" fillId="21" borderId="1" xfId="0" applyFont="1" applyFill="1" applyBorder="1" applyAlignment="1">
      <alignment horizontal="left"/>
    </xf>
    <xf numFmtId="0" fontId="1" fillId="22" borderId="1" xfId="0" applyFont="1" applyFill="1" applyBorder="1" applyAlignment="1">
      <alignment horizontal="right"/>
    </xf>
    <xf numFmtId="0" fontId="1" fillId="22" borderId="8" xfId="0" applyFont="1" applyFill="1" applyBorder="1"/>
    <xf numFmtId="168" fontId="1" fillId="22" borderId="8" xfId="0" applyNumberFormat="1" applyFont="1" applyFill="1" applyBorder="1"/>
    <xf numFmtId="0" fontId="1" fillId="22" borderId="33" xfId="0" applyFont="1" applyFill="1" applyBorder="1"/>
    <xf numFmtId="0" fontId="1" fillId="22" borderId="1" xfId="0" applyFont="1" applyFill="1" applyBorder="1" applyAlignment="1">
      <alignment horizontal="left" vertical="top" wrapText="1"/>
    </xf>
    <xf numFmtId="168" fontId="2" fillId="22" borderId="8" xfId="0" applyNumberFormat="1" applyFont="1" applyFill="1" applyBorder="1"/>
    <xf numFmtId="4" fontId="2" fillId="22" borderId="33" xfId="0" applyNumberFormat="1" applyFont="1" applyFill="1" applyBorder="1"/>
    <xf numFmtId="0" fontId="1" fillId="23" borderId="1" xfId="0" applyFont="1" applyFill="1" applyBorder="1" applyAlignment="1">
      <alignment horizontal="right"/>
    </xf>
    <xf numFmtId="0" fontId="11" fillId="23" borderId="1" xfId="0" applyFont="1" applyFill="1" applyBorder="1" applyAlignment="1">
      <alignment horizontal="left"/>
    </xf>
    <xf numFmtId="168" fontId="1" fillId="23" borderId="8" xfId="0" applyNumberFormat="1" applyFont="1" applyFill="1" applyBorder="1"/>
    <xf numFmtId="168" fontId="2" fillId="23" borderId="8" xfId="0" applyNumberFormat="1" applyFont="1" applyFill="1" applyBorder="1"/>
    <xf numFmtId="4" fontId="2" fillId="23" borderId="33" xfId="0" applyNumberFormat="1" applyFont="1" applyFill="1" applyBorder="1"/>
    <xf numFmtId="4" fontId="1" fillId="23" borderId="33" xfId="0" applyNumberFormat="1" applyFont="1" applyFill="1" applyBorder="1"/>
    <xf numFmtId="0" fontId="1" fillId="4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left"/>
    </xf>
    <xf numFmtId="168" fontId="1" fillId="4" borderId="8" xfId="0" applyNumberFormat="1" applyFont="1" applyFill="1" applyBorder="1"/>
    <xf numFmtId="168" fontId="2" fillId="4" borderId="8" xfId="0" applyNumberFormat="1" applyFont="1" applyFill="1" applyBorder="1"/>
    <xf numFmtId="4" fontId="2" fillId="4" borderId="33" xfId="0" applyNumberFormat="1" applyFont="1" applyFill="1" applyBorder="1"/>
    <xf numFmtId="0" fontId="18" fillId="4" borderId="1" xfId="0" applyFont="1" applyFill="1" applyBorder="1"/>
    <xf numFmtId="0" fontId="1" fillId="4" borderId="8" xfId="0" applyFont="1" applyFill="1" applyBorder="1" applyAlignment="1">
      <alignment horizontal="left"/>
    </xf>
    <xf numFmtId="0" fontId="1" fillId="24" borderId="1" xfId="0" applyFont="1" applyFill="1" applyBorder="1" applyAlignment="1">
      <alignment horizontal="right"/>
    </xf>
    <xf numFmtId="168" fontId="1" fillId="24" borderId="1" xfId="0" applyNumberFormat="1" applyFont="1" applyFill="1" applyBorder="1" applyAlignment="1">
      <alignment horizontal="right"/>
    </xf>
    <xf numFmtId="166" fontId="1" fillId="24" borderId="1" xfId="0" applyNumberFormat="1" applyFont="1" applyFill="1" applyBorder="1"/>
    <xf numFmtId="169" fontId="1" fillId="24" borderId="32" xfId="0" applyNumberFormat="1" applyFont="1" applyFill="1" applyBorder="1" applyAlignment="1">
      <alignment horizontal="right"/>
    </xf>
    <xf numFmtId="168" fontId="1" fillId="24" borderId="1" xfId="0" applyNumberFormat="1" applyFont="1" applyFill="1" applyBorder="1"/>
    <xf numFmtId="0" fontId="1" fillId="25" borderId="1" xfId="0" applyFont="1" applyFill="1" applyBorder="1"/>
    <xf numFmtId="0" fontId="11" fillId="25" borderId="1" xfId="0" applyFont="1" applyFill="1" applyBorder="1" applyAlignment="1">
      <alignment horizontal="left"/>
    </xf>
    <xf numFmtId="168" fontId="1" fillId="25" borderId="1" xfId="0" applyNumberFormat="1" applyFont="1" applyFill="1" applyBorder="1"/>
    <xf numFmtId="169" fontId="1" fillId="25" borderId="1" xfId="0" applyNumberFormat="1" applyFont="1" applyFill="1" applyBorder="1"/>
    <xf numFmtId="170" fontId="1" fillId="25" borderId="1" xfId="0" applyNumberFormat="1" applyFont="1" applyFill="1" applyBorder="1"/>
    <xf numFmtId="0" fontId="1" fillId="25" borderId="1" xfId="0" applyFont="1" applyFill="1" applyBorder="1" applyAlignment="1">
      <alignment horizontal="left"/>
    </xf>
    <xf numFmtId="168" fontId="1" fillId="25" borderId="1" xfId="0" applyNumberFormat="1" applyFont="1" applyFill="1" applyBorder="1" applyAlignment="1">
      <alignment horizontal="right"/>
    </xf>
    <xf numFmtId="166" fontId="1" fillId="25" borderId="1" xfId="0" applyNumberFormat="1" applyFont="1" applyFill="1" applyBorder="1" applyAlignment="1">
      <alignment horizontal="right"/>
    </xf>
    <xf numFmtId="0" fontId="2" fillId="25" borderId="1" xfId="0" applyFont="1" applyFill="1" applyBorder="1" applyAlignment="1">
      <alignment horizontal="left"/>
    </xf>
    <xf numFmtId="170" fontId="14" fillId="25" borderId="1" xfId="0" applyNumberFormat="1" applyFont="1" applyFill="1" applyBorder="1"/>
    <xf numFmtId="0" fontId="1" fillId="26" borderId="1" xfId="0" applyFont="1" applyFill="1" applyBorder="1"/>
    <xf numFmtId="0" fontId="11" fillId="26" borderId="1" xfId="0" applyFont="1" applyFill="1" applyBorder="1"/>
    <xf numFmtId="168" fontId="1" fillId="26" borderId="1" xfId="0" applyNumberFormat="1" applyFont="1" applyFill="1" applyBorder="1" applyAlignment="1">
      <alignment horizontal="right"/>
    </xf>
    <xf numFmtId="166" fontId="1" fillId="26" borderId="1" xfId="0" applyNumberFormat="1" applyFont="1" applyFill="1" applyBorder="1" applyAlignment="1">
      <alignment horizontal="right"/>
    </xf>
    <xf numFmtId="169" fontId="1" fillId="26" borderId="1" xfId="0" applyNumberFormat="1" applyFont="1" applyFill="1" applyBorder="1"/>
    <xf numFmtId="170" fontId="1" fillId="26" borderId="1" xfId="0" applyNumberFormat="1" applyFont="1" applyFill="1" applyBorder="1"/>
    <xf numFmtId="168" fontId="1" fillId="26" borderId="1" xfId="0" applyNumberFormat="1" applyFont="1" applyFill="1" applyBorder="1"/>
    <xf numFmtId="166" fontId="1" fillId="26" borderId="1" xfId="0" applyNumberFormat="1" applyFont="1" applyFill="1" applyBorder="1"/>
    <xf numFmtId="168" fontId="2" fillId="26" borderId="1" xfId="0" applyNumberFormat="1" applyFont="1" applyFill="1" applyBorder="1"/>
    <xf numFmtId="169" fontId="2" fillId="26" borderId="1" xfId="0" applyNumberFormat="1" applyFont="1" applyFill="1" applyBorder="1"/>
    <xf numFmtId="170" fontId="14" fillId="26" borderId="1" xfId="0" applyNumberFormat="1" applyFont="1" applyFill="1" applyBorder="1"/>
    <xf numFmtId="0" fontId="1" fillId="27" borderId="28" xfId="0" applyFont="1" applyFill="1" applyBorder="1"/>
    <xf numFmtId="0" fontId="9" fillId="27" borderId="28" xfId="0" applyFont="1" applyFill="1" applyBorder="1"/>
    <xf numFmtId="170" fontId="9" fillId="27" borderId="28" xfId="0" applyNumberFormat="1" applyFont="1" applyFill="1" applyBorder="1"/>
    <xf numFmtId="0" fontId="14" fillId="28" borderId="28" xfId="0" applyFont="1" applyFill="1" applyBorder="1"/>
    <xf numFmtId="168" fontId="1" fillId="28" borderId="28" xfId="0" applyNumberFormat="1" applyFont="1" applyFill="1" applyBorder="1"/>
    <xf numFmtId="166" fontId="1" fillId="28" borderId="28" xfId="0" applyNumberFormat="1" applyFont="1" applyFill="1" applyBorder="1"/>
    <xf numFmtId="0" fontId="1" fillId="28" borderId="28" xfId="0" applyFont="1" applyFill="1" applyBorder="1"/>
    <xf numFmtId="166" fontId="8" fillId="28" borderId="28" xfId="0" applyNumberFormat="1" applyFont="1" applyFill="1" applyBorder="1"/>
    <xf numFmtId="0" fontId="2" fillId="28" borderId="28" xfId="0" applyFont="1" applyFill="1" applyBorder="1"/>
    <xf numFmtId="0" fontId="2" fillId="28" borderId="28" xfId="0" applyFont="1" applyFill="1" applyBorder="1" applyAlignment="1">
      <alignment horizontal="left"/>
    </xf>
    <xf numFmtId="166" fontId="1" fillId="28" borderId="28" xfId="0" applyNumberFormat="1" applyFont="1" applyFill="1" applyBorder="1" applyAlignment="1">
      <alignment horizontal="left"/>
    </xf>
    <xf numFmtId="0" fontId="1" fillId="28" borderId="28" xfId="0" applyFont="1" applyFill="1" applyBorder="1" applyAlignment="1">
      <alignment horizontal="left"/>
    </xf>
    <xf numFmtId="0" fontId="2" fillId="18" borderId="28" xfId="0" applyFont="1" applyFill="1" applyBorder="1" applyAlignment="1">
      <alignment horizontal="left" vertical="center"/>
    </xf>
    <xf numFmtId="0" fontId="1" fillId="29" borderId="1" xfId="0" applyFont="1" applyFill="1" applyBorder="1" applyAlignment="1">
      <alignment horizontal="left"/>
    </xf>
    <xf numFmtId="0" fontId="20" fillId="30" borderId="1" xfId="0" applyFont="1" applyFill="1" applyBorder="1" applyAlignment="1">
      <alignment wrapText="1"/>
    </xf>
    <xf numFmtId="0" fontId="1" fillId="30" borderId="1" xfId="0" applyFont="1" applyFill="1" applyBorder="1" applyAlignment="1">
      <alignment horizontal="left"/>
    </xf>
    <xf numFmtId="0" fontId="1" fillId="30" borderId="1" xfId="0" applyFont="1" applyFill="1" applyBorder="1"/>
    <xf numFmtId="0" fontId="1" fillId="29" borderId="8" xfId="0" applyFont="1" applyFill="1" applyBorder="1" applyAlignment="1">
      <alignment horizontal="left"/>
    </xf>
    <xf numFmtId="0" fontId="1" fillId="29" borderId="28" xfId="0" applyFont="1" applyFill="1" applyBorder="1" applyAlignment="1">
      <alignment horizontal="left"/>
    </xf>
    <xf numFmtId="0" fontId="1" fillId="30" borderId="28" xfId="0" applyFont="1" applyFill="1" applyBorder="1" applyAlignment="1">
      <alignment horizontal="left"/>
    </xf>
    <xf numFmtId="0" fontId="1" fillId="30" borderId="28" xfId="0" applyFont="1" applyFill="1" applyBorder="1"/>
    <xf numFmtId="0" fontId="21" fillId="30" borderId="1" xfId="0" applyFont="1" applyFill="1" applyBorder="1"/>
    <xf numFmtId="0" fontId="22" fillId="30" borderId="1" xfId="0" applyFont="1" applyFill="1" applyBorder="1" applyAlignment="1">
      <alignment horizontal="left"/>
    </xf>
    <xf numFmtId="0" fontId="23" fillId="30" borderId="28" xfId="0" applyFont="1" applyFill="1" applyBorder="1"/>
    <xf numFmtId="0" fontId="1" fillId="29" borderId="1" xfId="0" applyFont="1" applyFill="1" applyBorder="1"/>
    <xf numFmtId="0" fontId="24" fillId="29" borderId="1" xfId="0" applyFont="1" applyFill="1" applyBorder="1"/>
    <xf numFmtId="0" fontId="2" fillId="20" borderId="28" xfId="0" applyFont="1" applyFill="1" applyBorder="1"/>
    <xf numFmtId="0" fontId="1" fillId="20" borderId="28" xfId="0" applyFont="1" applyFill="1" applyBorder="1"/>
    <xf numFmtId="0" fontId="25" fillId="0" borderId="0" xfId="0" applyFont="1"/>
    <xf numFmtId="0" fontId="26" fillId="20" borderId="28" xfId="0" applyFont="1" applyFill="1" applyBorder="1"/>
    <xf numFmtId="0" fontId="1" fillId="20" borderId="28" xfId="0" applyFont="1" applyFill="1" applyBorder="1" applyAlignment="1">
      <alignment horizontal="left"/>
    </xf>
    <xf numFmtId="0" fontId="1" fillId="20" borderId="28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28" fillId="4" borderId="28" xfId="0" applyFont="1" applyFill="1" applyBorder="1" applyAlignment="1">
      <alignment vertical="top" wrapText="1"/>
    </xf>
    <xf numFmtId="0" fontId="1" fillId="4" borderId="28" xfId="0" applyFont="1" applyFill="1" applyBorder="1" applyAlignment="1">
      <alignment horizontal="left" vertical="top"/>
    </xf>
    <xf numFmtId="0" fontId="29" fillId="4" borderId="28" xfId="0" applyFont="1" applyFill="1" applyBorder="1"/>
    <xf numFmtId="0" fontId="1" fillId="4" borderId="28" xfId="0" applyFont="1" applyFill="1" applyBorder="1" applyAlignment="1">
      <alignment vertical="top"/>
    </xf>
    <xf numFmtId="0" fontId="1" fillId="4" borderId="28" xfId="0" applyFont="1" applyFill="1" applyBorder="1" applyAlignment="1">
      <alignment vertical="top" wrapText="1"/>
    </xf>
    <xf numFmtId="0" fontId="1" fillId="31" borderId="28" xfId="0" applyFont="1" applyFill="1" applyBorder="1"/>
    <xf numFmtId="0" fontId="30" fillId="31" borderId="28" xfId="0" applyFont="1" applyFill="1" applyBorder="1"/>
    <xf numFmtId="0" fontId="1" fillId="31" borderId="28" xfId="0" applyFont="1" applyFill="1" applyBorder="1" applyAlignment="1">
      <alignment wrapText="1"/>
    </xf>
    <xf numFmtId="49" fontId="31" fillId="31" borderId="28" xfId="0" applyNumberFormat="1" applyFont="1" applyFill="1" applyBorder="1" applyAlignment="1">
      <alignment vertical="top" wrapText="1"/>
    </xf>
    <xf numFmtId="0" fontId="32" fillId="31" borderId="28" xfId="0" applyFont="1" applyFill="1" applyBorder="1" applyAlignment="1">
      <alignment vertical="top"/>
    </xf>
    <xf numFmtId="0" fontId="33" fillId="31" borderId="28" xfId="0" applyFont="1" applyFill="1" applyBorder="1"/>
    <xf numFmtId="0" fontId="32" fillId="31" borderId="28" xfId="0" applyFont="1" applyFill="1" applyBorder="1"/>
    <xf numFmtId="0" fontId="34" fillId="31" borderId="28" xfId="0" applyFont="1" applyFill="1" applyBorder="1" applyAlignment="1">
      <alignment wrapText="1"/>
    </xf>
    <xf numFmtId="0" fontId="35" fillId="31" borderId="28" xfId="0" applyFont="1" applyFill="1" applyBorder="1" applyAlignment="1">
      <alignment wrapText="1"/>
    </xf>
    <xf numFmtId="0" fontId="1" fillId="31" borderId="28" xfId="0" applyFont="1" applyFill="1" applyBorder="1" applyAlignment="1">
      <alignment horizontal="left" wrapText="1"/>
    </xf>
    <xf numFmtId="0" fontId="1" fillId="12" borderId="28" xfId="0" applyFont="1" applyFill="1" applyBorder="1"/>
    <xf numFmtId="0" fontId="36" fillId="12" borderId="28" xfId="0" applyFont="1" applyFill="1" applyBorder="1"/>
    <xf numFmtId="0" fontId="1" fillId="12" borderId="28" xfId="0" applyFont="1" applyFill="1" applyBorder="1" applyAlignment="1">
      <alignment wrapText="1"/>
    </xf>
    <xf numFmtId="0" fontId="37" fillId="12" borderId="2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32" borderId="28" xfId="0" applyFont="1" applyFill="1" applyBorder="1"/>
    <xf numFmtId="0" fontId="38" fillId="32" borderId="28" xfId="0" applyFont="1" applyFill="1" applyBorder="1"/>
    <xf numFmtId="0" fontId="1" fillId="32" borderId="28" xfId="0" applyFont="1" applyFill="1" applyBorder="1" applyAlignment="1">
      <alignment wrapText="1"/>
    </xf>
    <xf numFmtId="0" fontId="14" fillId="0" borderId="0" xfId="0" applyFont="1"/>
    <xf numFmtId="0" fontId="39" fillId="0" borderId="0" xfId="0" applyFont="1"/>
    <xf numFmtId="0" fontId="40" fillId="0" borderId="0" xfId="0" applyFont="1" applyAlignment="1">
      <alignment vertical="center"/>
    </xf>
    <xf numFmtId="0" fontId="41" fillId="0" borderId="0" xfId="0" applyFont="1"/>
    <xf numFmtId="0" fontId="42" fillId="0" borderId="0" xfId="0" applyFont="1"/>
    <xf numFmtId="0" fontId="43" fillId="0" borderId="0" xfId="0" applyFont="1" applyAlignment="1">
      <alignment wrapText="1"/>
    </xf>
    <xf numFmtId="0" fontId="44" fillId="0" borderId="0" xfId="0" quotePrefix="1" applyFont="1"/>
    <xf numFmtId="0" fontId="45" fillId="0" borderId="0" xfId="0" applyFont="1"/>
    <xf numFmtId="0" fontId="5" fillId="0" borderId="1" xfId="0" applyFont="1" applyBorder="1"/>
    <xf numFmtId="0" fontId="1" fillId="20" borderId="1" xfId="0" applyFont="1" applyFill="1" applyBorder="1"/>
    <xf numFmtId="0" fontId="1" fillId="0" borderId="1" xfId="0" quotePrefix="1" applyFont="1" applyBorder="1"/>
    <xf numFmtId="0" fontId="2" fillId="6" borderId="1" xfId="0" applyFont="1" applyFill="1" applyBorder="1"/>
    <xf numFmtId="0" fontId="1" fillId="6" borderId="1" xfId="0" applyFont="1" applyFill="1" applyBorder="1" applyAlignment="1">
      <alignment horizontal="right"/>
    </xf>
    <xf numFmtId="0" fontId="2" fillId="33" borderId="1" xfId="0" applyFont="1" applyFill="1" applyBorder="1"/>
    <xf numFmtId="0" fontId="1" fillId="33" borderId="1" xfId="0" applyFont="1" applyFill="1" applyBorder="1"/>
    <xf numFmtId="0" fontId="1" fillId="33" borderId="1" xfId="0" applyFont="1" applyFill="1" applyBorder="1" applyAlignment="1">
      <alignment horizontal="right"/>
    </xf>
    <xf numFmtId="0" fontId="1" fillId="33" borderId="1" xfId="0" quotePrefix="1" applyFont="1" applyFill="1" applyBorder="1"/>
    <xf numFmtId="0" fontId="2" fillId="18" borderId="1" xfId="0" applyFont="1" applyFill="1" applyBorder="1"/>
    <xf numFmtId="0" fontId="1" fillId="33" borderId="28" xfId="0" applyFont="1" applyFill="1" applyBorder="1"/>
    <xf numFmtId="0" fontId="45" fillId="0" borderId="1" xfId="0" applyFont="1" applyBorder="1"/>
    <xf numFmtId="0" fontId="46" fillId="0" borderId="0" xfId="0" applyFont="1"/>
    <xf numFmtId="0" fontId="9" fillId="0" borderId="1" xfId="0" applyFont="1" applyBorder="1"/>
    <xf numFmtId="0" fontId="2" fillId="29" borderId="28" xfId="0" applyFont="1" applyFill="1" applyBorder="1"/>
    <xf numFmtId="0" fontId="2" fillId="34" borderId="1" xfId="0" applyFont="1" applyFill="1" applyBorder="1"/>
    <xf numFmtId="0" fontId="1" fillId="34" borderId="1" xfId="0" applyFont="1" applyFill="1" applyBorder="1"/>
    <xf numFmtId="0" fontId="2" fillId="35" borderId="28" xfId="0" applyFont="1" applyFill="1" applyBorder="1"/>
    <xf numFmtId="0" fontId="2" fillId="36" borderId="1" xfId="0" applyFont="1" applyFill="1" applyBorder="1"/>
    <xf numFmtId="0" fontId="1" fillId="20" borderId="1" xfId="0" applyFont="1" applyFill="1" applyBorder="1" applyAlignment="1">
      <alignment horizontal="left"/>
    </xf>
    <xf numFmtId="14" fontId="1" fillId="36" borderId="1" xfId="0" applyNumberFormat="1" applyFont="1" applyFill="1" applyBorder="1"/>
    <xf numFmtId="0" fontId="1" fillId="36" borderId="1" xfId="0" applyFont="1" applyFill="1" applyBorder="1"/>
    <xf numFmtId="0" fontId="2" fillId="20" borderId="1" xfId="0" applyFont="1" applyFill="1" applyBorder="1"/>
    <xf numFmtId="14" fontId="2" fillId="20" borderId="1" xfId="0" applyNumberFormat="1" applyFont="1" applyFill="1" applyBorder="1"/>
    <xf numFmtId="171" fontId="2" fillId="29" borderId="28" xfId="0" applyNumberFormat="1" applyFont="1" applyFill="1" applyBorder="1"/>
    <xf numFmtId="0" fontId="1" fillId="37" borderId="28" xfId="0" applyFont="1" applyFill="1" applyBorder="1"/>
    <xf numFmtId="0" fontId="2" fillId="37" borderId="28" xfId="0" applyFont="1" applyFill="1" applyBorder="1"/>
    <xf numFmtId="3" fontId="47" fillId="0" borderId="0" xfId="0" applyNumberFormat="1" applyFont="1"/>
    <xf numFmtId="0" fontId="1" fillId="38" borderId="28" xfId="0" applyFont="1" applyFill="1" applyBorder="1"/>
    <xf numFmtId="0" fontId="2" fillId="38" borderId="28" xfId="0" applyFont="1" applyFill="1" applyBorder="1"/>
    <xf numFmtId="0" fontId="2" fillId="39" borderId="28" xfId="0" applyFont="1" applyFill="1" applyBorder="1"/>
    <xf numFmtId="0" fontId="1" fillId="17" borderId="1" xfId="0" applyFont="1" applyFill="1" applyBorder="1"/>
    <xf numFmtId="0" fontId="1" fillId="17" borderId="1" xfId="0" applyFont="1" applyFill="1" applyBorder="1" applyAlignment="1">
      <alignment horizontal="center"/>
    </xf>
    <xf numFmtId="0" fontId="1" fillId="0" borderId="0" xfId="0" applyFont="1" applyAlignment="1">
      <alignment horizontal="right" vertical="top"/>
    </xf>
    <xf numFmtId="0" fontId="48" fillId="0" borderId="0" xfId="0" applyFont="1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2" fillId="6" borderId="28" xfId="0" applyFont="1" applyFill="1" applyBorder="1"/>
    <xf numFmtId="0" fontId="1" fillId="6" borderId="28" xfId="0" applyFont="1" applyFill="1" applyBorder="1"/>
    <xf numFmtId="4" fontId="1" fillId="6" borderId="28" xfId="0" applyNumberFormat="1" applyFont="1" applyFill="1" applyBorder="1"/>
    <xf numFmtId="4" fontId="2" fillId="6" borderId="28" xfId="0" applyNumberFormat="1" applyFont="1" applyFill="1" applyBorder="1"/>
    <xf numFmtId="0" fontId="49" fillId="0" borderId="0" xfId="0" applyFont="1"/>
    <xf numFmtId="0" fontId="50" fillId="0" borderId="0" xfId="0" applyFont="1"/>
    <xf numFmtId="4" fontId="49" fillId="0" borderId="0" xfId="0" applyNumberFormat="1" applyFont="1"/>
    <xf numFmtId="0" fontId="51" fillId="0" borderId="0" xfId="0" applyFont="1"/>
    <xf numFmtId="0" fontId="6" fillId="6" borderId="28" xfId="0" applyFont="1" applyFill="1" applyBorder="1"/>
    <xf numFmtId="0" fontId="6" fillId="6" borderId="28" xfId="0" applyFont="1" applyFill="1" applyBorder="1" applyAlignment="1">
      <alignment horizontal="right"/>
    </xf>
    <xf numFmtId="0" fontId="52" fillId="0" borderId="0" xfId="0" applyFont="1"/>
    <xf numFmtId="14" fontId="52" fillId="0" borderId="0" xfId="0" applyNumberFormat="1" applyFont="1" applyAlignment="1">
      <alignment horizontal="right"/>
    </xf>
    <xf numFmtId="4" fontId="52" fillId="0" borderId="0" xfId="0" applyNumberFormat="1" applyFont="1" applyAlignment="1">
      <alignment horizontal="right"/>
    </xf>
    <xf numFmtId="14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 applyAlignment="1">
      <alignment horizontal="right"/>
    </xf>
    <xf numFmtId="4" fontId="53" fillId="0" borderId="0" xfId="0" applyNumberFormat="1" applyFont="1"/>
    <xf numFmtId="3" fontId="53" fillId="0" borderId="0" xfId="0" applyNumberFormat="1" applyFont="1"/>
    <xf numFmtId="4" fontId="6" fillId="0" borderId="0" xfId="0" applyNumberFormat="1" applyFont="1"/>
    <xf numFmtId="0" fontId="54" fillId="0" borderId="0" xfId="0" applyFont="1"/>
    <xf numFmtId="14" fontId="6" fillId="0" borderId="0" xfId="0" applyNumberFormat="1" applyFont="1"/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6" fillId="0" borderId="34" xfId="0" applyFont="1" applyBorder="1"/>
    <xf numFmtId="0" fontId="6" fillId="0" borderId="35" xfId="0" applyFont="1" applyBorder="1"/>
    <xf numFmtId="0" fontId="6" fillId="0" borderId="36" xfId="0" applyFont="1" applyBorder="1"/>
    <xf numFmtId="0" fontId="55" fillId="0" borderId="1" xfId="0" applyFont="1" applyBorder="1"/>
    <xf numFmtId="14" fontId="55" fillId="0" borderId="1" xfId="0" applyNumberFormat="1" applyFont="1" applyBorder="1"/>
    <xf numFmtId="4" fontId="2" fillId="0" borderId="1" xfId="0" applyNumberFormat="1" applyFont="1" applyBorder="1" applyAlignment="1">
      <alignment horizontal="right" vertical="center" wrapText="1"/>
    </xf>
    <xf numFmtId="172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14" fontId="2" fillId="0" borderId="1" xfId="0" applyNumberFormat="1" applyFont="1" applyBorder="1"/>
    <xf numFmtId="14" fontId="1" fillId="0" borderId="1" xfId="0" applyNumberFormat="1" applyFont="1" applyBorder="1" applyAlignment="1">
      <alignment horizontal="left"/>
    </xf>
    <xf numFmtId="4" fontId="2" fillId="20" borderId="1" xfId="0" applyNumberFormat="1" applyFont="1" applyFill="1" applyBorder="1" applyAlignment="1">
      <alignment horizontal="right"/>
    </xf>
    <xf numFmtId="0" fontId="2" fillId="20" borderId="1" xfId="0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2" fillId="0" borderId="31" xfId="0" applyFont="1" applyBorder="1"/>
    <xf numFmtId="0" fontId="2" fillId="6" borderId="28" xfId="0" applyFont="1" applyFill="1" applyBorder="1" applyAlignment="1">
      <alignment horizontal="left"/>
    </xf>
    <xf numFmtId="0" fontId="1" fillId="6" borderId="1" xfId="0" applyFont="1" applyFill="1" applyBorder="1" applyAlignment="1">
      <alignment vertical="center" wrapText="1"/>
    </xf>
    <xf numFmtId="0" fontId="1" fillId="45" borderId="28" xfId="0" applyFont="1" applyFill="1" applyBorder="1" applyAlignment="1">
      <alignment wrapText="1"/>
    </xf>
    <xf numFmtId="0" fontId="1" fillId="41" borderId="1" xfId="0" applyFont="1" applyFill="1" applyBorder="1" applyAlignment="1">
      <alignment wrapText="1"/>
    </xf>
    <xf numFmtId="0" fontId="1" fillId="35" borderId="28" xfId="0" applyFont="1" applyFill="1" applyBorder="1"/>
    <xf numFmtId="0" fontId="2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6" borderId="37" xfId="0" applyFont="1" applyFill="1" applyBorder="1" applyAlignment="1">
      <alignment horizontal="left"/>
    </xf>
    <xf numFmtId="0" fontId="2" fillId="6" borderId="38" xfId="0" applyFont="1" applyFill="1" applyBorder="1" applyAlignment="1">
      <alignment horizontal="right"/>
    </xf>
    <xf numFmtId="0" fontId="7" fillId="0" borderId="39" xfId="0" applyFont="1" applyBorder="1" applyAlignment="1">
      <alignment horizontal="left"/>
    </xf>
    <xf numFmtId="0" fontId="1" fillId="0" borderId="40" xfId="0" applyFont="1" applyBorder="1" applyAlignment="1">
      <alignment horizontal="right"/>
    </xf>
    <xf numFmtId="0" fontId="1" fillId="29" borderId="41" xfId="0" applyFont="1" applyFill="1" applyBorder="1" applyAlignment="1">
      <alignment horizontal="left"/>
    </xf>
    <xf numFmtId="0" fontId="1" fillId="29" borderId="42" xfId="0" applyFont="1" applyFill="1" applyBorder="1" applyAlignment="1">
      <alignment horizontal="right"/>
    </xf>
    <xf numFmtId="0" fontId="1" fillId="35" borderId="41" xfId="0" applyFont="1" applyFill="1" applyBorder="1" applyAlignment="1">
      <alignment horizontal="left"/>
    </xf>
    <xf numFmtId="0" fontId="1" fillId="35" borderId="42" xfId="0" applyFont="1" applyFill="1" applyBorder="1" applyAlignment="1">
      <alignment horizontal="right"/>
    </xf>
    <xf numFmtId="0" fontId="2" fillId="29" borderId="41" xfId="0" applyFont="1" applyFill="1" applyBorder="1" applyAlignment="1">
      <alignment horizontal="left"/>
    </xf>
    <xf numFmtId="0" fontId="1" fillId="0" borderId="44" xfId="0" applyFont="1" applyBorder="1" applyAlignment="1">
      <alignment horizontal="right"/>
    </xf>
    <xf numFmtId="0" fontId="9" fillId="20" borderId="28" xfId="0" applyFont="1" applyFill="1" applyBorder="1" applyAlignment="1">
      <alignment wrapText="1"/>
    </xf>
    <xf numFmtId="4" fontId="52" fillId="35" borderId="28" xfId="0" applyNumberFormat="1" applyFont="1" applyFill="1" applyBorder="1" applyAlignment="1">
      <alignment horizontal="left" vertical="center" wrapText="1"/>
    </xf>
    <xf numFmtId="0" fontId="52" fillId="35" borderId="28" xfId="0" applyFont="1" applyFill="1" applyBorder="1" applyAlignment="1">
      <alignment horizontal="left" vertical="center" wrapText="1"/>
    </xf>
    <xf numFmtId="0" fontId="2" fillId="21" borderId="28" xfId="0" applyFont="1" applyFill="1" applyBorder="1"/>
    <xf numFmtId="14" fontId="1" fillId="0" borderId="0" xfId="0" applyNumberFormat="1" applyFont="1" applyAlignment="1">
      <alignment horizontal="left"/>
    </xf>
    <xf numFmtId="2" fontId="1" fillId="0" borderId="0" xfId="0" applyNumberFormat="1" applyFont="1"/>
    <xf numFmtId="16" fontId="1" fillId="0" borderId="0" xfId="0" applyNumberFormat="1" applyFont="1"/>
    <xf numFmtId="0" fontId="1" fillId="47" borderId="28" xfId="0" applyFont="1" applyFill="1" applyBorder="1"/>
    <xf numFmtId="0" fontId="1" fillId="47" borderId="28" xfId="0" applyFont="1" applyFill="1" applyBorder="1" applyAlignment="1">
      <alignment horizontal="left"/>
    </xf>
    <xf numFmtId="16" fontId="1" fillId="47" borderId="28" xfId="0" applyNumberFormat="1" applyFont="1" applyFill="1" applyBorder="1"/>
    <xf numFmtId="0" fontId="60" fillId="35" borderId="14" xfId="0" applyFont="1" applyFill="1" applyBorder="1" applyAlignment="1">
      <alignment wrapText="1"/>
    </xf>
    <xf numFmtId="0" fontId="15" fillId="35" borderId="47" xfId="0" applyFont="1" applyFill="1" applyBorder="1" applyAlignment="1">
      <alignment wrapText="1"/>
    </xf>
    <xf numFmtId="0" fontId="2" fillId="0" borderId="21" xfId="0" applyFont="1" applyBorder="1" applyAlignment="1">
      <alignment horizontal="right" wrapText="1"/>
    </xf>
    <xf numFmtId="10" fontId="15" fillId="48" borderId="47" xfId="0" applyNumberFormat="1" applyFont="1" applyFill="1" applyBorder="1" applyAlignment="1">
      <alignment wrapText="1"/>
    </xf>
    <xf numFmtId="0" fontId="15" fillId="35" borderId="47" xfId="0" applyFont="1" applyFill="1" applyBorder="1" applyAlignment="1">
      <alignment horizontal="right" wrapText="1"/>
    </xf>
    <xf numFmtId="9" fontId="15" fillId="48" borderId="47" xfId="0" applyNumberFormat="1" applyFont="1" applyFill="1" applyBorder="1" applyAlignment="1">
      <alignment wrapText="1"/>
    </xf>
    <xf numFmtId="3" fontId="15" fillId="35" borderId="47" xfId="0" applyNumberFormat="1" applyFont="1" applyFill="1" applyBorder="1" applyAlignment="1">
      <alignment horizontal="right" wrapText="1"/>
    </xf>
    <xf numFmtId="0" fontId="15" fillId="48" borderId="47" xfId="0" applyFont="1" applyFill="1" applyBorder="1" applyAlignment="1">
      <alignment wrapText="1"/>
    </xf>
    <xf numFmtId="0" fontId="61" fillId="35" borderId="47" xfId="0" applyFont="1" applyFill="1" applyBorder="1" applyAlignment="1">
      <alignment horizontal="right" wrapText="1"/>
    </xf>
    <xf numFmtId="10" fontId="61" fillId="35" borderId="47" xfId="0" applyNumberFormat="1" applyFont="1" applyFill="1" applyBorder="1" applyAlignment="1">
      <alignment horizontal="right" wrapText="1"/>
    </xf>
    <xf numFmtId="10" fontId="15" fillId="35" borderId="47" xfId="0" applyNumberFormat="1" applyFont="1" applyFill="1" applyBorder="1" applyAlignment="1">
      <alignment horizontal="right" wrapText="1"/>
    </xf>
    <xf numFmtId="3" fontId="62" fillId="48" borderId="47" xfId="0" applyNumberFormat="1" applyFont="1" applyFill="1" applyBorder="1" applyAlignment="1">
      <alignment horizontal="right" wrapText="1"/>
    </xf>
    <xf numFmtId="0" fontId="63" fillId="0" borderId="0" xfId="0" applyFont="1"/>
    <xf numFmtId="3" fontId="64" fillId="0" borderId="0" xfId="0" applyNumberFormat="1" applyFont="1"/>
    <xf numFmtId="0" fontId="65" fillId="0" borderId="0" xfId="0" applyFont="1"/>
    <xf numFmtId="14" fontId="53" fillId="49" borderId="28" xfId="0" applyNumberFormat="1" applyFont="1" applyFill="1" applyBorder="1" applyAlignment="1">
      <alignment horizontal="center" vertical="center" wrapText="1"/>
    </xf>
    <xf numFmtId="0" fontId="53" fillId="49" borderId="28" xfId="0" applyFont="1" applyFill="1" applyBorder="1" applyAlignment="1">
      <alignment vertical="center" wrapText="1"/>
    </xf>
    <xf numFmtId="0" fontId="53" fillId="49" borderId="28" xfId="0" applyFont="1" applyFill="1" applyBorder="1" applyAlignment="1">
      <alignment horizontal="right" vertical="center" wrapText="1"/>
    </xf>
    <xf numFmtId="0" fontId="53" fillId="49" borderId="28" xfId="0" applyFont="1" applyFill="1" applyBorder="1" applyAlignment="1">
      <alignment horizontal="center" vertical="center" wrapText="1"/>
    </xf>
    <xf numFmtId="0" fontId="53" fillId="49" borderId="28" xfId="0" applyFont="1" applyFill="1" applyBorder="1" applyAlignment="1">
      <alignment horizontal="left" vertical="center" wrapText="1"/>
    </xf>
    <xf numFmtId="0" fontId="66" fillId="0" borderId="0" xfId="0" applyFont="1"/>
    <xf numFmtId="0" fontId="67" fillId="0" borderId="1" xfId="0" applyFont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2" fillId="0" borderId="0" xfId="0" applyFont="1" applyAlignment="1">
      <alignment wrapText="1"/>
    </xf>
    <xf numFmtId="3" fontId="2" fillId="0" borderId="0" xfId="0" applyNumberFormat="1" applyFont="1"/>
    <xf numFmtId="173" fontId="2" fillId="0" borderId="0" xfId="0" applyNumberFormat="1" applyFont="1" applyAlignment="1">
      <alignment horizontal="right"/>
    </xf>
    <xf numFmtId="0" fontId="69" fillId="0" borderId="0" xfId="0" applyFont="1"/>
    <xf numFmtId="0" fontId="19" fillId="0" borderId="0" xfId="0" applyFont="1"/>
    <xf numFmtId="173" fontId="2" fillId="0" borderId="0" xfId="0" applyNumberFormat="1" applyFont="1" applyAlignment="1">
      <alignment horizontal="left"/>
    </xf>
    <xf numFmtId="0" fontId="58" fillId="0" borderId="0" xfId="0" applyFont="1" applyAlignment="1">
      <alignment wrapText="1"/>
    </xf>
    <xf numFmtId="0" fontId="70" fillId="0" borderId="0" xfId="0" applyFont="1" applyAlignment="1">
      <alignment wrapText="1"/>
    </xf>
    <xf numFmtId="0" fontId="72" fillId="0" borderId="50" xfId="0" applyFont="1" applyBorder="1"/>
    <xf numFmtId="0" fontId="73" fillId="0" borderId="50" xfId="0" applyFont="1" applyBorder="1"/>
    <xf numFmtId="0" fontId="72" fillId="0" borderId="1" xfId="0" applyFont="1" applyBorder="1"/>
    <xf numFmtId="0" fontId="11" fillId="40" borderId="28" xfId="0" applyFont="1" applyFill="1" applyBorder="1"/>
    <xf numFmtId="0" fontId="1" fillId="40" borderId="28" xfId="0" applyFont="1" applyFill="1" applyBorder="1"/>
    <xf numFmtId="0" fontId="2" fillId="40" borderId="28" xfId="0" applyFont="1" applyFill="1" applyBorder="1"/>
    <xf numFmtId="0" fontId="56" fillId="0" borderId="0" xfId="0" applyFont="1"/>
    <xf numFmtId="9" fontId="56" fillId="0" borderId="0" xfId="0" applyNumberFormat="1" applyFont="1"/>
    <xf numFmtId="0" fontId="9" fillId="0" borderId="0" xfId="0" applyFont="1"/>
    <xf numFmtId="0" fontId="11" fillId="18" borderId="28" xfId="0" applyFont="1" applyFill="1" applyBorder="1"/>
    <xf numFmtId="0" fontId="9" fillId="18" borderId="28" xfId="0" applyFont="1" applyFill="1" applyBorder="1"/>
    <xf numFmtId="0" fontId="57" fillId="32" borderId="28" xfId="0" applyFont="1" applyFill="1" applyBorder="1"/>
    <xf numFmtId="0" fontId="2" fillId="18" borderId="28" xfId="0" applyFont="1" applyFill="1" applyBorder="1"/>
    <xf numFmtId="0" fontId="2" fillId="32" borderId="28" xfId="0" applyFont="1" applyFill="1" applyBorder="1"/>
    <xf numFmtId="0" fontId="2" fillId="41" borderId="28" xfId="0" applyFont="1" applyFill="1" applyBorder="1"/>
    <xf numFmtId="0" fontId="1" fillId="42" borderId="28" xfId="0" applyFont="1" applyFill="1" applyBorder="1"/>
    <xf numFmtId="0" fontId="2" fillId="42" borderId="28" xfId="0" applyFont="1" applyFill="1" applyBorder="1"/>
    <xf numFmtId="0" fontId="11" fillId="0" borderId="0" xfId="0" applyFont="1"/>
    <xf numFmtId="0" fontId="2" fillId="29" borderId="1" xfId="0" applyFont="1" applyFill="1" applyBorder="1"/>
    <xf numFmtId="0" fontId="1" fillId="35" borderId="1" xfId="0" applyFont="1" applyFill="1" applyBorder="1"/>
    <xf numFmtId="0" fontId="1" fillId="43" borderId="1" xfId="0" applyFont="1" applyFill="1" applyBorder="1"/>
    <xf numFmtId="14" fontId="1" fillId="43" borderId="1" xfId="0" applyNumberFormat="1" applyFont="1" applyFill="1" applyBorder="1"/>
    <xf numFmtId="0" fontId="1" fillId="18" borderId="1" xfId="0" applyFont="1" applyFill="1" applyBorder="1"/>
    <xf numFmtId="0" fontId="1" fillId="0" borderId="4" xfId="0" applyFont="1" applyBorder="1"/>
    <xf numFmtId="0" fontId="1" fillId="44" borderId="1" xfId="0" applyFont="1" applyFill="1" applyBorder="1"/>
    <xf numFmtId="0" fontId="1" fillId="45" borderId="1" xfId="0" applyFont="1" applyFill="1" applyBorder="1"/>
    <xf numFmtId="0" fontId="1" fillId="41" borderId="1" xfId="0" applyFont="1" applyFill="1" applyBorder="1"/>
    <xf numFmtId="0" fontId="1" fillId="0" borderId="20" xfId="0" applyFont="1" applyBorder="1"/>
    <xf numFmtId="0" fontId="2" fillId="29" borderId="41" xfId="0" applyFont="1" applyFill="1" applyBorder="1"/>
    <xf numFmtId="0" fontId="1" fillId="29" borderId="42" xfId="0" applyFont="1" applyFill="1" applyBorder="1"/>
    <xf numFmtId="0" fontId="1" fillId="0" borderId="43" xfId="0" applyFont="1" applyBorder="1"/>
    <xf numFmtId="0" fontId="1" fillId="0" borderId="44" xfId="0" applyFont="1" applyBorder="1"/>
    <xf numFmtId="0" fontId="2" fillId="0" borderId="43" xfId="0" applyFont="1" applyBorder="1"/>
    <xf numFmtId="0" fontId="2" fillId="0" borderId="44" xfId="0" applyFont="1" applyBorder="1"/>
    <xf numFmtId="0" fontId="2" fillId="29" borderId="42" xfId="0" applyFont="1" applyFill="1" applyBorder="1"/>
    <xf numFmtId="0" fontId="2" fillId="17" borderId="41" xfId="0" applyFont="1" applyFill="1" applyBorder="1"/>
    <xf numFmtId="0" fontId="2" fillId="17" borderId="42" xfId="0" applyFont="1" applyFill="1" applyBorder="1"/>
    <xf numFmtId="0" fontId="1" fillId="0" borderId="19" xfId="0" applyFont="1" applyBorder="1"/>
    <xf numFmtId="0" fontId="1" fillId="29" borderId="41" xfId="0" applyFont="1" applyFill="1" applyBorder="1"/>
    <xf numFmtId="0" fontId="7" fillId="43" borderId="45" xfId="0" applyFont="1" applyFill="1" applyBorder="1"/>
    <xf numFmtId="0" fontId="7" fillId="43" borderId="46" xfId="0" applyFont="1" applyFill="1" applyBorder="1"/>
    <xf numFmtId="0" fontId="1" fillId="0" borderId="40" xfId="0" applyFont="1" applyBorder="1"/>
    <xf numFmtId="0" fontId="1" fillId="33" borderId="41" xfId="0" applyFont="1" applyFill="1" applyBorder="1"/>
    <xf numFmtId="0" fontId="1" fillId="33" borderId="42" xfId="0" applyFont="1" applyFill="1" applyBorder="1"/>
    <xf numFmtId="0" fontId="14" fillId="46" borderId="28" xfId="0" applyFont="1" applyFill="1" applyBorder="1"/>
    <xf numFmtId="0" fontId="14" fillId="33" borderId="28" xfId="0" applyFont="1" applyFill="1" applyBorder="1"/>
    <xf numFmtId="0" fontId="9" fillId="20" borderId="28" xfId="0" applyFont="1" applyFill="1" applyBorder="1"/>
    <xf numFmtId="0" fontId="74" fillId="46" borderId="28" xfId="0" applyFont="1" applyFill="1" applyBorder="1"/>
    <xf numFmtId="0" fontId="1" fillId="0" borderId="51" xfId="0" applyFont="1" applyBorder="1"/>
    <xf numFmtId="0" fontId="1" fillId="33" borderId="51" xfId="0" applyFont="1" applyFill="1" applyBorder="1"/>
    <xf numFmtId="0" fontId="0" fillId="0" borderId="51" xfId="0" applyBorder="1"/>
    <xf numFmtId="0" fontId="7" fillId="43" borderId="51" xfId="0" applyFont="1" applyFill="1" applyBorder="1"/>
    <xf numFmtId="0" fontId="75" fillId="0" borderId="51" xfId="0" applyFont="1" applyBorder="1" applyAlignment="1">
      <alignment horizontal="left"/>
    </xf>
    <xf numFmtId="0" fontId="72" fillId="33" borderId="51" xfId="0" applyFont="1" applyFill="1" applyBorder="1"/>
    <xf numFmtId="0" fontId="71" fillId="0" borderId="0" xfId="0" applyFont="1"/>
    <xf numFmtId="0" fontId="0" fillId="0" borderId="0" xfId="0" quotePrefix="1"/>
    <xf numFmtId="0" fontId="76" fillId="0" borderId="0" xfId="0" applyFont="1"/>
    <xf numFmtId="0" fontId="77" fillId="0" borderId="0" xfId="0" applyFont="1"/>
    <xf numFmtId="0" fontId="78" fillId="0" borderId="0" xfId="1"/>
    <xf numFmtId="0" fontId="76" fillId="50" borderId="0" xfId="0" applyFont="1" applyFill="1"/>
    <xf numFmtId="0" fontId="12" fillId="0" borderId="0" xfId="0" applyFont="1"/>
    <xf numFmtId="16" fontId="0" fillId="0" borderId="0" xfId="0" applyNumberFormat="1"/>
    <xf numFmtId="0" fontId="79" fillId="0" borderId="0" xfId="0" applyFont="1"/>
    <xf numFmtId="0" fontId="80" fillId="0" borderId="0" xfId="0" applyFont="1"/>
    <xf numFmtId="0" fontId="76" fillId="51" borderId="0" xfId="0" applyFont="1" applyFill="1"/>
    <xf numFmtId="0" fontId="77" fillId="51" borderId="0" xfId="0" quotePrefix="1" applyFont="1" applyFill="1"/>
    <xf numFmtId="0" fontId="77" fillId="52" borderId="0" xfId="0" quotePrefix="1" applyFont="1" applyFill="1"/>
    <xf numFmtId="0" fontId="77" fillId="52" borderId="0" xfId="0" quotePrefix="1" applyFont="1" applyFill="1" applyAlignment="1">
      <alignment wrapText="1"/>
    </xf>
    <xf numFmtId="0" fontId="77" fillId="52" borderId="0" xfId="0" applyFont="1" applyFill="1" applyAlignment="1">
      <alignment wrapText="1"/>
    </xf>
    <xf numFmtId="0" fontId="76" fillId="53" borderId="0" xfId="0" applyFont="1" applyFill="1"/>
    <xf numFmtId="0" fontId="77" fillId="53" borderId="0" xfId="0" quotePrefix="1" applyFont="1" applyFill="1"/>
    <xf numFmtId="0" fontId="76" fillId="52" borderId="0" xfId="0" applyFont="1" applyFill="1"/>
    <xf numFmtId="0" fontId="76" fillId="54" borderId="0" xfId="0" applyFont="1" applyFill="1"/>
    <xf numFmtId="0" fontId="76" fillId="55" borderId="0" xfId="0" applyFont="1" applyFill="1"/>
    <xf numFmtId="0" fontId="77" fillId="55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6" fillId="0" borderId="0" xfId="0" applyFont="1" applyAlignment="1">
      <alignment horizontal="left"/>
    </xf>
    <xf numFmtId="0" fontId="77" fillId="0" borderId="0" xfId="0" applyFont="1" applyAlignment="1">
      <alignment horizontal="right"/>
    </xf>
    <xf numFmtId="0" fontId="1" fillId="21" borderId="1" xfId="0" applyFont="1" applyFill="1" applyBorder="1" applyAlignment="1">
      <alignment horizontal="left" vertical="top"/>
    </xf>
    <xf numFmtId="0" fontId="2" fillId="13" borderId="1" xfId="0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70" fontId="1" fillId="13" borderId="1" xfId="0" applyNumberFormat="1" applyFont="1" applyFill="1" applyBorder="1" applyAlignment="1">
      <alignment horizontal="left" vertical="top"/>
    </xf>
    <xf numFmtId="166" fontId="17" fillId="13" borderId="1" xfId="0" applyNumberFormat="1" applyFont="1" applyFill="1" applyBorder="1" applyAlignment="1">
      <alignment horizontal="left" vertical="top"/>
    </xf>
    <xf numFmtId="168" fontId="1" fillId="21" borderId="1" xfId="0" applyNumberFormat="1" applyFont="1" applyFill="1" applyBorder="1" applyAlignment="1">
      <alignment horizontal="left" vertical="top"/>
    </xf>
    <xf numFmtId="166" fontId="1" fillId="21" borderId="1" xfId="0" applyNumberFormat="1" applyFont="1" applyFill="1" applyBorder="1" applyAlignment="1">
      <alignment horizontal="left" vertical="top"/>
    </xf>
    <xf numFmtId="170" fontId="14" fillId="21" borderId="1" xfId="0" applyNumberFormat="1" applyFont="1" applyFill="1" applyBorder="1" applyAlignment="1">
      <alignment horizontal="left" vertical="top"/>
    </xf>
    <xf numFmtId="0" fontId="1" fillId="22" borderId="1" xfId="0" applyFont="1" applyFill="1" applyBorder="1" applyAlignment="1">
      <alignment horizontal="left" vertical="top"/>
    </xf>
    <xf numFmtId="0" fontId="11" fillId="22" borderId="1" xfId="0" applyFont="1" applyFill="1" applyBorder="1" applyAlignment="1">
      <alignment horizontal="left" vertical="top"/>
    </xf>
    <xf numFmtId="0" fontId="1" fillId="22" borderId="8" xfId="0" applyFont="1" applyFill="1" applyBorder="1" applyAlignment="1">
      <alignment horizontal="left" vertical="top"/>
    </xf>
    <xf numFmtId="170" fontId="1" fillId="22" borderId="33" xfId="0" applyNumberFormat="1" applyFont="1" applyFill="1" applyBorder="1" applyAlignment="1">
      <alignment horizontal="left" vertical="top"/>
    </xf>
    <xf numFmtId="168" fontId="1" fillId="22" borderId="8" xfId="0" applyNumberFormat="1" applyFont="1" applyFill="1" applyBorder="1" applyAlignment="1">
      <alignment horizontal="left" vertical="top"/>
    </xf>
    <xf numFmtId="0" fontId="1" fillId="22" borderId="33" xfId="0" applyFont="1" applyFill="1" applyBorder="1" applyAlignment="1">
      <alignment horizontal="left" vertical="top"/>
    </xf>
    <xf numFmtId="170" fontId="14" fillId="22" borderId="33" xfId="0" applyNumberFormat="1" applyFont="1" applyFill="1" applyBorder="1" applyAlignment="1">
      <alignment horizontal="left" vertical="top"/>
    </xf>
    <xf numFmtId="2" fontId="1" fillId="22" borderId="8" xfId="0" applyNumberFormat="1" applyFont="1" applyFill="1" applyBorder="1" applyAlignment="1">
      <alignment horizontal="left" vertical="top"/>
    </xf>
    <xf numFmtId="168" fontId="2" fillId="22" borderId="8" xfId="0" applyNumberFormat="1" applyFont="1" applyFill="1" applyBorder="1" applyAlignment="1">
      <alignment horizontal="left" vertical="top"/>
    </xf>
    <xf numFmtId="4" fontId="2" fillId="22" borderId="33" xfId="0" applyNumberFormat="1" applyFont="1" applyFill="1" applyBorder="1" applyAlignment="1">
      <alignment horizontal="left" vertical="top"/>
    </xf>
    <xf numFmtId="4" fontId="2" fillId="22" borderId="1" xfId="0" applyNumberFormat="1" applyFont="1" applyFill="1" applyBorder="1" applyAlignment="1">
      <alignment horizontal="left" vertical="top"/>
    </xf>
    <xf numFmtId="170" fontId="6" fillId="22" borderId="33" xfId="0" applyNumberFormat="1" applyFont="1" applyFill="1" applyBorder="1" applyAlignment="1">
      <alignment horizontal="left" vertical="top"/>
    </xf>
    <xf numFmtId="0" fontId="1" fillId="21" borderId="1" xfId="0" applyFont="1" applyFill="1" applyBorder="1" applyAlignment="1">
      <alignment horizontal="right" vertical="top"/>
    </xf>
    <xf numFmtId="0" fontId="78" fillId="12" borderId="28" xfId="1" applyFill="1" applyBorder="1"/>
    <xf numFmtId="0" fontId="73" fillId="22" borderId="1" xfId="0" applyFont="1" applyFill="1" applyBorder="1" applyAlignment="1">
      <alignment horizontal="left" vertical="top"/>
    </xf>
    <xf numFmtId="170" fontId="73" fillId="22" borderId="33" xfId="0" applyNumberFormat="1" applyFont="1" applyFill="1" applyBorder="1" applyAlignment="1">
      <alignment horizontal="left" vertical="top"/>
    </xf>
    <xf numFmtId="0" fontId="72" fillId="22" borderId="8" xfId="0" applyFont="1" applyFill="1" applyBorder="1" applyAlignment="1">
      <alignment horizontal="left" vertical="top"/>
    </xf>
    <xf numFmtId="0" fontId="72" fillId="17" borderId="1" xfId="0" applyFont="1" applyFill="1" applyBorder="1" applyAlignment="1">
      <alignment horizontal="left"/>
    </xf>
    <xf numFmtId="166" fontId="72" fillId="17" borderId="1" xfId="0" applyNumberFormat="1" applyFont="1" applyFill="1" applyBorder="1" applyAlignment="1">
      <alignment horizontal="right"/>
    </xf>
    <xf numFmtId="0" fontId="78" fillId="20" borderId="28" xfId="1" applyFill="1" applyBorder="1"/>
    <xf numFmtId="0" fontId="78" fillId="6" borderId="1" xfId="1" applyFill="1" applyBorder="1"/>
    <xf numFmtId="0" fontId="78" fillId="31" borderId="28" xfId="1" applyFill="1" applyBorder="1"/>
    <xf numFmtId="4" fontId="0" fillId="0" borderId="0" xfId="0" applyNumberFormat="1"/>
    <xf numFmtId="4" fontId="81" fillId="0" borderId="0" xfId="0" applyNumberFormat="1" applyFont="1"/>
    <xf numFmtId="0" fontId="78" fillId="20" borderId="1" xfId="1" applyFill="1" applyBorder="1"/>
    <xf numFmtId="0" fontId="82" fillId="12" borderId="1" xfId="0" applyFont="1" applyFill="1" applyBorder="1" applyAlignment="1">
      <alignment horizontal="left"/>
    </xf>
    <xf numFmtId="4" fontId="14" fillId="19" borderId="1" xfId="0" applyNumberFormat="1" applyFont="1" applyFill="1" applyBorder="1"/>
    <xf numFmtId="0" fontId="1" fillId="6" borderId="50" xfId="0" applyFont="1" applyFill="1" applyBorder="1"/>
    <xf numFmtId="0" fontId="85" fillId="0" borderId="0" xfId="0" applyFont="1" applyAlignment="1" applyProtection="1">
      <alignment horizontal="left" vertical="center" readingOrder="1"/>
      <protection locked="0"/>
    </xf>
    <xf numFmtId="0" fontId="83" fillId="0" borderId="0" xfId="0" applyFont="1" applyAlignment="1" applyProtection="1">
      <alignment horizontal="left" vertical="top" readingOrder="1"/>
      <protection locked="0"/>
    </xf>
    <xf numFmtId="0" fontId="0" fillId="0" borderId="0" xfId="0" applyProtection="1">
      <protection locked="0"/>
    </xf>
    <xf numFmtId="0" fontId="83" fillId="0" borderId="50" xfId="0" applyFont="1" applyBorder="1" applyAlignment="1" applyProtection="1">
      <alignment horizontal="left" vertical="center" readingOrder="1"/>
      <protection locked="0"/>
    </xf>
    <xf numFmtId="0" fontId="83" fillId="0" borderId="50" xfId="0" applyFont="1" applyBorder="1" applyAlignment="1" applyProtection="1">
      <alignment horizontal="right" vertical="center" readingOrder="1"/>
      <protection locked="0"/>
    </xf>
    <xf numFmtId="0" fontId="84" fillId="0" borderId="50" xfId="0" applyFont="1" applyBorder="1" applyAlignment="1" applyProtection="1">
      <alignment horizontal="left" vertical="center" readingOrder="1"/>
      <protection locked="0"/>
    </xf>
    <xf numFmtId="0" fontId="76" fillId="0" borderId="0" xfId="0" applyFont="1" applyProtection="1">
      <protection locked="0"/>
    </xf>
    <xf numFmtId="0" fontId="84" fillId="0" borderId="50" xfId="0" applyFont="1" applyBorder="1" applyAlignment="1" applyProtection="1">
      <alignment horizontal="right" vertical="center" readingOrder="1"/>
      <protection locked="0"/>
    </xf>
    <xf numFmtId="0" fontId="77" fillId="0" borderId="0" xfId="0" applyFont="1" applyProtection="1">
      <protection locked="0"/>
    </xf>
    <xf numFmtId="0" fontId="86" fillId="0" borderId="0" xfId="0" applyFont="1"/>
    <xf numFmtId="0" fontId="8" fillId="12" borderId="1" xfId="0" applyFont="1" applyFill="1" applyBorder="1" applyAlignment="1">
      <alignment horizontal="left"/>
    </xf>
    <xf numFmtId="0" fontId="78" fillId="30" borderId="1" xfId="1" applyFill="1" applyBorder="1"/>
    <xf numFmtId="0" fontId="1" fillId="56" borderId="1" xfId="0" applyFont="1" applyFill="1" applyBorder="1" applyAlignment="1">
      <alignment vertical="top" wrapText="1"/>
    </xf>
    <xf numFmtId="0" fontId="1" fillId="56" borderId="1" xfId="0" applyFont="1" applyFill="1" applyBorder="1" applyAlignment="1">
      <alignment vertical="top"/>
    </xf>
    <xf numFmtId="0" fontId="1" fillId="56" borderId="28" xfId="0" applyFont="1" applyFill="1" applyBorder="1" applyAlignment="1">
      <alignment vertical="top" wrapText="1"/>
    </xf>
    <xf numFmtId="0" fontId="1" fillId="56" borderId="28" xfId="0" applyFont="1" applyFill="1" applyBorder="1" applyAlignment="1">
      <alignment vertical="top"/>
    </xf>
    <xf numFmtId="0" fontId="27" fillId="56" borderId="28" xfId="0" applyFont="1" applyFill="1" applyBorder="1" applyAlignment="1">
      <alignment horizontal="left" vertical="top"/>
    </xf>
    <xf numFmtId="0" fontId="1" fillId="56" borderId="28" xfId="0" applyFont="1" applyFill="1" applyBorder="1" applyAlignment="1">
      <alignment horizontal="left" vertical="top"/>
    </xf>
    <xf numFmtId="170" fontId="87" fillId="27" borderId="28" xfId="0" applyNumberFormat="1" applyFont="1" applyFill="1" applyBorder="1"/>
    <xf numFmtId="0" fontId="2" fillId="19" borderId="1" xfId="0" applyFont="1" applyFill="1" applyBorder="1" applyAlignment="1">
      <alignment horizontal="left"/>
    </xf>
    <xf numFmtId="0" fontId="2" fillId="19" borderId="1" xfId="0" applyFont="1" applyFill="1" applyBorder="1" applyAlignment="1">
      <alignment horizontal="right"/>
    </xf>
    <xf numFmtId="0" fontId="78" fillId="19" borderId="1" xfId="1" applyFill="1" applyBorder="1" applyAlignment="1">
      <alignment horizontal="left" wrapText="1"/>
    </xf>
    <xf numFmtId="0" fontId="4" fillId="13" borderId="1" xfId="0" applyFont="1" applyFill="1" applyBorder="1" applyAlignment="1">
      <alignment horizontal="left" vertical="top"/>
    </xf>
    <xf numFmtId="0" fontId="78" fillId="57" borderId="1" xfId="1" applyFill="1" applyBorder="1"/>
    <xf numFmtId="0" fontId="2" fillId="6" borderId="50" xfId="0" applyFont="1" applyFill="1" applyBorder="1"/>
    <xf numFmtId="0" fontId="1" fillId="22" borderId="26" xfId="0" applyFont="1" applyFill="1" applyBorder="1" applyAlignment="1">
      <alignment horizontal="left" vertical="top"/>
    </xf>
    <xf numFmtId="0" fontId="72" fillId="22" borderId="26" xfId="0" applyFont="1" applyFill="1" applyBorder="1" applyAlignment="1">
      <alignment horizontal="left" vertical="top"/>
    </xf>
    <xf numFmtId="0" fontId="78" fillId="0" borderId="0" xfId="1" applyAlignment="1">
      <alignment wrapText="1"/>
    </xf>
    <xf numFmtId="0" fontId="1" fillId="0" borderId="50" xfId="0" applyFont="1" applyBorder="1"/>
    <xf numFmtId="0" fontId="36" fillId="0" borderId="50" xfId="0" applyFont="1" applyBorder="1"/>
    <xf numFmtId="0" fontId="78" fillId="0" borderId="50" xfId="1" applyFill="1" applyBorder="1" applyAlignment="1">
      <alignment wrapText="1"/>
    </xf>
    <xf numFmtId="0" fontId="77" fillId="0" borderId="51" xfId="0" applyFont="1" applyBorder="1"/>
    <xf numFmtId="0" fontId="0" fillId="0" borderId="52" xfId="0" applyBorder="1"/>
    <xf numFmtId="0" fontId="0" fillId="0" borderId="53" xfId="0" applyBorder="1" applyProtection="1">
      <protection locked="0"/>
    </xf>
    <xf numFmtId="174" fontId="0" fillId="53" borderId="51" xfId="0" applyNumberFormat="1" applyFill="1" applyBorder="1" applyAlignment="1">
      <alignment horizontal="left"/>
    </xf>
    <xf numFmtId="0" fontId="77" fillId="53" borderId="51" xfId="0" applyFont="1" applyFill="1" applyBorder="1"/>
    <xf numFmtId="2" fontId="77" fillId="53" borderId="51" xfId="0" applyNumberFormat="1" applyFont="1" applyFill="1" applyBorder="1"/>
    <xf numFmtId="2" fontId="0" fillId="0" borderId="50" xfId="0" applyNumberFormat="1" applyBorder="1"/>
    <xf numFmtId="1" fontId="0" fillId="53" borderId="51" xfId="0" applyNumberFormat="1" applyFill="1" applyBorder="1" applyAlignment="1">
      <alignment horizontal="left"/>
    </xf>
    <xf numFmtId="1" fontId="77" fillId="53" borderId="51" xfId="0" quotePrefix="1" applyNumberFormat="1" applyFont="1" applyFill="1" applyBorder="1" applyAlignment="1">
      <alignment horizontal="left"/>
    </xf>
    <xf numFmtId="2" fontId="77" fillId="53" borderId="51" xfId="0" applyNumberFormat="1" applyFont="1" applyFill="1" applyBorder="1" applyAlignment="1">
      <alignment horizontal="right"/>
    </xf>
    <xf numFmtId="2" fontId="0" fillId="0" borderId="5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" fontId="77" fillId="53" borderId="51" xfId="0" applyNumberFormat="1" applyFont="1" applyFill="1" applyBorder="1" applyAlignment="1">
      <alignment horizontal="right"/>
    </xf>
    <xf numFmtId="3" fontId="77" fillId="53" borderId="51" xfId="0" applyNumberFormat="1" applyFont="1" applyFill="1" applyBorder="1" applyAlignment="1">
      <alignment horizontal="right"/>
    </xf>
    <xf numFmtId="3" fontId="0" fillId="0" borderId="5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" fontId="88" fillId="0" borderId="0" xfId="0" applyNumberFormat="1" applyFont="1" applyAlignment="1">
      <alignment horizontal="left"/>
    </xf>
    <xf numFmtId="3" fontId="0" fillId="0" borderId="0" xfId="0" applyNumberFormat="1"/>
    <xf numFmtId="3" fontId="77" fillId="0" borderId="51" xfId="0" applyNumberFormat="1" applyFont="1" applyBorder="1"/>
    <xf numFmtId="3" fontId="0" fillId="53" borderId="51" xfId="0" applyNumberFormat="1" applyFill="1" applyBorder="1"/>
    <xf numFmtId="3" fontId="88" fillId="52" borderId="52" xfId="0" applyNumberFormat="1" applyFont="1" applyFill="1" applyBorder="1"/>
    <xf numFmtId="2" fontId="88" fillId="52" borderId="52" xfId="0" applyNumberFormat="1" applyFont="1" applyFill="1" applyBorder="1"/>
    <xf numFmtId="175" fontId="0" fillId="53" borderId="51" xfId="0" applyNumberFormat="1" applyFill="1" applyBorder="1"/>
    <xf numFmtId="175" fontId="0" fillId="0" borderId="0" xfId="0" applyNumberFormat="1"/>
    <xf numFmtId="0" fontId="76" fillId="57" borderId="51" xfId="0" applyFont="1" applyFill="1" applyBorder="1" applyAlignment="1" applyProtection="1">
      <alignment horizontal="left" vertical="top"/>
      <protection locked="0"/>
    </xf>
    <xf numFmtId="175" fontId="76" fillId="57" borderId="51" xfId="0" applyNumberFormat="1" applyFont="1" applyFill="1" applyBorder="1" applyAlignment="1" applyProtection="1">
      <alignment horizontal="left" vertical="top"/>
      <protection locked="0"/>
    </xf>
    <xf numFmtId="1" fontId="76" fillId="57" borderId="51" xfId="0" applyNumberFormat="1" applyFont="1" applyFill="1" applyBorder="1" applyAlignment="1" applyProtection="1">
      <alignment horizontal="left" vertical="top" wrapText="1"/>
      <protection locked="0"/>
    </xf>
    <xf numFmtId="3" fontId="76" fillId="57" borderId="51" xfId="0" applyNumberFormat="1" applyFont="1" applyFill="1" applyBorder="1" applyAlignment="1" applyProtection="1">
      <alignment horizontal="left" vertical="top"/>
      <protection locked="0"/>
    </xf>
    <xf numFmtId="2" fontId="76" fillId="57" borderId="51" xfId="0" applyNumberFormat="1" applyFont="1" applyFill="1" applyBorder="1" applyAlignment="1" applyProtection="1">
      <alignment horizontal="left" vertical="top" wrapText="1"/>
      <protection locked="0"/>
    </xf>
    <xf numFmtId="2" fontId="76" fillId="57" borderId="51" xfId="0" applyNumberFormat="1" applyFont="1" applyFill="1" applyBorder="1" applyAlignment="1" applyProtection="1">
      <alignment horizontal="left" vertical="top"/>
      <protection locked="0"/>
    </xf>
    <xf numFmtId="1" fontId="76" fillId="57" borderId="51" xfId="0" applyNumberFormat="1" applyFont="1" applyFill="1" applyBorder="1" applyAlignment="1" applyProtection="1">
      <alignment horizontal="left" vertical="top"/>
      <protection locked="0"/>
    </xf>
    <xf numFmtId="174" fontId="76" fillId="57" borderId="51" xfId="0" applyNumberFormat="1" applyFont="1" applyFill="1" applyBorder="1" applyAlignment="1" applyProtection="1">
      <alignment horizontal="left" vertical="top"/>
      <protection locked="0"/>
    </xf>
    <xf numFmtId="0" fontId="76" fillId="57" borderId="51" xfId="0" applyFont="1" applyFill="1" applyBorder="1" applyAlignment="1" applyProtection="1">
      <alignment horizontal="left" vertical="top" wrapText="1"/>
      <protection locked="0"/>
    </xf>
    <xf numFmtId="167" fontId="1" fillId="0" borderId="1" xfId="0" applyNumberFormat="1" applyFont="1" applyBorder="1" applyAlignment="1">
      <alignment horizontal="left"/>
    </xf>
    <xf numFmtId="0" fontId="0" fillId="58" borderId="51" xfId="0" applyFill="1" applyBorder="1"/>
    <xf numFmtId="175" fontId="0" fillId="58" borderId="51" xfId="0" applyNumberFormat="1" applyFill="1" applyBorder="1"/>
    <xf numFmtId="0" fontId="76" fillId="58" borderId="51" xfId="0" applyFont="1" applyFill="1" applyBorder="1"/>
    <xf numFmtId="1" fontId="0" fillId="58" borderId="51" xfId="0" applyNumberFormat="1" applyFill="1" applyBorder="1" applyAlignment="1">
      <alignment horizontal="right"/>
    </xf>
    <xf numFmtId="3" fontId="0" fillId="58" borderId="51" xfId="0" applyNumberFormat="1" applyFill="1" applyBorder="1" applyAlignment="1">
      <alignment horizontal="right"/>
    </xf>
    <xf numFmtId="2" fontId="0" fillId="58" borderId="51" xfId="0" applyNumberFormat="1" applyFill="1" applyBorder="1" applyAlignment="1">
      <alignment horizontal="right"/>
    </xf>
    <xf numFmtId="2" fontId="0" fillId="58" borderId="51" xfId="0" applyNumberFormat="1" applyFill="1" applyBorder="1"/>
    <xf numFmtId="0" fontId="0" fillId="58" borderId="51" xfId="0" applyFill="1" applyBorder="1" applyAlignment="1">
      <alignment horizontal="left"/>
    </xf>
    <xf numFmtId="1" fontId="0" fillId="58" borderId="51" xfId="0" applyNumberFormat="1" applyFill="1" applyBorder="1"/>
    <xf numFmtId="1" fontId="0" fillId="58" borderId="51" xfId="0" applyNumberFormat="1" applyFill="1" applyBorder="1" applyAlignment="1">
      <alignment horizontal="left"/>
    </xf>
    <xf numFmtId="174" fontId="0" fillId="58" borderId="51" xfId="0" applyNumberFormat="1" applyFill="1" applyBorder="1" applyAlignment="1">
      <alignment horizontal="left"/>
    </xf>
    <xf numFmtId="3" fontId="76" fillId="58" borderId="51" xfId="0" applyNumberFormat="1" applyFont="1" applyFill="1" applyBorder="1"/>
    <xf numFmtId="3" fontId="0" fillId="58" borderId="51" xfId="0" applyNumberFormat="1" applyFill="1" applyBorder="1"/>
    <xf numFmtId="0" fontId="77" fillId="58" borderId="51" xfId="0" applyFont="1" applyFill="1" applyBorder="1"/>
    <xf numFmtId="1" fontId="77" fillId="58" borderId="51" xfId="0" applyNumberFormat="1" applyFont="1" applyFill="1" applyBorder="1" applyAlignment="1">
      <alignment horizontal="right"/>
    </xf>
    <xf numFmtId="3" fontId="77" fillId="58" borderId="51" xfId="0" applyNumberFormat="1" applyFont="1" applyFill="1" applyBorder="1" applyAlignment="1">
      <alignment horizontal="right"/>
    </xf>
    <xf numFmtId="2" fontId="77" fillId="58" borderId="51" xfId="0" applyNumberFormat="1" applyFont="1" applyFill="1" applyBorder="1" applyAlignment="1">
      <alignment horizontal="right"/>
    </xf>
    <xf numFmtId="2" fontId="77" fillId="58" borderId="51" xfId="0" applyNumberFormat="1" applyFont="1" applyFill="1" applyBorder="1"/>
    <xf numFmtId="168" fontId="4" fillId="58" borderId="51" xfId="0" applyNumberFormat="1" applyFont="1" applyFill="1" applyBorder="1" applyAlignment="1">
      <alignment horizontal="left" vertical="top"/>
    </xf>
    <xf numFmtId="1" fontId="4" fillId="58" borderId="51" xfId="0" applyNumberFormat="1" applyFont="1" applyFill="1" applyBorder="1" applyAlignment="1">
      <alignment horizontal="left" vertical="top"/>
    </xf>
    <xf numFmtId="2" fontId="4" fillId="58" borderId="51" xfId="0" applyNumberFormat="1" applyFont="1" applyFill="1" applyBorder="1" applyAlignment="1">
      <alignment horizontal="left" vertical="top"/>
    </xf>
    <xf numFmtId="1" fontId="77" fillId="0" borderId="0" xfId="0" applyNumberFormat="1" applyFont="1"/>
    <xf numFmtId="0" fontId="89" fillId="59" borderId="51" xfId="0" applyFont="1" applyFill="1" applyBorder="1"/>
    <xf numFmtId="175" fontId="89" fillId="59" borderId="51" xfId="0" applyNumberFormat="1" applyFont="1" applyFill="1" applyBorder="1"/>
    <xf numFmtId="168" fontId="4" fillId="59" borderId="51" xfId="0" applyNumberFormat="1" applyFont="1" applyFill="1" applyBorder="1" applyAlignment="1">
      <alignment horizontal="left" vertical="top"/>
    </xf>
    <xf numFmtId="1" fontId="4" fillId="59" borderId="51" xfId="0" applyNumberFormat="1" applyFont="1" applyFill="1" applyBorder="1" applyAlignment="1">
      <alignment horizontal="right" vertical="top"/>
    </xf>
    <xf numFmtId="3" fontId="4" fillId="59" borderId="51" xfId="0" applyNumberFormat="1" applyFont="1" applyFill="1" applyBorder="1" applyAlignment="1">
      <alignment horizontal="right" vertical="top"/>
    </xf>
    <xf numFmtId="2" fontId="4" fillId="59" borderId="51" xfId="0" applyNumberFormat="1" applyFont="1" applyFill="1" applyBorder="1" applyAlignment="1">
      <alignment horizontal="right" vertical="top"/>
    </xf>
    <xf numFmtId="2" fontId="4" fillId="59" borderId="51" xfId="0" applyNumberFormat="1" applyFont="1" applyFill="1" applyBorder="1" applyAlignment="1">
      <alignment horizontal="left" vertical="top"/>
    </xf>
    <xf numFmtId="0" fontId="4" fillId="59" borderId="51" xfId="0" applyFont="1" applyFill="1" applyBorder="1" applyAlignment="1">
      <alignment horizontal="left" vertical="top"/>
    </xf>
    <xf numFmtId="1" fontId="4" fillId="59" borderId="51" xfId="0" applyNumberFormat="1" applyFont="1" applyFill="1" applyBorder="1" applyAlignment="1">
      <alignment horizontal="left" vertical="top"/>
    </xf>
    <xf numFmtId="1" fontId="89" fillId="59" borderId="51" xfId="0" applyNumberFormat="1" applyFont="1" applyFill="1" applyBorder="1" applyAlignment="1">
      <alignment horizontal="left"/>
    </xf>
    <xf numFmtId="174" fontId="4" fillId="59" borderId="51" xfId="0" applyNumberFormat="1" applyFont="1" applyFill="1" applyBorder="1" applyAlignment="1">
      <alignment horizontal="left" vertical="top"/>
    </xf>
    <xf numFmtId="3" fontId="89" fillId="59" borderId="51" xfId="0" applyNumberFormat="1" applyFont="1" applyFill="1" applyBorder="1"/>
    <xf numFmtId="2" fontId="4" fillId="59" borderId="51" xfId="0" applyNumberFormat="1" applyFont="1" applyFill="1" applyBorder="1" applyAlignment="1">
      <alignment horizontal="left" vertical="top" wrapText="1"/>
    </xf>
    <xf numFmtId="174" fontId="89" fillId="59" borderId="51" xfId="0" applyNumberFormat="1" applyFont="1" applyFill="1" applyBorder="1" applyAlignment="1">
      <alignment horizontal="left"/>
    </xf>
    <xf numFmtId="0" fontId="76" fillId="0" borderId="51" xfId="0" applyFont="1" applyBorder="1"/>
    <xf numFmtId="2" fontId="77" fillId="0" borderId="51" xfId="0" applyNumberFormat="1" applyFont="1" applyBorder="1" applyAlignment="1">
      <alignment horizontal="left"/>
    </xf>
    <xf numFmtId="3" fontId="76" fillId="50" borderId="51" xfId="0" applyNumberFormat="1" applyFont="1" applyFill="1" applyBorder="1"/>
    <xf numFmtId="2" fontId="76" fillId="50" borderId="51" xfId="0" applyNumberFormat="1" applyFont="1" applyFill="1" applyBorder="1" applyAlignment="1">
      <alignment horizontal="left"/>
    </xf>
    <xf numFmtId="0" fontId="89" fillId="60" borderId="51" xfId="0" applyFont="1" applyFill="1" applyBorder="1"/>
    <xf numFmtId="0" fontId="89" fillId="53" borderId="51" xfId="0" applyFont="1" applyFill="1" applyBorder="1"/>
    <xf numFmtId="0" fontId="90" fillId="0" borderId="0" xfId="0" applyFont="1"/>
    <xf numFmtId="0" fontId="91" fillId="0" borderId="0" xfId="0" applyFont="1" applyAlignment="1">
      <alignment vertical="center" wrapText="1"/>
    </xf>
    <xf numFmtId="0" fontId="90" fillId="0" borderId="0" xfId="0" applyFont="1" applyAlignment="1">
      <alignment horizontal="right"/>
    </xf>
    <xf numFmtId="0" fontId="76" fillId="0" borderId="50" xfId="0" applyFont="1" applyBorder="1"/>
    <xf numFmtId="3" fontId="76" fillId="57" borderId="51" xfId="0" applyNumberFormat="1" applyFont="1" applyFill="1" applyBorder="1" applyAlignment="1" applyProtection="1">
      <alignment horizontal="left" vertical="top" wrapText="1"/>
      <protection locked="0"/>
    </xf>
    <xf numFmtId="175" fontId="77" fillId="0" borderId="0" xfId="0" applyNumberFormat="1" applyFont="1"/>
    <xf numFmtId="0" fontId="0" fillId="61" borderId="51" xfId="0" applyFill="1" applyBorder="1"/>
    <xf numFmtId="175" fontId="77" fillId="61" borderId="51" xfId="0" applyNumberFormat="1" applyFont="1" applyFill="1" applyBorder="1"/>
    <xf numFmtId="0" fontId="77" fillId="61" borderId="51" xfId="0" applyFont="1" applyFill="1" applyBorder="1"/>
    <xf numFmtId="1" fontId="77" fillId="61" borderId="51" xfId="0" applyNumberFormat="1" applyFont="1" applyFill="1" applyBorder="1" applyAlignment="1">
      <alignment horizontal="right"/>
    </xf>
    <xf numFmtId="3" fontId="77" fillId="61" borderId="51" xfId="0" applyNumberFormat="1" applyFont="1" applyFill="1" applyBorder="1" applyAlignment="1">
      <alignment horizontal="right"/>
    </xf>
    <xf numFmtId="2" fontId="77" fillId="61" borderId="51" xfId="0" applyNumberFormat="1" applyFont="1" applyFill="1" applyBorder="1" applyAlignment="1">
      <alignment horizontal="right"/>
    </xf>
    <xf numFmtId="2" fontId="77" fillId="61" borderId="51" xfId="0" applyNumberFormat="1" applyFont="1" applyFill="1" applyBorder="1"/>
    <xf numFmtId="0" fontId="4" fillId="61" borderId="51" xfId="0" applyFont="1" applyFill="1" applyBorder="1" applyAlignment="1">
      <alignment horizontal="left" vertical="top"/>
    </xf>
    <xf numFmtId="168" fontId="4" fillId="61" borderId="51" xfId="0" applyNumberFormat="1" applyFont="1" applyFill="1" applyBorder="1" applyAlignment="1">
      <alignment horizontal="left" vertical="top"/>
    </xf>
    <xf numFmtId="1" fontId="4" fillId="61" borderId="51" xfId="0" applyNumberFormat="1" applyFont="1" applyFill="1" applyBorder="1" applyAlignment="1">
      <alignment horizontal="left" vertical="top"/>
    </xf>
    <xf numFmtId="2" fontId="4" fillId="61" borderId="51" xfId="0" applyNumberFormat="1" applyFont="1" applyFill="1" applyBorder="1" applyAlignment="1">
      <alignment horizontal="left" vertical="top"/>
    </xf>
    <xf numFmtId="1" fontId="0" fillId="61" borderId="51" xfId="0" applyNumberFormat="1" applyFill="1" applyBorder="1" applyAlignment="1">
      <alignment horizontal="left"/>
    </xf>
    <xf numFmtId="174" fontId="77" fillId="61" borderId="51" xfId="0" applyNumberFormat="1" applyFont="1" applyFill="1" applyBorder="1" applyAlignment="1">
      <alignment horizontal="left"/>
    </xf>
    <xf numFmtId="0" fontId="89" fillId="61" borderId="51" xfId="0" applyFont="1" applyFill="1" applyBorder="1"/>
    <xf numFmtId="3" fontId="0" fillId="61" borderId="51" xfId="0" applyNumberFormat="1" applyFill="1" applyBorder="1"/>
    <xf numFmtId="3" fontId="77" fillId="61" borderId="51" xfId="0" applyNumberFormat="1" applyFont="1" applyFill="1" applyBorder="1"/>
    <xf numFmtId="174" fontId="0" fillId="61" borderId="51" xfId="0" applyNumberFormat="1" applyFill="1" applyBorder="1" applyAlignment="1">
      <alignment horizontal="left"/>
    </xf>
    <xf numFmtId="4" fontId="76" fillId="57" borderId="51" xfId="0" applyNumberFormat="1" applyFont="1" applyFill="1" applyBorder="1" applyAlignment="1" applyProtection="1">
      <alignment horizontal="left" vertical="top"/>
      <protection locked="0"/>
    </xf>
    <xf numFmtId="4" fontId="76" fillId="58" borderId="51" xfId="0" applyNumberFormat="1" applyFont="1" applyFill="1" applyBorder="1"/>
    <xf numFmtId="4" fontId="92" fillId="62" borderId="0" xfId="0" applyNumberFormat="1" applyFont="1" applyFill="1"/>
    <xf numFmtId="4" fontId="77" fillId="0" borderId="51" xfId="0" applyNumberFormat="1" applyFont="1" applyBorder="1"/>
    <xf numFmtId="0" fontId="0" fillId="53" borderId="51" xfId="0" applyFill="1" applyBorder="1" applyAlignment="1">
      <alignment horizontal="center"/>
    </xf>
    <xf numFmtId="0" fontId="1" fillId="0" borderId="0" xfId="0" quotePrefix="1" applyFont="1" applyAlignment="1">
      <alignment horizontal="left"/>
    </xf>
    <xf numFmtId="0" fontId="1" fillId="20" borderId="50" xfId="0" applyFont="1" applyFill="1" applyBorder="1"/>
    <xf numFmtId="0" fontId="26" fillId="20" borderId="50" xfId="0" applyFont="1" applyFill="1" applyBorder="1"/>
    <xf numFmtId="0" fontId="1" fillId="12" borderId="1" xfId="0" quotePrefix="1" applyFont="1" applyFill="1" applyBorder="1" applyAlignment="1">
      <alignment horizontal="left"/>
    </xf>
    <xf numFmtId="3" fontId="76" fillId="63" borderId="51" xfId="0" applyNumberFormat="1" applyFont="1" applyFill="1" applyBorder="1" applyAlignment="1" applyProtection="1">
      <alignment horizontal="left" vertical="top" wrapText="1"/>
      <protection locked="0"/>
    </xf>
    <xf numFmtId="0" fontId="77" fillId="63" borderId="51" xfId="0" applyFont="1" applyFill="1" applyBorder="1" applyAlignment="1" applyProtection="1">
      <alignment horizontal="left" vertical="top"/>
      <protection locked="0"/>
    </xf>
    <xf numFmtId="3" fontId="77" fillId="63" borderId="51" xfId="0" applyNumberFormat="1" applyFont="1" applyFill="1" applyBorder="1" applyAlignment="1" applyProtection="1">
      <alignment horizontal="right" vertical="top"/>
      <protection locked="0"/>
    </xf>
    <xf numFmtId="0" fontId="76" fillId="60" borderId="51" xfId="0" applyFont="1" applyFill="1" applyBorder="1" applyAlignment="1" applyProtection="1">
      <alignment horizontal="left" vertical="top"/>
      <protection locked="0"/>
    </xf>
    <xf numFmtId="175" fontId="76" fillId="60" borderId="51" xfId="0" applyNumberFormat="1" applyFont="1" applyFill="1" applyBorder="1" applyAlignment="1" applyProtection="1">
      <alignment horizontal="left" vertical="top"/>
      <protection locked="0"/>
    </xf>
    <xf numFmtId="1" fontId="76" fillId="60" borderId="51" xfId="0" applyNumberFormat="1" applyFont="1" applyFill="1" applyBorder="1" applyAlignment="1" applyProtection="1">
      <alignment horizontal="left" vertical="top" wrapText="1"/>
      <protection locked="0"/>
    </xf>
    <xf numFmtId="3" fontId="76" fillId="60" borderId="51" xfId="0" applyNumberFormat="1" applyFont="1" applyFill="1" applyBorder="1" applyAlignment="1" applyProtection="1">
      <alignment horizontal="left" vertical="top"/>
      <protection locked="0"/>
    </xf>
    <xf numFmtId="2" fontId="76" fillId="60" borderId="51" xfId="0" applyNumberFormat="1" applyFont="1" applyFill="1" applyBorder="1" applyAlignment="1" applyProtection="1">
      <alignment horizontal="left" vertical="top" wrapText="1"/>
      <protection locked="0"/>
    </xf>
    <xf numFmtId="2" fontId="76" fillId="60" borderId="51" xfId="0" applyNumberFormat="1" applyFont="1" applyFill="1" applyBorder="1" applyAlignment="1" applyProtection="1">
      <alignment horizontal="left" vertical="top"/>
      <protection locked="0"/>
    </xf>
    <xf numFmtId="1" fontId="76" fillId="60" borderId="51" xfId="0" applyNumberFormat="1" applyFont="1" applyFill="1" applyBorder="1" applyAlignment="1" applyProtection="1">
      <alignment horizontal="left" vertical="top"/>
      <protection locked="0"/>
    </xf>
    <xf numFmtId="174" fontId="76" fillId="60" borderId="51" xfId="0" applyNumberFormat="1" applyFont="1" applyFill="1" applyBorder="1" applyAlignment="1" applyProtection="1">
      <alignment horizontal="left" vertical="top"/>
      <protection locked="0"/>
    </xf>
    <xf numFmtId="0" fontId="76" fillId="60" borderId="51" xfId="0" applyFont="1" applyFill="1" applyBorder="1" applyAlignment="1" applyProtection="1">
      <alignment horizontal="left" vertical="top" wrapText="1"/>
      <protection locked="0"/>
    </xf>
    <xf numFmtId="3" fontId="76" fillId="60" borderId="51" xfId="0" applyNumberFormat="1" applyFont="1" applyFill="1" applyBorder="1" applyAlignment="1" applyProtection="1">
      <alignment horizontal="left" vertical="top" wrapText="1"/>
      <protection locked="0"/>
    </xf>
    <xf numFmtId="0" fontId="76" fillId="60" borderId="51" xfId="0" applyFont="1" applyFill="1" applyBorder="1" applyAlignment="1" applyProtection="1">
      <alignment horizontal="center" vertical="top"/>
      <protection locked="0"/>
    </xf>
    <xf numFmtId="174" fontId="0" fillId="63" borderId="51" xfId="0" applyNumberFormat="1" applyFill="1" applyBorder="1" applyAlignment="1">
      <alignment horizontal="left"/>
    </xf>
    <xf numFmtId="0" fontId="89" fillId="63" borderId="51" xfId="0" applyFont="1" applyFill="1" applyBorder="1"/>
    <xf numFmtId="3" fontId="76" fillId="60" borderId="51" xfId="0" applyNumberFormat="1" applyFont="1" applyFill="1" applyBorder="1" applyAlignment="1" applyProtection="1">
      <alignment horizontal="right" vertical="top"/>
      <protection locked="0"/>
    </xf>
    <xf numFmtId="0" fontId="78" fillId="56" borderId="1" xfId="1" applyFill="1" applyBorder="1"/>
    <xf numFmtId="3" fontId="77" fillId="64" borderId="54" xfId="0" applyNumberFormat="1" applyFont="1" applyFill="1" applyBorder="1" applyAlignment="1" applyProtection="1">
      <alignment horizontal="right" vertical="top"/>
      <protection locked="0"/>
    </xf>
    <xf numFmtId="3" fontId="76" fillId="64" borderId="51" xfId="0" applyNumberFormat="1" applyFont="1" applyFill="1" applyBorder="1" applyAlignment="1" applyProtection="1">
      <alignment horizontal="left" vertical="top"/>
      <protection locked="0"/>
    </xf>
    <xf numFmtId="3" fontId="89" fillId="64" borderId="54" xfId="0" applyNumberFormat="1" applyFont="1" applyFill="1" applyBorder="1" applyAlignment="1" applyProtection="1">
      <alignment horizontal="right" vertical="top"/>
      <protection locked="0"/>
    </xf>
    <xf numFmtId="1" fontId="77" fillId="53" borderId="51" xfId="0" quotePrefix="1" applyNumberFormat="1" applyFont="1" applyFill="1" applyBorder="1" applyAlignment="1">
      <alignment horizontal="center" vertical="center"/>
    </xf>
    <xf numFmtId="3" fontId="89" fillId="61" borderId="51" xfId="0" applyNumberFormat="1" applyFont="1" applyFill="1" applyBorder="1"/>
    <xf numFmtId="3" fontId="77" fillId="64" borderId="51" xfId="0" applyNumberFormat="1" applyFont="1" applyFill="1" applyBorder="1"/>
    <xf numFmtId="3" fontId="89" fillId="64" borderId="51" xfId="0" applyNumberFormat="1" applyFont="1" applyFill="1" applyBorder="1"/>
    <xf numFmtId="3" fontId="77" fillId="53" borderId="51" xfId="0" applyNumberFormat="1" applyFont="1" applyFill="1" applyBorder="1"/>
    <xf numFmtId="175" fontId="77" fillId="52" borderId="51" xfId="0" applyNumberFormat="1" applyFont="1" applyFill="1" applyBorder="1"/>
    <xf numFmtId="0" fontId="77" fillId="52" borderId="51" xfId="0" applyFont="1" applyFill="1" applyBorder="1"/>
    <xf numFmtId="1" fontId="77" fillId="52" borderId="51" xfId="0" applyNumberFormat="1" applyFont="1" applyFill="1" applyBorder="1" applyAlignment="1">
      <alignment horizontal="right"/>
    </xf>
    <xf numFmtId="3" fontId="77" fillId="52" borderId="51" xfId="0" applyNumberFormat="1" applyFont="1" applyFill="1" applyBorder="1" applyAlignment="1">
      <alignment horizontal="right"/>
    </xf>
    <xf numFmtId="174" fontId="77" fillId="52" borderId="51" xfId="0" applyNumberFormat="1" applyFont="1" applyFill="1" applyBorder="1" applyAlignment="1">
      <alignment horizontal="left"/>
    </xf>
    <xf numFmtId="3" fontId="77" fillId="52" borderId="51" xfId="0" applyNumberFormat="1" applyFont="1" applyFill="1" applyBorder="1"/>
    <xf numFmtId="0" fontId="76" fillId="52" borderId="51" xfId="0" applyFont="1" applyFill="1" applyBorder="1"/>
    <xf numFmtId="0" fontId="77" fillId="52" borderId="51" xfId="0" applyFont="1" applyFill="1" applyBorder="1" applyAlignment="1">
      <alignment horizontal="center" vertical="center"/>
    </xf>
    <xf numFmtId="0" fontId="77" fillId="53" borderId="51" xfId="0" applyFont="1" applyFill="1" applyBorder="1" applyAlignment="1">
      <alignment horizontal="center" vertical="center"/>
    </xf>
    <xf numFmtId="3" fontId="77" fillId="63" borderId="51" xfId="0" applyNumberFormat="1" applyFont="1" applyFill="1" applyBorder="1" applyAlignment="1" applyProtection="1">
      <alignment horizontal="left" vertical="top"/>
      <protection locked="0"/>
    </xf>
    <xf numFmtId="2" fontId="77" fillId="0" borderId="0" xfId="0" applyNumberFormat="1" applyFont="1"/>
    <xf numFmtId="0" fontId="77" fillId="61" borderId="55" xfId="0" applyFont="1" applyFill="1" applyBorder="1" applyAlignment="1">
      <alignment horizontal="center" vertical="center"/>
    </xf>
    <xf numFmtId="1" fontId="77" fillId="0" borderId="50" xfId="0" applyNumberFormat="1" applyFont="1" applyBorder="1" applyAlignment="1">
      <alignment horizontal="right"/>
    </xf>
    <xf numFmtId="3" fontId="93" fillId="53" borderId="54" xfId="0" applyNumberFormat="1" applyFont="1" applyFill="1" applyBorder="1"/>
    <xf numFmtId="2" fontId="77" fillId="60" borderId="51" xfId="0" applyNumberFormat="1" applyFont="1" applyFill="1" applyBorder="1"/>
    <xf numFmtId="2" fontId="0" fillId="0" borderId="51" xfId="0" applyNumberFormat="1" applyBorder="1" applyAlignment="1">
      <alignment horizontal="right"/>
    </xf>
    <xf numFmtId="2" fontId="76" fillId="50" borderId="51" xfId="0" applyNumberFormat="1" applyFont="1" applyFill="1" applyBorder="1" applyAlignment="1">
      <alignment horizontal="right"/>
    </xf>
    <xf numFmtId="40" fontId="1" fillId="12" borderId="5" xfId="0" applyNumberFormat="1" applyFont="1" applyFill="1" applyBorder="1" applyAlignment="1">
      <alignment horizontal="center"/>
    </xf>
    <xf numFmtId="0" fontId="4" fillId="0" borderId="7" xfId="0" applyFont="1" applyBorder="1"/>
    <xf numFmtId="40" fontId="1" fillId="9" borderId="26" xfId="0" applyNumberFormat="1" applyFont="1" applyFill="1" applyBorder="1" applyAlignment="1">
      <alignment horizontal="right"/>
    </xf>
    <xf numFmtId="0" fontId="4" fillId="0" borderId="27" xfId="0" applyFont="1" applyBorder="1"/>
    <xf numFmtId="4" fontId="1" fillId="3" borderId="2" xfId="0" applyNumberFormat="1" applyFont="1" applyFill="1" applyBorder="1" applyAlignment="1">
      <alignment horizontal="center"/>
    </xf>
    <xf numFmtId="0" fontId="4" fillId="0" borderId="4" xfId="0" applyFont="1" applyBorder="1"/>
    <xf numFmtId="40" fontId="1" fillId="9" borderId="2" xfId="0" applyNumberFormat="1" applyFont="1" applyFill="1" applyBorder="1" applyAlignment="1">
      <alignment horizontal="center"/>
    </xf>
    <xf numFmtId="40" fontId="1" fillId="9" borderId="5" xfId="0" applyNumberFormat="1" applyFont="1" applyFill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4" fillId="0" borderId="30" xfId="0" applyFont="1" applyBorder="1"/>
    <xf numFmtId="4" fontId="1" fillId="0" borderId="2" xfId="0" applyNumberFormat="1" applyFont="1" applyBorder="1" applyAlignment="1">
      <alignment horizontal="center"/>
    </xf>
    <xf numFmtId="40" fontId="1" fillId="14" borderId="2" xfId="0" applyNumberFormat="1" applyFont="1" applyFill="1" applyBorder="1" applyAlignment="1">
      <alignment horizontal="center"/>
    </xf>
    <xf numFmtId="40" fontId="1" fillId="0" borderId="2" xfId="0" applyNumberFormat="1" applyFont="1" applyBorder="1" applyAlignment="1">
      <alignment horizontal="center"/>
    </xf>
    <xf numFmtId="40" fontId="2" fillId="15" borderId="2" xfId="0" applyNumberFormat="1" applyFont="1" applyFill="1" applyBorder="1" applyAlignment="1">
      <alignment horizontal="center"/>
    </xf>
    <xf numFmtId="4" fontId="2" fillId="15" borderId="2" xfId="0" applyNumberFormat="1" applyFont="1" applyFill="1" applyBorder="1" applyAlignment="1">
      <alignment horizontal="center"/>
    </xf>
    <xf numFmtId="40" fontId="1" fillId="14" borderId="26" xfId="0" applyNumberFormat="1" applyFont="1" applyFill="1" applyBorder="1" applyAlignment="1">
      <alignment horizontal="right"/>
    </xf>
    <xf numFmtId="0" fontId="1" fillId="12" borderId="9" xfId="0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1" fillId="6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" fillId="13" borderId="5" xfId="0" applyFont="1" applyFill="1" applyBorder="1" applyAlignment="1">
      <alignment horizontal="center"/>
    </xf>
    <xf numFmtId="0" fontId="4" fillId="0" borderId="6" xfId="0" applyFont="1" applyBorder="1"/>
    <xf numFmtId="0" fontId="6" fillId="0" borderId="9" xfId="0" applyFont="1" applyBorder="1" applyAlignment="1">
      <alignment horizontal="center"/>
    </xf>
    <xf numFmtId="0" fontId="4" fillId="0" borderId="25" xfId="0" applyFont="1" applyBorder="1"/>
    <xf numFmtId="40" fontId="7" fillId="0" borderId="10" xfId="0" applyNumberFormat="1" applyFont="1" applyBorder="1" applyAlignment="1">
      <alignment horizontal="left"/>
    </xf>
    <xf numFmtId="40" fontId="1" fillId="12" borderId="2" xfId="0" applyNumberFormat="1" applyFont="1" applyFill="1" applyBorder="1" applyAlignment="1">
      <alignment horizontal="center"/>
    </xf>
    <xf numFmtId="0" fontId="1" fillId="0" borderId="26" xfId="0" applyFont="1" applyBorder="1" applyAlignment="1">
      <alignment horizontal="left" wrapText="1"/>
    </xf>
    <xf numFmtId="0" fontId="1" fillId="5" borderId="5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1" fillId="10" borderId="1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/>
    </xf>
    <xf numFmtId="0" fontId="4" fillId="0" borderId="3" xfId="0" applyFont="1" applyBorder="1"/>
    <xf numFmtId="0" fontId="1" fillId="6" borderId="2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4" fillId="0" borderId="17" xfId="0" applyFont="1" applyBorder="1"/>
    <xf numFmtId="0" fontId="1" fillId="1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92" fillId="62" borderId="56" xfId="0" applyNumberFormat="1" applyFont="1" applyFill="1" applyBorder="1" applyAlignment="1">
      <alignment horizontal="center"/>
    </xf>
    <xf numFmtId="3" fontId="92" fillId="62" borderId="57" xfId="0" applyNumberFormat="1" applyFont="1" applyFill="1" applyBorder="1" applyAlignment="1">
      <alignment horizontal="center"/>
    </xf>
    <xf numFmtId="175" fontId="76" fillId="64" borderId="54" xfId="0" applyNumberFormat="1" applyFont="1" applyFill="1" applyBorder="1" applyAlignment="1" applyProtection="1">
      <alignment horizontal="center" vertical="top"/>
      <protection locked="0"/>
    </xf>
    <xf numFmtId="175" fontId="76" fillId="64" borderId="55" xfId="0" applyNumberFormat="1" applyFont="1" applyFill="1" applyBorder="1" applyAlignment="1" applyProtection="1">
      <alignment horizontal="center" vertical="top"/>
      <protection locked="0"/>
    </xf>
    <xf numFmtId="0" fontId="77" fillId="61" borderId="51" xfId="0" applyFont="1" applyFill="1" applyBorder="1" applyAlignment="1">
      <alignment horizontal="center" vertical="center"/>
    </xf>
    <xf numFmtId="0" fontId="76" fillId="53" borderId="59" xfId="0" applyFont="1" applyFill="1" applyBorder="1" applyAlignment="1" applyProtection="1">
      <alignment horizontal="right" vertical="top"/>
      <protection locked="0"/>
    </xf>
    <xf numFmtId="0" fontId="1" fillId="34" borderId="26" xfId="0" applyFont="1" applyFill="1" applyBorder="1" applyAlignment="1">
      <alignment horizontal="center" vertical="center"/>
    </xf>
    <xf numFmtId="0" fontId="1" fillId="36" borderId="26" xfId="0" applyFont="1" applyFill="1" applyBorder="1" applyAlignment="1">
      <alignment horizontal="center" vertical="center"/>
    </xf>
    <xf numFmtId="0" fontId="2" fillId="34" borderId="2" xfId="0" applyFont="1" applyFill="1" applyBorder="1" applyAlignment="1">
      <alignment horizontal="center"/>
    </xf>
    <xf numFmtId="0" fontId="2" fillId="36" borderId="2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2" fillId="34" borderId="26" xfId="0" applyFont="1" applyFill="1" applyBorder="1" applyAlignment="1">
      <alignment horizontal="center" vertical="center"/>
    </xf>
    <xf numFmtId="0" fontId="2" fillId="34" borderId="22" xfId="0" applyFont="1" applyFill="1" applyBorder="1" applyAlignment="1">
      <alignment horizontal="center"/>
    </xf>
    <xf numFmtId="0" fontId="1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left" wrapText="1"/>
    </xf>
    <xf numFmtId="0" fontId="2" fillId="20" borderId="2" xfId="0" applyFont="1" applyFill="1" applyBorder="1" applyAlignment="1">
      <alignment horizontal="center"/>
    </xf>
    <xf numFmtId="0" fontId="1" fillId="35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2" xfId="0" applyFont="1" applyBorder="1" applyAlignment="1">
      <alignment wrapText="1"/>
    </xf>
    <xf numFmtId="0" fontId="15" fillId="35" borderId="26" xfId="0" applyFont="1" applyFill="1" applyBorder="1" applyAlignment="1">
      <alignment wrapText="1"/>
    </xf>
    <xf numFmtId="0" fontId="4" fillId="0" borderId="31" xfId="0" applyFont="1" applyBorder="1"/>
    <xf numFmtId="0" fontId="53" fillId="49" borderId="4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4" fillId="0" borderId="49" xfId="0" applyFont="1" applyBorder="1"/>
    <xf numFmtId="0" fontId="53" fillId="49" borderId="48" xfId="0" applyFont="1" applyFill="1" applyBorder="1" applyAlignment="1">
      <alignment horizontal="left" vertical="center" wrapText="1"/>
    </xf>
    <xf numFmtId="4" fontId="53" fillId="49" borderId="2" xfId="0" applyNumberFormat="1" applyFont="1" applyFill="1" applyBorder="1" applyAlignment="1">
      <alignment horizontal="right" vertical="center" wrapText="1"/>
    </xf>
    <xf numFmtId="0" fontId="53" fillId="49" borderId="2" xfId="0" applyFont="1" applyFill="1" applyBorder="1" applyAlignment="1">
      <alignment horizontal="right" vertical="center" wrapText="1"/>
    </xf>
    <xf numFmtId="0" fontId="53" fillId="49" borderId="48" xfId="0" applyFont="1" applyFill="1" applyBorder="1" applyAlignment="1">
      <alignment horizontal="right" vertical="center" wrapText="1"/>
    </xf>
    <xf numFmtId="0" fontId="67" fillId="0" borderId="2" xfId="0" applyFont="1" applyBorder="1" applyAlignment="1">
      <alignment horizontal="center" vertical="center"/>
    </xf>
    <xf numFmtId="0" fontId="68" fillId="0" borderId="2" xfId="0" applyFont="1" applyBorder="1" applyAlignment="1">
      <alignment vertical="center"/>
    </xf>
    <xf numFmtId="0" fontId="58" fillId="0" borderId="0" xfId="0" applyFont="1" applyAlignment="1">
      <alignment horizontal="center" vertical="center"/>
    </xf>
    <xf numFmtId="0" fontId="2" fillId="38" borderId="4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0" fillId="0" borderId="0" xfId="0" applyNumberFormat="1"/>
    <xf numFmtId="0" fontId="76" fillId="57" borderId="51" xfId="0" applyFont="1" applyFill="1" applyBorder="1" applyAlignment="1" applyProtection="1">
      <alignment horizontal="center" vertical="top"/>
      <protection locked="0"/>
    </xf>
    <xf numFmtId="0" fontId="76" fillId="53" borderId="58" xfId="0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76" fillId="57" borderId="51" xfId="0" applyFont="1" applyFill="1" applyBorder="1" applyAlignment="1" applyProtection="1">
      <alignment horizontal="center" vertical="top" wrapText="1"/>
      <protection locked="0"/>
    </xf>
    <xf numFmtId="0" fontId="76" fillId="53" borderId="59" xfId="0" applyFont="1" applyFill="1" applyBorder="1" applyAlignment="1" applyProtection="1">
      <alignment horizontal="center" vertical="top"/>
      <protection locked="0"/>
    </xf>
    <xf numFmtId="175" fontId="76" fillId="64" borderId="52" xfId="0" applyNumberFormat="1" applyFont="1" applyFill="1" applyBorder="1" applyAlignment="1" applyProtection="1">
      <alignment horizontal="center" vertical="top"/>
      <protection locked="0"/>
    </xf>
    <xf numFmtId="2" fontId="76" fillId="57" borderId="51" xfId="0" applyNumberFormat="1" applyFont="1" applyFill="1" applyBorder="1" applyAlignment="1" applyProtection="1">
      <alignment horizontal="center" vertical="top" wrapText="1"/>
      <protection locked="0"/>
    </xf>
    <xf numFmtId="2" fontId="77" fillId="52" borderId="51" xfId="0" applyNumberFormat="1" applyFont="1" applyFill="1" applyBorder="1" applyAlignment="1">
      <alignment horizontal="center"/>
    </xf>
    <xf numFmtId="2" fontId="77" fillId="53" borderId="51" xfId="0" applyNumberFormat="1" applyFont="1" applyFill="1" applyBorder="1" applyAlignment="1">
      <alignment horizontal="center"/>
    </xf>
    <xf numFmtId="2" fontId="77" fillId="58" borderId="51" xfId="0" applyNumberFormat="1" applyFont="1" applyFill="1" applyBorder="1" applyAlignment="1">
      <alignment horizontal="center"/>
    </xf>
    <xf numFmtId="3" fontId="76" fillId="57" borderId="51" xfId="0" applyNumberFormat="1" applyFont="1" applyFill="1" applyBorder="1" applyAlignment="1" applyProtection="1">
      <alignment horizontal="center" vertical="top"/>
      <protection locked="0"/>
    </xf>
    <xf numFmtId="3" fontId="77" fillId="52" borderId="51" xfId="0" applyNumberFormat="1" applyFont="1" applyFill="1" applyBorder="1" applyAlignment="1">
      <alignment horizontal="center"/>
    </xf>
    <xf numFmtId="3" fontId="77" fillId="53" borderId="51" xfId="0" applyNumberFormat="1" applyFont="1" applyFill="1" applyBorder="1" applyAlignment="1">
      <alignment horizontal="center"/>
    </xf>
    <xf numFmtId="3" fontId="77" fillId="58" borderId="5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74" fontId="77" fillId="64" borderId="51" xfId="0" applyNumberFormat="1" applyFont="1" applyFill="1" applyBorder="1" applyAlignment="1">
      <alignment horizontal="left"/>
    </xf>
    <xf numFmtId="0" fontId="77" fillId="64" borderId="51" xfId="0" applyFont="1" applyFill="1" applyBorder="1" applyAlignment="1">
      <alignment horizontal="center"/>
    </xf>
    <xf numFmtId="3" fontId="77" fillId="64" borderId="51" xfId="0" applyNumberFormat="1" applyFont="1" applyFill="1" applyBorder="1" applyAlignment="1">
      <alignment horizontal="right"/>
    </xf>
    <xf numFmtId="0" fontId="77" fillId="64" borderId="51" xfId="0" applyFont="1" applyFill="1" applyBorder="1"/>
    <xf numFmtId="3" fontId="77" fillId="53" borderId="58" xfId="0" applyNumberFormat="1" applyFont="1" applyFill="1" applyBorder="1" applyAlignment="1">
      <alignment horizontal="center"/>
    </xf>
    <xf numFmtId="3" fontId="77" fillId="53" borderId="59" xfId="0" applyNumberFormat="1" applyFont="1" applyFill="1" applyBorder="1" applyAlignment="1">
      <alignment horizontal="center"/>
    </xf>
    <xf numFmtId="3" fontId="77" fillId="53" borderId="60" xfId="0" applyNumberFormat="1" applyFont="1" applyFill="1" applyBorder="1" applyAlignment="1">
      <alignment horizontal="center"/>
    </xf>
    <xf numFmtId="174" fontId="77" fillId="64" borderId="54" xfId="0" applyNumberFormat="1" applyFont="1" applyFill="1" applyBorder="1" applyAlignment="1">
      <alignment horizontal="left"/>
    </xf>
    <xf numFmtId="175" fontId="77" fillId="64" borderId="54" xfId="0" applyNumberFormat="1" applyFont="1" applyFill="1" applyBorder="1" applyAlignment="1">
      <alignment horizontal="center" vertical="center"/>
    </xf>
    <xf numFmtId="1" fontId="89" fillId="64" borderId="54" xfId="0" applyNumberFormat="1" applyFont="1" applyFill="1" applyBorder="1" applyAlignment="1">
      <alignment vertical="center"/>
    </xf>
    <xf numFmtId="175" fontId="77" fillId="64" borderId="52" xfId="0" applyNumberFormat="1" applyFont="1" applyFill="1" applyBorder="1" applyAlignment="1">
      <alignment horizontal="center" vertical="center"/>
    </xf>
    <xf numFmtId="1" fontId="89" fillId="64" borderId="52" xfId="0" applyNumberFormat="1" applyFont="1" applyFill="1" applyBorder="1" applyAlignment="1">
      <alignment vertical="center"/>
    </xf>
    <xf numFmtId="175" fontId="77" fillId="64" borderId="55" xfId="0" applyNumberFormat="1" applyFont="1" applyFill="1" applyBorder="1" applyAlignment="1">
      <alignment horizontal="center" vertical="center"/>
    </xf>
    <xf numFmtId="1" fontId="89" fillId="64" borderId="55" xfId="0" applyNumberFormat="1" applyFont="1" applyFill="1" applyBorder="1" applyAlignment="1">
      <alignment vertical="center"/>
    </xf>
    <xf numFmtId="175" fontId="77" fillId="64" borderId="54" xfId="0" applyNumberFormat="1" applyFont="1" applyFill="1" applyBorder="1" applyAlignment="1">
      <alignment horizontal="center"/>
    </xf>
    <xf numFmtId="175" fontId="77" fillId="64" borderId="55" xfId="0" applyNumberFormat="1" applyFont="1" applyFill="1" applyBorder="1" applyAlignment="1">
      <alignment horizontal="center"/>
    </xf>
    <xf numFmtId="175" fontId="77" fillId="61" borderId="55" xfId="0" applyNumberFormat="1" applyFont="1" applyFill="1" applyBorder="1" applyAlignment="1">
      <alignment horizontal="center" vertical="center"/>
    </xf>
    <xf numFmtId="175" fontId="77" fillId="61" borderId="55" xfId="0" applyNumberFormat="1" applyFont="1" applyFill="1" applyBorder="1" applyAlignment="1">
      <alignment horizontal="center"/>
    </xf>
    <xf numFmtId="1" fontId="89" fillId="61" borderId="55" xfId="0" applyNumberFormat="1" applyFont="1" applyFill="1" applyBorder="1" applyAlignment="1">
      <alignment horizontal="center" vertical="center" wrapText="1"/>
    </xf>
    <xf numFmtId="3" fontId="89" fillId="61" borderId="55" xfId="0" applyNumberFormat="1" applyFont="1" applyFill="1" applyBorder="1" applyAlignment="1">
      <alignment horizontal="center" vertical="center" wrapText="1"/>
    </xf>
    <xf numFmtId="2" fontId="89" fillId="61" borderId="55" xfId="0" applyNumberFormat="1" applyFont="1" applyFill="1" applyBorder="1" applyAlignment="1">
      <alignment horizontal="center" vertical="center" wrapText="1"/>
    </xf>
    <xf numFmtId="0" fontId="89" fillId="61" borderId="55" xfId="0" applyFont="1" applyFill="1" applyBorder="1" applyAlignment="1">
      <alignment horizontal="center" vertical="center"/>
    </xf>
    <xf numFmtId="168" fontId="89" fillId="61" borderId="55" xfId="0" applyNumberFormat="1" applyFont="1" applyFill="1" applyBorder="1" applyAlignment="1">
      <alignment horizontal="center" vertical="center"/>
    </xf>
    <xf numFmtId="1" fontId="89" fillId="61" borderId="55" xfId="0" applyNumberFormat="1" applyFont="1" applyFill="1" applyBorder="1" applyAlignment="1">
      <alignment horizontal="center" vertical="center"/>
    </xf>
    <xf numFmtId="2" fontId="89" fillId="61" borderId="55" xfId="0" applyNumberFormat="1" applyFont="1" applyFill="1" applyBorder="1" applyAlignment="1">
      <alignment horizontal="center" vertical="center"/>
    </xf>
    <xf numFmtId="1" fontId="77" fillId="61" borderId="55" xfId="0" applyNumberFormat="1" applyFont="1" applyFill="1" applyBorder="1" applyAlignment="1">
      <alignment horizontal="center" vertical="center"/>
    </xf>
    <xf numFmtId="0" fontId="77" fillId="58" borderId="51" xfId="0" applyFont="1" applyFill="1" applyBorder="1" applyAlignment="1">
      <alignment horizontal="center"/>
    </xf>
    <xf numFmtId="175" fontId="77" fillId="58" borderId="51" xfId="0" applyNumberFormat="1" applyFont="1" applyFill="1" applyBorder="1"/>
    <xf numFmtId="0" fontId="77" fillId="58" borderId="51" xfId="0" applyFont="1" applyFill="1" applyBorder="1" applyAlignment="1">
      <alignment horizontal="center" vertical="center"/>
    </xf>
    <xf numFmtId="1" fontId="77" fillId="58" borderId="51" xfId="0" applyNumberFormat="1" applyFont="1" applyFill="1" applyBorder="1"/>
    <xf numFmtId="1" fontId="77" fillId="58" borderId="51" xfId="0" applyNumberFormat="1" applyFont="1" applyFill="1" applyBorder="1" applyAlignment="1">
      <alignment horizontal="center" vertical="center"/>
    </xf>
    <xf numFmtId="174" fontId="77" fillId="58" borderId="51" xfId="0" applyNumberFormat="1" applyFont="1" applyFill="1" applyBorder="1" applyAlignment="1">
      <alignment horizontal="left"/>
    </xf>
    <xf numFmtId="3" fontId="77" fillId="58" borderId="51" xfId="0" applyNumberFormat="1" applyFont="1" applyFill="1" applyBorder="1"/>
    <xf numFmtId="0" fontId="77" fillId="52" borderId="51" xfId="0" applyFont="1" applyFill="1" applyBorder="1" applyAlignment="1">
      <alignment horizontal="center"/>
    </xf>
    <xf numFmtId="0" fontId="89" fillId="52" borderId="51" xfId="0" applyFont="1" applyFill="1" applyBorder="1" applyAlignment="1">
      <alignment horizontal="center" vertical="top"/>
    </xf>
    <xf numFmtId="168" fontId="89" fillId="52" borderId="51" xfId="0" applyNumberFormat="1" applyFont="1" applyFill="1" applyBorder="1" applyAlignment="1">
      <alignment horizontal="center" vertical="center"/>
    </xf>
    <xf numFmtId="1" fontId="89" fillId="52" borderId="51" xfId="0" applyNumberFormat="1" applyFont="1" applyFill="1" applyBorder="1" applyAlignment="1">
      <alignment horizontal="left" vertical="top"/>
    </xf>
    <xf numFmtId="2" fontId="89" fillId="52" borderId="51" xfId="0" applyNumberFormat="1" applyFont="1" applyFill="1" applyBorder="1" applyAlignment="1">
      <alignment horizontal="left" vertical="top"/>
    </xf>
    <xf numFmtId="1" fontId="77" fillId="52" borderId="51" xfId="0" applyNumberFormat="1" applyFont="1" applyFill="1" applyBorder="1" applyAlignment="1">
      <alignment horizontal="center" vertical="center"/>
    </xf>
    <xf numFmtId="0" fontId="77" fillId="53" borderId="51" xfId="0" applyFont="1" applyFill="1" applyBorder="1" applyAlignment="1">
      <alignment horizontal="center"/>
    </xf>
    <xf numFmtId="175" fontId="77" fillId="53" borderId="51" xfId="0" applyNumberFormat="1" applyFont="1" applyFill="1" applyBorder="1"/>
    <xf numFmtId="168" fontId="89" fillId="53" borderId="51" xfId="0" applyNumberFormat="1" applyFont="1" applyFill="1" applyBorder="1" applyAlignment="1">
      <alignment horizontal="center" vertical="center"/>
    </xf>
    <xf numFmtId="1" fontId="89" fillId="53" borderId="51" xfId="0" applyNumberFormat="1" applyFont="1" applyFill="1" applyBorder="1" applyAlignment="1">
      <alignment horizontal="left" vertical="top"/>
    </xf>
    <xf numFmtId="2" fontId="89" fillId="53" borderId="51" xfId="0" applyNumberFormat="1" applyFont="1" applyFill="1" applyBorder="1" applyAlignment="1">
      <alignment horizontal="left" vertical="top"/>
    </xf>
    <xf numFmtId="174" fontId="77" fillId="53" borderId="51" xfId="0" applyNumberFormat="1" applyFont="1" applyFill="1" applyBorder="1" applyAlignment="1">
      <alignment horizontal="left"/>
    </xf>
    <xf numFmtId="1" fontId="77" fillId="53" borderId="51" xfId="0" applyNumberFormat="1" applyFont="1" applyFill="1" applyBorder="1" applyAlignment="1">
      <alignment horizontal="center" vertical="center"/>
    </xf>
    <xf numFmtId="168" fontId="89" fillId="58" borderId="51" xfId="0" applyNumberFormat="1" applyFont="1" applyFill="1" applyBorder="1" applyAlignment="1">
      <alignment horizontal="left" vertical="top"/>
    </xf>
    <xf numFmtId="1" fontId="89" fillId="58" borderId="51" xfId="0" applyNumberFormat="1" applyFont="1" applyFill="1" applyBorder="1" applyAlignment="1">
      <alignment horizontal="left" vertical="top"/>
    </xf>
    <xf numFmtId="2" fontId="89" fillId="58" borderId="51" xfId="0" applyNumberFormat="1" applyFont="1" applyFill="1" applyBorder="1" applyAlignment="1">
      <alignment horizontal="left" vertical="top"/>
    </xf>
    <xf numFmtId="1" fontId="77" fillId="58" borderId="51" xfId="0" applyNumberFormat="1" applyFont="1" applyFill="1" applyBorder="1" applyAlignment="1">
      <alignment horizontal="left"/>
    </xf>
    <xf numFmtId="0" fontId="77" fillId="0" borderId="0" xfId="0" applyFont="1" applyAlignment="1">
      <alignment horizontal="center"/>
    </xf>
    <xf numFmtId="0" fontId="77" fillId="0" borderId="52" xfId="0" applyFont="1" applyBorder="1"/>
    <xf numFmtId="3" fontId="77" fillId="0" borderId="50" xfId="0" applyNumberFormat="1" applyFont="1" applyBorder="1" applyAlignment="1">
      <alignment horizontal="center"/>
    </xf>
    <xf numFmtId="2" fontId="77" fillId="0" borderId="50" xfId="0" applyNumberFormat="1" applyFont="1" applyBorder="1" applyAlignment="1">
      <alignment horizontal="center"/>
    </xf>
    <xf numFmtId="174" fontId="77" fillId="0" borderId="0" xfId="0" applyNumberFormat="1" applyFont="1" applyAlignment="1">
      <alignment horizontal="left"/>
    </xf>
    <xf numFmtId="2" fontId="76" fillId="57" borderId="51" xfId="0" applyNumberFormat="1" applyFont="1" applyFill="1" applyBorder="1" applyAlignment="1" applyProtection="1">
      <alignment horizontal="center" vertical="top"/>
      <protection locked="0"/>
    </xf>
    <xf numFmtId="0" fontId="5" fillId="52" borderId="0" xfId="0" applyFont="1" applyFill="1"/>
    <xf numFmtId="0" fontId="1" fillId="21" borderId="32" xfId="0" applyFont="1" applyFill="1" applyBorder="1" applyAlignment="1">
      <alignment horizontal="right"/>
    </xf>
    <xf numFmtId="168" fontId="1" fillId="21" borderId="29" xfId="0" applyNumberFormat="1" applyFont="1" applyFill="1" applyBorder="1" applyAlignment="1">
      <alignment horizontal="right"/>
    </xf>
    <xf numFmtId="0" fontId="16" fillId="21" borderId="26" xfId="0" applyFont="1" applyFill="1" applyBorder="1" applyAlignment="1">
      <alignment horizontal="left" wrapText="1"/>
    </xf>
    <xf numFmtId="0" fontId="2" fillId="12" borderId="27" xfId="0" applyFont="1" applyFill="1" applyBorder="1" applyAlignment="1">
      <alignment horizontal="left"/>
    </xf>
    <xf numFmtId="0" fontId="16" fillId="65" borderId="51" xfId="0" applyFont="1" applyFill="1" applyBorder="1" applyAlignment="1">
      <alignment wrapText="1"/>
    </xf>
    <xf numFmtId="0" fontId="1" fillId="24" borderId="32" xfId="0" applyFont="1" applyFill="1" applyBorder="1" applyAlignment="1">
      <alignment horizontal="right"/>
    </xf>
    <xf numFmtId="168" fontId="1" fillId="24" borderId="29" xfId="0" applyNumberFormat="1" applyFont="1" applyFill="1" applyBorder="1"/>
    <xf numFmtId="0" fontId="11" fillId="24" borderId="26" xfId="0" applyFont="1" applyFill="1" applyBorder="1" applyAlignment="1">
      <alignment horizontal="left"/>
    </xf>
    <xf numFmtId="0" fontId="52" fillId="66" borderId="51" xfId="0" applyFont="1" applyFill="1" applyBorder="1" applyAlignment="1">
      <alignment wrapText="1"/>
    </xf>
    <xf numFmtId="0" fontId="1" fillId="29" borderId="33" xfId="0" applyFont="1" applyFill="1" applyBorder="1" applyAlignment="1">
      <alignment horizontal="left"/>
    </xf>
    <xf numFmtId="0" fontId="21" fillId="30" borderId="29" xfId="0" applyFont="1" applyFill="1" applyBorder="1"/>
    <xf numFmtId="0" fontId="1" fillId="29" borderId="27" xfId="0" applyFont="1" applyFill="1" applyBorder="1" applyAlignment="1">
      <alignment horizontal="left"/>
    </xf>
    <xf numFmtId="0" fontId="1" fillId="29" borderId="51" xfId="0" applyFont="1" applyFill="1" applyBorder="1" applyAlignment="1">
      <alignment horizontal="left"/>
    </xf>
    <xf numFmtId="3" fontId="76" fillId="57" borderId="51" xfId="0" applyNumberFormat="1" applyFont="1" applyFill="1" applyBorder="1" applyAlignment="1" applyProtection="1">
      <alignment horizontal="right" vertical="top" wrapText="1"/>
      <protection locked="0"/>
    </xf>
    <xf numFmtId="3" fontId="76" fillId="60" borderId="51" xfId="0" applyNumberFormat="1" applyFont="1" applyFill="1" applyBorder="1" applyAlignment="1" applyProtection="1">
      <alignment horizontal="right" vertical="top" wrapText="1"/>
      <protection locked="0"/>
    </xf>
    <xf numFmtId="3" fontId="0" fillId="53" borderId="51" xfId="0" applyNumberFormat="1" applyFill="1" applyBorder="1" applyAlignment="1">
      <alignment horizontal="right"/>
    </xf>
    <xf numFmtId="3" fontId="76" fillId="58" borderId="51" xfId="0" applyNumberFormat="1" applyFont="1" applyFill="1" applyBorder="1" applyAlignment="1">
      <alignment horizontal="right"/>
    </xf>
    <xf numFmtId="3" fontId="88" fillId="52" borderId="52" xfId="0" applyNumberFormat="1" applyFont="1" applyFill="1" applyBorder="1" applyAlignment="1">
      <alignment horizontal="right"/>
    </xf>
    <xf numFmtId="1" fontId="77" fillId="53" borderId="51" xfId="0" applyNumberFormat="1" applyFont="1" applyFill="1" applyBorder="1" applyAlignment="1">
      <alignment horizontal="center"/>
    </xf>
    <xf numFmtId="0" fontId="2" fillId="67" borderId="2" xfId="0" applyFont="1" applyFill="1" applyBorder="1" applyAlignment="1">
      <alignment horizontal="left"/>
    </xf>
    <xf numFmtId="0" fontId="4" fillId="68" borderId="3" xfId="0" applyFont="1" applyFill="1" applyBorder="1"/>
    <xf numFmtId="0" fontId="4" fillId="68" borderId="4" xfId="0" applyFont="1" applyFill="1" applyBorder="1"/>
    <xf numFmtId="0" fontId="97" fillId="0" borderId="0" xfId="0" applyFont="1"/>
    <xf numFmtId="0" fontId="80" fillId="0" borderId="51" xfId="0" applyFont="1" applyBorder="1"/>
    <xf numFmtId="0" fontId="97" fillId="0" borderId="51" xfId="0" applyFont="1" applyBorder="1"/>
    <xf numFmtId="0" fontId="97" fillId="0" borderId="51" xfId="0" applyFont="1" applyBorder="1" applyAlignment="1">
      <alignment horizontal="left"/>
    </xf>
    <xf numFmtId="0" fontId="97" fillId="0" borderId="50" xfId="0" applyFont="1" applyBorder="1"/>
    <xf numFmtId="0" fontId="97" fillId="0" borderId="50" xfId="0" applyFont="1" applyBorder="1" applyAlignment="1">
      <alignment horizontal="left"/>
    </xf>
    <xf numFmtId="0" fontId="80" fillId="64" borderId="51" xfId="0" applyFont="1" applyFill="1" applyBorder="1" applyAlignment="1">
      <alignment horizontal="left" vertical="center"/>
    </xf>
    <xf numFmtId="0" fontId="97" fillId="0" borderId="0" xfId="0" applyFont="1" applyAlignment="1">
      <alignment horizontal="left" vertical="center"/>
    </xf>
    <xf numFmtId="0" fontId="97" fillId="0" borderId="51" xfId="0" applyFont="1" applyBorder="1" applyAlignment="1">
      <alignment horizontal="left" vertical="center"/>
    </xf>
    <xf numFmtId="0" fontId="80" fillId="0" borderId="0" xfId="0" applyFont="1" applyAlignment="1">
      <alignment horizontal="left" vertical="center"/>
    </xf>
    <xf numFmtId="0" fontId="80" fillId="53" borderId="0" xfId="0" applyFont="1" applyFill="1" applyAlignment="1">
      <alignment horizontal="left" vertical="center"/>
    </xf>
    <xf numFmtId="0" fontId="97" fillId="53" borderId="0" xfId="0" applyFont="1" applyFill="1" applyAlignment="1">
      <alignment horizontal="left" vertical="center"/>
    </xf>
    <xf numFmtId="0" fontId="97" fillId="52" borderId="51" xfId="0" applyFont="1" applyFill="1" applyBorder="1" applyAlignment="1">
      <alignment vertical="center"/>
    </xf>
    <xf numFmtId="0" fontId="97" fillId="69" borderId="51" xfId="0" applyFont="1" applyFill="1" applyBorder="1" applyAlignment="1">
      <alignment horizontal="left" vertical="center"/>
    </xf>
    <xf numFmtId="0" fontId="77" fillId="53" borderId="58" xfId="0" applyFont="1" applyFill="1" applyBorder="1" applyAlignment="1" applyProtection="1">
      <alignment horizontal="center" vertical="top"/>
      <protection locked="0"/>
    </xf>
    <xf numFmtId="0" fontId="78" fillId="30" borderId="28" xfId="1" applyFill="1" applyBorder="1" applyAlignment="1">
      <alignment wrapText="1"/>
    </xf>
    <xf numFmtId="174" fontId="77" fillId="70" borderId="51" xfId="0" applyNumberFormat="1" applyFont="1" applyFill="1" applyBorder="1" applyAlignment="1">
      <alignment horizontal="left"/>
    </xf>
    <xf numFmtId="3" fontId="89" fillId="70" borderId="51" xfId="0" applyNumberFormat="1" applyFont="1" applyFill="1" applyBorder="1"/>
    <xf numFmtId="3" fontId="77" fillId="70" borderId="51" xfId="0" applyNumberFormat="1" applyFont="1" applyFill="1" applyBorder="1" applyAlignment="1">
      <alignment horizontal="right"/>
    </xf>
    <xf numFmtId="0" fontId="77" fillId="70" borderId="51" xfId="0" applyFont="1" applyFill="1" applyBorder="1"/>
    <xf numFmtId="0" fontId="76" fillId="57" borderId="54" xfId="0" applyFont="1" applyFill="1" applyBorder="1" applyAlignment="1" applyProtection="1">
      <alignment horizontal="left" vertical="top"/>
      <protection locked="0"/>
    </xf>
    <xf numFmtId="0" fontId="77" fillId="63" borderId="55" xfId="0" applyFont="1" applyFill="1" applyBorder="1" applyAlignment="1" applyProtection="1">
      <alignment horizontal="left" vertical="top"/>
      <protection locked="0"/>
    </xf>
    <xf numFmtId="0" fontId="77" fillId="53" borderId="51" xfId="0" applyFont="1" applyFill="1" applyBorder="1" applyAlignment="1" applyProtection="1">
      <alignment horizontal="left" vertical="top"/>
      <protection locked="0"/>
    </xf>
    <xf numFmtId="0" fontId="89" fillId="53" borderId="51" xfId="0" applyFont="1" applyFill="1" applyBorder="1" applyAlignment="1" applyProtection="1">
      <alignment horizontal="left" vertical="top"/>
      <protection locked="0"/>
    </xf>
    <xf numFmtId="0" fontId="77" fillId="0" borderId="53" xfId="0" applyFont="1" applyBorder="1" applyProtection="1">
      <protection locked="0"/>
    </xf>
    <xf numFmtId="0" fontId="4" fillId="13" borderId="1" xfId="0" quotePrefix="1" applyFont="1" applyFill="1" applyBorder="1" applyAlignment="1">
      <alignment horizontal="left" vertical="top"/>
    </xf>
    <xf numFmtId="2" fontId="76" fillId="0" borderId="51" xfId="0" applyNumberFormat="1" applyFont="1" applyBorder="1" applyAlignment="1">
      <alignment horizontal="right"/>
    </xf>
    <xf numFmtId="0" fontId="78" fillId="50" borderId="1" xfId="1" applyFill="1" applyBorder="1"/>
    <xf numFmtId="0" fontId="25" fillId="71" borderId="0" xfId="0" applyFont="1" applyFill="1"/>
    <xf numFmtId="0" fontId="78" fillId="71" borderId="0" xfId="1" applyFill="1"/>
    <xf numFmtId="0" fontId="95" fillId="72" borderId="0" xfId="0" applyFont="1" applyFill="1"/>
    <xf numFmtId="0" fontId="98" fillId="0" borderId="0" xfId="0" applyFont="1"/>
    <xf numFmtId="168" fontId="2" fillId="19" borderId="1" xfId="0" applyNumberFormat="1" applyFont="1" applyFill="1" applyBorder="1" applyAlignment="1">
      <alignment horizontal="left"/>
    </xf>
    <xf numFmtId="166" fontId="2" fillId="73" borderId="32" xfId="0" applyNumberFormat="1" applyFont="1" applyFill="1" applyBorder="1" applyAlignment="1">
      <alignment horizontal="left"/>
    </xf>
    <xf numFmtId="167" fontId="2" fillId="50" borderId="51" xfId="0" applyNumberFormat="1" applyFont="1" applyFill="1" applyBorder="1" applyAlignment="1">
      <alignment horizontal="left"/>
    </xf>
    <xf numFmtId="167" fontId="2" fillId="61" borderId="26" xfId="0" applyNumberFormat="1" applyFont="1" applyFill="1" applyBorder="1" applyAlignment="1">
      <alignment horizontal="left"/>
    </xf>
    <xf numFmtId="167" fontId="2" fillId="61" borderId="1" xfId="0" applyNumberFormat="1" applyFont="1" applyFill="1" applyBorder="1" applyAlignment="1">
      <alignment horizontal="left"/>
    </xf>
    <xf numFmtId="167" fontId="2" fillId="64" borderId="1" xfId="0" applyNumberFormat="1" applyFont="1" applyFill="1" applyBorder="1" applyAlignment="1">
      <alignment horizontal="left"/>
    </xf>
    <xf numFmtId="166" fontId="2" fillId="64" borderId="1" xfId="0" applyNumberFormat="1" applyFont="1" applyFill="1" applyBorder="1" applyAlignment="1">
      <alignment horizontal="left"/>
    </xf>
    <xf numFmtId="0" fontId="1" fillId="19" borderId="32" xfId="0" applyFont="1" applyFill="1" applyBorder="1"/>
    <xf numFmtId="167" fontId="2" fillId="0" borderId="1" xfId="0" applyNumberFormat="1" applyFont="1" applyBorder="1" applyAlignment="1">
      <alignment horizontal="left"/>
    </xf>
    <xf numFmtId="0" fontId="0" fillId="0" borderId="54" xfId="0" applyBorder="1"/>
    <xf numFmtId="0" fontId="0" fillId="0" borderId="55" xfId="0" applyBorder="1"/>
    <xf numFmtId="168" fontId="89" fillId="53" borderId="51" xfId="0" applyNumberFormat="1" applyFont="1" applyFill="1" applyBorder="1" applyAlignment="1">
      <alignment horizontal="left" vertical="top"/>
    </xf>
    <xf numFmtId="0" fontId="12" fillId="31" borderId="28" xfId="0" applyFont="1" applyFill="1" applyBorder="1" applyAlignment="1">
      <alignment wrapText="1"/>
    </xf>
    <xf numFmtId="0" fontId="12" fillId="32" borderId="28" xfId="0" applyFont="1" applyFill="1" applyBorder="1"/>
    <xf numFmtId="176" fontId="2" fillId="6" borderId="1" xfId="0" applyNumberFormat="1" applyFont="1" applyFill="1" applyBorder="1"/>
    <xf numFmtId="176" fontId="1" fillId="19" borderId="32" xfId="0" applyNumberFormat="1" applyFont="1" applyFill="1" applyBorder="1"/>
    <xf numFmtId="176" fontId="2" fillId="19" borderId="32" xfId="0" applyNumberFormat="1" applyFont="1" applyFill="1" applyBorder="1"/>
    <xf numFmtId="176" fontId="1" fillId="21" borderId="32" xfId="0" applyNumberFormat="1" applyFont="1" applyFill="1" applyBorder="1"/>
    <xf numFmtId="176" fontId="1" fillId="21" borderId="1" xfId="0" applyNumberFormat="1" applyFont="1" applyFill="1" applyBorder="1"/>
    <xf numFmtId="176" fontId="1" fillId="12" borderId="1" xfId="0" applyNumberFormat="1" applyFont="1" applyFill="1" applyBorder="1"/>
    <xf numFmtId="176" fontId="5" fillId="12" borderId="1" xfId="0" applyNumberFormat="1" applyFont="1" applyFill="1" applyBorder="1"/>
    <xf numFmtId="176" fontId="1" fillId="13" borderId="1" xfId="0" applyNumberFormat="1" applyFont="1" applyFill="1" applyBorder="1" applyAlignment="1">
      <alignment vertical="top"/>
    </xf>
    <xf numFmtId="176" fontId="2" fillId="13" borderId="1" xfId="0" applyNumberFormat="1" applyFont="1" applyFill="1" applyBorder="1" applyAlignment="1">
      <alignment vertical="top"/>
    </xf>
    <xf numFmtId="176" fontId="1" fillId="21" borderId="1" xfId="0" applyNumberFormat="1" applyFont="1" applyFill="1" applyBorder="1" applyAlignment="1">
      <alignment vertical="top"/>
    </xf>
    <xf numFmtId="176" fontId="1" fillId="22" borderId="8" xfId="0" applyNumberFormat="1" applyFont="1" applyFill="1" applyBorder="1" applyAlignment="1">
      <alignment vertical="top"/>
    </xf>
    <xf numFmtId="176" fontId="1" fillId="22" borderId="33" xfId="0" applyNumberFormat="1" applyFont="1" applyFill="1" applyBorder="1" applyAlignment="1">
      <alignment vertical="top"/>
    </xf>
    <xf numFmtId="176" fontId="2" fillId="22" borderId="33" xfId="0" applyNumberFormat="1" applyFont="1" applyFill="1" applyBorder="1" applyAlignment="1">
      <alignment vertical="top"/>
    </xf>
    <xf numFmtId="176" fontId="2" fillId="23" borderId="33" xfId="0" applyNumberFormat="1" applyFont="1" applyFill="1" applyBorder="1"/>
    <xf numFmtId="176" fontId="1" fillId="23" borderId="33" xfId="0" applyNumberFormat="1" applyFont="1" applyFill="1" applyBorder="1"/>
    <xf numFmtId="176" fontId="2" fillId="22" borderId="33" xfId="0" applyNumberFormat="1" applyFont="1" applyFill="1" applyBorder="1"/>
    <xf numFmtId="176" fontId="2" fillId="4" borderId="33" xfId="0" applyNumberFormat="1" applyFont="1" applyFill="1" applyBorder="1"/>
    <xf numFmtId="176" fontId="1" fillId="24" borderId="32" xfId="0" applyNumberFormat="1" applyFont="1" applyFill="1" applyBorder="1"/>
    <xf numFmtId="176" fontId="1" fillId="25" borderId="1" xfId="0" applyNumberFormat="1" applyFont="1" applyFill="1" applyBorder="1"/>
    <xf numFmtId="176" fontId="2" fillId="25" borderId="1" xfId="0" applyNumberFormat="1" applyFont="1" applyFill="1" applyBorder="1"/>
    <xf numFmtId="176" fontId="1" fillId="26" borderId="1" xfId="0" applyNumberFormat="1" applyFont="1" applyFill="1" applyBorder="1"/>
    <xf numFmtId="176" fontId="2" fillId="26" borderId="1" xfId="0" applyNumberFormat="1" applyFont="1" applyFill="1" applyBorder="1"/>
    <xf numFmtId="176" fontId="1" fillId="27" borderId="28" xfId="0" applyNumberFormat="1" applyFont="1" applyFill="1" applyBorder="1"/>
    <xf numFmtId="176" fontId="1" fillId="28" borderId="28" xfId="0" applyNumberFormat="1" applyFont="1" applyFill="1" applyBorder="1"/>
    <xf numFmtId="176" fontId="0" fillId="0" borderId="0" xfId="0" applyNumberFormat="1"/>
    <xf numFmtId="177" fontId="1" fillId="19" borderId="1" xfId="0" applyNumberFormat="1" applyFont="1" applyFill="1" applyBorder="1"/>
    <xf numFmtId="169" fontId="2" fillId="19" borderId="32" xfId="0" applyNumberFormat="1" applyFont="1" applyFill="1" applyBorder="1" applyAlignment="1">
      <alignment horizontal="right"/>
    </xf>
    <xf numFmtId="0" fontId="78" fillId="29" borderId="1" xfId="1" applyFill="1" applyBorder="1" applyAlignment="1">
      <alignment horizontal="left"/>
    </xf>
    <xf numFmtId="0" fontId="99" fillId="0" borderId="0" xfId="0" applyFont="1"/>
    <xf numFmtId="0" fontId="100" fillId="0" borderId="0" xfId="0" applyFont="1" applyAlignment="1">
      <alignment horizontal="left" vertical="center" indent="1"/>
    </xf>
    <xf numFmtId="0" fontId="101" fillId="0" borderId="0" xfId="0" applyFont="1" applyAlignment="1">
      <alignment horizontal="left" vertical="center" indent="1"/>
    </xf>
    <xf numFmtId="1" fontId="77" fillId="61" borderId="54" xfId="0" applyNumberFormat="1" applyFont="1" applyFill="1" applyBorder="1" applyAlignment="1">
      <alignment horizontal="center" vertical="center"/>
    </xf>
    <xf numFmtId="0" fontId="77" fillId="61" borderId="54" xfId="0" applyFont="1" applyFill="1" applyBorder="1" applyAlignment="1">
      <alignment horizontal="center" vertical="center"/>
    </xf>
    <xf numFmtId="3" fontId="77" fillId="61" borderId="54" xfId="0" applyNumberFormat="1" applyFont="1" applyFill="1" applyBorder="1" applyAlignment="1">
      <alignment horizontal="center"/>
    </xf>
    <xf numFmtId="1" fontId="89" fillId="61" borderId="54" xfId="0" applyNumberFormat="1" applyFont="1" applyFill="1" applyBorder="1" applyAlignment="1">
      <alignment horizontal="center" vertical="top"/>
    </xf>
    <xf numFmtId="2" fontId="89" fillId="61" borderId="54" xfId="0" applyNumberFormat="1" applyFont="1" applyFill="1" applyBorder="1" applyAlignment="1">
      <alignment horizontal="center" vertical="top"/>
    </xf>
    <xf numFmtId="3" fontId="77" fillId="61" borderId="54" xfId="0" applyNumberFormat="1" applyFont="1" applyFill="1" applyBorder="1" applyAlignment="1">
      <alignment vertical="center"/>
    </xf>
    <xf numFmtId="168" fontId="89" fillId="61" borderId="54" xfId="0" applyNumberFormat="1" applyFont="1" applyFill="1" applyBorder="1" applyAlignment="1">
      <alignment horizontal="center" vertical="center"/>
    </xf>
    <xf numFmtId="0" fontId="89" fillId="61" borderId="54" xfId="0" applyFont="1" applyFill="1" applyBorder="1" applyAlignment="1">
      <alignment horizontal="center" vertical="center"/>
    </xf>
    <xf numFmtId="2" fontId="89" fillId="61" borderId="54" xfId="0" applyNumberFormat="1" applyFont="1" applyFill="1" applyBorder="1" applyAlignment="1">
      <alignment horizontal="center" vertical="center" wrapText="1"/>
    </xf>
    <xf numFmtId="3" fontId="89" fillId="61" borderId="54" xfId="0" applyNumberFormat="1" applyFont="1" applyFill="1" applyBorder="1" applyAlignment="1">
      <alignment horizontal="center" vertical="center" wrapText="1"/>
    </xf>
    <xf numFmtId="0" fontId="77" fillId="61" borderId="54" xfId="0" applyFont="1" applyFill="1" applyBorder="1" applyAlignment="1" applyProtection="1">
      <alignment horizontal="center" vertical="center"/>
      <protection locked="0"/>
    </xf>
    <xf numFmtId="175" fontId="76" fillId="61" borderId="54" xfId="0" applyNumberFormat="1" applyFont="1" applyFill="1" applyBorder="1" applyAlignment="1" applyProtection="1">
      <alignment horizontal="center" vertical="center"/>
      <protection locked="0"/>
    </xf>
    <xf numFmtId="1" fontId="89" fillId="61" borderId="54" xfId="0" applyNumberFormat="1" applyFont="1" applyFill="1" applyBorder="1" applyAlignment="1">
      <alignment horizontal="center" vertical="center" wrapText="1"/>
    </xf>
    <xf numFmtId="175" fontId="77" fillId="64" borderId="52" xfId="0" applyNumberFormat="1" applyFont="1" applyFill="1" applyBorder="1" applyAlignment="1">
      <alignment horizontal="center"/>
    </xf>
    <xf numFmtId="0" fontId="78" fillId="74" borderId="1" xfId="1" applyFill="1" applyBorder="1"/>
    <xf numFmtId="3" fontId="77" fillId="53" borderId="51" xfId="0" applyNumberFormat="1" applyFont="1" applyFill="1" applyBorder="1" applyAlignment="1" applyProtection="1">
      <alignment horizontal="right" vertical="top"/>
      <protection locked="0"/>
    </xf>
    <xf numFmtId="3" fontId="77" fillId="53" borderId="51" xfId="0" applyNumberFormat="1" applyFont="1" applyFill="1" applyBorder="1" applyAlignment="1" applyProtection="1">
      <alignment horizontal="left" vertical="top"/>
      <protection locked="0"/>
    </xf>
    <xf numFmtId="3" fontId="76" fillId="53" borderId="51" xfId="0" applyNumberFormat="1" applyFont="1" applyFill="1" applyBorder="1" applyAlignment="1" applyProtection="1">
      <alignment horizontal="left" vertical="top" wrapText="1"/>
      <protection locked="0"/>
    </xf>
    <xf numFmtId="3" fontId="89" fillId="53" borderId="51" xfId="0" applyNumberFormat="1" applyFont="1" applyFill="1" applyBorder="1" applyAlignment="1" applyProtection="1">
      <alignment horizontal="right" vertical="top"/>
      <protection locked="0"/>
    </xf>
    <xf numFmtId="168" fontId="1" fillId="23" borderId="26" xfId="0" applyNumberFormat="1" applyFont="1" applyFill="1" applyBorder="1"/>
    <xf numFmtId="168" fontId="2" fillId="23" borderId="26" xfId="0" applyNumberFormat="1" applyFont="1" applyFill="1" applyBorder="1"/>
    <xf numFmtId="0" fontId="103" fillId="0" borderId="0" xfId="0" applyFont="1"/>
    <xf numFmtId="0" fontId="104" fillId="0" borderId="0" xfId="0" applyFont="1"/>
    <xf numFmtId="4" fontId="1" fillId="6" borderId="50" xfId="0" applyNumberFormat="1" applyFont="1" applyFill="1" applyBorder="1"/>
    <xf numFmtId="178" fontId="76" fillId="57" borderId="51" xfId="0" applyNumberFormat="1" applyFont="1" applyFill="1" applyBorder="1" applyAlignment="1" applyProtection="1">
      <alignment horizontal="center" vertical="top" wrapText="1"/>
      <protection locked="0"/>
    </xf>
    <xf numFmtId="178" fontId="89" fillId="64" borderId="51" xfId="0" applyNumberFormat="1" applyFont="1" applyFill="1" applyBorder="1" applyAlignment="1">
      <alignment horizontal="center"/>
    </xf>
    <xf numFmtId="178" fontId="89" fillId="61" borderId="51" xfId="0" applyNumberFormat="1" applyFont="1" applyFill="1" applyBorder="1" applyAlignment="1">
      <alignment horizontal="center"/>
    </xf>
    <xf numFmtId="178" fontId="76" fillId="53" borderId="60" xfId="0" applyNumberFormat="1" applyFont="1" applyFill="1" applyBorder="1" applyAlignment="1" applyProtection="1">
      <alignment horizontal="center" vertical="top"/>
      <protection locked="0"/>
    </xf>
    <xf numFmtId="178" fontId="89" fillId="70" borderId="51" xfId="0" applyNumberFormat="1" applyFont="1" applyFill="1" applyBorder="1" applyAlignment="1">
      <alignment horizontal="center"/>
    </xf>
    <xf numFmtId="178" fontId="89" fillId="60" borderId="51" xfId="0" applyNumberFormat="1" applyFont="1" applyFill="1" applyBorder="1" applyAlignment="1">
      <alignment horizontal="center"/>
    </xf>
    <xf numFmtId="178" fontId="89" fillId="52" borderId="51" xfId="0" applyNumberFormat="1" applyFont="1" applyFill="1" applyBorder="1" applyAlignment="1">
      <alignment horizontal="center"/>
    </xf>
    <xf numFmtId="178" fontId="89" fillId="53" borderId="51" xfId="0" applyNumberFormat="1" applyFont="1" applyFill="1" applyBorder="1" applyAlignment="1">
      <alignment horizontal="center"/>
    </xf>
    <xf numFmtId="178" fontId="77" fillId="58" borderId="51" xfId="0" applyNumberFormat="1" applyFont="1" applyFill="1" applyBorder="1" applyAlignment="1">
      <alignment horizontal="center"/>
    </xf>
    <xf numFmtId="0" fontId="1" fillId="6" borderId="28" xfId="0" quotePrefix="1" applyFont="1" applyFill="1" applyBorder="1"/>
    <xf numFmtId="166" fontId="52" fillId="12" borderId="1" xfId="0" applyNumberFormat="1" applyFont="1" applyFill="1" applyBorder="1" applyAlignment="1">
      <alignment horizontal="right"/>
    </xf>
    <xf numFmtId="176" fontId="52" fillId="12" borderId="1" xfId="0" applyNumberFormat="1" applyFont="1" applyFill="1" applyBorder="1"/>
    <xf numFmtId="168" fontId="1" fillId="19" borderId="32" xfId="0" applyNumberFormat="1" applyFont="1" applyFill="1" applyBorder="1" applyAlignment="1">
      <alignment horizontal="right"/>
    </xf>
    <xf numFmtId="169" fontId="1" fillId="19" borderId="17" xfId="0" applyNumberFormat="1" applyFont="1" applyFill="1" applyBorder="1" applyAlignment="1">
      <alignment horizontal="right"/>
    </xf>
    <xf numFmtId="166" fontId="1" fillId="19" borderId="26" xfId="0" applyNumberFormat="1" applyFont="1" applyFill="1" applyBorder="1" applyAlignment="1">
      <alignment horizontal="right"/>
    </xf>
    <xf numFmtId="176" fontId="1" fillId="19" borderId="33" xfId="0" applyNumberFormat="1" applyFont="1" applyFill="1" applyBorder="1"/>
    <xf numFmtId="166" fontId="1" fillId="19" borderId="27" xfId="0" applyNumberFormat="1" applyFont="1" applyFill="1" applyBorder="1" applyAlignment="1">
      <alignment horizontal="right"/>
    </xf>
    <xf numFmtId="176" fontId="1" fillId="19" borderId="22" xfId="0" applyNumberFormat="1" applyFont="1" applyFill="1" applyBorder="1"/>
    <xf numFmtId="176" fontId="2" fillId="19" borderId="33" xfId="0" applyNumberFormat="1" applyFont="1" applyFill="1" applyBorder="1"/>
    <xf numFmtId="176" fontId="2" fillId="19" borderId="22" xfId="0" applyNumberFormat="1" applyFont="1" applyFill="1" applyBorder="1"/>
    <xf numFmtId="166" fontId="1" fillId="19" borderId="31" xfId="0" applyNumberFormat="1" applyFont="1" applyFill="1" applyBorder="1" applyAlignment="1">
      <alignment horizontal="right"/>
    </xf>
    <xf numFmtId="176" fontId="1" fillId="19" borderId="18" xfId="0" applyNumberFormat="1" applyFont="1" applyFill="1" applyBorder="1"/>
    <xf numFmtId="2" fontId="1" fillId="19" borderId="27" xfId="0" applyNumberFormat="1" applyFont="1" applyFill="1" applyBorder="1" applyAlignment="1">
      <alignment horizontal="right"/>
    </xf>
    <xf numFmtId="166" fontId="2" fillId="19" borderId="51" xfId="0" applyNumberFormat="1" applyFont="1" applyFill="1" applyBorder="1" applyAlignment="1">
      <alignment horizontal="right"/>
    </xf>
    <xf numFmtId="176" fontId="2" fillId="75" borderId="51" xfId="0" applyNumberFormat="1" applyFont="1" applyFill="1" applyBorder="1"/>
    <xf numFmtId="2" fontId="2" fillId="19" borderId="51" xfId="0" quotePrefix="1" applyNumberFormat="1" applyFont="1" applyFill="1" applyBorder="1" applyAlignment="1">
      <alignment horizontal="right"/>
    </xf>
    <xf numFmtId="176" fontId="2" fillId="75" borderId="32" xfId="0" applyNumberFormat="1" applyFont="1" applyFill="1" applyBorder="1"/>
    <xf numFmtId="0" fontId="105" fillId="64" borderId="51" xfId="0" applyFont="1" applyFill="1" applyBorder="1" applyAlignment="1">
      <alignment horizontal="left" vertical="top" wrapText="1"/>
    </xf>
    <xf numFmtId="0" fontId="105" fillId="61" borderId="51" xfId="0" applyFont="1" applyFill="1" applyBorder="1" applyAlignment="1">
      <alignment horizontal="left" vertical="top" wrapText="1"/>
    </xf>
    <xf numFmtId="0" fontId="106" fillId="64" borderId="54" xfId="0" applyFont="1" applyFill="1" applyBorder="1" applyAlignment="1" applyProtection="1">
      <alignment horizontal="left" vertical="top"/>
      <protection locked="0"/>
    </xf>
    <xf numFmtId="168" fontId="105" fillId="61" borderId="51" xfId="0" applyNumberFormat="1" applyFont="1" applyFill="1" applyBorder="1" applyAlignment="1">
      <alignment horizontal="left" vertical="top"/>
    </xf>
    <xf numFmtId="168" fontId="105" fillId="64" borderId="51" xfId="0" applyNumberFormat="1" applyFont="1" applyFill="1" applyBorder="1" applyAlignment="1">
      <alignment horizontal="left" vertical="top"/>
    </xf>
    <xf numFmtId="168" fontId="107" fillId="70" borderId="51" xfId="0" applyNumberFormat="1" applyFont="1" applyFill="1" applyBorder="1" applyAlignment="1">
      <alignment horizontal="left" vertical="top"/>
    </xf>
    <xf numFmtId="0" fontId="106" fillId="64" borderId="51" xfId="0" applyFont="1" applyFill="1" applyBorder="1" applyAlignment="1">
      <alignment horizontal="left" vertical="top" wrapText="1"/>
    </xf>
    <xf numFmtId="0" fontId="107" fillId="61" borderId="51" xfId="0" applyFont="1" applyFill="1" applyBorder="1" applyAlignment="1">
      <alignment horizontal="left" vertical="top" wrapText="1"/>
    </xf>
    <xf numFmtId="0" fontId="105" fillId="52" borderId="51" xfId="0" applyFont="1" applyFill="1" applyBorder="1"/>
    <xf numFmtId="0" fontId="106" fillId="53" borderId="51" xfId="0" applyFont="1" applyFill="1" applyBorder="1"/>
    <xf numFmtId="0" fontId="107" fillId="53" borderId="51" xfId="0" applyFont="1" applyFill="1" applyBorder="1"/>
    <xf numFmtId="0" fontId="108" fillId="61" borderId="51" xfId="0" applyFont="1" applyFill="1" applyBorder="1" applyAlignment="1">
      <alignment horizontal="left" vertical="top" wrapText="1"/>
    </xf>
    <xf numFmtId="14" fontId="77" fillId="0" borderId="0" xfId="0" applyNumberFormat="1" applyFont="1"/>
    <xf numFmtId="0" fontId="77" fillId="76" borderId="51" xfId="0" applyFont="1" applyFill="1" applyBorder="1" applyAlignment="1" applyProtection="1">
      <alignment horizontal="left" vertical="top"/>
      <protection locked="0"/>
    </xf>
    <xf numFmtId="174" fontId="0" fillId="76" borderId="51" xfId="0" applyNumberFormat="1" applyFill="1" applyBorder="1" applyAlignment="1">
      <alignment horizontal="left"/>
    </xf>
    <xf numFmtId="0" fontId="77" fillId="76" borderId="51" xfId="0" applyFont="1" applyFill="1" applyBorder="1" applyAlignment="1">
      <alignment horizontal="center"/>
    </xf>
    <xf numFmtId="0" fontId="89" fillId="76" borderId="51" xfId="0" applyFont="1" applyFill="1" applyBorder="1"/>
    <xf numFmtId="3" fontId="77" fillId="76" borderId="51" xfId="0" applyNumberFormat="1" applyFont="1" applyFill="1" applyBorder="1" applyAlignment="1" applyProtection="1">
      <alignment horizontal="right" vertical="top"/>
      <protection locked="0"/>
    </xf>
    <xf numFmtId="0" fontId="109" fillId="0" borderId="0" xfId="0" applyFont="1"/>
    <xf numFmtId="0" fontId="78" fillId="0" borderId="0" xfId="1" applyAlignment="1">
      <alignment horizontal="left" vertical="center" indent="1"/>
    </xf>
    <xf numFmtId="0" fontId="77" fillId="0" borderId="50" xfId="0" applyFont="1" applyBorder="1"/>
    <xf numFmtId="14" fontId="77" fillId="50" borderId="58" xfId="0" applyNumberFormat="1" applyFont="1" applyFill="1" applyBorder="1" applyAlignment="1">
      <alignment horizontal="center"/>
    </xf>
    <xf numFmtId="0" fontId="0" fillId="50" borderId="60" xfId="0" applyFill="1" applyBorder="1" applyAlignment="1">
      <alignment horizontal="center"/>
    </xf>
    <xf numFmtId="39" fontId="0" fillId="0" borderId="51" xfId="0" applyNumberFormat="1" applyBorder="1" applyAlignment="1">
      <alignment horizontal="center"/>
    </xf>
    <xf numFmtId="39" fontId="77" fillId="0" borderId="51" xfId="0" applyNumberFormat="1" applyFont="1" applyBorder="1" applyAlignment="1">
      <alignment horizontal="center"/>
    </xf>
    <xf numFmtId="0" fontId="76" fillId="0" borderId="51" xfId="0" applyFont="1" applyBorder="1" applyAlignment="1">
      <alignment horizontal="center"/>
    </xf>
    <xf numFmtId="0" fontId="77" fillId="61" borderId="54" xfId="0" applyFont="1" applyFill="1" applyBorder="1" applyAlignment="1">
      <alignment horizontal="center" vertical="center"/>
    </xf>
    <xf numFmtId="0" fontId="77" fillId="61" borderId="52" xfId="0" applyFont="1" applyFill="1" applyBorder="1" applyAlignment="1">
      <alignment horizontal="center" vertical="center"/>
    </xf>
    <xf numFmtId="0" fontId="77" fillId="61" borderId="55" xfId="0" applyFont="1" applyFill="1" applyBorder="1" applyAlignment="1">
      <alignment horizontal="center" vertical="center"/>
    </xf>
    <xf numFmtId="175" fontId="77" fillId="61" borderId="54" xfId="0" applyNumberFormat="1" applyFont="1" applyFill="1" applyBorder="1" applyAlignment="1">
      <alignment horizontal="center" vertical="center"/>
    </xf>
    <xf numFmtId="175" fontId="77" fillId="61" borderId="52" xfId="0" applyNumberFormat="1" applyFont="1" applyFill="1" applyBorder="1" applyAlignment="1">
      <alignment horizontal="center" vertical="center"/>
    </xf>
    <xf numFmtId="175" fontId="77" fillId="61" borderId="55" xfId="0" applyNumberFormat="1" applyFont="1" applyFill="1" applyBorder="1" applyAlignment="1">
      <alignment horizontal="center" vertical="center"/>
    </xf>
    <xf numFmtId="175" fontId="77" fillId="61" borderId="54" xfId="0" applyNumberFormat="1" applyFont="1" applyFill="1" applyBorder="1" applyAlignment="1">
      <alignment horizontal="center"/>
    </xf>
    <xf numFmtId="175" fontId="77" fillId="61" borderId="52" xfId="0" applyNumberFormat="1" applyFont="1" applyFill="1" applyBorder="1" applyAlignment="1">
      <alignment horizontal="center"/>
    </xf>
    <xf numFmtId="175" fontId="77" fillId="61" borderId="55" xfId="0" applyNumberFormat="1" applyFont="1" applyFill="1" applyBorder="1" applyAlignment="1">
      <alignment horizontal="center"/>
    </xf>
    <xf numFmtId="1" fontId="89" fillId="61" borderId="54" xfId="0" applyNumberFormat="1" applyFont="1" applyFill="1" applyBorder="1" applyAlignment="1">
      <alignment horizontal="center" vertical="center" wrapText="1"/>
    </xf>
    <xf numFmtId="1" fontId="89" fillId="61" borderId="52" xfId="0" applyNumberFormat="1" applyFont="1" applyFill="1" applyBorder="1" applyAlignment="1">
      <alignment horizontal="center" vertical="center" wrapText="1"/>
    </xf>
    <xf numFmtId="1" fontId="89" fillId="61" borderId="55" xfId="0" applyNumberFormat="1" applyFont="1" applyFill="1" applyBorder="1" applyAlignment="1">
      <alignment horizontal="center" vertical="center" wrapText="1"/>
    </xf>
    <xf numFmtId="3" fontId="89" fillId="61" borderId="54" xfId="0" applyNumberFormat="1" applyFont="1" applyFill="1" applyBorder="1" applyAlignment="1">
      <alignment horizontal="center" vertical="center" wrapText="1"/>
    </xf>
    <xf numFmtId="3" fontId="89" fillId="61" borderId="52" xfId="0" applyNumberFormat="1" applyFont="1" applyFill="1" applyBorder="1" applyAlignment="1">
      <alignment horizontal="center" vertical="center" wrapText="1"/>
    </xf>
    <xf numFmtId="3" fontId="89" fillId="61" borderId="55" xfId="0" applyNumberFormat="1" applyFont="1" applyFill="1" applyBorder="1" applyAlignment="1">
      <alignment horizontal="center" vertical="center" wrapText="1"/>
    </xf>
    <xf numFmtId="2" fontId="89" fillId="61" borderId="54" xfId="0" applyNumberFormat="1" applyFont="1" applyFill="1" applyBorder="1" applyAlignment="1">
      <alignment horizontal="center" vertical="center" wrapText="1"/>
    </xf>
    <xf numFmtId="2" fontId="89" fillId="61" borderId="52" xfId="0" applyNumberFormat="1" applyFont="1" applyFill="1" applyBorder="1" applyAlignment="1">
      <alignment horizontal="center" vertical="center" wrapText="1"/>
    </xf>
    <xf numFmtId="2" fontId="89" fillId="61" borderId="55" xfId="0" applyNumberFormat="1" applyFont="1" applyFill="1" applyBorder="1" applyAlignment="1">
      <alignment horizontal="center" vertical="center" wrapText="1"/>
    </xf>
    <xf numFmtId="0" fontId="89" fillId="61" borderId="54" xfId="0" applyFont="1" applyFill="1" applyBorder="1" applyAlignment="1">
      <alignment horizontal="center" vertical="center"/>
    </xf>
    <xf numFmtId="0" fontId="89" fillId="61" borderId="52" xfId="0" applyFont="1" applyFill="1" applyBorder="1" applyAlignment="1">
      <alignment horizontal="center" vertical="center"/>
    </xf>
    <xf numFmtId="0" fontId="89" fillId="61" borderId="55" xfId="0" applyFont="1" applyFill="1" applyBorder="1" applyAlignment="1">
      <alignment horizontal="center" vertical="center"/>
    </xf>
    <xf numFmtId="0" fontId="77" fillId="0" borderId="51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76" fillId="64" borderId="54" xfId="0" applyFont="1" applyFill="1" applyBorder="1" applyAlignment="1" applyProtection="1">
      <alignment horizontal="center" vertical="center"/>
      <protection locked="0"/>
    </xf>
    <xf numFmtId="0" fontId="76" fillId="64" borderId="52" xfId="0" applyFont="1" applyFill="1" applyBorder="1" applyAlignment="1" applyProtection="1">
      <alignment horizontal="center" vertical="center"/>
      <protection locked="0"/>
    </xf>
    <xf numFmtId="0" fontId="76" fillId="64" borderId="55" xfId="0" applyFont="1" applyFill="1" applyBorder="1" applyAlignment="1" applyProtection="1">
      <alignment horizontal="center" vertical="center"/>
      <protection locked="0"/>
    </xf>
    <xf numFmtId="0" fontId="76" fillId="64" borderId="54" xfId="0" applyFont="1" applyFill="1" applyBorder="1" applyAlignment="1">
      <alignment horizontal="center" vertical="center"/>
    </xf>
    <xf numFmtId="0" fontId="76" fillId="64" borderId="52" xfId="0" applyFont="1" applyFill="1" applyBorder="1" applyAlignment="1">
      <alignment horizontal="center" vertical="center"/>
    </xf>
    <xf numFmtId="0" fontId="76" fillId="64" borderId="55" xfId="0" applyFont="1" applyFill="1" applyBorder="1" applyAlignment="1">
      <alignment horizontal="center" vertical="center"/>
    </xf>
    <xf numFmtId="1" fontId="77" fillId="64" borderId="54" xfId="0" applyNumberFormat="1" applyFont="1" applyFill="1" applyBorder="1" applyAlignment="1">
      <alignment horizontal="center" vertical="center"/>
    </xf>
    <xf numFmtId="1" fontId="77" fillId="64" borderId="52" xfId="0" applyNumberFormat="1" applyFont="1" applyFill="1" applyBorder="1" applyAlignment="1">
      <alignment horizontal="center" vertical="center"/>
    </xf>
    <xf numFmtId="1" fontId="77" fillId="64" borderId="55" xfId="0" applyNumberFormat="1" applyFont="1" applyFill="1" applyBorder="1" applyAlignment="1">
      <alignment horizontal="center" vertical="center"/>
    </xf>
    <xf numFmtId="1" fontId="77" fillId="61" borderId="54" xfId="0" applyNumberFormat="1" applyFont="1" applyFill="1" applyBorder="1" applyAlignment="1">
      <alignment horizontal="center" vertical="center"/>
    </xf>
    <xf numFmtId="1" fontId="77" fillId="61" borderId="55" xfId="0" applyNumberFormat="1" applyFont="1" applyFill="1" applyBorder="1" applyAlignment="1">
      <alignment horizontal="center" vertical="center"/>
    </xf>
    <xf numFmtId="0" fontId="77" fillId="70" borderId="54" xfId="0" applyFont="1" applyFill="1" applyBorder="1" applyAlignment="1">
      <alignment horizontal="center" vertical="center"/>
    </xf>
    <xf numFmtId="0" fontId="77" fillId="70" borderId="55" xfId="0" applyFont="1" applyFill="1" applyBorder="1" applyAlignment="1">
      <alignment horizontal="center" vertical="center"/>
    </xf>
    <xf numFmtId="0" fontId="77" fillId="64" borderId="54" xfId="0" applyFont="1" applyFill="1" applyBorder="1" applyAlignment="1">
      <alignment horizontal="center" vertical="center"/>
    </xf>
    <xf numFmtId="0" fontId="77" fillId="64" borderId="52" xfId="0" applyFont="1" applyFill="1" applyBorder="1" applyAlignment="1">
      <alignment horizontal="center" vertical="center"/>
    </xf>
    <xf numFmtId="0" fontId="77" fillId="64" borderId="55" xfId="0" applyFont="1" applyFill="1" applyBorder="1" applyAlignment="1">
      <alignment horizontal="center" vertical="center"/>
    </xf>
    <xf numFmtId="175" fontId="77" fillId="64" borderId="54" xfId="0" applyNumberFormat="1" applyFont="1" applyFill="1" applyBorder="1" applyAlignment="1">
      <alignment horizontal="center" vertical="center"/>
    </xf>
    <xf numFmtId="175" fontId="77" fillId="64" borderId="52" xfId="0" applyNumberFormat="1" applyFont="1" applyFill="1" applyBorder="1" applyAlignment="1">
      <alignment horizontal="center" vertical="center"/>
    </xf>
    <xf numFmtId="175" fontId="77" fillId="64" borderId="55" xfId="0" applyNumberFormat="1" applyFont="1" applyFill="1" applyBorder="1" applyAlignment="1">
      <alignment horizontal="center" vertical="center"/>
    </xf>
    <xf numFmtId="175" fontId="77" fillId="64" borderId="54" xfId="0" applyNumberFormat="1" applyFont="1" applyFill="1" applyBorder="1" applyAlignment="1">
      <alignment horizontal="center"/>
    </xf>
    <xf numFmtId="175" fontId="77" fillId="64" borderId="52" xfId="0" applyNumberFormat="1" applyFont="1" applyFill="1" applyBorder="1" applyAlignment="1">
      <alignment horizontal="center"/>
    </xf>
    <xf numFmtId="175" fontId="77" fillId="64" borderId="55" xfId="0" applyNumberFormat="1" applyFont="1" applyFill="1" applyBorder="1" applyAlignment="1">
      <alignment horizontal="center"/>
    </xf>
    <xf numFmtId="175" fontId="77" fillId="70" borderId="54" xfId="0" applyNumberFormat="1" applyFont="1" applyFill="1" applyBorder="1" applyAlignment="1">
      <alignment horizontal="center" vertical="center"/>
    </xf>
    <xf numFmtId="175" fontId="77" fillId="70" borderId="55" xfId="0" applyNumberFormat="1" applyFont="1" applyFill="1" applyBorder="1" applyAlignment="1">
      <alignment horizontal="center" vertical="center"/>
    </xf>
    <xf numFmtId="1" fontId="89" fillId="70" borderId="54" xfId="0" applyNumberFormat="1" applyFont="1" applyFill="1" applyBorder="1" applyAlignment="1">
      <alignment horizontal="center" vertical="center"/>
    </xf>
    <xf numFmtId="1" fontId="89" fillId="70" borderId="55" xfId="0" applyNumberFormat="1" applyFont="1" applyFill="1" applyBorder="1" applyAlignment="1">
      <alignment horizontal="center" vertical="center"/>
    </xf>
    <xf numFmtId="3" fontId="89" fillId="70" borderId="54" xfId="0" applyNumberFormat="1" applyFont="1" applyFill="1" applyBorder="1" applyAlignment="1">
      <alignment horizontal="center" vertical="center"/>
    </xf>
    <xf numFmtId="3" fontId="89" fillId="70" borderId="55" xfId="0" applyNumberFormat="1" applyFont="1" applyFill="1" applyBorder="1" applyAlignment="1">
      <alignment horizontal="center" vertical="center"/>
    </xf>
    <xf numFmtId="2" fontId="89" fillId="70" borderId="54" xfId="0" applyNumberFormat="1" applyFont="1" applyFill="1" applyBorder="1" applyAlignment="1">
      <alignment horizontal="center" vertical="center"/>
    </xf>
    <xf numFmtId="2" fontId="89" fillId="70" borderId="55" xfId="0" applyNumberFormat="1" applyFont="1" applyFill="1" applyBorder="1" applyAlignment="1">
      <alignment horizontal="center" vertical="center"/>
    </xf>
    <xf numFmtId="2" fontId="89" fillId="70" borderId="54" xfId="0" applyNumberFormat="1" applyFont="1" applyFill="1" applyBorder="1" applyAlignment="1">
      <alignment horizontal="center" vertical="center" wrapText="1"/>
    </xf>
    <xf numFmtId="2" fontId="89" fillId="70" borderId="55" xfId="0" applyNumberFormat="1" applyFont="1" applyFill="1" applyBorder="1" applyAlignment="1">
      <alignment horizontal="center" vertical="center" wrapText="1"/>
    </xf>
    <xf numFmtId="0" fontId="89" fillId="70" borderId="54" xfId="0" applyFont="1" applyFill="1" applyBorder="1" applyAlignment="1">
      <alignment horizontal="center" vertical="center"/>
    </xf>
    <xf numFmtId="0" fontId="89" fillId="70" borderId="55" xfId="0" applyFont="1" applyFill="1" applyBorder="1" applyAlignment="1">
      <alignment horizontal="center" vertical="center"/>
    </xf>
    <xf numFmtId="0" fontId="89" fillId="64" borderId="54" xfId="0" applyFont="1" applyFill="1" applyBorder="1" applyAlignment="1">
      <alignment horizontal="center" vertical="center"/>
    </xf>
    <xf numFmtId="0" fontId="89" fillId="64" borderId="55" xfId="0" applyFont="1" applyFill="1" applyBorder="1" applyAlignment="1">
      <alignment horizontal="center" vertical="center"/>
    </xf>
    <xf numFmtId="168" fontId="89" fillId="64" borderId="54" xfId="0" applyNumberFormat="1" applyFont="1" applyFill="1" applyBorder="1" applyAlignment="1">
      <alignment horizontal="center" vertical="center"/>
    </xf>
    <xf numFmtId="168" fontId="89" fillId="64" borderId="55" xfId="0" applyNumberFormat="1" applyFont="1" applyFill="1" applyBorder="1" applyAlignment="1">
      <alignment horizontal="center" vertical="center"/>
    </xf>
    <xf numFmtId="1" fontId="89" fillId="64" borderId="54" xfId="0" applyNumberFormat="1" applyFont="1" applyFill="1" applyBorder="1" applyAlignment="1">
      <alignment horizontal="center" vertical="top"/>
    </xf>
    <xf numFmtId="1" fontId="89" fillId="64" borderId="55" xfId="0" applyNumberFormat="1" applyFont="1" applyFill="1" applyBorder="1" applyAlignment="1">
      <alignment horizontal="center" vertical="top"/>
    </xf>
    <xf numFmtId="2" fontId="89" fillId="64" borderId="54" xfId="0" applyNumberFormat="1" applyFont="1" applyFill="1" applyBorder="1" applyAlignment="1">
      <alignment horizontal="center" vertical="top"/>
    </xf>
    <xf numFmtId="2" fontId="89" fillId="64" borderId="55" xfId="0" applyNumberFormat="1" applyFont="1" applyFill="1" applyBorder="1" applyAlignment="1">
      <alignment horizontal="center" vertical="top"/>
    </xf>
    <xf numFmtId="3" fontId="76" fillId="64" borderId="54" xfId="0" applyNumberFormat="1" applyFont="1" applyFill="1" applyBorder="1" applyAlignment="1" applyProtection="1">
      <alignment horizontal="center" vertical="center"/>
      <protection locked="0"/>
    </xf>
    <xf numFmtId="3" fontId="76" fillId="64" borderId="52" xfId="0" applyNumberFormat="1" applyFont="1" applyFill="1" applyBorder="1" applyAlignment="1" applyProtection="1">
      <alignment horizontal="center" vertical="center"/>
      <protection locked="0"/>
    </xf>
    <xf numFmtId="3" fontId="76" fillId="64" borderId="55" xfId="0" applyNumberFormat="1" applyFont="1" applyFill="1" applyBorder="1" applyAlignment="1" applyProtection="1">
      <alignment horizontal="center" vertical="center"/>
      <protection locked="0"/>
    </xf>
    <xf numFmtId="3" fontId="77" fillId="64" borderId="54" xfId="0" applyNumberFormat="1" applyFont="1" applyFill="1" applyBorder="1" applyAlignment="1">
      <alignment vertical="center"/>
    </xf>
    <xf numFmtId="3" fontId="77" fillId="64" borderId="55" xfId="0" applyNumberFormat="1" applyFont="1" applyFill="1" applyBorder="1" applyAlignment="1">
      <alignment vertical="center"/>
    </xf>
    <xf numFmtId="3" fontId="77" fillId="64" borderId="54" xfId="0" applyNumberFormat="1" applyFont="1" applyFill="1" applyBorder="1" applyAlignment="1" applyProtection="1">
      <alignment horizontal="right" vertical="center"/>
      <protection locked="0"/>
    </xf>
    <xf numFmtId="3" fontId="77" fillId="64" borderId="52" xfId="0" applyNumberFormat="1" applyFont="1" applyFill="1" applyBorder="1" applyAlignment="1" applyProtection="1">
      <alignment horizontal="right" vertical="center"/>
      <protection locked="0"/>
    </xf>
    <xf numFmtId="3" fontId="77" fillId="64" borderId="55" xfId="0" applyNumberFormat="1" applyFont="1" applyFill="1" applyBorder="1" applyAlignment="1" applyProtection="1">
      <alignment horizontal="right" vertical="center"/>
      <protection locked="0"/>
    </xf>
    <xf numFmtId="0" fontId="77" fillId="64" borderId="54" xfId="0" applyFont="1" applyFill="1" applyBorder="1" applyAlignment="1" applyProtection="1">
      <alignment horizontal="center" vertical="center"/>
      <protection locked="0"/>
    </xf>
    <xf numFmtId="0" fontId="77" fillId="64" borderId="52" xfId="0" applyFont="1" applyFill="1" applyBorder="1" applyAlignment="1" applyProtection="1">
      <alignment horizontal="center" vertical="center"/>
      <protection locked="0"/>
    </xf>
    <xf numFmtId="0" fontId="77" fillId="64" borderId="55" xfId="0" applyFont="1" applyFill="1" applyBorder="1" applyAlignment="1" applyProtection="1">
      <alignment horizontal="center" vertical="center"/>
      <protection locked="0"/>
    </xf>
    <xf numFmtId="3" fontId="77" fillId="64" borderId="54" xfId="0" applyNumberFormat="1" applyFont="1" applyFill="1" applyBorder="1" applyAlignment="1">
      <alignment horizontal="center"/>
    </xf>
    <xf numFmtId="3" fontId="77" fillId="64" borderId="55" xfId="0" applyNumberFormat="1" applyFont="1" applyFill="1" applyBorder="1" applyAlignment="1">
      <alignment horizontal="center"/>
    </xf>
    <xf numFmtId="2" fontId="89" fillId="64" borderId="54" xfId="0" applyNumberFormat="1" applyFont="1" applyFill="1" applyBorder="1" applyAlignment="1">
      <alignment horizontal="center" vertical="center" wrapText="1"/>
    </xf>
    <xf numFmtId="2" fontId="89" fillId="64" borderId="55" xfId="0" applyNumberFormat="1" applyFont="1" applyFill="1" applyBorder="1" applyAlignment="1">
      <alignment horizontal="center" vertical="center" wrapText="1"/>
    </xf>
    <xf numFmtId="1" fontId="89" fillId="64" borderId="54" xfId="0" applyNumberFormat="1" applyFont="1" applyFill="1" applyBorder="1" applyAlignment="1">
      <alignment horizontal="center" vertical="center" wrapText="1"/>
    </xf>
    <xf numFmtId="1" fontId="89" fillId="64" borderId="55" xfId="0" applyNumberFormat="1" applyFont="1" applyFill="1" applyBorder="1" applyAlignment="1">
      <alignment horizontal="center" vertical="center" wrapText="1"/>
    </xf>
    <xf numFmtId="3" fontId="89" fillId="64" borderId="54" xfId="0" applyNumberFormat="1" applyFont="1" applyFill="1" applyBorder="1" applyAlignment="1">
      <alignment horizontal="center" vertical="center" wrapText="1"/>
    </xf>
    <xf numFmtId="3" fontId="89" fillId="64" borderId="55" xfId="0" applyNumberFormat="1" applyFont="1" applyFill="1" applyBorder="1" applyAlignment="1">
      <alignment horizontal="center" vertical="center" wrapText="1"/>
    </xf>
    <xf numFmtId="175" fontId="76" fillId="64" borderId="54" xfId="0" applyNumberFormat="1" applyFont="1" applyFill="1" applyBorder="1" applyAlignment="1" applyProtection="1">
      <alignment horizontal="center" vertical="top"/>
      <protection locked="0"/>
    </xf>
    <xf numFmtId="175" fontId="76" fillId="64" borderId="55" xfId="0" applyNumberFormat="1" applyFont="1" applyFill="1" applyBorder="1" applyAlignment="1" applyProtection="1">
      <alignment horizontal="center" vertical="top"/>
      <protection locked="0"/>
    </xf>
    <xf numFmtId="3" fontId="77" fillId="64" borderId="54" xfId="0" applyNumberFormat="1" applyFont="1" applyFill="1" applyBorder="1" applyAlignment="1">
      <alignment horizontal="right" vertical="center"/>
    </xf>
    <xf numFmtId="3" fontId="77" fillId="64" borderId="52" xfId="0" applyNumberFormat="1" applyFont="1" applyFill="1" applyBorder="1" applyAlignment="1">
      <alignment horizontal="right" vertical="center"/>
    </xf>
    <xf numFmtId="3" fontId="77" fillId="64" borderId="55" xfId="0" applyNumberFormat="1" applyFont="1" applyFill="1" applyBorder="1" applyAlignment="1">
      <alignment horizontal="right" vertical="center"/>
    </xf>
    <xf numFmtId="3" fontId="77" fillId="61" borderId="54" xfId="0" applyNumberFormat="1" applyFont="1" applyFill="1" applyBorder="1" applyAlignment="1">
      <alignment horizontal="right" vertical="center"/>
    </xf>
    <xf numFmtId="3" fontId="77" fillId="61" borderId="52" xfId="0" applyNumberFormat="1" applyFont="1" applyFill="1" applyBorder="1" applyAlignment="1">
      <alignment horizontal="right" vertical="center"/>
    </xf>
    <xf numFmtId="3" fontId="77" fillId="61" borderId="55" xfId="0" applyNumberFormat="1" applyFont="1" applyFill="1" applyBorder="1" applyAlignment="1">
      <alignment horizontal="right" vertical="center"/>
    </xf>
    <xf numFmtId="168" fontId="89" fillId="61" borderId="54" xfId="0" applyNumberFormat="1" applyFont="1" applyFill="1" applyBorder="1" applyAlignment="1">
      <alignment horizontal="center" vertical="center"/>
    </xf>
    <xf numFmtId="168" fontId="89" fillId="61" borderId="52" xfId="0" applyNumberFormat="1" applyFont="1" applyFill="1" applyBorder="1" applyAlignment="1">
      <alignment horizontal="center" vertical="center"/>
    </xf>
    <xf numFmtId="168" fontId="89" fillId="61" borderId="55" xfId="0" applyNumberFormat="1" applyFont="1" applyFill="1" applyBorder="1" applyAlignment="1">
      <alignment horizontal="center" vertical="center"/>
    </xf>
    <xf numFmtId="168" fontId="89" fillId="64" borderId="52" xfId="0" applyNumberFormat="1" applyFont="1" applyFill="1" applyBorder="1" applyAlignment="1">
      <alignment horizontal="center" vertical="center"/>
    </xf>
    <xf numFmtId="2" fontId="89" fillId="64" borderId="52" xfId="0" applyNumberFormat="1" applyFont="1" applyFill="1" applyBorder="1" applyAlignment="1">
      <alignment horizontal="center" vertical="center" wrapText="1"/>
    </xf>
    <xf numFmtId="2" fontId="89" fillId="64" borderId="54" xfId="0" applyNumberFormat="1" applyFont="1" applyFill="1" applyBorder="1" applyAlignment="1">
      <alignment horizontal="center" vertical="center"/>
    </xf>
    <xf numFmtId="2" fontId="89" fillId="64" borderId="52" xfId="0" applyNumberFormat="1" applyFont="1" applyFill="1" applyBorder="1" applyAlignment="1">
      <alignment horizontal="center" vertical="center"/>
    </xf>
    <xf numFmtId="2" fontId="89" fillId="64" borderId="55" xfId="0" applyNumberFormat="1" applyFont="1" applyFill="1" applyBorder="1" applyAlignment="1">
      <alignment horizontal="center" vertical="center"/>
    </xf>
    <xf numFmtId="2" fontId="89" fillId="61" borderId="54" xfId="0" applyNumberFormat="1" applyFont="1" applyFill="1" applyBorder="1" applyAlignment="1">
      <alignment horizontal="center" vertical="top"/>
    </xf>
    <xf numFmtId="2" fontId="89" fillId="61" borderId="52" xfId="0" applyNumberFormat="1" applyFont="1" applyFill="1" applyBorder="1" applyAlignment="1">
      <alignment horizontal="center" vertical="top"/>
    </xf>
    <xf numFmtId="2" fontId="89" fillId="61" borderId="55" xfId="0" applyNumberFormat="1" applyFont="1" applyFill="1" applyBorder="1" applyAlignment="1">
      <alignment horizontal="center" vertical="top"/>
    </xf>
    <xf numFmtId="1" fontId="89" fillId="64" borderId="54" xfId="0" applyNumberFormat="1" applyFont="1" applyFill="1" applyBorder="1" applyAlignment="1">
      <alignment horizontal="center" vertical="center"/>
    </xf>
    <xf numFmtId="1" fontId="89" fillId="64" borderId="52" xfId="0" applyNumberFormat="1" applyFont="1" applyFill="1" applyBorder="1" applyAlignment="1">
      <alignment horizontal="center" vertical="center"/>
    </xf>
    <xf numFmtId="1" fontId="89" fillId="64" borderId="55" xfId="0" applyNumberFormat="1" applyFont="1" applyFill="1" applyBorder="1" applyAlignment="1">
      <alignment horizontal="center" vertical="center"/>
    </xf>
    <xf numFmtId="1" fontId="89" fillId="61" borderId="54" xfId="0" applyNumberFormat="1" applyFont="1" applyFill="1" applyBorder="1" applyAlignment="1">
      <alignment horizontal="center" vertical="center"/>
    </xf>
    <xf numFmtId="1" fontId="89" fillId="61" borderId="52" xfId="0" applyNumberFormat="1" applyFont="1" applyFill="1" applyBorder="1" applyAlignment="1">
      <alignment horizontal="center" vertical="center"/>
    </xf>
    <xf numFmtId="1" fontId="89" fillId="61" borderId="55" xfId="0" applyNumberFormat="1" applyFont="1" applyFill="1" applyBorder="1" applyAlignment="1">
      <alignment horizontal="center" vertical="center"/>
    </xf>
    <xf numFmtId="1" fontId="89" fillId="61" borderId="54" xfId="0" applyNumberFormat="1" applyFont="1" applyFill="1" applyBorder="1" applyAlignment="1">
      <alignment horizontal="center" vertical="top"/>
    </xf>
    <xf numFmtId="1" fontId="89" fillId="61" borderId="52" xfId="0" applyNumberFormat="1" applyFont="1" applyFill="1" applyBorder="1" applyAlignment="1">
      <alignment horizontal="center" vertical="top"/>
    </xf>
    <xf numFmtId="1" fontId="89" fillId="61" borderId="55" xfId="0" applyNumberFormat="1" applyFont="1" applyFill="1" applyBorder="1" applyAlignment="1">
      <alignment horizontal="center" vertical="top"/>
    </xf>
    <xf numFmtId="2" fontId="77" fillId="64" borderId="54" xfId="0" applyNumberFormat="1" applyFont="1" applyFill="1" applyBorder="1" applyAlignment="1" applyProtection="1">
      <alignment horizontal="center" vertical="center" wrapText="1"/>
      <protection locked="0"/>
    </xf>
    <xf numFmtId="2" fontId="77" fillId="64" borderId="52" xfId="0" applyNumberFormat="1" applyFont="1" applyFill="1" applyBorder="1" applyAlignment="1" applyProtection="1">
      <alignment horizontal="center" vertical="center" wrapText="1"/>
      <protection locked="0"/>
    </xf>
    <xf numFmtId="2" fontId="77" fillId="64" borderId="55" xfId="0" applyNumberFormat="1" applyFont="1" applyFill="1" applyBorder="1" applyAlignment="1" applyProtection="1">
      <alignment horizontal="center" vertical="center" wrapText="1"/>
      <protection locked="0"/>
    </xf>
    <xf numFmtId="2" fontId="89" fillId="61" borderId="54" xfId="0" applyNumberFormat="1" applyFont="1" applyFill="1" applyBorder="1" applyAlignment="1">
      <alignment horizontal="center" vertical="center"/>
    </xf>
    <xf numFmtId="2" fontId="89" fillId="61" borderId="52" xfId="0" applyNumberFormat="1" applyFont="1" applyFill="1" applyBorder="1" applyAlignment="1">
      <alignment horizontal="center" vertical="center"/>
    </xf>
    <xf numFmtId="2" fontId="89" fillId="61" borderId="55" xfId="0" applyNumberFormat="1" applyFont="1" applyFill="1" applyBorder="1" applyAlignment="1">
      <alignment horizontal="center" vertical="center"/>
    </xf>
    <xf numFmtId="1" fontId="77" fillId="64" borderId="54" xfId="0" applyNumberFormat="1" applyFont="1" applyFill="1" applyBorder="1" applyAlignment="1" applyProtection="1">
      <alignment horizontal="center" vertical="center" wrapText="1"/>
      <protection locked="0"/>
    </xf>
    <xf numFmtId="1" fontId="77" fillId="64" borderId="52" xfId="0" applyNumberFormat="1" applyFont="1" applyFill="1" applyBorder="1" applyAlignment="1" applyProtection="1">
      <alignment horizontal="center" vertical="center" wrapText="1"/>
      <protection locked="0"/>
    </xf>
    <xf numFmtId="1" fontId="77" fillId="64" borderId="55" xfId="0" applyNumberFormat="1" applyFont="1" applyFill="1" applyBorder="1" applyAlignment="1" applyProtection="1">
      <alignment horizontal="center" vertical="center" wrapText="1"/>
      <protection locked="0"/>
    </xf>
    <xf numFmtId="3" fontId="77" fillId="64" borderId="54" xfId="0" applyNumberFormat="1" applyFont="1" applyFill="1" applyBorder="1" applyAlignment="1" applyProtection="1">
      <alignment horizontal="center" vertical="center"/>
      <protection locked="0"/>
    </xf>
    <xf numFmtId="3" fontId="77" fillId="64" borderId="52" xfId="0" applyNumberFormat="1" applyFont="1" applyFill="1" applyBorder="1" applyAlignment="1" applyProtection="1">
      <alignment horizontal="center" vertical="center"/>
      <protection locked="0"/>
    </xf>
    <xf numFmtId="3" fontId="77" fillId="64" borderId="55" xfId="0" applyNumberFormat="1" applyFont="1" applyFill="1" applyBorder="1" applyAlignment="1" applyProtection="1">
      <alignment horizontal="center" vertical="center"/>
      <protection locked="0"/>
    </xf>
    <xf numFmtId="3" fontId="89" fillId="61" borderId="54" xfId="0" applyNumberFormat="1" applyFont="1" applyFill="1" applyBorder="1" applyAlignment="1">
      <alignment horizontal="center" vertical="center"/>
    </xf>
    <xf numFmtId="3" fontId="89" fillId="61" borderId="52" xfId="0" applyNumberFormat="1" applyFont="1" applyFill="1" applyBorder="1" applyAlignment="1">
      <alignment horizontal="center" vertical="center"/>
    </xf>
    <xf numFmtId="3" fontId="89" fillId="61" borderId="55" xfId="0" applyNumberFormat="1" applyFont="1" applyFill="1" applyBorder="1" applyAlignment="1">
      <alignment horizontal="center" vertical="center"/>
    </xf>
    <xf numFmtId="3" fontId="89" fillId="64" borderId="54" xfId="0" applyNumberFormat="1" applyFont="1" applyFill="1" applyBorder="1" applyAlignment="1">
      <alignment horizontal="center" vertical="center"/>
    </xf>
    <xf numFmtId="3" fontId="89" fillId="64" borderId="52" xfId="0" applyNumberFormat="1" applyFont="1" applyFill="1" applyBorder="1" applyAlignment="1">
      <alignment horizontal="center" vertical="center"/>
    </xf>
    <xf numFmtId="3" fontId="89" fillId="64" borderId="55" xfId="0" applyNumberFormat="1" applyFont="1" applyFill="1" applyBorder="1" applyAlignment="1">
      <alignment horizontal="center" vertical="center"/>
    </xf>
    <xf numFmtId="0" fontId="89" fillId="64" borderId="52" xfId="0" applyFont="1" applyFill="1" applyBorder="1" applyAlignment="1">
      <alignment horizontal="center" vertical="center"/>
    </xf>
    <xf numFmtId="1" fontId="89" fillId="64" borderId="52" xfId="0" applyNumberFormat="1" applyFont="1" applyFill="1" applyBorder="1" applyAlignment="1">
      <alignment horizontal="center" vertical="center" wrapText="1"/>
    </xf>
    <xf numFmtId="3" fontId="89" fillId="64" borderId="52" xfId="0" applyNumberFormat="1" applyFont="1" applyFill="1" applyBorder="1" applyAlignment="1">
      <alignment horizontal="center" vertical="center" wrapText="1"/>
    </xf>
    <xf numFmtId="1" fontId="77" fillId="70" borderId="54" xfId="0" applyNumberFormat="1" applyFont="1" applyFill="1" applyBorder="1" applyAlignment="1">
      <alignment horizontal="center" vertical="center"/>
    </xf>
    <xf numFmtId="1" fontId="77" fillId="70" borderId="55" xfId="0" applyNumberFormat="1" applyFont="1" applyFill="1" applyBorder="1" applyAlignment="1">
      <alignment horizontal="center" vertical="center"/>
    </xf>
    <xf numFmtId="3" fontId="77" fillId="70" borderId="54" xfId="0" applyNumberFormat="1" applyFont="1" applyFill="1" applyBorder="1" applyAlignment="1">
      <alignment horizontal="center" vertical="center"/>
    </xf>
    <xf numFmtId="3" fontId="77" fillId="70" borderId="55" xfId="0" applyNumberFormat="1" applyFont="1" applyFill="1" applyBorder="1" applyAlignment="1">
      <alignment horizontal="center" vertical="center"/>
    </xf>
    <xf numFmtId="3" fontId="77" fillId="70" borderId="54" xfId="0" applyNumberFormat="1" applyFont="1" applyFill="1" applyBorder="1" applyAlignment="1">
      <alignment horizontal="right" vertical="center"/>
    </xf>
    <xf numFmtId="3" fontId="77" fillId="70" borderId="55" xfId="0" applyNumberFormat="1" applyFont="1" applyFill="1" applyBorder="1" applyAlignment="1">
      <alignment horizontal="right" vertical="center"/>
    </xf>
    <xf numFmtId="168" fontId="89" fillId="70" borderId="54" xfId="0" applyNumberFormat="1" applyFont="1" applyFill="1" applyBorder="1" applyAlignment="1">
      <alignment horizontal="center" vertical="center"/>
    </xf>
    <xf numFmtId="168" fontId="89" fillId="70" borderId="55" xfId="0" applyNumberFormat="1" applyFont="1" applyFill="1" applyBorder="1" applyAlignment="1">
      <alignment horizontal="center" vertical="center"/>
    </xf>
    <xf numFmtId="1" fontId="89" fillId="64" borderId="52" xfId="0" applyNumberFormat="1" applyFont="1" applyFill="1" applyBorder="1" applyAlignment="1">
      <alignment horizontal="center" vertical="top"/>
    </xf>
    <xf numFmtId="2" fontId="89" fillId="64" borderId="52" xfId="0" applyNumberFormat="1" applyFont="1" applyFill="1" applyBorder="1" applyAlignment="1">
      <alignment horizontal="center" vertical="top"/>
    </xf>
    <xf numFmtId="3" fontId="77" fillId="64" borderId="54" xfId="0" applyNumberFormat="1" applyFont="1" applyFill="1" applyBorder="1" applyAlignment="1">
      <alignment horizontal="center" vertical="center"/>
    </xf>
    <xf numFmtId="3" fontId="77" fillId="64" borderId="55" xfId="0" applyNumberFormat="1" applyFont="1" applyFill="1" applyBorder="1" applyAlignment="1">
      <alignment horizontal="center" vertical="center"/>
    </xf>
    <xf numFmtId="3" fontId="77" fillId="64" borderId="52" xfId="0" applyNumberFormat="1" applyFont="1" applyFill="1" applyBorder="1" applyAlignment="1">
      <alignment horizontal="center"/>
    </xf>
    <xf numFmtId="3" fontId="77" fillId="61" borderId="54" xfId="0" applyNumberFormat="1" applyFont="1" applyFill="1" applyBorder="1" applyAlignment="1">
      <alignment horizontal="center"/>
    </xf>
    <xf numFmtId="3" fontId="77" fillId="61" borderId="55" xfId="0" applyNumberFormat="1" applyFont="1" applyFill="1" applyBorder="1" applyAlignment="1">
      <alignment horizontal="center"/>
    </xf>
    <xf numFmtId="1" fontId="77" fillId="61" borderId="52" xfId="0" applyNumberFormat="1" applyFont="1" applyFill="1" applyBorder="1" applyAlignment="1">
      <alignment horizontal="center" vertical="center"/>
    </xf>
    <xf numFmtId="3" fontId="77" fillId="61" borderId="52" xfId="0" applyNumberFormat="1" applyFont="1" applyFill="1" applyBorder="1" applyAlignment="1">
      <alignment horizontal="center"/>
    </xf>
    <xf numFmtId="1" fontId="76" fillId="64" borderId="54" xfId="0" applyNumberFormat="1" applyFont="1" applyFill="1" applyBorder="1" applyAlignment="1" applyProtection="1">
      <alignment horizontal="center" vertical="top"/>
      <protection locked="0"/>
    </xf>
    <xf numFmtId="1" fontId="76" fillId="64" borderId="52" xfId="0" applyNumberFormat="1" applyFont="1" applyFill="1" applyBorder="1" applyAlignment="1" applyProtection="1">
      <alignment horizontal="center" vertical="top"/>
      <protection locked="0"/>
    </xf>
    <xf numFmtId="1" fontId="76" fillId="64" borderId="55" xfId="0" applyNumberFormat="1" applyFont="1" applyFill="1" applyBorder="1" applyAlignment="1" applyProtection="1">
      <alignment horizontal="center" vertical="top"/>
      <protection locked="0"/>
    </xf>
    <xf numFmtId="1" fontId="76" fillId="64" borderId="54" xfId="0" applyNumberFormat="1" applyFont="1" applyFill="1" applyBorder="1" applyAlignment="1" applyProtection="1">
      <alignment horizontal="center" vertical="top" wrapText="1"/>
      <protection locked="0"/>
    </xf>
    <xf numFmtId="1" fontId="76" fillId="64" borderId="52" xfId="0" applyNumberFormat="1" applyFont="1" applyFill="1" applyBorder="1" applyAlignment="1" applyProtection="1">
      <alignment horizontal="center" vertical="top" wrapText="1"/>
      <protection locked="0"/>
    </xf>
    <xf numFmtId="1" fontId="76" fillId="64" borderId="55" xfId="0" applyNumberFormat="1" applyFont="1" applyFill="1" applyBorder="1" applyAlignment="1" applyProtection="1">
      <alignment horizontal="center" vertical="top" wrapText="1"/>
      <protection locked="0"/>
    </xf>
    <xf numFmtId="3" fontId="77" fillId="64" borderId="52" xfId="0" applyNumberFormat="1" applyFont="1" applyFill="1" applyBorder="1" applyAlignment="1">
      <alignment horizontal="center" vertical="center"/>
    </xf>
    <xf numFmtId="3" fontId="77" fillId="61" borderId="54" xfId="0" applyNumberFormat="1" applyFont="1" applyFill="1" applyBorder="1" applyAlignment="1">
      <alignment horizontal="center" vertical="center"/>
    </xf>
    <xf numFmtId="3" fontId="77" fillId="61" borderId="52" xfId="0" applyNumberFormat="1" applyFont="1" applyFill="1" applyBorder="1" applyAlignment="1">
      <alignment horizontal="center" vertical="center"/>
    </xf>
    <xf numFmtId="3" fontId="77" fillId="61" borderId="55" xfId="0" applyNumberFormat="1" applyFont="1" applyFill="1" applyBorder="1" applyAlignment="1">
      <alignment horizontal="center" vertical="center"/>
    </xf>
    <xf numFmtId="0" fontId="0" fillId="50" borderId="58" xfId="0" applyFill="1" applyBorder="1" applyAlignment="1">
      <alignment horizontal="center"/>
    </xf>
    <xf numFmtId="0" fontId="77" fillId="50" borderId="58" xfId="0" applyFont="1" applyFill="1" applyBorder="1" applyAlignment="1">
      <alignment horizontal="center"/>
    </xf>
    <xf numFmtId="0" fontId="77" fillId="50" borderId="60" xfId="0" applyFont="1" applyFill="1" applyBorder="1" applyAlignment="1">
      <alignment horizontal="center"/>
    </xf>
    <xf numFmtId="0" fontId="77" fillId="63" borderId="54" xfId="0" applyFont="1" applyFill="1" applyBorder="1" applyAlignment="1" applyProtection="1">
      <alignment horizontal="center" vertical="center"/>
      <protection locked="0"/>
    </xf>
    <xf numFmtId="0" fontId="77" fillId="63" borderId="55" xfId="0" applyFont="1" applyFill="1" applyBorder="1" applyAlignment="1" applyProtection="1">
      <alignment horizontal="center" vertical="center"/>
      <protection locked="0"/>
    </xf>
    <xf numFmtId="14" fontId="0" fillId="50" borderId="58" xfId="0" applyNumberFormat="1" applyFill="1" applyBorder="1" applyAlignment="1">
      <alignment horizontal="center"/>
    </xf>
    <xf numFmtId="3" fontId="0" fillId="0" borderId="51" xfId="0" applyNumberFormat="1" applyBorder="1" applyAlignment="1">
      <alignment horizontal="center"/>
    </xf>
    <xf numFmtId="3" fontId="76" fillId="0" borderId="51" xfId="0" applyNumberFormat="1" applyFont="1" applyBorder="1" applyAlignment="1">
      <alignment horizontal="center"/>
    </xf>
    <xf numFmtId="3" fontId="77" fillId="0" borderId="51" xfId="0" applyNumberFormat="1" applyFont="1" applyBorder="1" applyAlignment="1">
      <alignment horizontal="center"/>
    </xf>
    <xf numFmtId="0" fontId="77" fillId="53" borderId="54" xfId="0" applyFont="1" applyFill="1" applyBorder="1" applyAlignment="1" applyProtection="1">
      <alignment horizontal="center" vertical="center"/>
      <protection locked="0"/>
    </xf>
    <xf numFmtId="0" fontId="77" fillId="53" borderId="55" xfId="0" applyFont="1" applyFill="1" applyBorder="1" applyAlignment="1" applyProtection="1">
      <alignment horizontal="center" vertical="center"/>
      <protection locked="0"/>
    </xf>
    <xf numFmtId="175" fontId="76" fillId="53" borderId="54" xfId="0" applyNumberFormat="1" applyFont="1" applyFill="1" applyBorder="1" applyAlignment="1" applyProtection="1">
      <alignment horizontal="center" vertical="top"/>
      <protection locked="0"/>
    </xf>
    <xf numFmtId="175" fontId="76" fillId="53" borderId="55" xfId="0" applyNumberFormat="1" applyFont="1" applyFill="1" applyBorder="1" applyAlignment="1" applyProtection="1">
      <alignment horizontal="center" vertical="top"/>
      <protection locked="0"/>
    </xf>
    <xf numFmtId="3" fontId="77" fillId="53" borderId="54" xfId="0" applyNumberFormat="1" applyFont="1" applyFill="1" applyBorder="1" applyAlignment="1" applyProtection="1">
      <alignment horizontal="center" vertical="center"/>
      <protection locked="0"/>
    </xf>
    <xf numFmtId="3" fontId="77" fillId="53" borderId="55" xfId="0" applyNumberFormat="1" applyFont="1" applyFill="1" applyBorder="1" applyAlignment="1" applyProtection="1">
      <alignment horizontal="center" vertical="center"/>
      <protection locked="0"/>
    </xf>
    <xf numFmtId="2" fontId="77" fillId="53" borderId="54" xfId="0" applyNumberFormat="1" applyFont="1" applyFill="1" applyBorder="1" applyAlignment="1" applyProtection="1">
      <alignment horizontal="center" vertical="center" wrapText="1"/>
      <protection locked="0"/>
    </xf>
    <xf numFmtId="2" fontId="77" fillId="53" borderId="55" xfId="0" applyNumberFormat="1" applyFont="1" applyFill="1" applyBorder="1" applyAlignment="1" applyProtection="1">
      <alignment horizontal="center" vertical="center" wrapText="1"/>
      <protection locked="0"/>
    </xf>
    <xf numFmtId="2" fontId="77" fillId="53" borderId="54" xfId="0" applyNumberFormat="1" applyFont="1" applyFill="1" applyBorder="1" applyAlignment="1">
      <alignment horizontal="center" vertical="center"/>
    </xf>
    <xf numFmtId="2" fontId="77" fillId="53" borderId="55" xfId="0" applyNumberFormat="1" applyFont="1" applyFill="1" applyBorder="1" applyAlignment="1">
      <alignment horizontal="center" vertical="center"/>
    </xf>
    <xf numFmtId="2" fontId="77" fillId="63" borderId="54" xfId="0" applyNumberFormat="1" applyFont="1" applyFill="1" applyBorder="1" applyAlignment="1">
      <alignment horizontal="center" vertical="center"/>
    </xf>
    <xf numFmtId="2" fontId="77" fillId="63" borderId="55" xfId="0" applyNumberFormat="1" applyFont="1" applyFill="1" applyBorder="1" applyAlignment="1">
      <alignment horizontal="center" vertical="center"/>
    </xf>
    <xf numFmtId="175" fontId="76" fillId="53" borderId="56" xfId="0" applyNumberFormat="1" applyFont="1" applyFill="1" applyBorder="1" applyAlignment="1" applyProtection="1">
      <alignment horizontal="center" vertical="top"/>
      <protection locked="0"/>
    </xf>
    <xf numFmtId="175" fontId="76" fillId="53" borderId="61" xfId="0" applyNumberFormat="1" applyFont="1" applyFill="1" applyBorder="1" applyAlignment="1" applyProtection="1">
      <alignment horizontal="center" vertical="top"/>
      <protection locked="0"/>
    </xf>
    <xf numFmtId="0" fontId="77" fillId="53" borderId="57" xfId="0" applyFont="1" applyFill="1" applyBorder="1" applyAlignment="1" applyProtection="1">
      <alignment horizontal="center" vertical="center"/>
      <protection locked="0"/>
    </xf>
    <xf numFmtId="0" fontId="77" fillId="53" borderId="62" xfId="0" applyFont="1" applyFill="1" applyBorder="1" applyAlignment="1" applyProtection="1">
      <alignment horizontal="center" vertical="center"/>
      <protection locked="0"/>
    </xf>
    <xf numFmtId="175" fontId="76" fillId="63" borderId="54" xfId="0" applyNumberFormat="1" applyFont="1" applyFill="1" applyBorder="1" applyAlignment="1" applyProtection="1">
      <alignment horizontal="center" vertical="top"/>
      <protection locked="0"/>
    </xf>
    <xf numFmtId="175" fontId="76" fillId="63" borderId="55" xfId="0" applyNumberFormat="1" applyFont="1" applyFill="1" applyBorder="1" applyAlignment="1" applyProtection="1">
      <alignment horizontal="center" vertical="top"/>
      <protection locked="0"/>
    </xf>
    <xf numFmtId="1" fontId="76" fillId="53" borderId="54" xfId="0" applyNumberFormat="1" applyFont="1" applyFill="1" applyBorder="1" applyAlignment="1" applyProtection="1">
      <alignment horizontal="center" vertical="top"/>
      <protection locked="0"/>
    </xf>
    <xf numFmtId="1" fontId="76" fillId="53" borderId="55" xfId="0" applyNumberFormat="1" applyFont="1" applyFill="1" applyBorder="1" applyAlignment="1" applyProtection="1">
      <alignment horizontal="center" vertical="top"/>
      <protection locked="0"/>
    </xf>
    <xf numFmtId="3" fontId="77" fillId="63" borderId="54" xfId="0" applyNumberFormat="1" applyFont="1" applyFill="1" applyBorder="1" applyAlignment="1" applyProtection="1">
      <alignment horizontal="center" vertical="center"/>
      <protection locked="0"/>
    </xf>
    <xf numFmtId="3" fontId="77" fillId="63" borderId="55" xfId="0" applyNumberFormat="1" applyFont="1" applyFill="1" applyBorder="1" applyAlignment="1" applyProtection="1">
      <alignment horizontal="center" vertical="center"/>
      <protection locked="0"/>
    </xf>
    <xf numFmtId="2" fontId="77" fillId="63" borderId="54" xfId="0" applyNumberFormat="1" applyFont="1" applyFill="1" applyBorder="1" applyAlignment="1" applyProtection="1">
      <alignment horizontal="center" vertical="center" wrapText="1"/>
      <protection locked="0"/>
    </xf>
    <xf numFmtId="2" fontId="77" fillId="63" borderId="55" xfId="0" applyNumberFormat="1" applyFont="1" applyFill="1" applyBorder="1" applyAlignment="1" applyProtection="1">
      <alignment horizontal="center" vertical="center" wrapText="1"/>
      <protection locked="0"/>
    </xf>
    <xf numFmtId="1" fontId="77" fillId="63" borderId="54" xfId="0" applyNumberFormat="1" applyFont="1" applyFill="1" applyBorder="1" applyAlignment="1" applyProtection="1">
      <alignment horizontal="center" vertical="center"/>
      <protection locked="0"/>
    </xf>
    <xf numFmtId="1" fontId="77" fillId="63" borderId="55" xfId="0" applyNumberFormat="1" applyFont="1" applyFill="1" applyBorder="1" applyAlignment="1" applyProtection="1">
      <alignment horizontal="center" vertical="center"/>
      <protection locked="0"/>
    </xf>
    <xf numFmtId="1" fontId="76" fillId="63" borderId="54" xfId="0" applyNumberFormat="1" applyFont="1" applyFill="1" applyBorder="1" applyAlignment="1" applyProtection="1">
      <alignment horizontal="center" vertical="center"/>
      <protection locked="0"/>
    </xf>
    <xf numFmtId="1" fontId="76" fillId="63" borderId="55" xfId="0" applyNumberFormat="1" applyFont="1" applyFill="1" applyBorder="1" applyAlignment="1" applyProtection="1">
      <alignment horizontal="center" vertical="center"/>
      <protection locked="0"/>
    </xf>
    <xf numFmtId="1" fontId="76" fillId="63" borderId="54" xfId="0" applyNumberFormat="1" applyFont="1" applyFill="1" applyBorder="1" applyAlignment="1" applyProtection="1">
      <alignment horizontal="center" vertical="center" wrapText="1"/>
      <protection locked="0"/>
    </xf>
    <xf numFmtId="1" fontId="76" fillId="63" borderId="55" xfId="0" applyNumberFormat="1" applyFont="1" applyFill="1" applyBorder="1" applyAlignment="1" applyProtection="1">
      <alignment horizontal="center" vertical="center" wrapText="1"/>
      <protection locked="0"/>
    </xf>
    <xf numFmtId="1" fontId="76" fillId="53" borderId="54" xfId="0" applyNumberFormat="1" applyFont="1" applyFill="1" applyBorder="1" applyAlignment="1" applyProtection="1">
      <alignment horizontal="center" vertical="center"/>
      <protection locked="0"/>
    </xf>
    <xf numFmtId="1" fontId="76" fillId="53" borderId="55" xfId="0" applyNumberFormat="1" applyFont="1" applyFill="1" applyBorder="1" applyAlignment="1" applyProtection="1">
      <alignment horizontal="center" vertical="center"/>
      <protection locked="0"/>
    </xf>
    <xf numFmtId="0" fontId="77" fillId="0" borderId="0" xfId="0" applyFont="1" applyAlignment="1">
      <alignment horizontal="left"/>
    </xf>
    <xf numFmtId="0" fontId="0" fillId="0" borderId="0" xfId="0" applyAlignment="1">
      <alignment horizontal="left"/>
    </xf>
    <xf numFmtId="0" fontId="76" fillId="0" borderId="0" xfId="0" applyFont="1" applyAlignment="1">
      <alignment horizontal="left"/>
    </xf>
    <xf numFmtId="3" fontId="77" fillId="53" borderId="54" xfId="0" applyNumberFormat="1" applyFont="1" applyFill="1" applyBorder="1" applyAlignment="1" applyProtection="1">
      <alignment horizontal="right" vertical="center" wrapText="1"/>
      <protection locked="0"/>
    </xf>
    <xf numFmtId="3" fontId="77" fillId="53" borderId="55" xfId="0" applyNumberFormat="1" applyFont="1" applyFill="1" applyBorder="1" applyAlignment="1" applyProtection="1">
      <alignment horizontal="right" vertical="center" wrapText="1"/>
      <protection locked="0"/>
    </xf>
    <xf numFmtId="3" fontId="77" fillId="63" borderId="54" xfId="0" applyNumberFormat="1" applyFont="1" applyFill="1" applyBorder="1" applyAlignment="1" applyProtection="1">
      <alignment horizontal="right" vertical="center"/>
      <protection locked="0"/>
    </xf>
    <xf numFmtId="3" fontId="77" fillId="63" borderId="55" xfId="0" applyNumberFormat="1" applyFont="1" applyFill="1" applyBorder="1" applyAlignment="1" applyProtection="1">
      <alignment horizontal="right" vertical="center"/>
      <protection locked="0"/>
    </xf>
    <xf numFmtId="3" fontId="77" fillId="53" borderId="54" xfId="0" applyNumberFormat="1" applyFont="1" applyFill="1" applyBorder="1" applyAlignment="1" applyProtection="1">
      <alignment horizontal="right" vertical="center"/>
      <protection locked="0"/>
    </xf>
    <xf numFmtId="3" fontId="77" fillId="53" borderId="55" xfId="0" applyNumberFormat="1" applyFont="1" applyFill="1" applyBorder="1" applyAlignment="1" applyProtection="1">
      <alignment horizontal="right" vertical="center"/>
      <protection locked="0"/>
    </xf>
    <xf numFmtId="1" fontId="77" fillId="53" borderId="54" xfId="0" applyNumberFormat="1" applyFont="1" applyFill="1" applyBorder="1" applyAlignment="1" applyProtection="1">
      <alignment horizontal="center" vertical="center"/>
      <protection locked="0"/>
    </xf>
    <xf numFmtId="1" fontId="77" fillId="53" borderId="55" xfId="0" applyNumberFormat="1" applyFont="1" applyFill="1" applyBorder="1" applyAlignment="1" applyProtection="1">
      <alignment horizontal="center" vertical="center"/>
      <protection locked="0"/>
    </xf>
    <xf numFmtId="1" fontId="76" fillId="53" borderId="54" xfId="0" applyNumberFormat="1" applyFont="1" applyFill="1" applyBorder="1" applyAlignment="1" applyProtection="1">
      <alignment horizontal="center" vertical="top" wrapText="1"/>
      <protection locked="0"/>
    </xf>
    <xf numFmtId="1" fontId="76" fillId="53" borderId="55" xfId="0" applyNumberFormat="1" applyFont="1" applyFill="1" applyBorder="1" applyAlignment="1" applyProtection="1">
      <alignment horizontal="center" vertical="top" wrapText="1"/>
      <protection locked="0"/>
    </xf>
    <xf numFmtId="2" fontId="76" fillId="53" borderId="54" xfId="0" applyNumberFormat="1" applyFont="1" applyFill="1" applyBorder="1" applyAlignment="1" applyProtection="1">
      <alignment horizontal="center" vertical="top"/>
      <protection locked="0"/>
    </xf>
    <xf numFmtId="2" fontId="76" fillId="53" borderId="55" xfId="0" applyNumberFormat="1" applyFont="1" applyFill="1" applyBorder="1" applyAlignment="1" applyProtection="1">
      <alignment horizontal="center" vertical="top"/>
      <protection locked="0"/>
    </xf>
    <xf numFmtId="1" fontId="76" fillId="53" borderId="54" xfId="0" applyNumberFormat="1" applyFont="1" applyFill="1" applyBorder="1" applyAlignment="1" applyProtection="1">
      <alignment horizontal="center" vertical="center" wrapText="1"/>
      <protection locked="0"/>
    </xf>
    <xf numFmtId="1" fontId="76" fillId="53" borderId="55" xfId="0" applyNumberFormat="1" applyFont="1" applyFill="1" applyBorder="1" applyAlignment="1" applyProtection="1">
      <alignment horizontal="center" vertical="center" wrapText="1"/>
      <protection locked="0"/>
    </xf>
    <xf numFmtId="2" fontId="76" fillId="53" borderId="54" xfId="0" applyNumberFormat="1" applyFont="1" applyFill="1" applyBorder="1" applyAlignment="1" applyProtection="1">
      <alignment horizontal="center" vertical="center"/>
      <protection locked="0"/>
    </xf>
    <xf numFmtId="2" fontId="76" fillId="53" borderId="55" xfId="0" applyNumberFormat="1" applyFont="1" applyFill="1" applyBorder="1" applyAlignment="1" applyProtection="1">
      <alignment horizontal="center" vertical="center"/>
      <protection locked="0"/>
    </xf>
    <xf numFmtId="1" fontId="76" fillId="63" borderId="54" xfId="0" applyNumberFormat="1" applyFont="1" applyFill="1" applyBorder="1" applyAlignment="1" applyProtection="1">
      <alignment horizontal="center" vertical="top"/>
      <protection locked="0"/>
    </xf>
    <xf numFmtId="1" fontId="76" fillId="63" borderId="55" xfId="0" applyNumberFormat="1" applyFont="1" applyFill="1" applyBorder="1" applyAlignment="1" applyProtection="1">
      <alignment horizontal="center" vertical="top"/>
      <protection locked="0"/>
    </xf>
    <xf numFmtId="1" fontId="76" fillId="63" borderId="54" xfId="0" applyNumberFormat="1" applyFont="1" applyFill="1" applyBorder="1" applyAlignment="1" applyProtection="1">
      <alignment horizontal="center" vertical="top" wrapText="1"/>
      <protection locked="0"/>
    </xf>
    <xf numFmtId="1" fontId="76" fillId="63" borderId="55" xfId="0" applyNumberFormat="1" applyFont="1" applyFill="1" applyBorder="1" applyAlignment="1" applyProtection="1">
      <alignment horizontal="center" vertical="top" wrapText="1"/>
      <protection locked="0"/>
    </xf>
    <xf numFmtId="2" fontId="76" fillId="63" borderId="54" xfId="0" applyNumberFormat="1" applyFont="1" applyFill="1" applyBorder="1" applyAlignment="1" applyProtection="1">
      <alignment horizontal="center" vertical="center"/>
      <protection locked="0"/>
    </xf>
    <xf numFmtId="2" fontId="76" fillId="63" borderId="55" xfId="0" applyNumberFormat="1" applyFont="1" applyFill="1" applyBorder="1" applyAlignment="1" applyProtection="1">
      <alignment horizontal="center" vertical="center"/>
      <protection locked="0"/>
    </xf>
    <xf numFmtId="2" fontId="76" fillId="63" borderId="54" xfId="0" applyNumberFormat="1" applyFont="1" applyFill="1" applyBorder="1" applyAlignment="1" applyProtection="1">
      <alignment horizontal="center" vertical="top"/>
      <protection locked="0"/>
    </xf>
    <xf numFmtId="2" fontId="76" fillId="63" borderId="55" xfId="0" applyNumberFormat="1" applyFont="1" applyFill="1" applyBorder="1" applyAlignment="1" applyProtection="1">
      <alignment horizontal="center" vertical="top"/>
      <protection locked="0"/>
    </xf>
    <xf numFmtId="0" fontId="97" fillId="50" borderId="51" xfId="0" applyFont="1" applyFill="1" applyBorder="1" applyAlignment="1">
      <alignment horizontal="left"/>
    </xf>
    <xf numFmtId="0" fontId="97" fillId="50" borderId="58" xfId="0" applyFont="1" applyFill="1" applyBorder="1" applyAlignment="1">
      <alignment horizontal="left"/>
    </xf>
    <xf numFmtId="0" fontId="97" fillId="50" borderId="6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8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9CC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'mutual funds'!$E$66:$E$75</c:f>
              <c:strCache>
                <c:ptCount val="10"/>
                <c:pt idx="0">
                  <c:v>Nippon</c:v>
                </c:pt>
                <c:pt idx="1">
                  <c:v>ICICI</c:v>
                </c:pt>
                <c:pt idx="2">
                  <c:v>Quant</c:v>
                </c:pt>
                <c:pt idx="3">
                  <c:v>Kotak</c:v>
                </c:pt>
                <c:pt idx="4">
                  <c:v>HDFC</c:v>
                </c:pt>
                <c:pt idx="5">
                  <c:v>Parag Parikh</c:v>
                </c:pt>
                <c:pt idx="6">
                  <c:v>Canara Robeco</c:v>
                </c:pt>
                <c:pt idx="7">
                  <c:v>Mirae Asset</c:v>
                </c:pt>
                <c:pt idx="8">
                  <c:v>Tata</c:v>
                </c:pt>
                <c:pt idx="9">
                  <c:v>HSBC</c:v>
                </c:pt>
              </c:strCache>
            </c:strRef>
          </c:cat>
          <c:val>
            <c:numRef>
              <c:f>'mutual funds'!$G$66:$G$75</c:f>
              <c:numCache>
                <c:formatCode>0.00</c:formatCode>
                <c:ptCount val="10"/>
                <c:pt idx="0">
                  <c:v>9.0500000000000007</c:v>
                </c:pt>
                <c:pt idx="1">
                  <c:v>13.5</c:v>
                </c:pt>
                <c:pt idx="2">
                  <c:v>32.299999999999997</c:v>
                </c:pt>
                <c:pt idx="3">
                  <c:v>15.5</c:v>
                </c:pt>
                <c:pt idx="4">
                  <c:v>2</c:v>
                </c:pt>
                <c:pt idx="5">
                  <c:v>7.5</c:v>
                </c:pt>
                <c:pt idx="6">
                  <c:v>1.75</c:v>
                </c:pt>
                <c:pt idx="7">
                  <c:v>1.7</c:v>
                </c:pt>
                <c:pt idx="8">
                  <c:v>1.8</c:v>
                </c:pt>
                <c:pt idx="9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A-45C5-B215-D0D8B1B739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62398479"/>
        <c:axId val="1862399919"/>
      </c:barChart>
      <c:catAx>
        <c:axId val="1862398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99919"/>
        <c:crosses val="autoZero"/>
        <c:auto val="1"/>
        <c:lblAlgn val="ctr"/>
        <c:lblOffset val="100"/>
        <c:noMultiLvlLbl val="0"/>
      </c:catAx>
      <c:valAx>
        <c:axId val="18623999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62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15-4D99-99EC-E656D3F43E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15-4D99-99EC-E656D3F43E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15-4D99-99EC-E656D3F43E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15-4D99-99EC-E656D3F43E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15-4D99-99EC-E656D3F43E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615-4D99-99EC-E656D3F43E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615-4D99-99EC-E656D3F43E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615-4D99-99EC-E656D3F43E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615-4D99-99EC-E656D3F43E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615-4D99-99EC-E656D3F43E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615-4D99-99EC-E656D3F43EE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615-4D99-99EC-E656D3F43EE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615-4D99-99EC-E656D3F43EE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2615-4D99-99EC-E656D3F43E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'mutual funds'!$E$55:$E$61</c:f>
              <c:strCache>
                <c:ptCount val="7"/>
                <c:pt idx="0">
                  <c:v>largeCap</c:v>
                </c:pt>
                <c:pt idx="1">
                  <c:v>large &amp; midcap</c:v>
                </c:pt>
                <c:pt idx="2">
                  <c:v>midcap</c:v>
                </c:pt>
                <c:pt idx="3">
                  <c:v>smallcap</c:v>
                </c:pt>
                <c:pt idx="4">
                  <c:v>flexi/multicap</c:v>
                </c:pt>
                <c:pt idx="5">
                  <c:v>Sectorial-Infra</c:v>
                </c:pt>
                <c:pt idx="6">
                  <c:v>ELSS</c:v>
                </c:pt>
              </c:strCache>
            </c:strRef>
          </c:cat>
          <c:val>
            <c:numRef>
              <c:f>'mutual funds'!$F$55:$F$61</c:f>
              <c:numCache>
                <c:formatCode>#,##0</c:formatCode>
                <c:ptCount val="7"/>
                <c:pt idx="0">
                  <c:v>1200000</c:v>
                </c:pt>
                <c:pt idx="1">
                  <c:v>1250000</c:v>
                </c:pt>
                <c:pt idx="2">
                  <c:v>1550000</c:v>
                </c:pt>
                <c:pt idx="3">
                  <c:v>1420000</c:v>
                </c:pt>
                <c:pt idx="4">
                  <c:v>1000000</c:v>
                </c:pt>
                <c:pt idx="5">
                  <c:v>1700000</c:v>
                </c:pt>
                <c:pt idx="6">
                  <c:v>495000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15-4D99-99EC-E656D3F43EE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68</xdr:row>
      <xdr:rowOff>0</xdr:rowOff>
    </xdr:from>
    <xdr:to>
      <xdr:col>15</xdr:col>
      <xdr:colOff>53518</xdr:colOff>
      <xdr:row>84</xdr:row>
      <xdr:rowOff>51991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2E036F2-27F7-4178-96AE-712254108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70338</xdr:colOff>
      <xdr:row>67</xdr:row>
      <xdr:rowOff>39451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AB5E950-2D48-41A8-90CB-E88FF9D92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88</xdr:row>
      <xdr:rowOff>0</xdr:rowOff>
    </xdr:from>
    <xdr:to>
      <xdr:col>15</xdr:col>
      <xdr:colOff>1158048</xdr:colOff>
      <xdr:row>103</xdr:row>
      <xdr:rowOff>114539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2B2CE87-AB64-441A-B2B4-B7294EC15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9277" y="14021820"/>
          <a:ext cx="11043660" cy="2637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a-nsdl.com/CRA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shiva@%7BCODE2%7D%20code2%20is%20mie" TargetMode="External"/><Relationship Id="rId18" Type="http://schemas.openxmlformats.org/officeDocument/2006/relationships/hyperlink" Target="mailto:rsd!@#{code1}" TargetMode="External"/><Relationship Id="rId26" Type="http://schemas.openxmlformats.org/officeDocument/2006/relationships/hyperlink" Target="mailto:Enter@#${code2}" TargetMode="External"/><Relationship Id="rId3" Type="http://schemas.openxmlformats.org/officeDocument/2006/relationships/hyperlink" Target="mailto:dhanai_rajpal@yahoo.com/h$8+7Fk/E35iN,Y" TargetMode="External"/><Relationship Id="rId21" Type="http://schemas.openxmlformats.org/officeDocument/2006/relationships/hyperlink" Target="mailto:dhanai_rajpal@yahoo.com" TargetMode="External"/><Relationship Id="rId7" Type="http://schemas.openxmlformats.org/officeDocument/2006/relationships/hyperlink" Target="mailto:raj@#${code1}" TargetMode="External"/><Relationship Id="rId12" Type="http://schemas.openxmlformats.org/officeDocument/2006/relationships/hyperlink" Target="mailto:raj!@#{code1}" TargetMode="External"/><Relationship Id="rId17" Type="http://schemas.openxmlformats.org/officeDocument/2006/relationships/hyperlink" Target="mailto:rsd!@#{code1}" TargetMode="External"/><Relationship Id="rId25" Type="http://schemas.openxmlformats.org/officeDocument/2006/relationships/hyperlink" Target="mailto:rsd!@#{code2}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rajpal.dhanai@gmail.com/Rajpal!@#(code1)" TargetMode="External"/><Relationship Id="rId16" Type="http://schemas.openxmlformats.org/officeDocument/2006/relationships/hyperlink" Target="mailto:raj!@#{code1}" TargetMode="External"/><Relationship Id="rId20" Type="http://schemas.openxmlformats.org/officeDocument/2006/relationships/hyperlink" Target="mailto:rsd!@#{code1}" TargetMode="External"/><Relationship Id="rId29" Type="http://schemas.openxmlformats.org/officeDocument/2006/relationships/hyperlink" Target="mailto:rajpal.dhanai@coforge.com%20(use%20signin%20with%20google%20with%20this%20account)" TargetMode="External"/><Relationship Id="rId1" Type="http://schemas.openxmlformats.org/officeDocument/2006/relationships/hyperlink" Target="mailto:dhanai_rajpal@yahoo.com/Raj!@#123" TargetMode="External"/><Relationship Id="rId6" Type="http://schemas.openxmlformats.org/officeDocument/2006/relationships/hyperlink" Target="mailto:rsd!@#{code1}" TargetMode="External"/><Relationship Id="rId11" Type="http://schemas.openxmlformats.org/officeDocument/2006/relationships/hyperlink" Target="mailto:rdhanai/raj!@#123" TargetMode="External"/><Relationship Id="rId24" Type="http://schemas.openxmlformats.org/officeDocument/2006/relationships/hyperlink" Target="mailto:Rsd@248179" TargetMode="External"/><Relationship Id="rId32" Type="http://schemas.openxmlformats.org/officeDocument/2006/relationships/hyperlink" Target="mailto:rajpal.dhanai@coforge.com/raj!@#123" TargetMode="External"/><Relationship Id="rId5" Type="http://schemas.openxmlformats.org/officeDocument/2006/relationships/hyperlink" Target="mailto:Navihaan!@#{code1}, 866" TargetMode="External"/><Relationship Id="rId15" Type="http://schemas.openxmlformats.org/officeDocument/2006/relationships/hyperlink" Target="mailto:rsd!@#{code1}" TargetMode="External"/><Relationship Id="rId23" Type="http://schemas.openxmlformats.org/officeDocument/2006/relationships/hyperlink" Target="https://cp.certmetrics.com/google/en/home/dashboard" TargetMode="External"/><Relationship Id="rId28" Type="http://schemas.openxmlformats.org/officeDocument/2006/relationships/hyperlink" Target="mailto:rdhanai/Raj!@#123" TargetMode="External"/><Relationship Id="rId10" Type="http://schemas.openxmlformats.org/officeDocument/2006/relationships/hyperlink" Target="mailto:rajpal.dhanai@coforge.com/raj!@#123" TargetMode="External"/><Relationship Id="rId19" Type="http://schemas.openxmlformats.org/officeDocument/2006/relationships/hyperlink" Target="mailto:raj!@#{code1}" TargetMode="External"/><Relationship Id="rId31" Type="http://schemas.openxmlformats.org/officeDocument/2006/relationships/hyperlink" Target="mailto:dhanai_rajpal@yahoo.com/raj!@#123" TargetMode="External"/><Relationship Id="rId4" Type="http://schemas.openxmlformats.org/officeDocument/2006/relationships/hyperlink" Target="mailto:raj!@#{code1} EVC code to e-verify (5UXX77VBLY)" TargetMode="External"/><Relationship Id="rId9" Type="http://schemas.openxmlformats.org/officeDocument/2006/relationships/hyperlink" Target="https://partner.cloudskillsboost.google/users/sign_in" TargetMode="External"/><Relationship Id="rId14" Type="http://schemas.openxmlformats.org/officeDocument/2006/relationships/hyperlink" Target="mailto:vihaan!@#{code1}" TargetMode="External"/><Relationship Id="rId22" Type="http://schemas.openxmlformats.org/officeDocument/2006/relationships/hyperlink" Target="http://www.investgnida.in/myGNIDAServices/Water%20bill%20of%20d-69,%20submit%20every%20year%20by%20march%2031greater%20noida%20authority" TargetMode="External"/><Relationship Id="rId27" Type="http://schemas.openxmlformats.org/officeDocument/2006/relationships/hyperlink" Target="mailto:rsd%7Bcode2%7D@" TargetMode="External"/><Relationship Id="rId30" Type="http://schemas.openxmlformats.org/officeDocument/2006/relationships/hyperlink" Target="https://www.credly.com/earner/dashboard%20(for%20gcp%20certificates)" TargetMode="External"/><Relationship Id="rId8" Type="http://schemas.openxmlformats.org/officeDocument/2006/relationships/hyperlink" Target="mailto:raj!@#{code1}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2:F71"/>
  <sheetViews>
    <sheetView workbookViewId="0">
      <selection activeCell="B8" sqref="B8"/>
    </sheetView>
  </sheetViews>
  <sheetFormatPr defaultRowHeight="13.3"/>
  <cols>
    <col min="3" max="3" width="35.21875" bestFit="1" customWidth="1"/>
    <col min="4" max="4" width="9.88671875" bestFit="1" customWidth="1"/>
    <col min="5" max="5" width="13.109375" bestFit="1" customWidth="1"/>
    <col min="6" max="6" width="13.33203125" bestFit="1" customWidth="1"/>
  </cols>
  <sheetData>
    <row r="2" spans="3:6">
      <c r="C2" s="11" t="s">
        <v>1986</v>
      </c>
    </row>
    <row r="4" spans="3:6" ht="15.55">
      <c r="C4" s="301" t="s">
        <v>635</v>
      </c>
      <c r="D4" s="302"/>
      <c r="E4" s="303" t="s">
        <v>520</v>
      </c>
      <c r="F4" s="115" t="s">
        <v>66</v>
      </c>
    </row>
    <row r="5" spans="3:6">
      <c r="C5" s="11"/>
      <c r="E5" s="115"/>
    </row>
    <row r="6" spans="3:6">
      <c r="C6" s="304" t="s">
        <v>636</v>
      </c>
      <c r="D6" s="305"/>
      <c r="E6" s="305"/>
    </row>
    <row r="7" spans="3:6">
      <c r="C7" s="305" t="s">
        <v>637</v>
      </c>
      <c r="D7" s="306">
        <v>11000</v>
      </c>
      <c r="E7" s="523"/>
    </row>
    <row r="8" spans="3:6">
      <c r="C8" s="305" t="s">
        <v>1983</v>
      </c>
      <c r="D8" s="306">
        <v>8000</v>
      </c>
      <c r="E8" s="305"/>
    </row>
    <row r="9" spans="3:6">
      <c r="C9" s="305" t="s">
        <v>2000</v>
      </c>
      <c r="D9" s="306">
        <v>1000</v>
      </c>
      <c r="E9" s="305"/>
      <c r="F9" s="116"/>
    </row>
    <row r="10" spans="3:6">
      <c r="C10" s="305" t="s">
        <v>638</v>
      </c>
      <c r="D10" s="306">
        <v>11000</v>
      </c>
      <c r="E10" s="523"/>
      <c r="F10" s="116"/>
    </row>
    <row r="11" spans="3:6">
      <c r="C11" s="305" t="s">
        <v>1503</v>
      </c>
      <c r="D11" s="306">
        <v>2000</v>
      </c>
      <c r="E11" s="523"/>
      <c r="F11" s="116"/>
    </row>
    <row r="12" spans="3:6">
      <c r="C12" s="305" t="s">
        <v>1984</v>
      </c>
      <c r="D12" s="987">
        <v>3000</v>
      </c>
      <c r="E12" s="305"/>
    </row>
    <row r="13" spans="3:6">
      <c r="C13" s="305" t="s">
        <v>2001</v>
      </c>
      <c r="D13" s="987">
        <v>1000</v>
      </c>
      <c r="E13" s="523"/>
    </row>
    <row r="14" spans="3:6">
      <c r="C14" s="305" t="s">
        <v>1907</v>
      </c>
      <c r="D14" s="306">
        <v>2000</v>
      </c>
      <c r="E14" s="523"/>
    </row>
    <row r="15" spans="3:6">
      <c r="C15" s="305"/>
      <c r="D15" s="305"/>
      <c r="E15" s="307">
        <f>SUM(D7:D14)</f>
        <v>39000</v>
      </c>
      <c r="F15" s="1">
        <f>E15</f>
        <v>39000</v>
      </c>
    </row>
    <row r="16" spans="3:6">
      <c r="C16" s="116"/>
    </row>
    <row r="17" spans="3:6">
      <c r="C17" s="304" t="s">
        <v>639</v>
      </c>
      <c r="D17" s="305"/>
      <c r="E17" s="305"/>
    </row>
    <row r="18" spans="3:6">
      <c r="C18" s="997" t="s">
        <v>2002</v>
      </c>
      <c r="D18" s="306">
        <v>16000</v>
      </c>
      <c r="E18" s="305"/>
    </row>
    <row r="19" spans="3:6">
      <c r="C19" s="305" t="s">
        <v>2003</v>
      </c>
      <c r="D19" s="306">
        <v>12000</v>
      </c>
      <c r="E19" s="305"/>
    </row>
    <row r="20" spans="3:6">
      <c r="C20" s="305" t="s">
        <v>2004</v>
      </c>
      <c r="D20" s="306">
        <v>4000</v>
      </c>
      <c r="E20" s="305"/>
    </row>
    <row r="21" spans="3:6">
      <c r="C21" s="523" t="s">
        <v>2034</v>
      </c>
      <c r="D21" s="987">
        <v>2000</v>
      </c>
      <c r="E21" s="523"/>
    </row>
    <row r="22" spans="3:6">
      <c r="C22" s="523" t="s">
        <v>2035</v>
      </c>
      <c r="D22" s="987">
        <v>3000</v>
      </c>
      <c r="E22" s="523"/>
    </row>
    <row r="23" spans="3:6">
      <c r="C23" s="305"/>
      <c r="D23" s="306"/>
      <c r="E23" s="307">
        <f>SUM(D18:D22)</f>
        <v>37000</v>
      </c>
      <c r="F23" s="1">
        <f>E23</f>
        <v>37000</v>
      </c>
    </row>
    <row r="26" spans="3:6">
      <c r="C26" s="304" t="s">
        <v>1985</v>
      </c>
      <c r="D26" s="305"/>
      <c r="E26" s="307"/>
    </row>
    <row r="27" spans="3:6">
      <c r="C27" s="305" t="s">
        <v>2005</v>
      </c>
      <c r="D27" s="306">
        <v>1500</v>
      </c>
      <c r="E27" s="305"/>
    </row>
    <row r="28" spans="3:6">
      <c r="C28" s="305" t="s">
        <v>2006</v>
      </c>
      <c r="D28" s="306">
        <f>1200</f>
        <v>1200</v>
      </c>
      <c r="E28" s="305"/>
    </row>
    <row r="29" spans="3:6">
      <c r="C29" s="305" t="s">
        <v>2007</v>
      </c>
      <c r="D29" s="305">
        <v>350</v>
      </c>
      <c r="E29" s="523"/>
    </row>
    <row r="30" spans="3:6">
      <c r="C30" s="305" t="s">
        <v>2008</v>
      </c>
      <c r="D30" s="305">
        <v>750</v>
      </c>
      <c r="E30" s="523"/>
    </row>
    <row r="31" spans="3:6">
      <c r="C31" s="305"/>
      <c r="D31" s="305"/>
      <c r="E31" s="307">
        <f>SUM(D27:D31)</f>
        <v>3800</v>
      </c>
      <c r="F31" s="1">
        <f>E31</f>
        <v>3800</v>
      </c>
    </row>
    <row r="34" spans="3:6">
      <c r="C34" s="304" t="s">
        <v>640</v>
      </c>
      <c r="D34" s="305"/>
      <c r="E34" s="307"/>
    </row>
    <row r="35" spans="3:6">
      <c r="C35" s="305" t="s">
        <v>1908</v>
      </c>
      <c r="D35" s="306">
        <v>1650</v>
      </c>
      <c r="E35" s="305"/>
    </row>
    <row r="36" spans="3:6">
      <c r="C36" s="305"/>
      <c r="D36" s="306"/>
      <c r="E36" s="307">
        <f>SUM(D35:D36)</f>
        <v>1650</v>
      </c>
      <c r="F36" s="1">
        <f>E36</f>
        <v>1650</v>
      </c>
    </row>
    <row r="38" spans="3:6">
      <c r="C38" s="304" t="s">
        <v>641</v>
      </c>
      <c r="D38" s="304"/>
      <c r="E38" s="307">
        <v>1100</v>
      </c>
      <c r="F38" s="1">
        <f>E38</f>
        <v>1100</v>
      </c>
    </row>
    <row r="40" spans="3:6">
      <c r="C40" s="304" t="s">
        <v>642</v>
      </c>
      <c r="D40" s="304"/>
      <c r="E40" s="307">
        <v>7000</v>
      </c>
      <c r="F40" s="1">
        <f>E40</f>
        <v>7000</v>
      </c>
    </row>
    <row r="42" spans="3:6">
      <c r="C42" s="304" t="s">
        <v>643</v>
      </c>
      <c r="D42" s="304"/>
      <c r="E42" s="307">
        <f>6500</f>
        <v>6500</v>
      </c>
      <c r="F42" s="1">
        <f>E42</f>
        <v>6500</v>
      </c>
    </row>
    <row r="44" spans="3:6">
      <c r="C44" s="304" t="s">
        <v>644</v>
      </c>
      <c r="D44" s="304"/>
      <c r="E44" s="307">
        <f>25000/12</f>
        <v>2083.3333333333335</v>
      </c>
      <c r="F44" s="1">
        <f>E44</f>
        <v>2083.3333333333335</v>
      </c>
    </row>
    <row r="46" spans="3:6">
      <c r="C46" s="304" t="s">
        <v>1990</v>
      </c>
      <c r="D46" s="304"/>
      <c r="E46" s="307">
        <v>3500</v>
      </c>
    </row>
    <row r="47" spans="3:6">
      <c r="C47" s="304" t="s">
        <v>645</v>
      </c>
      <c r="D47" s="304"/>
      <c r="E47" s="307">
        <f>(2500+15000+2000)/12</f>
        <v>1625</v>
      </c>
    </row>
    <row r="48" spans="3:6">
      <c r="C48" s="548" t="s">
        <v>1555</v>
      </c>
      <c r="D48" s="548"/>
      <c r="E48" s="307">
        <f>(3500+9000+1500)/12</f>
        <v>1166.6666666666667</v>
      </c>
      <c r="F48" s="1">
        <f>SUM(E46:E48)</f>
        <v>6291.666666666667</v>
      </c>
    </row>
    <row r="50" spans="3:6">
      <c r="C50" s="304" t="s">
        <v>646</v>
      </c>
      <c r="D50" s="304"/>
      <c r="E50" s="307"/>
    </row>
    <row r="51" spans="3:6">
      <c r="C51" s="305" t="s">
        <v>647</v>
      </c>
      <c r="D51" s="306">
        <v>5000</v>
      </c>
      <c r="E51" s="307"/>
    </row>
    <row r="52" spans="3:6">
      <c r="C52" s="305"/>
      <c r="D52" s="306"/>
      <c r="E52" s="307">
        <f>SUM(D51)</f>
        <v>5000</v>
      </c>
      <c r="F52" s="1">
        <f>E52</f>
        <v>5000</v>
      </c>
    </row>
    <row r="54" spans="3:6">
      <c r="C54" s="304" t="s">
        <v>648</v>
      </c>
      <c r="D54" s="304"/>
      <c r="E54" s="307"/>
    </row>
    <row r="55" spans="3:6">
      <c r="C55" s="305" t="s">
        <v>649</v>
      </c>
      <c r="D55" s="306">
        <v>2000</v>
      </c>
      <c r="E55" s="305"/>
    </row>
    <row r="56" spans="3:6">
      <c r="C56" s="305" t="s">
        <v>650</v>
      </c>
      <c r="D56" s="306">
        <v>1500</v>
      </c>
      <c r="E56" s="305"/>
    </row>
    <row r="57" spans="3:6">
      <c r="C57" s="305"/>
      <c r="D57" s="306"/>
      <c r="E57" s="307">
        <f>SUM(D55:D57)</f>
        <v>3500</v>
      </c>
      <c r="F57" s="1">
        <f>E57</f>
        <v>3500</v>
      </c>
    </row>
    <row r="59" spans="3:6">
      <c r="C59" s="304" t="s">
        <v>651</v>
      </c>
      <c r="D59" s="304"/>
      <c r="E59" s="307"/>
    </row>
    <row r="60" spans="3:6">
      <c r="C60" s="305" t="s">
        <v>652</v>
      </c>
      <c r="D60" s="305">
        <v>1000</v>
      </c>
      <c r="E60" s="305"/>
    </row>
    <row r="61" spans="3:6">
      <c r="C61" s="305"/>
      <c r="D61" s="306"/>
      <c r="E61" s="307">
        <f>SUM(D59:D61)</f>
        <v>1000</v>
      </c>
      <c r="F61" s="1">
        <f>SUM(E61)</f>
        <v>1000</v>
      </c>
    </row>
    <row r="62" spans="3:6">
      <c r="E62" s="1"/>
    </row>
    <row r="63" spans="3:6">
      <c r="E63" s="1"/>
    </row>
    <row r="64" spans="3:6">
      <c r="C64" s="304" t="s">
        <v>653</v>
      </c>
      <c r="D64" s="304"/>
      <c r="E64" s="307"/>
    </row>
    <row r="65" spans="3:6">
      <c r="C65" s="305" t="s">
        <v>654</v>
      </c>
      <c r="D65" s="305">
        <v>3000</v>
      </c>
      <c r="E65" s="305"/>
    </row>
    <row r="66" spans="3:6">
      <c r="C66" s="305" t="s">
        <v>655</v>
      </c>
      <c r="D66" s="305"/>
      <c r="E66" s="307">
        <f>SUM(D65:D66)</f>
        <v>3000</v>
      </c>
      <c r="F66" s="1">
        <f>SUM(E66)</f>
        <v>3000</v>
      </c>
    </row>
    <row r="68" spans="3:6">
      <c r="E68" s="1"/>
    </row>
    <row r="69" spans="3:6" ht="15.55">
      <c r="C69" s="308" t="s">
        <v>122</v>
      </c>
      <c r="D69" s="309"/>
      <c r="E69" s="310">
        <f>SUM(E8:E66)</f>
        <v>116925</v>
      </c>
    </row>
    <row r="71" spans="3:6">
      <c r="C71" s="11" t="s">
        <v>656</v>
      </c>
      <c r="F71" s="11">
        <f>SUM(F6:F66)</f>
        <v>116925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8"/>
  <sheetViews>
    <sheetView workbookViewId="0">
      <selection activeCell="M9" sqref="M9"/>
    </sheetView>
  </sheetViews>
  <sheetFormatPr defaultRowHeight="13.3"/>
  <cols>
    <col min="14" max="15" width="12" bestFit="1" customWidth="1"/>
    <col min="23" max="23" width="16.109375" bestFit="1" customWidth="1"/>
  </cols>
  <sheetData>
    <row r="1" spans="1:25" ht="39.9">
      <c r="A1" s="579" t="s">
        <v>1574</v>
      </c>
      <c r="B1" s="580" t="s">
        <v>1621</v>
      </c>
      <c r="C1" s="579" t="s">
        <v>1571</v>
      </c>
      <c r="D1" s="579" t="s">
        <v>1583</v>
      </c>
      <c r="E1" s="581" t="s">
        <v>1606</v>
      </c>
      <c r="F1" s="582" t="s">
        <v>1599</v>
      </c>
      <c r="G1" s="583" t="s">
        <v>1605</v>
      </c>
      <c r="H1" s="584" t="s">
        <v>1588</v>
      </c>
      <c r="I1" s="579" t="s">
        <v>1607</v>
      </c>
      <c r="J1" s="579" t="s">
        <v>1584</v>
      </c>
      <c r="K1" s="585" t="s">
        <v>1604</v>
      </c>
      <c r="L1" s="581" t="s">
        <v>1609</v>
      </c>
      <c r="M1" s="584" t="s">
        <v>1592</v>
      </c>
      <c r="N1" s="585" t="s">
        <v>1573</v>
      </c>
      <c r="O1" s="586" t="s">
        <v>1572</v>
      </c>
      <c r="P1" s="587" t="s">
        <v>1608</v>
      </c>
      <c r="Q1" s="587" t="s">
        <v>1627</v>
      </c>
      <c r="R1" s="582" t="s">
        <v>1589</v>
      </c>
      <c r="S1" s="582" t="s">
        <v>1590</v>
      </c>
      <c r="T1" s="582" t="s">
        <v>1593</v>
      </c>
      <c r="U1" s="582" t="s">
        <v>1591</v>
      </c>
      <c r="V1" s="635" t="s">
        <v>1629</v>
      </c>
      <c r="W1" s="654" t="s">
        <v>1626</v>
      </c>
      <c r="X1" s="582" t="s">
        <v>1631</v>
      </c>
      <c r="Y1" s="582" t="s">
        <v>1634</v>
      </c>
    </row>
    <row r="2" spans="1:25">
      <c r="A2" s="589"/>
      <c r="B2" s="590"/>
      <c r="C2" s="591" t="s">
        <v>1632</v>
      </c>
      <c r="D2" s="589"/>
      <c r="E2" s="592"/>
      <c r="F2" s="593"/>
      <c r="G2" s="594"/>
      <c r="H2" s="595"/>
      <c r="I2" s="596"/>
      <c r="J2" s="589"/>
      <c r="K2" s="597"/>
      <c r="L2" s="597"/>
      <c r="M2" s="595"/>
      <c r="N2" s="598"/>
      <c r="O2" s="599"/>
      <c r="P2" s="589"/>
      <c r="Q2" s="629"/>
      <c r="R2" s="600"/>
      <c r="S2" s="600"/>
      <c r="T2" s="600"/>
      <c r="U2" s="600"/>
      <c r="V2" s="601"/>
      <c r="W2" s="655"/>
      <c r="X2" s="589"/>
      <c r="Y2" s="589"/>
    </row>
    <row r="3" spans="1:25">
      <c r="A3" s="611">
        <v>1</v>
      </c>
      <c r="B3" s="612" t="s">
        <v>1601</v>
      </c>
      <c r="C3" s="613" t="s">
        <v>1577</v>
      </c>
      <c r="D3" s="611" t="s">
        <v>1581</v>
      </c>
      <c r="E3" s="614" t="s">
        <v>536</v>
      </c>
      <c r="F3" s="615">
        <v>1143</v>
      </c>
      <c r="G3" s="616">
        <v>0.3</v>
      </c>
      <c r="H3" s="617">
        <v>0</v>
      </c>
      <c r="I3" s="618">
        <v>0</v>
      </c>
      <c r="J3" s="613" t="s">
        <v>1610</v>
      </c>
      <c r="K3" s="619" t="s">
        <v>536</v>
      </c>
      <c r="L3" s="619"/>
      <c r="M3" s="617" t="s">
        <v>536</v>
      </c>
      <c r="N3" s="620">
        <v>91029748176</v>
      </c>
      <c r="O3" s="621">
        <v>44455</v>
      </c>
      <c r="P3" s="611">
        <f ca="1">DAYS360(O3,TODAY())</f>
        <v>1426</v>
      </c>
      <c r="Q3" s="611">
        <f ca="1">ROUND(P3/365,1)</f>
        <v>3.9</v>
      </c>
      <c r="R3" s="622">
        <v>30000</v>
      </c>
      <c r="S3" s="622">
        <f>T3+R3</f>
        <v>44874</v>
      </c>
      <c r="T3" s="622">
        <v>14874</v>
      </c>
      <c r="U3" s="622">
        <f ca="1">ROUND((R3*6%)/365 * P3,0)</f>
        <v>7032</v>
      </c>
      <c r="V3" s="622">
        <f ca="1">((S3/R3)^(1/Q3)-1)*100</f>
        <v>10.876463777801426</v>
      </c>
      <c r="W3" s="657">
        <v>45108.34</v>
      </c>
      <c r="X3" s="573" t="s">
        <v>1602</v>
      </c>
      <c r="Y3" s="573" t="s">
        <v>1635</v>
      </c>
    </row>
    <row r="4" spans="1:25" ht="25.5">
      <c r="A4" s="611">
        <v>2</v>
      </c>
      <c r="B4" s="612" t="s">
        <v>1601</v>
      </c>
      <c r="C4" s="613" t="s">
        <v>1575</v>
      </c>
      <c r="D4" s="611" t="s">
        <v>1580</v>
      </c>
      <c r="E4" s="614">
        <v>8</v>
      </c>
      <c r="F4" s="615">
        <v>2437</v>
      </c>
      <c r="G4" s="616">
        <v>0.47</v>
      </c>
      <c r="H4" s="623" t="s">
        <v>1600</v>
      </c>
      <c r="I4" s="618">
        <v>0</v>
      </c>
      <c r="J4" s="613" t="s">
        <v>1610</v>
      </c>
      <c r="K4" s="619" t="s">
        <v>536</v>
      </c>
      <c r="L4" s="619"/>
      <c r="M4" s="617" t="s">
        <v>536</v>
      </c>
      <c r="N4" s="620">
        <v>9109572321</v>
      </c>
      <c r="O4" s="624">
        <v>44481</v>
      </c>
      <c r="P4" s="611">
        <f ca="1">DAYS360(O4,TODAY())</f>
        <v>1400</v>
      </c>
      <c r="Q4" s="611">
        <f ca="1">ROUND(P4/365,1)</f>
        <v>3.8</v>
      </c>
      <c r="R4" s="622">
        <v>200000</v>
      </c>
      <c r="S4" s="622">
        <f>T4+R4</f>
        <v>280560</v>
      </c>
      <c r="T4" s="622">
        <v>80560</v>
      </c>
      <c r="U4" s="622">
        <f ca="1">ROUND((R4*6%)/365 * P4,0)</f>
        <v>46027</v>
      </c>
      <c r="V4" s="622">
        <f ca="1">((S4/R4)^(1/Q4)-1)*100</f>
        <v>9.3158394178325388</v>
      </c>
      <c r="W4" s="657">
        <v>282042.53999999998</v>
      </c>
      <c r="X4" s="573" t="s">
        <v>1602</v>
      </c>
      <c r="Y4" s="573" t="s">
        <v>1635</v>
      </c>
    </row>
    <row r="5" spans="1:25">
      <c r="A5" s="589"/>
      <c r="B5" s="590"/>
      <c r="C5" s="591" t="s">
        <v>1576</v>
      </c>
      <c r="D5" s="589"/>
      <c r="E5" s="592"/>
      <c r="F5" s="593"/>
      <c r="G5" s="594"/>
      <c r="H5" s="595"/>
      <c r="I5" s="596"/>
      <c r="J5" s="589"/>
      <c r="K5" s="597"/>
      <c r="L5" s="597"/>
      <c r="M5" s="595"/>
      <c r="N5" s="598"/>
      <c r="O5" s="599"/>
      <c r="P5" s="589"/>
      <c r="Q5" s="629"/>
      <c r="R5" s="600"/>
      <c r="S5" s="600"/>
      <c r="T5" s="600"/>
      <c r="U5" s="600"/>
      <c r="V5" s="601"/>
      <c r="W5" s="655"/>
      <c r="X5" s="589"/>
      <c r="Y5" s="589"/>
    </row>
    <row r="6" spans="1:25">
      <c r="A6" s="637">
        <v>5</v>
      </c>
      <c r="B6" s="638" t="s">
        <v>1601</v>
      </c>
      <c r="C6" s="638" t="s">
        <v>1602</v>
      </c>
      <c r="D6" s="639" t="s">
        <v>1587</v>
      </c>
      <c r="E6" s="639" t="s">
        <v>1597</v>
      </c>
      <c r="F6" s="640">
        <v>5</v>
      </c>
      <c r="G6" s="641">
        <v>6533</v>
      </c>
      <c r="H6" s="642">
        <v>0.54</v>
      </c>
      <c r="I6" s="643">
        <v>0</v>
      </c>
      <c r="J6" s="644" t="s">
        <v>1586</v>
      </c>
      <c r="K6" s="645" t="s">
        <v>1576</v>
      </c>
      <c r="L6" s="646">
        <v>5000</v>
      </c>
      <c r="M6" s="646" t="s">
        <v>1598</v>
      </c>
      <c r="N6" s="647">
        <f ca="1">ROUNDUP(_xlfn.DAYS(NOW(), P6)/30,0) -1</f>
        <v>60</v>
      </c>
      <c r="O6" s="648">
        <v>19920649444</v>
      </c>
      <c r="P6" s="649">
        <v>44081</v>
      </c>
      <c r="Q6" s="637">
        <f ca="1">DAYS360(P6,TODAY())</f>
        <v>1795</v>
      </c>
      <c r="R6" s="650">
        <f ca="1">ROUND(Q6/365,1)</f>
        <v>4.9000000000000004</v>
      </c>
      <c r="S6" s="651">
        <f ca="1">L6* N6</f>
        <v>300000</v>
      </c>
      <c r="T6" s="651">
        <f ca="1">U6+S6</f>
        <v>366686</v>
      </c>
      <c r="U6" s="651">
        <v>66686</v>
      </c>
      <c r="V6" s="652">
        <f ca="1">ROUND((S6*6%)/365 * Q6,0)</f>
        <v>88521</v>
      </c>
      <c r="W6" s="657">
        <v>39814.53</v>
      </c>
      <c r="X6" s="573" t="s">
        <v>1602</v>
      </c>
      <c r="Y6" s="573" t="s">
        <v>1635</v>
      </c>
    </row>
    <row r="7" spans="1:25">
      <c r="A7" s="637">
        <v>6</v>
      </c>
      <c r="B7" s="638" t="s">
        <v>1601</v>
      </c>
      <c r="C7" s="638" t="s">
        <v>1602</v>
      </c>
      <c r="D7" s="639" t="s">
        <v>1585</v>
      </c>
      <c r="E7" s="639" t="s">
        <v>1597</v>
      </c>
      <c r="F7" s="640">
        <v>9</v>
      </c>
      <c r="G7" s="641">
        <v>18843</v>
      </c>
      <c r="H7" s="642">
        <v>0.65</v>
      </c>
      <c r="I7" s="643">
        <v>0</v>
      </c>
      <c r="J7" s="644" t="s">
        <v>1586</v>
      </c>
      <c r="K7" s="645" t="s">
        <v>1576</v>
      </c>
      <c r="L7" s="646">
        <v>5000</v>
      </c>
      <c r="M7" s="646" t="s">
        <v>1596</v>
      </c>
      <c r="N7" s="647">
        <f ca="1">ROUNDUP(_xlfn.DAYS(NOW(), P7)/30,0)-2</f>
        <v>59</v>
      </c>
      <c r="O7" s="648">
        <v>79931183313</v>
      </c>
      <c r="P7" s="653">
        <v>44081</v>
      </c>
      <c r="Q7" s="637">
        <f ca="1">DAYS360(P7,TODAY())</f>
        <v>1795</v>
      </c>
      <c r="R7" s="650">
        <f ca="1">ROUND(Q7/365,1)</f>
        <v>4.9000000000000004</v>
      </c>
      <c r="S7" s="651">
        <f ca="1">L7* N7</f>
        <v>295000</v>
      </c>
      <c r="T7" s="651">
        <f ca="1">U7+S7</f>
        <v>361340</v>
      </c>
      <c r="U7" s="651">
        <v>66340</v>
      </c>
      <c r="V7" s="652">
        <f ca="1">ROUND((S7*6%)/365 * Q7,0)</f>
        <v>87045</v>
      </c>
      <c r="W7" s="657">
        <v>40045.629999999997</v>
      </c>
      <c r="X7" s="573" t="s">
        <v>1602</v>
      </c>
      <c r="Y7" s="573" t="s">
        <v>1635</v>
      </c>
    </row>
    <row r="8" spans="1:25" ht="21.05">
      <c r="W8" s="656">
        <f>SUM(W3:W7)</f>
        <v>407011.04000000004</v>
      </c>
      <c r="X8" s="756" t="s">
        <v>75</v>
      </c>
      <c r="Y8" s="75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68"/>
  <sheetViews>
    <sheetView topLeftCell="A25" workbookViewId="0">
      <selection activeCell="K18" sqref="K18"/>
    </sheetView>
  </sheetViews>
  <sheetFormatPr defaultRowHeight="13.3"/>
  <cols>
    <col min="3" max="3" width="35.21875" bestFit="1" customWidth="1"/>
    <col min="4" max="4" width="31.77734375" customWidth="1"/>
    <col min="5" max="6" width="11.6640625" bestFit="1" customWidth="1"/>
    <col min="7" max="7" width="18.33203125" customWidth="1"/>
    <col min="8" max="8" width="26.88671875" bestFit="1" customWidth="1"/>
    <col min="9" max="9" width="19.77734375" bestFit="1" customWidth="1"/>
    <col min="11" max="11" width="47.44140625" bestFit="1" customWidth="1"/>
    <col min="12" max="12" width="14" bestFit="1" customWidth="1"/>
  </cols>
  <sheetData>
    <row r="3" spans="1:13">
      <c r="C3" s="3" t="s">
        <v>0</v>
      </c>
      <c r="D3" s="3" t="s">
        <v>1</v>
      </c>
      <c r="E3" s="4" t="s">
        <v>2</v>
      </c>
      <c r="F3" s="4" t="s">
        <v>3</v>
      </c>
      <c r="G3" s="5" t="s">
        <v>4</v>
      </c>
      <c r="H3" s="5" t="s">
        <v>5</v>
      </c>
      <c r="I3" s="5" t="s">
        <v>6</v>
      </c>
      <c r="K3" s="1"/>
      <c r="L3" s="1"/>
      <c r="M3" s="1"/>
    </row>
    <row r="4" spans="1:13">
      <c r="C4" s="6" t="s">
        <v>7</v>
      </c>
      <c r="D4" s="6" t="s">
        <v>8</v>
      </c>
      <c r="E4" s="7">
        <v>40238</v>
      </c>
      <c r="F4" s="8">
        <v>43159</v>
      </c>
      <c r="G4" s="9"/>
      <c r="H4" s="9"/>
      <c r="I4" s="9"/>
      <c r="K4" s="1"/>
      <c r="L4" s="1"/>
      <c r="M4" s="1"/>
    </row>
    <row r="5" spans="1:13">
      <c r="A5" s="10">
        <f>SUM(1800*12)</f>
        <v>21600</v>
      </c>
      <c r="B5" s="10">
        <f>SUM(550*12)</f>
        <v>6600</v>
      </c>
      <c r="C5" s="752" t="s">
        <v>9</v>
      </c>
      <c r="D5" s="745"/>
      <c r="E5" s="745"/>
      <c r="F5" s="711"/>
      <c r="G5" s="9">
        <v>1045582</v>
      </c>
      <c r="H5" s="9">
        <v>891960</v>
      </c>
      <c r="I5" s="9">
        <v>102272</v>
      </c>
      <c r="K5" s="11"/>
    </row>
    <row r="6" spans="1:13">
      <c r="C6" s="753" t="s">
        <v>10</v>
      </c>
      <c r="D6" s="729"/>
      <c r="E6" s="729"/>
      <c r="F6" s="707"/>
      <c r="G6" s="12">
        <v>67048</v>
      </c>
      <c r="H6" s="12">
        <v>57197</v>
      </c>
      <c r="I6" s="12"/>
      <c r="K6" s="13">
        <v>1370414</v>
      </c>
      <c r="L6" s="13">
        <v>1156638</v>
      </c>
      <c r="M6" s="14" t="s">
        <v>11</v>
      </c>
    </row>
    <row r="7" spans="1:13">
      <c r="A7" s="2"/>
      <c r="C7" s="754" t="s">
        <v>12</v>
      </c>
      <c r="D7" s="723"/>
      <c r="E7" s="723"/>
      <c r="F7" s="724"/>
      <c r="G7" s="15">
        <f>SUM(G4:G6)</f>
        <v>1112630</v>
      </c>
      <c r="H7" s="15">
        <f>SUM(H4:H6)</f>
        <v>949157</v>
      </c>
      <c r="I7" s="16">
        <f>SUM(I4:I6)</f>
        <v>102272</v>
      </c>
      <c r="K7" s="13">
        <v>1467485</v>
      </c>
      <c r="L7" s="13">
        <v>1238277</v>
      </c>
      <c r="M7" s="10" t="s">
        <v>13</v>
      </c>
    </row>
    <row r="8" spans="1:13">
      <c r="C8" s="17" t="s">
        <v>14</v>
      </c>
      <c r="D8" s="17" t="s">
        <v>15</v>
      </c>
      <c r="E8" s="18">
        <v>43174</v>
      </c>
      <c r="F8" s="19">
        <v>43586</v>
      </c>
      <c r="G8" s="20"/>
      <c r="H8" s="20"/>
      <c r="I8" s="20"/>
      <c r="K8" s="1"/>
      <c r="L8" s="1"/>
      <c r="M8" s="1"/>
    </row>
    <row r="9" spans="1:13">
      <c r="C9" s="755" t="s">
        <v>16</v>
      </c>
      <c r="D9" s="745"/>
      <c r="E9" s="745"/>
      <c r="F9" s="711"/>
      <c r="G9" s="21">
        <v>25983</v>
      </c>
      <c r="H9" s="21">
        <v>7939</v>
      </c>
      <c r="I9" s="21">
        <v>18044</v>
      </c>
      <c r="K9" s="13" t="s">
        <v>17</v>
      </c>
      <c r="L9" s="13"/>
      <c r="M9" s="13"/>
    </row>
    <row r="10" spans="1:13">
      <c r="C10" s="746" t="s">
        <v>18</v>
      </c>
      <c r="D10" s="745"/>
      <c r="E10" s="745"/>
      <c r="F10" s="711"/>
      <c r="G10" s="22">
        <f>G7</f>
        <v>1112630</v>
      </c>
      <c r="H10" s="22">
        <f>H7</f>
        <v>949157</v>
      </c>
      <c r="I10" s="22">
        <f>I7</f>
        <v>102272</v>
      </c>
      <c r="K10" s="13">
        <f>G17</f>
        <v>1467485</v>
      </c>
      <c r="L10" s="13">
        <f>H17</f>
        <v>1238277</v>
      </c>
      <c r="M10" s="23" t="s">
        <v>13</v>
      </c>
    </row>
    <row r="11" spans="1:13">
      <c r="C11" s="735" t="s">
        <v>19</v>
      </c>
      <c r="D11" s="729"/>
      <c r="E11" s="729"/>
      <c r="F11" s="707"/>
      <c r="G11" s="24">
        <v>64530</v>
      </c>
      <c r="H11" s="24">
        <v>54092</v>
      </c>
      <c r="I11" s="24"/>
      <c r="K11" s="1"/>
      <c r="L11" s="1"/>
      <c r="M11" s="1"/>
    </row>
    <row r="12" spans="1:13">
      <c r="C12" s="736" t="s">
        <v>12</v>
      </c>
      <c r="D12" s="723"/>
      <c r="E12" s="723"/>
      <c r="F12" s="724"/>
      <c r="G12" s="25">
        <f>SUM(G9:G11)</f>
        <v>1203143</v>
      </c>
      <c r="H12" s="25">
        <f>SUM(H8:H11)</f>
        <v>1011188</v>
      </c>
      <c r="I12" s="26">
        <f>SUM(I8:I11)</f>
        <v>120316</v>
      </c>
      <c r="K12" s="1" t="s">
        <v>20</v>
      </c>
      <c r="L12" s="1"/>
      <c r="M12" s="1"/>
    </row>
    <row r="13" spans="1:13">
      <c r="C13" s="27" t="s">
        <v>21</v>
      </c>
      <c r="D13" s="27" t="s">
        <v>22</v>
      </c>
      <c r="E13" s="28">
        <v>43591</v>
      </c>
      <c r="F13" s="29">
        <v>43882</v>
      </c>
      <c r="G13" s="30"/>
      <c r="H13" s="30"/>
      <c r="I13" s="30"/>
      <c r="K13" s="1"/>
      <c r="L13" s="1"/>
      <c r="M13" s="1"/>
    </row>
    <row r="14" spans="1:13">
      <c r="C14" s="744" t="s">
        <v>23</v>
      </c>
      <c r="D14" s="745"/>
      <c r="E14" s="745"/>
      <c r="F14" s="711"/>
      <c r="G14" s="30">
        <v>106490</v>
      </c>
      <c r="H14" s="30">
        <v>93990</v>
      </c>
      <c r="I14" s="30">
        <v>12500</v>
      </c>
      <c r="K14" s="1"/>
      <c r="L14" s="1"/>
      <c r="M14" s="1"/>
    </row>
    <row r="15" spans="1:13">
      <c r="C15" s="746" t="s">
        <v>24</v>
      </c>
      <c r="D15" s="745"/>
      <c r="E15" s="745"/>
      <c r="F15" s="711"/>
      <c r="G15" s="22">
        <f>G12</f>
        <v>1203143</v>
      </c>
      <c r="H15" s="22">
        <f>H12</f>
        <v>1011188</v>
      </c>
      <c r="I15" s="22">
        <f>I12</f>
        <v>120316</v>
      </c>
      <c r="K15" s="1"/>
      <c r="L15" s="1"/>
      <c r="M15" s="1"/>
    </row>
    <row r="16" spans="1:13">
      <c r="C16" s="747" t="s">
        <v>25</v>
      </c>
      <c r="D16" s="729"/>
      <c r="E16" s="729"/>
      <c r="F16" s="707"/>
      <c r="G16" s="31">
        <v>157852</v>
      </c>
      <c r="H16" s="31">
        <v>133099</v>
      </c>
      <c r="I16" s="31"/>
      <c r="K16" s="1"/>
      <c r="L16" s="1"/>
      <c r="M16" s="1"/>
    </row>
    <row r="17" spans="3:9">
      <c r="C17" s="748" t="s">
        <v>12</v>
      </c>
      <c r="D17" s="723"/>
      <c r="E17" s="723"/>
      <c r="F17" s="724"/>
      <c r="G17" s="32">
        <f>SUM(G14:G16)</f>
        <v>1467485</v>
      </c>
      <c r="H17" s="32">
        <f>SUM(H14:H16)</f>
        <v>1238277</v>
      </c>
      <c r="I17" s="33">
        <f>SUM(I14:I16)</f>
        <v>132816</v>
      </c>
    </row>
    <row r="18" spans="3:9">
      <c r="C18" s="34" t="s">
        <v>26</v>
      </c>
      <c r="D18" s="34" t="s">
        <v>27</v>
      </c>
      <c r="E18" s="35">
        <v>43889</v>
      </c>
      <c r="F18" s="36" t="s">
        <v>28</v>
      </c>
      <c r="G18" s="37"/>
      <c r="H18" s="37"/>
      <c r="I18" s="37"/>
    </row>
    <row r="19" spans="3:9">
      <c r="C19" s="737" t="s">
        <v>29</v>
      </c>
      <c r="D19" s="738"/>
      <c r="E19" s="749" t="s">
        <v>30</v>
      </c>
      <c r="F19" s="750"/>
      <c r="G19" s="38">
        <v>193779</v>
      </c>
      <c r="H19" s="38">
        <v>85977</v>
      </c>
      <c r="I19" s="38"/>
    </row>
    <row r="20" spans="3:9">
      <c r="C20" s="739"/>
      <c r="D20" s="740"/>
      <c r="E20" s="749" t="s">
        <v>31</v>
      </c>
      <c r="F20" s="750"/>
      <c r="G20" s="39">
        <v>7249</v>
      </c>
      <c r="H20" s="39">
        <v>3356</v>
      </c>
      <c r="I20" s="39"/>
    </row>
    <row r="21" spans="3:9">
      <c r="C21" s="741"/>
      <c r="D21" s="742"/>
      <c r="E21" s="749" t="s">
        <v>32</v>
      </c>
      <c r="F21" s="750"/>
      <c r="G21" s="40">
        <f>SUM(G20,G19)</f>
        <v>201028</v>
      </c>
      <c r="H21" s="40">
        <f>SUM(H20,H19)</f>
        <v>89333</v>
      </c>
      <c r="I21" s="39"/>
    </row>
    <row r="22" spans="3:9">
      <c r="C22" s="743" t="s">
        <v>33</v>
      </c>
      <c r="D22" s="738"/>
      <c r="E22" s="751" t="s">
        <v>30</v>
      </c>
      <c r="F22" s="750"/>
      <c r="G22" s="37">
        <v>211764</v>
      </c>
      <c r="H22" s="37">
        <v>90882</v>
      </c>
      <c r="I22" s="37"/>
    </row>
    <row r="23" spans="3:9">
      <c r="C23" s="739"/>
      <c r="D23" s="740"/>
      <c r="E23" s="751" t="s">
        <v>31</v>
      </c>
      <c r="F23" s="750"/>
      <c r="G23" s="37">
        <v>14791</v>
      </c>
      <c r="H23" s="37">
        <v>6513</v>
      </c>
      <c r="I23" s="37"/>
    </row>
    <row r="24" spans="3:9">
      <c r="C24" s="741"/>
      <c r="D24" s="742"/>
      <c r="E24" s="751" t="s">
        <v>32</v>
      </c>
      <c r="F24" s="750"/>
      <c r="G24" s="41">
        <f>SUM(G22:G23)</f>
        <v>226555</v>
      </c>
      <c r="H24" s="41">
        <f>SUM(H22:H23)</f>
        <v>97395</v>
      </c>
      <c r="I24" s="37"/>
    </row>
    <row r="25" spans="3:9">
      <c r="C25" s="722" t="s">
        <v>34</v>
      </c>
      <c r="D25" s="723"/>
      <c r="E25" s="723"/>
      <c r="F25" s="724"/>
      <c r="G25" s="42">
        <f>SUM(G24,G21)</f>
        <v>427583</v>
      </c>
      <c r="H25" s="42">
        <f>SUM(H24,H21)</f>
        <v>186728</v>
      </c>
      <c r="I25" s="43"/>
    </row>
    <row r="26" spans="3:9">
      <c r="C26" s="725" t="s">
        <v>35</v>
      </c>
      <c r="D26" s="726"/>
      <c r="E26" s="726"/>
      <c r="F26" s="727"/>
      <c r="G26" s="44">
        <f>G17+12816</f>
        <v>1480301</v>
      </c>
      <c r="H26" s="44">
        <f>H17+9832</f>
        <v>1248109</v>
      </c>
      <c r="I26" s="44">
        <f>I17</f>
        <v>132816</v>
      </c>
    </row>
    <row r="27" spans="3:9">
      <c r="C27" s="728" t="s">
        <v>12</v>
      </c>
      <c r="D27" s="729"/>
      <c r="E27" s="729"/>
      <c r="F27" s="707"/>
      <c r="G27" s="45">
        <f>SUM(G25:G26)</f>
        <v>1907884</v>
      </c>
      <c r="H27" s="45">
        <f>SUM(H25:H26)</f>
        <v>1434837</v>
      </c>
      <c r="I27" s="45"/>
    </row>
    <row r="28" spans="3:9" ht="15.55">
      <c r="C28" s="730" t="s">
        <v>36</v>
      </c>
      <c r="D28" s="723"/>
      <c r="E28" s="723"/>
      <c r="F28" s="731"/>
      <c r="G28" s="732">
        <f>SUM(G27,H27)</f>
        <v>3342721</v>
      </c>
      <c r="H28" s="723"/>
      <c r="I28" s="731"/>
    </row>
    <row r="29" spans="3:9">
      <c r="E29" s="1"/>
      <c r="F29" s="1"/>
      <c r="G29" s="2"/>
      <c r="H29" s="2"/>
      <c r="I29" s="2"/>
    </row>
    <row r="30" spans="3:9">
      <c r="E30" s="1"/>
      <c r="F30" s="1"/>
      <c r="G30" s="2"/>
      <c r="H30" s="2"/>
      <c r="I30" s="2"/>
    </row>
    <row r="31" spans="3:9">
      <c r="D31" s="10" t="s">
        <v>37</v>
      </c>
      <c r="E31" s="1"/>
      <c r="F31" s="1"/>
      <c r="G31" s="2"/>
      <c r="H31" s="2"/>
      <c r="I31" s="2"/>
    </row>
    <row r="35" spans="4:14">
      <c r="D35" s="46" t="s">
        <v>38</v>
      </c>
      <c r="E35" s="710" t="s">
        <v>39</v>
      </c>
      <c r="F35" s="711"/>
      <c r="G35" s="712" t="s">
        <v>40</v>
      </c>
      <c r="H35" s="711"/>
      <c r="I35" s="717" t="s">
        <v>32</v>
      </c>
      <c r="J35" s="711"/>
      <c r="K35" s="733" t="s">
        <v>41</v>
      </c>
      <c r="L35" s="711"/>
      <c r="M35" s="717" t="s">
        <v>42</v>
      </c>
      <c r="N35" s="711"/>
    </row>
    <row r="36" spans="4:14">
      <c r="D36" s="46"/>
      <c r="E36" s="47" t="s">
        <v>43</v>
      </c>
      <c r="F36" s="47" t="s">
        <v>44</v>
      </c>
      <c r="G36" s="48" t="s">
        <v>43</v>
      </c>
      <c r="H36" s="48" t="s">
        <v>44</v>
      </c>
      <c r="I36" s="49" t="s">
        <v>43</v>
      </c>
      <c r="J36" s="49" t="s">
        <v>44</v>
      </c>
      <c r="K36" s="50" t="s">
        <v>43</v>
      </c>
      <c r="L36" s="50" t="s">
        <v>44</v>
      </c>
      <c r="M36" s="49" t="s">
        <v>43</v>
      </c>
      <c r="N36" s="49" t="s">
        <v>44</v>
      </c>
    </row>
    <row r="37" spans="4:14">
      <c r="D37" s="46" t="s">
        <v>45</v>
      </c>
      <c r="E37" s="47">
        <v>193779</v>
      </c>
      <c r="F37" s="47">
        <v>85977</v>
      </c>
      <c r="G37" s="48">
        <v>7249</v>
      </c>
      <c r="H37" s="48">
        <v>3356</v>
      </c>
      <c r="I37" s="49">
        <v>201028</v>
      </c>
      <c r="J37" s="49">
        <v>89333</v>
      </c>
      <c r="K37" s="50">
        <f>G37</f>
        <v>7249</v>
      </c>
      <c r="L37" s="50">
        <f>H37</f>
        <v>3356</v>
      </c>
      <c r="M37" s="49">
        <f>SUM(E37,K37)</f>
        <v>201028</v>
      </c>
      <c r="N37" s="49">
        <f>SUM(F37,L37)</f>
        <v>89333</v>
      </c>
    </row>
    <row r="38" spans="4:14">
      <c r="D38" s="46" t="s">
        <v>46</v>
      </c>
      <c r="E38" s="47">
        <v>211764</v>
      </c>
      <c r="F38" s="47">
        <v>90882</v>
      </c>
      <c r="G38" s="708">
        <v>66810</v>
      </c>
      <c r="H38" s="708">
        <v>46165</v>
      </c>
      <c r="I38" s="721">
        <v>1746059</v>
      </c>
      <c r="J38" s="721">
        <v>1375324</v>
      </c>
      <c r="K38" s="50">
        <f>SUM(E38*3.5/100)</f>
        <v>7411.74</v>
      </c>
      <c r="L38" s="50">
        <f>SUM(F38*3.5/100)</f>
        <v>3180.87</v>
      </c>
      <c r="M38" s="49">
        <f>SUM(E38,K38)</f>
        <v>219175.74</v>
      </c>
      <c r="N38" s="49">
        <f>SUM(F38,L38)</f>
        <v>94062.87</v>
      </c>
    </row>
    <row r="39" spans="4:14" ht="26.05">
      <c r="D39" s="734" t="s">
        <v>47</v>
      </c>
      <c r="E39" s="47">
        <f>G17</f>
        <v>1467485</v>
      </c>
      <c r="F39" s="47">
        <f>H17</f>
        <v>1238277</v>
      </c>
      <c r="G39" s="709"/>
      <c r="H39" s="709"/>
      <c r="I39" s="709"/>
      <c r="J39" s="709"/>
      <c r="K39" s="706" t="s">
        <v>48</v>
      </c>
      <c r="L39" s="707"/>
      <c r="M39" s="49">
        <f>SUM(E39,K40,K42)</f>
        <v>1607140.6558333333</v>
      </c>
      <c r="N39" s="49">
        <f>SUM(F39,L40,L42)</f>
        <v>1356119.6945</v>
      </c>
    </row>
    <row r="40" spans="4:14">
      <c r="D40" s="709"/>
      <c r="E40" s="47"/>
      <c r="F40" s="47"/>
      <c r="G40" s="48"/>
      <c r="H40" s="48"/>
      <c r="I40" s="51"/>
      <c r="J40" s="52"/>
      <c r="K40" s="50">
        <f>(E39*8.5/100)/12*2</f>
        <v>20789.370833333334</v>
      </c>
      <c r="L40" s="50">
        <f>(F39*8.5/100)/12*2</f>
        <v>17542.2575</v>
      </c>
      <c r="M40" s="51"/>
      <c r="N40" s="52"/>
    </row>
    <row r="41" spans="4:14">
      <c r="D41" s="46"/>
      <c r="E41" s="47"/>
      <c r="F41" s="47"/>
      <c r="G41" s="713"/>
      <c r="H41" s="707"/>
      <c r="I41" s="51"/>
      <c r="J41" s="52"/>
      <c r="K41" s="706" t="s">
        <v>49</v>
      </c>
      <c r="L41" s="707"/>
      <c r="M41" s="51"/>
      <c r="N41" s="52"/>
    </row>
    <row r="42" spans="4:14">
      <c r="D42" s="46"/>
      <c r="E42" s="47"/>
      <c r="F42" s="47"/>
      <c r="G42" s="48"/>
      <c r="H42" s="48"/>
      <c r="I42" s="51"/>
      <c r="J42" s="52"/>
      <c r="K42" s="50">
        <f>(E39*8.1/100)</f>
        <v>118866.285</v>
      </c>
      <c r="L42" s="50">
        <f>(F39*8.1/100)</f>
        <v>100300.43699999999</v>
      </c>
      <c r="M42" s="51"/>
      <c r="N42" s="52"/>
    </row>
    <row r="43" spans="4:14">
      <c r="E43" s="1"/>
      <c r="F43" s="1"/>
      <c r="G43" s="2"/>
      <c r="H43" s="2"/>
      <c r="I43" s="2"/>
      <c r="K43" s="1"/>
      <c r="L43" s="1"/>
      <c r="M43" s="1"/>
    </row>
    <row r="44" spans="4:14">
      <c r="D44" s="53" t="s">
        <v>50</v>
      </c>
      <c r="E44" s="54"/>
      <c r="F44" s="54"/>
      <c r="G44" s="55"/>
      <c r="H44" s="56" t="s">
        <v>51</v>
      </c>
      <c r="I44" s="57">
        <f>SUM(I37:I39)</f>
        <v>1947087</v>
      </c>
      <c r="J44" s="58">
        <f>SUM(J37:J39)</f>
        <v>1464657</v>
      </c>
      <c r="K44" s="54"/>
      <c r="L44" s="59" t="s">
        <v>42</v>
      </c>
      <c r="M44" s="59">
        <f>SUM(M37:M42)</f>
        <v>2027344.3958333333</v>
      </c>
      <c r="N44" s="60">
        <f>SUM(N37:N42)</f>
        <v>1539515.5644999999</v>
      </c>
    </row>
    <row r="45" spans="4:14">
      <c r="D45" s="53"/>
      <c r="E45" s="54"/>
      <c r="F45" s="54"/>
      <c r="G45" s="55"/>
      <c r="H45" s="61"/>
      <c r="I45" s="719">
        <f>SUM(I44:J44)</f>
        <v>3411744</v>
      </c>
      <c r="J45" s="711"/>
      <c r="K45" s="54"/>
      <c r="L45" s="62"/>
      <c r="M45" s="720">
        <f>SUM(M44,N44)</f>
        <v>3566859.9603333334</v>
      </c>
      <c r="N45" s="711"/>
    </row>
    <row r="46" spans="4:14">
      <c r="D46" s="63"/>
      <c r="E46" s="64"/>
      <c r="F46" s="64"/>
      <c r="G46" s="65"/>
      <c r="H46" s="65"/>
      <c r="I46" s="65"/>
      <c r="J46" s="63"/>
      <c r="K46" s="64" t="s">
        <v>52</v>
      </c>
      <c r="L46" s="66">
        <f>SUM(M45-I45)</f>
        <v>155115.96033333335</v>
      </c>
      <c r="M46" s="64"/>
      <c r="N46" s="63"/>
    </row>
    <row r="49" spans="4:11" ht="22.75">
      <c r="D49" s="714" t="s">
        <v>53</v>
      </c>
      <c r="E49" s="715"/>
      <c r="F49" s="715"/>
      <c r="G49" s="715"/>
      <c r="H49" s="715"/>
      <c r="I49" s="715"/>
      <c r="J49" s="715"/>
      <c r="K49" s="1"/>
    </row>
    <row r="50" spans="4:11">
      <c r="D50" s="46"/>
      <c r="E50" s="716" t="s">
        <v>54</v>
      </c>
      <c r="F50" s="711"/>
      <c r="G50" s="718" t="s">
        <v>55</v>
      </c>
      <c r="H50" s="711"/>
      <c r="I50" s="717" t="s">
        <v>42</v>
      </c>
      <c r="J50" s="711"/>
      <c r="K50" s="1"/>
    </row>
    <row r="51" spans="4:11">
      <c r="D51" s="46"/>
      <c r="E51" s="67" t="s">
        <v>43</v>
      </c>
      <c r="F51" s="68" t="s">
        <v>44</v>
      </c>
      <c r="G51" s="69" t="s">
        <v>56</v>
      </c>
      <c r="H51" s="69" t="s">
        <v>57</v>
      </c>
      <c r="I51" s="70" t="s">
        <v>43</v>
      </c>
      <c r="J51" s="70" t="s">
        <v>44</v>
      </c>
    </row>
    <row r="52" spans="4:11">
      <c r="D52" s="46" t="s">
        <v>58</v>
      </c>
      <c r="E52" s="71">
        <v>201028</v>
      </c>
      <c r="F52" s="71">
        <v>89333</v>
      </c>
      <c r="G52" s="72">
        <f>SUM(E52*8.1/100)</f>
        <v>16283.267999999998</v>
      </c>
      <c r="H52" s="72">
        <f>SUM(F52*8.1/100)</f>
        <v>7235.972999999999</v>
      </c>
      <c r="I52" s="49">
        <f>SUM(E52,G52)</f>
        <v>217311.26800000001</v>
      </c>
      <c r="J52" s="49">
        <f>SUM(F52,H52)</f>
        <v>96568.972999999998</v>
      </c>
      <c r="K52" s="1"/>
    </row>
    <row r="53" spans="4:11">
      <c r="D53" s="46" t="s">
        <v>59</v>
      </c>
      <c r="E53" s="71">
        <v>211764</v>
      </c>
      <c r="F53" s="71">
        <v>90882</v>
      </c>
      <c r="G53" s="72">
        <f>SUM(E53*3.5/100)</f>
        <v>7411.74</v>
      </c>
      <c r="H53" s="72">
        <f>SUM(F53*3.5/100)</f>
        <v>3180.87</v>
      </c>
      <c r="I53" s="49">
        <f>SUM(E53,G53)</f>
        <v>219175.74</v>
      </c>
      <c r="J53" s="49">
        <f>SUM(F53,H53)</f>
        <v>94062.87</v>
      </c>
      <c r="K53" s="1"/>
    </row>
    <row r="54" spans="4:11">
      <c r="D54" s="46" t="s">
        <v>60</v>
      </c>
      <c r="E54" s="71">
        <v>1467485</v>
      </c>
      <c r="F54" s="71">
        <v>1238277</v>
      </c>
      <c r="G54" s="706" t="s">
        <v>48</v>
      </c>
      <c r="H54" s="707"/>
      <c r="I54" s="49">
        <f>SUM(E54,G55,G57)</f>
        <v>1607140.6558333333</v>
      </c>
      <c r="J54" s="49">
        <f>SUM(F54,H55,H57)</f>
        <v>1356119.6945</v>
      </c>
      <c r="K54" s="1"/>
    </row>
    <row r="55" spans="4:11">
      <c r="E55" s="1"/>
      <c r="F55" s="1"/>
      <c r="G55" s="50">
        <f>(E54*8.5/100)/12*2</f>
        <v>20789.370833333334</v>
      </c>
      <c r="H55" s="50">
        <f>(F54*8.5/100)/12*2</f>
        <v>17542.2575</v>
      </c>
      <c r="I55" s="51"/>
      <c r="J55" s="52"/>
      <c r="K55" s="1"/>
    </row>
    <row r="56" spans="4:11">
      <c r="E56" s="1"/>
      <c r="F56" s="1"/>
      <c r="G56" s="706" t="s">
        <v>49</v>
      </c>
      <c r="H56" s="707"/>
      <c r="I56" s="51"/>
      <c r="J56" s="52"/>
      <c r="K56" s="1"/>
    </row>
    <row r="57" spans="4:11">
      <c r="E57" s="1"/>
      <c r="F57" s="1"/>
      <c r="G57" s="50">
        <f>(E54*8.1/100)</f>
        <v>118866.285</v>
      </c>
      <c r="H57" s="50">
        <f>(F54*8.1/100)</f>
        <v>100300.43699999999</v>
      </c>
      <c r="I57" s="51"/>
      <c r="J57" s="52"/>
      <c r="K57" s="1"/>
    </row>
    <row r="58" spans="4:11">
      <c r="E58" s="1"/>
      <c r="F58" s="1"/>
      <c r="G58" s="2"/>
      <c r="H58" s="2"/>
      <c r="I58" s="2"/>
      <c r="K58" s="1"/>
    </row>
    <row r="59" spans="4:11">
      <c r="D59" s="1"/>
      <c r="E59" s="1"/>
      <c r="F59" s="1"/>
      <c r="G59" s="73"/>
      <c r="H59" s="69"/>
      <c r="I59" s="69" t="s">
        <v>43</v>
      </c>
      <c r="J59" s="74" t="s">
        <v>44</v>
      </c>
      <c r="K59" s="67" t="s">
        <v>32</v>
      </c>
    </row>
    <row r="60" spans="4:11">
      <c r="E60" s="1"/>
      <c r="F60" s="1"/>
      <c r="G60" s="2"/>
      <c r="H60" s="72" t="s">
        <v>61</v>
      </c>
      <c r="I60" s="75">
        <f>SUM(I52:I54)</f>
        <v>2043627.6638333332</v>
      </c>
      <c r="J60" s="75">
        <f>SUM(J52:J54)</f>
        <v>1546751.5375000001</v>
      </c>
      <c r="K60" s="76">
        <f>SUM(I60:J60)</f>
        <v>3590379.2013333333</v>
      </c>
    </row>
    <row r="61" spans="4:11">
      <c r="E61" s="1"/>
      <c r="F61" s="1"/>
      <c r="G61" s="2"/>
      <c r="H61" s="72" t="s">
        <v>62</v>
      </c>
      <c r="I61" s="72">
        <v>2019850</v>
      </c>
      <c r="J61" s="77">
        <v>1526055</v>
      </c>
      <c r="K61" s="67">
        <f>SUM(I61:J61)</f>
        <v>3545905</v>
      </c>
    </row>
    <row r="62" spans="4:11">
      <c r="E62" s="1"/>
      <c r="F62" s="1"/>
      <c r="G62" s="2"/>
      <c r="H62" s="72" t="s">
        <v>63</v>
      </c>
      <c r="I62" s="72"/>
      <c r="J62" s="78"/>
      <c r="K62" s="79">
        <f>SUM(K60-K61)</f>
        <v>44474.201333333272</v>
      </c>
    </row>
    <row r="63" spans="4:11">
      <c r="E63" s="1"/>
      <c r="F63" s="1"/>
      <c r="G63" s="2"/>
      <c r="H63" s="2"/>
      <c r="I63" s="2"/>
      <c r="J63" s="80"/>
      <c r="K63" s="1"/>
    </row>
    <row r="64" spans="4:11">
      <c r="E64" s="1"/>
      <c r="F64" s="1"/>
      <c r="G64" s="2"/>
      <c r="H64" s="2" t="s">
        <v>64</v>
      </c>
      <c r="I64" s="2"/>
      <c r="J64" s="80"/>
      <c r="K64" s="1"/>
    </row>
    <row r="65" spans="8:11">
      <c r="H65" s="2"/>
      <c r="I65" s="2">
        <v>14307</v>
      </c>
      <c r="J65" s="80">
        <v>10810</v>
      </c>
      <c r="K65" s="13">
        <f>SUM(I65:J65)</f>
        <v>25117</v>
      </c>
    </row>
    <row r="66" spans="8:11">
      <c r="H66" s="2"/>
      <c r="I66" s="2"/>
      <c r="K66" s="1"/>
    </row>
    <row r="67" spans="8:11">
      <c r="H67" s="2" t="s">
        <v>65</v>
      </c>
      <c r="I67" s="81">
        <f>SUM(I65,I61)</f>
        <v>2034157</v>
      </c>
      <c r="J67" s="81">
        <f>SUM(J65,J61)</f>
        <v>1536865</v>
      </c>
      <c r="K67" s="13">
        <f>SUM(I67:J67)</f>
        <v>3571022</v>
      </c>
    </row>
    <row r="68" spans="8:11">
      <c r="H68" s="72" t="s">
        <v>63</v>
      </c>
      <c r="I68" s="72"/>
      <c r="J68" s="78"/>
      <c r="K68" s="79">
        <f>SUM(K60-K67)</f>
        <v>19357.201333333272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9"/>
  <sheetViews>
    <sheetView workbookViewId="0">
      <selection activeCell="B24" sqref="B24"/>
    </sheetView>
  </sheetViews>
  <sheetFormatPr defaultRowHeight="13.3"/>
  <cols>
    <col min="2" max="2" width="55.44140625" bestFit="1" customWidth="1"/>
  </cols>
  <sheetData>
    <row r="2" spans="1:7">
      <c r="C2" s="526">
        <v>2022</v>
      </c>
    </row>
    <row r="4" spans="1:7">
      <c r="A4" s="532" t="s">
        <v>1504</v>
      </c>
      <c r="B4" s="524" t="s">
        <v>1505</v>
      </c>
      <c r="D4" s="532"/>
    </row>
    <row r="5" spans="1:7">
      <c r="B5" s="527" t="s">
        <v>1506</v>
      </c>
      <c r="C5" s="528">
        <v>90836</v>
      </c>
      <c r="G5" s="532"/>
    </row>
    <row r="6" spans="1:7">
      <c r="B6" s="527" t="s">
        <v>1363</v>
      </c>
      <c r="C6" s="528">
        <v>72669</v>
      </c>
      <c r="G6" s="526">
        <f>45000*12</f>
        <v>540000</v>
      </c>
    </row>
    <row r="7" spans="1:7">
      <c r="B7" s="527" t="s">
        <v>1507</v>
      </c>
      <c r="C7" s="528">
        <v>149844</v>
      </c>
      <c r="G7" s="526">
        <v>50000</v>
      </c>
    </row>
    <row r="8" spans="1:7">
      <c r="B8" s="529" t="s">
        <v>1508</v>
      </c>
      <c r="C8" s="530">
        <f>SUM(C5:C7)</f>
        <v>313349</v>
      </c>
      <c r="D8" s="530"/>
      <c r="G8" s="526">
        <v>150000</v>
      </c>
    </row>
    <row r="9" spans="1:7">
      <c r="G9" s="526">
        <f>SUM(G6:G8)</f>
        <v>740000</v>
      </c>
    </row>
    <row r="10" spans="1:7">
      <c r="A10" s="532" t="s">
        <v>1509</v>
      </c>
      <c r="B10" s="524" t="s">
        <v>1510</v>
      </c>
      <c r="C10" s="525"/>
      <c r="F10" s="533"/>
    </row>
    <row r="11" spans="1:7">
      <c r="B11" s="527" t="s">
        <v>1511</v>
      </c>
      <c r="C11" s="528">
        <v>10616</v>
      </c>
    </row>
    <row r="12" spans="1:7">
      <c r="B12" s="527" t="s">
        <v>1512</v>
      </c>
      <c r="C12" s="528">
        <v>130804</v>
      </c>
    </row>
    <row r="13" spans="1:7">
      <c r="B13" s="527" t="s">
        <v>1513</v>
      </c>
      <c r="C13" s="528">
        <v>17200</v>
      </c>
    </row>
    <row r="14" spans="1:7">
      <c r="B14" s="527" t="s">
        <v>73</v>
      </c>
      <c r="C14" s="528">
        <v>109003</v>
      </c>
    </row>
    <row r="15" spans="1:7">
      <c r="A15" s="532"/>
      <c r="B15" s="529" t="s">
        <v>1514</v>
      </c>
      <c r="C15" s="526">
        <f>SUM(C11:C14)</f>
        <v>267623</v>
      </c>
      <c r="D15" s="528"/>
    </row>
    <row r="17" spans="1:3">
      <c r="A17" s="532" t="s">
        <v>1515</v>
      </c>
      <c r="B17" s="524" t="s">
        <v>1516</v>
      </c>
      <c r="C17" s="531">
        <v>326578</v>
      </c>
    </row>
    <row r="18" spans="1:3">
      <c r="B18" s="525"/>
      <c r="C18" s="525"/>
    </row>
    <row r="19" spans="1:3">
      <c r="A19" s="532" t="s">
        <v>1517</v>
      </c>
      <c r="B19" s="524" t="s">
        <v>1518</v>
      </c>
      <c r="C19" s="530">
        <f>SUM(C8*12,C15,C17)</f>
        <v>4354389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63A52-0C10-4241-877C-EF8D7544EB47}">
  <dimension ref="A1:H29"/>
  <sheetViews>
    <sheetView workbookViewId="0">
      <selection activeCell="B10" sqref="B10"/>
    </sheetView>
  </sheetViews>
  <sheetFormatPr defaultRowHeight="16.100000000000001"/>
  <cols>
    <col min="1" max="2" width="8.88671875" style="894"/>
    <col min="3" max="3" width="61.44140625" style="894" bestFit="1" customWidth="1"/>
    <col min="4" max="4" width="27" style="894" customWidth="1"/>
    <col min="5" max="5" width="44.5546875" style="894" bestFit="1" customWidth="1"/>
    <col min="6" max="16384" width="8.88671875" style="894"/>
  </cols>
  <sheetData>
    <row r="1" spans="1:8">
      <c r="C1" s="893" t="s">
        <v>1791</v>
      </c>
      <c r="D1" s="893" t="s">
        <v>1794</v>
      </c>
      <c r="E1" s="893" t="s">
        <v>1790</v>
      </c>
      <c r="F1" s="893" t="s">
        <v>1813</v>
      </c>
      <c r="G1" s="893" t="s">
        <v>1815</v>
      </c>
    </row>
    <row r="2" spans="1:8">
      <c r="A2" s="894">
        <v>7</v>
      </c>
      <c r="B2" s="894" t="s">
        <v>1838</v>
      </c>
      <c r="C2" s="899" t="s">
        <v>1810</v>
      </c>
      <c r="D2" s="899" t="s">
        <v>1797</v>
      </c>
      <c r="E2" s="899" t="s">
        <v>1795</v>
      </c>
      <c r="F2" s="900">
        <v>5</v>
      </c>
      <c r="G2" s="900">
        <v>5</v>
      </c>
    </row>
    <row r="3" spans="1:8">
      <c r="A3" s="894">
        <v>8</v>
      </c>
      <c r="B3" s="894" t="s">
        <v>1850</v>
      </c>
      <c r="C3" s="899" t="s">
        <v>1786</v>
      </c>
      <c r="D3" s="899" t="s">
        <v>1800</v>
      </c>
      <c r="E3" s="899" t="s">
        <v>1796</v>
      </c>
      <c r="F3" s="900">
        <v>10</v>
      </c>
      <c r="G3" s="900">
        <v>4</v>
      </c>
    </row>
    <row r="4" spans="1:8">
      <c r="A4" s="894">
        <v>9</v>
      </c>
      <c r="B4" s="894" t="s">
        <v>1845</v>
      </c>
      <c r="C4" s="895" t="s">
        <v>1848</v>
      </c>
      <c r="D4" s="895" t="s">
        <v>1802</v>
      </c>
      <c r="E4" s="895" t="s">
        <v>1808</v>
      </c>
      <c r="F4" s="895">
        <v>7</v>
      </c>
      <c r="G4" s="895">
        <v>4</v>
      </c>
    </row>
    <row r="5" spans="1:8">
      <c r="A5" s="894">
        <v>10</v>
      </c>
      <c r="B5" s="894" t="s">
        <v>1846</v>
      </c>
      <c r="C5" s="895" t="s">
        <v>1849</v>
      </c>
      <c r="D5" s="895" t="s">
        <v>1847</v>
      </c>
      <c r="E5" s="895" t="s">
        <v>1801</v>
      </c>
      <c r="F5" s="895">
        <v>7</v>
      </c>
      <c r="G5" s="895">
        <v>4</v>
      </c>
    </row>
    <row r="6" spans="1:8">
      <c r="A6" s="894">
        <v>11</v>
      </c>
      <c r="B6" s="894" t="s">
        <v>1851</v>
      </c>
      <c r="C6" s="895" t="s">
        <v>1852</v>
      </c>
      <c r="D6" s="895" t="s">
        <v>1802</v>
      </c>
      <c r="E6" s="895"/>
      <c r="F6" s="895"/>
      <c r="G6" s="895"/>
    </row>
    <row r="7" spans="1:8">
      <c r="A7" s="894">
        <v>12</v>
      </c>
      <c r="B7" s="894" t="s">
        <v>1836</v>
      </c>
      <c r="C7" s="895" t="s">
        <v>1787</v>
      </c>
      <c r="D7" s="895" t="s">
        <v>1804</v>
      </c>
      <c r="E7" s="895" t="s">
        <v>1803</v>
      </c>
      <c r="F7" s="895">
        <v>7</v>
      </c>
      <c r="G7" s="895">
        <v>4</v>
      </c>
    </row>
    <row r="8" spans="1:8">
      <c r="A8" s="894">
        <v>13</v>
      </c>
      <c r="B8" s="894" t="s">
        <v>1837</v>
      </c>
      <c r="C8" s="895" t="s">
        <v>1792</v>
      </c>
      <c r="D8" s="895"/>
      <c r="E8" s="895" t="s">
        <v>1805</v>
      </c>
      <c r="F8" s="895"/>
      <c r="G8" s="895"/>
    </row>
    <row r="9" spans="1:8">
      <c r="C9" s="895"/>
      <c r="D9" s="895" t="s">
        <v>1798</v>
      </c>
      <c r="E9" s="895" t="s">
        <v>1806</v>
      </c>
      <c r="F9" s="895">
        <v>5</v>
      </c>
      <c r="G9" s="895">
        <v>4</v>
      </c>
    </row>
    <row r="10" spans="1:8">
      <c r="A10" s="894">
        <v>14</v>
      </c>
      <c r="B10" s="894" t="s">
        <v>1838</v>
      </c>
      <c r="C10" s="895" t="s">
        <v>1793</v>
      </c>
      <c r="D10" s="895" t="s">
        <v>1799</v>
      </c>
      <c r="E10" s="895" t="s">
        <v>1807</v>
      </c>
      <c r="F10" s="895">
        <v>4</v>
      </c>
      <c r="G10" s="895">
        <v>3</v>
      </c>
    </row>
    <row r="11" spans="1:8">
      <c r="A11" s="894">
        <v>15</v>
      </c>
      <c r="B11" s="894" t="s">
        <v>1850</v>
      </c>
      <c r="C11" s="895" t="s">
        <v>1788</v>
      </c>
      <c r="D11" s="895" t="s">
        <v>1799</v>
      </c>
      <c r="E11" s="895" t="s">
        <v>1808</v>
      </c>
      <c r="F11" s="895">
        <v>4</v>
      </c>
      <c r="G11" s="895">
        <v>3</v>
      </c>
    </row>
    <row r="12" spans="1:8">
      <c r="A12" s="894">
        <v>16</v>
      </c>
      <c r="B12" s="894" t="s">
        <v>1845</v>
      </c>
      <c r="C12" s="895" t="s">
        <v>1789</v>
      </c>
      <c r="D12" s="895"/>
      <c r="E12" s="895" t="s">
        <v>1809</v>
      </c>
      <c r="F12" s="895"/>
      <c r="G12" s="895">
        <v>2</v>
      </c>
    </row>
    <row r="13" spans="1:8">
      <c r="C13" s="897" t="s">
        <v>32</v>
      </c>
      <c r="D13" s="898"/>
      <c r="E13" s="897" t="s">
        <v>1814</v>
      </c>
      <c r="F13" s="897">
        <f>SUM(F2:F11)</f>
        <v>49</v>
      </c>
      <c r="G13" s="897">
        <f>SUM(G2:G11)</f>
        <v>31</v>
      </c>
      <c r="H13" s="897"/>
    </row>
    <row r="15" spans="1:8">
      <c r="C15" s="896" t="s">
        <v>1819</v>
      </c>
      <c r="D15" s="894">
        <v>20</v>
      </c>
      <c r="E15" s="894" t="s">
        <v>1811</v>
      </c>
    </row>
    <row r="16" spans="1:8">
      <c r="C16" s="894" t="s">
        <v>1820</v>
      </c>
      <c r="D16" s="894">
        <f>F13</f>
        <v>49</v>
      </c>
      <c r="E16" s="894" t="s">
        <v>1812</v>
      </c>
    </row>
    <row r="17" spans="3:5">
      <c r="C17" s="894" t="s">
        <v>1821</v>
      </c>
      <c r="D17" s="894">
        <f>G13</f>
        <v>31</v>
      </c>
      <c r="E17" s="894" t="s">
        <v>1815</v>
      </c>
    </row>
    <row r="18" spans="3:5">
      <c r="C18" s="894" t="s">
        <v>1822</v>
      </c>
      <c r="D18" s="894">
        <v>7</v>
      </c>
      <c r="E18" s="894" t="s">
        <v>1839</v>
      </c>
    </row>
    <row r="19" spans="3:5">
      <c r="C19" s="894" t="s">
        <v>1823</v>
      </c>
      <c r="D19" s="896">
        <f>SUM(D15:D18)</f>
        <v>107</v>
      </c>
      <c r="E19" s="894" t="s">
        <v>32</v>
      </c>
    </row>
    <row r="20" spans="3:5">
      <c r="C20" s="894" t="s">
        <v>1824</v>
      </c>
    </row>
    <row r="21" spans="3:5">
      <c r="C21" s="894" t="s">
        <v>1825</v>
      </c>
      <c r="E21" s="894" t="s">
        <v>1817</v>
      </c>
    </row>
    <row r="22" spans="3:5">
      <c r="C22" s="894" t="s">
        <v>1826</v>
      </c>
      <c r="E22" s="894" t="s">
        <v>1816</v>
      </c>
    </row>
    <row r="23" spans="3:5">
      <c r="C23" s="894" t="s">
        <v>1827</v>
      </c>
      <c r="E23" s="894" t="s">
        <v>1818</v>
      </c>
    </row>
    <row r="24" spans="3:5">
      <c r="C24" s="894" t="s">
        <v>1828</v>
      </c>
    </row>
    <row r="25" spans="3:5">
      <c r="C25" s="894" t="s">
        <v>1829</v>
      </c>
    </row>
    <row r="27" spans="3:5">
      <c r="C27" s="894" t="s">
        <v>1842</v>
      </c>
    </row>
    <row r="28" spans="3:5">
      <c r="C28" s="894" t="s">
        <v>1843</v>
      </c>
    </row>
    <row r="29" spans="3:5">
      <c r="C29" s="894" t="s">
        <v>1844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9AF2-C703-4140-AA63-F265D0AB2190}">
  <dimension ref="A2:H29"/>
  <sheetViews>
    <sheetView workbookViewId="0">
      <selection activeCell="G16" sqref="G16"/>
    </sheetView>
  </sheetViews>
  <sheetFormatPr defaultRowHeight="16.100000000000001"/>
  <cols>
    <col min="1" max="1" width="8.88671875" style="887"/>
    <col min="2" max="2" width="15" style="887" bestFit="1" customWidth="1"/>
    <col min="3" max="3" width="14.21875" style="887" bestFit="1" customWidth="1"/>
    <col min="4" max="4" width="8.88671875" style="887"/>
    <col min="5" max="5" width="11.33203125" style="887" bestFit="1" customWidth="1"/>
    <col min="6" max="6" width="73" style="887" customWidth="1"/>
    <col min="7" max="7" width="39" style="887" bestFit="1" customWidth="1"/>
    <col min="8" max="16384" width="8.88671875" style="887"/>
  </cols>
  <sheetData>
    <row r="2" spans="1:8">
      <c r="A2" s="888" t="s">
        <v>1751</v>
      </c>
      <c r="B2" s="888" t="s">
        <v>1737</v>
      </c>
      <c r="C2" s="888" t="s">
        <v>1738</v>
      </c>
      <c r="D2" s="888" t="s">
        <v>1742</v>
      </c>
      <c r="E2" s="888" t="s">
        <v>1743</v>
      </c>
      <c r="F2" s="888" t="s">
        <v>1744</v>
      </c>
      <c r="G2" s="888" t="s">
        <v>1750</v>
      </c>
      <c r="H2" s="889"/>
    </row>
    <row r="3" spans="1:8">
      <c r="A3" s="889">
        <v>1</v>
      </c>
      <c r="B3" s="889" t="s">
        <v>1736</v>
      </c>
      <c r="C3" s="889" t="s">
        <v>1739</v>
      </c>
      <c r="D3" s="889">
        <v>674</v>
      </c>
      <c r="E3" s="889">
        <v>12</v>
      </c>
      <c r="F3" s="889" t="s">
        <v>1745</v>
      </c>
      <c r="G3" s="889" t="s">
        <v>1739</v>
      </c>
      <c r="H3" s="889"/>
    </row>
    <row r="4" spans="1:8">
      <c r="A4" s="889">
        <v>2</v>
      </c>
      <c r="B4" s="889" t="s">
        <v>1740</v>
      </c>
      <c r="C4" s="889" t="s">
        <v>1741</v>
      </c>
      <c r="D4" s="889">
        <v>245</v>
      </c>
      <c r="E4" s="889">
        <v>6</v>
      </c>
      <c r="F4" s="889"/>
      <c r="G4" s="889" t="s">
        <v>1741</v>
      </c>
      <c r="H4" s="889"/>
    </row>
    <row r="5" spans="1:8">
      <c r="A5" s="889">
        <v>3</v>
      </c>
      <c r="B5" s="1270" t="s">
        <v>1778</v>
      </c>
      <c r="C5" s="1271"/>
      <c r="D5" s="889"/>
      <c r="E5" s="889"/>
      <c r="F5" s="889"/>
      <c r="G5" s="889" t="s">
        <v>1741</v>
      </c>
      <c r="H5" s="889"/>
    </row>
    <row r="6" spans="1:8">
      <c r="A6" s="889">
        <v>4</v>
      </c>
      <c r="B6" s="889" t="s">
        <v>1741</v>
      </c>
      <c r="C6" s="889" t="s">
        <v>1747</v>
      </c>
      <c r="D6" s="889">
        <v>201</v>
      </c>
      <c r="E6" s="889">
        <v>5</v>
      </c>
      <c r="F6" s="889" t="s">
        <v>1748</v>
      </c>
      <c r="G6" s="889" t="s">
        <v>1747</v>
      </c>
      <c r="H6" s="889"/>
    </row>
    <row r="7" spans="1:8">
      <c r="A7" s="889">
        <v>5</v>
      </c>
      <c r="B7" s="889" t="s">
        <v>1747</v>
      </c>
      <c r="C7" s="889" t="s">
        <v>1746</v>
      </c>
      <c r="D7" s="889">
        <v>210</v>
      </c>
      <c r="E7" s="889">
        <v>4</v>
      </c>
      <c r="F7" s="889" t="s">
        <v>1749</v>
      </c>
      <c r="G7" s="889" t="s">
        <v>1746</v>
      </c>
      <c r="H7" s="889"/>
    </row>
    <row r="8" spans="1:8">
      <c r="A8" s="889">
        <v>6</v>
      </c>
      <c r="B8" s="1269" t="s">
        <v>1752</v>
      </c>
      <c r="C8" s="1269"/>
      <c r="D8" s="889">
        <v>100</v>
      </c>
      <c r="E8" s="889">
        <v>8</v>
      </c>
      <c r="F8" s="889" t="s">
        <v>1753</v>
      </c>
      <c r="G8" s="889" t="s">
        <v>1757</v>
      </c>
      <c r="H8" s="889"/>
    </row>
    <row r="9" spans="1:8">
      <c r="A9" s="889">
        <v>7</v>
      </c>
      <c r="B9" s="889" t="s">
        <v>1746</v>
      </c>
      <c r="C9" s="889" t="s">
        <v>1754</v>
      </c>
      <c r="D9" s="889">
        <v>160</v>
      </c>
      <c r="E9" s="889">
        <v>5</v>
      </c>
      <c r="F9" s="889" t="s">
        <v>1755</v>
      </c>
      <c r="G9" s="889" t="s">
        <v>1758</v>
      </c>
      <c r="H9" s="889"/>
    </row>
    <row r="10" spans="1:8">
      <c r="A10" s="889">
        <v>8</v>
      </c>
      <c r="B10" s="889" t="s">
        <v>1756</v>
      </c>
      <c r="C10" s="889" t="s">
        <v>1759</v>
      </c>
      <c r="D10" s="889">
        <v>274</v>
      </c>
      <c r="E10" s="889">
        <v>7</v>
      </c>
      <c r="F10" s="889" t="s">
        <v>1760</v>
      </c>
      <c r="G10" s="889" t="s">
        <v>1761</v>
      </c>
      <c r="H10" s="889"/>
    </row>
    <row r="11" spans="1:8">
      <c r="A11" s="889">
        <v>9</v>
      </c>
      <c r="B11" s="889" t="s">
        <v>1759</v>
      </c>
      <c r="C11" s="889" t="s">
        <v>1757</v>
      </c>
      <c r="D11" s="889">
        <v>223</v>
      </c>
      <c r="E11" s="889">
        <v>5.5</v>
      </c>
      <c r="F11" s="889" t="s">
        <v>1762</v>
      </c>
      <c r="G11" s="889" t="s">
        <v>1746</v>
      </c>
      <c r="H11" s="889"/>
    </row>
    <row r="12" spans="1:8">
      <c r="A12" s="889">
        <v>10</v>
      </c>
      <c r="B12" s="889" t="s">
        <v>1746</v>
      </c>
      <c r="C12" s="889" t="s">
        <v>1763</v>
      </c>
      <c r="D12" s="889">
        <v>427</v>
      </c>
      <c r="E12" s="889">
        <v>12</v>
      </c>
      <c r="F12" s="889"/>
      <c r="G12" s="889" t="s">
        <v>1763</v>
      </c>
      <c r="H12" s="889"/>
    </row>
    <row r="13" spans="1:8">
      <c r="A13" s="889">
        <v>11</v>
      </c>
      <c r="B13" s="1269" t="s">
        <v>1764</v>
      </c>
      <c r="C13" s="1269"/>
      <c r="D13" s="889">
        <v>100</v>
      </c>
      <c r="E13" s="889">
        <v>7</v>
      </c>
      <c r="F13" s="889" t="s">
        <v>1764</v>
      </c>
      <c r="G13" s="889" t="s">
        <v>1763</v>
      </c>
      <c r="H13" s="889"/>
    </row>
    <row r="14" spans="1:8">
      <c r="A14" s="889">
        <v>12</v>
      </c>
      <c r="B14" s="890" t="s">
        <v>1763</v>
      </c>
      <c r="C14" s="890" t="s">
        <v>1776</v>
      </c>
      <c r="D14" s="889">
        <v>554</v>
      </c>
      <c r="E14" s="889">
        <v>12</v>
      </c>
      <c r="F14" s="889" t="s">
        <v>1777</v>
      </c>
      <c r="G14" s="889" t="s">
        <v>1776</v>
      </c>
      <c r="H14" s="889"/>
    </row>
    <row r="15" spans="1:8">
      <c r="A15" s="891"/>
      <c r="B15" s="892"/>
      <c r="C15" s="892"/>
      <c r="D15" s="891"/>
      <c r="E15" s="891"/>
      <c r="F15" s="891"/>
      <c r="G15" s="891"/>
      <c r="H15" s="891"/>
    </row>
    <row r="16" spans="1:8">
      <c r="D16" s="470">
        <f>SUM(D3:D14)</f>
        <v>3168</v>
      </c>
      <c r="E16" s="470">
        <f>SUM(E3:E14)</f>
        <v>83.5</v>
      </c>
    </row>
    <row r="19" spans="6:6">
      <c r="F19" s="887" t="s">
        <v>1765</v>
      </c>
    </row>
    <row r="20" spans="6:6">
      <c r="F20" s="887" t="s">
        <v>1766</v>
      </c>
    </row>
    <row r="21" spans="6:6">
      <c r="F21" s="887" t="s">
        <v>1767</v>
      </c>
    </row>
    <row r="22" spans="6:6">
      <c r="F22" s="887" t="s">
        <v>1768</v>
      </c>
    </row>
    <row r="23" spans="6:6">
      <c r="F23" s="887" t="s">
        <v>1769</v>
      </c>
    </row>
    <row r="24" spans="6:6">
      <c r="F24" s="887" t="s">
        <v>1770</v>
      </c>
    </row>
    <row r="25" spans="6:6">
      <c r="F25" s="887" t="s">
        <v>1771</v>
      </c>
    </row>
    <row r="26" spans="6:6">
      <c r="F26" s="887" t="s">
        <v>1772</v>
      </c>
    </row>
    <row r="27" spans="6:6">
      <c r="F27" s="887" t="s">
        <v>1773</v>
      </c>
    </row>
    <row r="28" spans="6:6">
      <c r="F28" s="887" t="s">
        <v>1774</v>
      </c>
    </row>
    <row r="29" spans="6:6">
      <c r="F29" s="887" t="s">
        <v>1775</v>
      </c>
    </row>
  </sheetData>
  <mergeCells count="3">
    <mergeCell ref="B8:C8"/>
    <mergeCell ref="B13:C13"/>
    <mergeCell ref="B5:C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247"/>
  <sheetViews>
    <sheetView workbookViewId="0"/>
  </sheetViews>
  <sheetFormatPr defaultRowHeight="13.3"/>
  <sheetData>
    <row r="2" spans="4:9">
      <c r="D2" s="10" t="s">
        <v>366</v>
      </c>
    </row>
    <row r="4" spans="4:9">
      <c r="D4" s="95" t="s">
        <v>367</v>
      </c>
      <c r="E4" s="95" t="s">
        <v>368</v>
      </c>
      <c r="F4" s="95"/>
      <c r="G4" s="95" t="s">
        <v>369</v>
      </c>
      <c r="H4" s="95" t="s">
        <v>370</v>
      </c>
      <c r="I4" s="95" t="s">
        <v>371</v>
      </c>
    </row>
    <row r="5" spans="4:9">
      <c r="D5" s="46" t="s">
        <v>372</v>
      </c>
      <c r="E5" s="46">
        <v>3000</v>
      </c>
      <c r="F5" s="46"/>
      <c r="G5" s="46">
        <v>35</v>
      </c>
      <c r="H5" s="46">
        <f t="shared" ref="H5:H11" si="0">G5*E5</f>
        <v>105000</v>
      </c>
      <c r="I5" s="74" t="s">
        <v>373</v>
      </c>
    </row>
    <row r="6" spans="4:9">
      <c r="D6" s="46" t="s">
        <v>374</v>
      </c>
      <c r="E6" s="46">
        <v>1500</v>
      </c>
      <c r="F6" s="46"/>
      <c r="G6" s="46">
        <v>70</v>
      </c>
      <c r="H6" s="46">
        <f t="shared" si="0"/>
        <v>105000</v>
      </c>
      <c r="I6" s="74"/>
    </row>
    <row r="7" spans="4:9">
      <c r="D7" s="46" t="s">
        <v>375</v>
      </c>
      <c r="E7" s="46">
        <f>10*6</f>
        <v>60</v>
      </c>
      <c r="F7" s="46"/>
      <c r="G7" s="46">
        <v>120</v>
      </c>
      <c r="H7" s="46">
        <f t="shared" si="0"/>
        <v>7200</v>
      </c>
      <c r="I7" s="74" t="s">
        <v>376</v>
      </c>
    </row>
    <row r="8" spans="4:9">
      <c r="D8" s="46" t="s">
        <v>377</v>
      </c>
      <c r="E8" s="46">
        <f>3*4 + 6*6</f>
        <v>48</v>
      </c>
      <c r="F8" s="46"/>
      <c r="G8" s="46">
        <v>1100</v>
      </c>
      <c r="H8" s="46">
        <f t="shared" si="0"/>
        <v>52800</v>
      </c>
      <c r="I8" s="74" t="s">
        <v>378</v>
      </c>
    </row>
    <row r="9" spans="4:9">
      <c r="D9" s="46" t="s">
        <v>379</v>
      </c>
      <c r="E9" s="46">
        <f>6*9</f>
        <v>54</v>
      </c>
      <c r="F9" s="46"/>
      <c r="G9" s="46">
        <v>1000</v>
      </c>
      <c r="H9" s="46">
        <f t="shared" si="0"/>
        <v>54000</v>
      </c>
      <c r="I9" s="74" t="s">
        <v>380</v>
      </c>
    </row>
    <row r="10" spans="4:9">
      <c r="D10" s="46" t="s">
        <v>381</v>
      </c>
      <c r="E10" s="46">
        <v>100</v>
      </c>
      <c r="F10" s="46"/>
      <c r="G10" s="46">
        <v>120</v>
      </c>
      <c r="H10" s="46">
        <f t="shared" si="0"/>
        <v>12000</v>
      </c>
      <c r="I10" s="74" t="s">
        <v>382</v>
      </c>
    </row>
    <row r="11" spans="4:9">
      <c r="D11" s="46" t="s">
        <v>383</v>
      </c>
      <c r="E11" s="46">
        <v>200</v>
      </c>
      <c r="F11" s="46"/>
      <c r="G11" s="46">
        <v>1000</v>
      </c>
      <c r="H11" s="46">
        <f t="shared" si="0"/>
        <v>200000</v>
      </c>
      <c r="I11" s="74"/>
    </row>
    <row r="12" spans="4:9">
      <c r="G12" s="95" t="s">
        <v>122</v>
      </c>
      <c r="H12" s="95">
        <f>SUM(H5:H11)</f>
        <v>536000</v>
      </c>
    </row>
    <row r="14" spans="4:9">
      <c r="D14" s="10" t="s">
        <v>384</v>
      </c>
    </row>
    <row r="16" spans="4:9">
      <c r="D16" s="95" t="s">
        <v>367</v>
      </c>
      <c r="E16" s="95" t="s">
        <v>368</v>
      </c>
      <c r="F16" s="95"/>
      <c r="G16" s="95" t="s">
        <v>369</v>
      </c>
      <c r="H16" s="95" t="s">
        <v>370</v>
      </c>
      <c r="I16" s="95" t="s">
        <v>371</v>
      </c>
    </row>
    <row r="17" spans="4:9">
      <c r="D17" s="46" t="s">
        <v>372</v>
      </c>
      <c r="E17" s="46">
        <v>3000</v>
      </c>
      <c r="F17" s="46"/>
      <c r="G17" s="46">
        <v>25</v>
      </c>
      <c r="H17" s="46">
        <f t="shared" ref="H17:H25" si="1">G17*E17</f>
        <v>75000</v>
      </c>
      <c r="I17" s="74" t="s">
        <v>373</v>
      </c>
    </row>
    <row r="18" spans="4:9">
      <c r="D18" s="46" t="s">
        <v>374</v>
      </c>
      <c r="E18" s="46">
        <v>1500</v>
      </c>
      <c r="F18" s="46"/>
      <c r="G18" s="46">
        <v>70</v>
      </c>
      <c r="H18" s="46">
        <f t="shared" si="1"/>
        <v>105000</v>
      </c>
      <c r="I18" s="74"/>
    </row>
    <row r="19" spans="4:9">
      <c r="D19" s="46" t="s">
        <v>375</v>
      </c>
      <c r="E19" s="46">
        <f>10*6</f>
        <v>60</v>
      </c>
      <c r="F19" s="46"/>
      <c r="G19" s="46">
        <v>120</v>
      </c>
      <c r="H19" s="46">
        <f t="shared" si="1"/>
        <v>7200</v>
      </c>
      <c r="I19" s="74" t="s">
        <v>385</v>
      </c>
    </row>
    <row r="20" spans="4:9">
      <c r="D20" s="46" t="s">
        <v>377</v>
      </c>
      <c r="E20" s="46">
        <f>3*4 + 6*6</f>
        <v>48</v>
      </c>
      <c r="F20" s="46"/>
      <c r="G20" s="46">
        <v>1100</v>
      </c>
      <c r="H20" s="46">
        <f t="shared" si="1"/>
        <v>52800</v>
      </c>
      <c r="I20" s="74" t="s">
        <v>378</v>
      </c>
    </row>
    <row r="21" spans="4:9">
      <c r="D21" s="46" t="s">
        <v>379</v>
      </c>
      <c r="E21" s="46">
        <f>6*9</f>
        <v>54</v>
      </c>
      <c r="F21" s="46"/>
      <c r="G21" s="46">
        <v>700</v>
      </c>
      <c r="H21" s="46">
        <f t="shared" si="1"/>
        <v>37800</v>
      </c>
      <c r="I21" s="74" t="s">
        <v>380</v>
      </c>
    </row>
    <row r="22" spans="4:9">
      <c r="D22" s="46" t="s">
        <v>386</v>
      </c>
      <c r="E22" s="46">
        <v>100</v>
      </c>
      <c r="F22" s="46"/>
      <c r="G22" s="46">
        <v>120</v>
      </c>
      <c r="H22" s="46">
        <f t="shared" si="1"/>
        <v>12000</v>
      </c>
      <c r="I22" s="74" t="s">
        <v>382</v>
      </c>
    </row>
    <row r="23" spans="4:9">
      <c r="D23" s="46" t="s">
        <v>387</v>
      </c>
      <c r="E23" s="46">
        <v>4</v>
      </c>
      <c r="F23" s="46"/>
      <c r="G23" s="46">
        <v>2500</v>
      </c>
      <c r="H23" s="46">
        <f t="shared" si="1"/>
        <v>10000</v>
      </c>
      <c r="I23" s="74" t="s">
        <v>388</v>
      </c>
    </row>
    <row r="24" spans="4:9">
      <c r="D24" s="46" t="s">
        <v>389</v>
      </c>
      <c r="E24" s="46">
        <v>8</v>
      </c>
      <c r="F24" s="46"/>
      <c r="G24" s="46">
        <v>2500</v>
      </c>
      <c r="H24" s="46">
        <f t="shared" si="1"/>
        <v>20000</v>
      </c>
      <c r="I24" s="74" t="s">
        <v>390</v>
      </c>
    </row>
    <row r="25" spans="4:9">
      <c r="D25" s="46" t="s">
        <v>383</v>
      </c>
      <c r="E25" s="46">
        <v>200</v>
      </c>
      <c r="F25" s="46"/>
      <c r="G25" s="46">
        <v>1000</v>
      </c>
      <c r="H25" s="46">
        <f t="shared" si="1"/>
        <v>200000</v>
      </c>
      <c r="I25" s="74"/>
    </row>
    <row r="26" spans="4:9">
      <c r="G26" s="95" t="s">
        <v>122</v>
      </c>
      <c r="H26" s="95">
        <f>SUM(H17:H25)</f>
        <v>519800</v>
      </c>
    </row>
    <row r="28" spans="4:9" ht="30.5">
      <c r="D28" s="265" t="s">
        <v>391</v>
      </c>
    </row>
    <row r="29" spans="4:9">
      <c r="D29" s="95" t="s">
        <v>367</v>
      </c>
      <c r="E29" s="95" t="s">
        <v>368</v>
      </c>
      <c r="F29" s="95" t="s">
        <v>392</v>
      </c>
      <c r="G29" s="95" t="s">
        <v>393</v>
      </c>
      <c r="H29" s="95" t="s">
        <v>394</v>
      </c>
      <c r="I29" s="95" t="s">
        <v>371</v>
      </c>
    </row>
    <row r="30" spans="4:9">
      <c r="D30" s="95" t="s">
        <v>395</v>
      </c>
      <c r="E30" s="46"/>
      <c r="F30" s="46"/>
      <c r="G30" s="46">
        <v>25</v>
      </c>
      <c r="H30" s="46">
        <v>70</v>
      </c>
      <c r="I30" s="74" t="s">
        <v>373</v>
      </c>
    </row>
    <row r="31" spans="4:9">
      <c r="D31" s="46" t="s">
        <v>396</v>
      </c>
      <c r="E31" s="46">
        <f>8.2 * 9</f>
        <v>73.8</v>
      </c>
      <c r="F31" s="46">
        <f>E31-E32</f>
        <v>42.027999999999992</v>
      </c>
      <c r="G31" s="46"/>
      <c r="H31" s="46"/>
      <c r="I31" s="74"/>
    </row>
    <row r="32" spans="4:9">
      <c r="D32" s="46" t="s">
        <v>397</v>
      </c>
      <c r="E32" s="266">
        <f>(2.6 * 6.11) * 2</f>
        <v>31.772000000000002</v>
      </c>
      <c r="F32" s="46"/>
      <c r="G32" s="46"/>
      <c r="H32" s="46"/>
      <c r="I32" s="74" t="s">
        <v>388</v>
      </c>
    </row>
    <row r="33" spans="4:9">
      <c r="D33" s="409" t="s">
        <v>1438</v>
      </c>
      <c r="E33" s="46">
        <f>(11.3 *2.4) + (1.2 *4) + (1 *8)</f>
        <v>39.92</v>
      </c>
      <c r="F33" s="46">
        <f>E33</f>
        <v>39.92</v>
      </c>
      <c r="G33" s="46"/>
      <c r="H33" s="46"/>
      <c r="I33" s="74"/>
    </row>
    <row r="34" spans="4:9">
      <c r="D34" s="46" t="s">
        <v>398</v>
      </c>
      <c r="E34" s="46">
        <f>13.9 * 9</f>
        <v>125.10000000000001</v>
      </c>
      <c r="F34" s="46">
        <f>E34-E35</f>
        <v>98.100000000000009</v>
      </c>
      <c r="G34" s="46"/>
      <c r="H34" s="46"/>
      <c r="I34" s="74"/>
    </row>
    <row r="35" spans="4:9">
      <c r="D35" s="46" t="s">
        <v>399</v>
      </c>
      <c r="E35" s="266">
        <f>5.4 * 5</f>
        <v>27</v>
      </c>
      <c r="F35" s="46"/>
      <c r="G35" s="46"/>
      <c r="H35" s="46"/>
      <c r="I35" s="74"/>
    </row>
    <row r="36" spans="4:9">
      <c r="D36" s="46" t="s">
        <v>400</v>
      </c>
      <c r="E36" s="46">
        <f>16.5 * 9</f>
        <v>148.5</v>
      </c>
      <c r="F36" s="267">
        <f>E36</f>
        <v>148.5</v>
      </c>
      <c r="G36" s="46"/>
      <c r="H36" s="46"/>
      <c r="I36" s="74"/>
    </row>
    <row r="37" spans="4:9">
      <c r="D37" s="46" t="s">
        <v>401</v>
      </c>
      <c r="E37" s="46">
        <f>16.5 * 13.9</f>
        <v>229.35</v>
      </c>
      <c r="F37" s="46">
        <f>E37</f>
        <v>229.35</v>
      </c>
      <c r="G37" s="46"/>
      <c r="H37" s="46"/>
      <c r="I37" s="74"/>
    </row>
    <row r="38" spans="4:9">
      <c r="D38" s="46" t="s">
        <v>402</v>
      </c>
      <c r="E38" s="46">
        <f>30.4 * 2</f>
        <v>60.8</v>
      </c>
      <c r="F38" s="46">
        <f>E38</f>
        <v>60.8</v>
      </c>
      <c r="G38" s="46"/>
      <c r="H38" s="46"/>
      <c r="I38" s="74"/>
    </row>
    <row r="39" spans="4:9">
      <c r="D39" s="46" t="s">
        <v>403</v>
      </c>
      <c r="E39" s="46">
        <f>5.1 * 9.4</f>
        <v>47.94</v>
      </c>
      <c r="F39" s="116">
        <f>E39</f>
        <v>47.94</v>
      </c>
      <c r="G39" s="46"/>
      <c r="H39" s="46"/>
      <c r="I39" s="74"/>
    </row>
    <row r="40" spans="4:9">
      <c r="D40" s="95" t="s">
        <v>404</v>
      </c>
      <c r="E40" s="46"/>
      <c r="F40" s="11">
        <f>SUM(F31:F39)</f>
        <v>666.63799999999992</v>
      </c>
      <c r="G40" s="46"/>
      <c r="H40" s="46"/>
      <c r="I40" s="74"/>
    </row>
    <row r="41" spans="4:9">
      <c r="D41" s="95" t="s">
        <v>405</v>
      </c>
      <c r="E41" s="46"/>
      <c r="F41" s="46"/>
      <c r="G41" s="46"/>
      <c r="H41" s="46"/>
      <c r="I41" s="74"/>
    </row>
    <row r="42" spans="4:9">
      <c r="D42" s="46" t="s">
        <v>406</v>
      </c>
      <c r="E42" s="46">
        <f>14.6 * 9</f>
        <v>131.4</v>
      </c>
      <c r="F42" s="46">
        <f>SUM(E42-E43-E44)</f>
        <v>88.01400000000001</v>
      </c>
      <c r="G42" s="46"/>
      <c r="H42" s="46"/>
      <c r="I42" s="74"/>
    </row>
    <row r="43" spans="4:9">
      <c r="D43" s="46" t="s">
        <v>407</v>
      </c>
      <c r="E43" s="266">
        <f>2.6 * 6.11</f>
        <v>15.886000000000001</v>
      </c>
      <c r="F43" s="46"/>
      <c r="G43" s="46"/>
      <c r="H43" s="46"/>
      <c r="I43" s="74"/>
    </row>
    <row r="44" spans="4:9">
      <c r="D44" s="46" t="s">
        <v>408</v>
      </c>
      <c r="E44" s="266">
        <f>5.5 * 5</f>
        <v>27.5</v>
      </c>
      <c r="F44" s="46"/>
      <c r="G44" s="46"/>
      <c r="H44" s="46"/>
      <c r="I44" s="74"/>
    </row>
    <row r="45" spans="4:9">
      <c r="D45" s="46" t="s">
        <v>409</v>
      </c>
      <c r="E45" s="46">
        <f>13.6 * 9</f>
        <v>122.39999999999999</v>
      </c>
      <c r="F45" s="46">
        <f t="shared" ref="F45:F50" si="2">E45</f>
        <v>122.39999999999999</v>
      </c>
      <c r="G45" s="46"/>
      <c r="H45" s="46"/>
      <c r="I45" s="74"/>
    </row>
    <row r="46" spans="4:9">
      <c r="D46" s="46" t="s">
        <v>410</v>
      </c>
      <c r="E46" s="46">
        <f>11.9 * 9</f>
        <v>107.10000000000001</v>
      </c>
      <c r="F46" s="267">
        <f t="shared" si="2"/>
        <v>107.10000000000001</v>
      </c>
      <c r="G46" s="46"/>
      <c r="H46" s="46"/>
      <c r="I46" s="74"/>
    </row>
    <row r="47" spans="4:9">
      <c r="D47" s="46" t="s">
        <v>411</v>
      </c>
      <c r="E47" s="46">
        <f>(3.2*2.5) + (1.4*9)</f>
        <v>20.6</v>
      </c>
      <c r="F47" s="46">
        <f t="shared" si="2"/>
        <v>20.6</v>
      </c>
      <c r="G47" s="46"/>
      <c r="H47" s="46"/>
      <c r="I47" s="74"/>
    </row>
    <row r="48" spans="4:9">
      <c r="D48" s="46" t="s">
        <v>412</v>
      </c>
      <c r="E48" s="46">
        <f>11.9 * 13.6</f>
        <v>161.84</v>
      </c>
      <c r="F48" s="46">
        <f t="shared" si="2"/>
        <v>161.84</v>
      </c>
      <c r="G48" s="46"/>
      <c r="H48" s="46"/>
      <c r="I48" s="74"/>
    </row>
    <row r="49" spans="4:9">
      <c r="D49" s="46" t="s">
        <v>413</v>
      </c>
      <c r="E49" s="46">
        <f>SUM(10.1 * 2 * 2) + SUM(7.2 * 2 * 2)</f>
        <v>69.2</v>
      </c>
      <c r="F49" s="46">
        <f t="shared" si="2"/>
        <v>69.2</v>
      </c>
      <c r="G49" s="46"/>
      <c r="H49" s="46"/>
      <c r="I49" s="74"/>
    </row>
    <row r="50" spans="4:9">
      <c r="D50" s="46" t="s">
        <v>414</v>
      </c>
      <c r="E50" s="46">
        <f>10.1 * 7.2</f>
        <v>72.72</v>
      </c>
      <c r="F50" s="46">
        <f t="shared" si="2"/>
        <v>72.72</v>
      </c>
      <c r="G50" s="46"/>
      <c r="H50" s="95"/>
      <c r="I50" s="74"/>
    </row>
    <row r="51" spans="4:9">
      <c r="D51" s="95" t="s">
        <v>415</v>
      </c>
      <c r="E51" s="46"/>
      <c r="F51" s="95">
        <f>SUM(F42:F50)</f>
        <v>641.87400000000014</v>
      </c>
      <c r="G51" s="46"/>
      <c r="H51" s="95"/>
      <c r="I51" s="74"/>
    </row>
    <row r="52" spans="4:9">
      <c r="D52" s="95" t="s">
        <v>416</v>
      </c>
      <c r="E52" s="46"/>
      <c r="F52" s="46"/>
      <c r="G52" s="46"/>
      <c r="H52" s="46"/>
      <c r="I52" s="74"/>
    </row>
    <row r="53" spans="4:9">
      <c r="D53" s="46" t="s">
        <v>417</v>
      </c>
      <c r="E53" s="46">
        <f>7*9</f>
        <v>63</v>
      </c>
      <c r="F53" s="46">
        <f>E53</f>
        <v>63</v>
      </c>
      <c r="G53" s="46"/>
      <c r="H53" s="46"/>
      <c r="I53" s="74"/>
    </row>
    <row r="54" spans="4:9">
      <c r="D54" s="46" t="s">
        <v>418</v>
      </c>
      <c r="E54" s="46">
        <f>6.8 *3</f>
        <v>20.399999999999999</v>
      </c>
      <c r="F54" s="46">
        <f>E54</f>
        <v>20.399999999999999</v>
      </c>
      <c r="G54" s="46"/>
      <c r="H54" s="46"/>
      <c r="I54" s="74"/>
    </row>
    <row r="55" spans="4:9">
      <c r="D55" s="46" t="s">
        <v>419</v>
      </c>
      <c r="E55" s="46">
        <f>(4.1 * 2.4) + (6.6 * 1)</f>
        <v>16.439999999999998</v>
      </c>
      <c r="F55" s="46">
        <f>E55</f>
        <v>16.439999999999998</v>
      </c>
      <c r="G55" s="46"/>
      <c r="H55" s="46"/>
      <c r="I55" s="74"/>
    </row>
    <row r="56" spans="4:9">
      <c r="D56" s="95" t="s">
        <v>420</v>
      </c>
      <c r="E56" s="95"/>
      <c r="F56" s="95">
        <f>SUM(F53:F55)</f>
        <v>99.84</v>
      </c>
      <c r="G56" s="46"/>
      <c r="H56" s="46"/>
      <c r="I56" s="74"/>
    </row>
    <row r="57" spans="4:9">
      <c r="D57" s="95" t="s">
        <v>421</v>
      </c>
      <c r="E57" s="46"/>
      <c r="F57" s="46"/>
      <c r="G57" s="46"/>
      <c r="H57" s="46"/>
      <c r="I57" s="74"/>
    </row>
    <row r="58" spans="4:9">
      <c r="D58" s="46" t="s">
        <v>422</v>
      </c>
      <c r="E58" s="46">
        <f>17.3 * 9</f>
        <v>155.70000000000002</v>
      </c>
      <c r="F58" s="267">
        <f>E58-E59</f>
        <v>135.90000000000003</v>
      </c>
      <c r="G58" s="46"/>
      <c r="H58" s="46"/>
      <c r="I58" s="74"/>
    </row>
    <row r="59" spans="4:9">
      <c r="D59" s="46" t="s">
        <v>423</v>
      </c>
      <c r="E59" s="266">
        <f>6.6*3</f>
        <v>19.799999999999997</v>
      </c>
      <c r="F59" s="46"/>
      <c r="G59" s="46"/>
      <c r="H59" s="46"/>
      <c r="I59" s="74"/>
    </row>
    <row r="60" spans="4:9">
      <c r="D60" s="46" t="s">
        <v>424</v>
      </c>
      <c r="E60" s="46">
        <f>21 * 10.8</f>
        <v>226.8</v>
      </c>
      <c r="F60" s="46">
        <f>E60</f>
        <v>226.8</v>
      </c>
      <c r="G60" s="46"/>
      <c r="H60" s="46"/>
      <c r="I60" s="74"/>
    </row>
    <row r="61" spans="4:9">
      <c r="D61" s="46" t="s">
        <v>425</v>
      </c>
      <c r="E61" s="46">
        <f>6.8 * 9</f>
        <v>61.199999999999996</v>
      </c>
      <c r="F61" s="46">
        <f>E61-E62</f>
        <v>44.039999999999992</v>
      </c>
      <c r="G61" s="46"/>
      <c r="H61" s="46"/>
      <c r="I61" s="74"/>
    </row>
    <row r="62" spans="4:9">
      <c r="D62" s="46" t="s">
        <v>426</v>
      </c>
      <c r="E62" s="266">
        <f>6.6*2.6</f>
        <v>17.16</v>
      </c>
      <c r="F62" s="46"/>
      <c r="G62" s="46"/>
      <c r="H62" s="46"/>
      <c r="I62" s="74"/>
    </row>
    <row r="63" spans="4:9">
      <c r="D63" s="46" t="s">
        <v>427</v>
      </c>
      <c r="E63" s="46">
        <f>9.9 * 1.1</f>
        <v>10.89</v>
      </c>
      <c r="F63" s="46">
        <f>E63</f>
        <v>10.89</v>
      </c>
      <c r="G63" s="46"/>
      <c r="H63" s="46"/>
      <c r="I63" s="74"/>
    </row>
    <row r="64" spans="4:9">
      <c r="D64" s="268" t="s">
        <v>428</v>
      </c>
      <c r="E64" s="46">
        <f>1*9</f>
        <v>9</v>
      </c>
      <c r="F64" s="46">
        <f>E64</f>
        <v>9</v>
      </c>
      <c r="G64" s="46"/>
      <c r="H64" s="46"/>
      <c r="I64" s="74"/>
    </row>
    <row r="65" spans="2:9">
      <c r="D65" s="95" t="s">
        <v>429</v>
      </c>
      <c r="E65" s="95"/>
      <c r="F65" s="95">
        <f>SUM(F58:F64)</f>
        <v>426.63</v>
      </c>
      <c r="G65" s="46"/>
      <c r="H65" s="46"/>
      <c r="I65" s="74"/>
    </row>
    <row r="66" spans="2:9">
      <c r="D66" s="95" t="s">
        <v>430</v>
      </c>
      <c r="E66" s="46"/>
      <c r="F66" s="46"/>
      <c r="G66" s="46"/>
      <c r="H66" s="46"/>
      <c r="I66" s="74"/>
    </row>
    <row r="67" spans="2:9">
      <c r="D67" s="46" t="s">
        <v>431</v>
      </c>
      <c r="E67" s="46">
        <f>9 * 9 * 2</f>
        <v>162</v>
      </c>
      <c r="F67" s="46">
        <f>E67</f>
        <v>162</v>
      </c>
      <c r="G67" s="46"/>
      <c r="H67" s="46"/>
      <c r="I67" s="74"/>
    </row>
    <row r="68" spans="2:9">
      <c r="D68" s="46" t="s">
        <v>432</v>
      </c>
      <c r="E68" s="46">
        <f>4*9</f>
        <v>36</v>
      </c>
      <c r="F68" s="46">
        <f>E68</f>
        <v>36</v>
      </c>
      <c r="G68" s="46"/>
      <c r="H68" s="46"/>
      <c r="I68" s="74"/>
    </row>
    <row r="69" spans="2:9">
      <c r="D69" s="46" t="s">
        <v>433</v>
      </c>
      <c r="E69" s="46">
        <f>4*2.4</f>
        <v>9.6</v>
      </c>
      <c r="F69" s="46">
        <f>E69</f>
        <v>9.6</v>
      </c>
      <c r="G69" s="46"/>
      <c r="H69" s="46"/>
      <c r="I69" s="74"/>
    </row>
    <row r="70" spans="2:9">
      <c r="B70" s="116"/>
      <c r="D70" s="46" t="s">
        <v>434</v>
      </c>
      <c r="E70" s="46">
        <f>3.4*2.5</f>
        <v>8.5</v>
      </c>
      <c r="F70" s="46">
        <f>E70</f>
        <v>8.5</v>
      </c>
      <c r="G70" s="46"/>
      <c r="H70" s="46"/>
      <c r="I70" s="74"/>
    </row>
    <row r="71" spans="2:9">
      <c r="D71" s="95" t="s">
        <v>435</v>
      </c>
      <c r="E71" s="95"/>
      <c r="F71" s="95">
        <f>SUM(F67:F70)</f>
        <v>216.1</v>
      </c>
      <c r="G71" s="46"/>
      <c r="H71" s="46"/>
      <c r="I71" s="74"/>
    </row>
    <row r="72" spans="2:9">
      <c r="D72" s="95" t="s">
        <v>436</v>
      </c>
      <c r="E72" s="46"/>
      <c r="F72" s="46"/>
      <c r="G72" s="46"/>
      <c r="H72" s="46"/>
      <c r="I72" s="74"/>
    </row>
    <row r="73" spans="2:9">
      <c r="D73" s="46" t="s">
        <v>437</v>
      </c>
      <c r="E73" s="46">
        <f>12.8 * 9</f>
        <v>115.2</v>
      </c>
      <c r="F73" s="46">
        <f>E73-E74-E75</f>
        <v>74.03</v>
      </c>
      <c r="G73" s="46"/>
      <c r="H73" s="46"/>
      <c r="I73" s="74"/>
    </row>
    <row r="74" spans="2:9">
      <c r="D74" s="46" t="s">
        <v>438</v>
      </c>
      <c r="E74" s="266">
        <f>2.1 * 7.7</f>
        <v>16.170000000000002</v>
      </c>
      <c r="F74" s="46"/>
      <c r="G74" s="46"/>
      <c r="H74" s="46"/>
      <c r="I74" s="74"/>
    </row>
    <row r="75" spans="2:9">
      <c r="D75" s="46" t="s">
        <v>439</v>
      </c>
      <c r="E75" s="266">
        <f>5 * 5</f>
        <v>25</v>
      </c>
      <c r="F75" s="46"/>
      <c r="G75" s="46"/>
      <c r="H75" s="46"/>
      <c r="I75" s="74"/>
    </row>
    <row r="76" spans="2:9">
      <c r="D76" s="46" t="s">
        <v>440</v>
      </c>
      <c r="E76" s="46">
        <f>(13.1*2.3) + (1.9*6.1)</f>
        <v>41.719999999999992</v>
      </c>
      <c r="F76" s="46">
        <f>E76</f>
        <v>41.719999999999992</v>
      </c>
      <c r="G76" s="46"/>
      <c r="H76" s="46"/>
      <c r="I76" s="74"/>
    </row>
    <row r="77" spans="2:9">
      <c r="D77" s="46" t="s">
        <v>441</v>
      </c>
      <c r="E77" s="46">
        <f>13.1 * 9</f>
        <v>117.89999999999999</v>
      </c>
      <c r="F77" s="46">
        <f>E77-E78</f>
        <v>26.64</v>
      </c>
      <c r="G77" s="46"/>
      <c r="H77" s="46"/>
      <c r="I77" s="74"/>
    </row>
    <row r="78" spans="2:9">
      <c r="D78" s="46" t="s">
        <v>442</v>
      </c>
      <c r="E78" s="266">
        <f>11.7 * 7.8</f>
        <v>91.259999999999991</v>
      </c>
      <c r="F78" s="46"/>
      <c r="G78" s="46"/>
      <c r="H78" s="46"/>
      <c r="I78" s="74"/>
    </row>
    <row r="79" spans="2:9">
      <c r="D79" s="46" t="s">
        <v>443</v>
      </c>
      <c r="E79" s="46">
        <f>12.8*1</f>
        <v>12.8</v>
      </c>
      <c r="F79" s="46">
        <f>E79</f>
        <v>12.8</v>
      </c>
      <c r="G79" s="46"/>
      <c r="H79" s="46"/>
      <c r="I79" s="74"/>
    </row>
    <row r="80" spans="2:9">
      <c r="D80" s="46" t="s">
        <v>444</v>
      </c>
      <c r="E80" s="46">
        <f>13.1 * 12.8</f>
        <v>167.68</v>
      </c>
      <c r="F80" s="46">
        <f>E80</f>
        <v>167.68</v>
      </c>
      <c r="G80" s="46"/>
      <c r="H80" s="95"/>
      <c r="I80" s="74"/>
    </row>
    <row r="81" spans="1:9">
      <c r="D81" s="95" t="s">
        <v>445</v>
      </c>
      <c r="E81" s="95"/>
      <c r="F81" s="95">
        <f>SUM(F73:F80)</f>
        <v>322.87</v>
      </c>
      <c r="G81" s="46"/>
      <c r="H81" s="46"/>
      <c r="I81" s="74"/>
    </row>
    <row r="82" spans="1:9">
      <c r="D82" s="95" t="s">
        <v>446</v>
      </c>
      <c r="E82" s="46"/>
      <c r="F82" s="46"/>
      <c r="G82" s="46"/>
      <c r="H82" s="46"/>
      <c r="I82" s="74"/>
    </row>
    <row r="83" spans="1:9">
      <c r="A83" s="468"/>
      <c r="D83" s="46" t="s">
        <v>1433</v>
      </c>
      <c r="E83" s="46">
        <f>6.4 * 9.3</f>
        <v>59.52000000000001</v>
      </c>
      <c r="F83" s="46">
        <f>E83-E84</f>
        <v>43.660000000000011</v>
      </c>
      <c r="G83" s="46"/>
      <c r="H83" s="46"/>
      <c r="I83" s="74"/>
    </row>
    <row r="84" spans="1:9">
      <c r="D84" s="46" t="s">
        <v>1434</v>
      </c>
      <c r="E84" s="266">
        <f>2.6 * 6.1</f>
        <v>15.86</v>
      </c>
      <c r="F84" s="46"/>
      <c r="G84" s="46"/>
      <c r="H84" s="46"/>
      <c r="I84" s="74"/>
    </row>
    <row r="85" spans="1:9">
      <c r="D85" s="46"/>
      <c r="E85" s="46"/>
      <c r="F85" s="46"/>
      <c r="G85" s="46"/>
      <c r="H85" s="46"/>
      <c r="I85" s="74"/>
    </row>
    <row r="86" spans="1:9">
      <c r="D86" s="46" t="s">
        <v>1436</v>
      </c>
      <c r="E86" s="46">
        <f>6.2*9.3 *2</f>
        <v>115.32000000000001</v>
      </c>
      <c r="F86" s="46">
        <f>E86</f>
        <v>115.32000000000001</v>
      </c>
      <c r="G86" s="46"/>
      <c r="H86" s="46"/>
      <c r="I86" s="74"/>
    </row>
    <row r="87" spans="1:9">
      <c r="D87" s="46" t="s">
        <v>1435</v>
      </c>
      <c r="E87" s="46">
        <f>6.4*6.2</f>
        <v>39.680000000000007</v>
      </c>
      <c r="F87" s="46">
        <f>E87</f>
        <v>39.680000000000007</v>
      </c>
      <c r="G87" s="46"/>
      <c r="H87" s="46"/>
      <c r="I87" s="74"/>
    </row>
    <row r="88" spans="1:9">
      <c r="D88" s="95" t="s">
        <v>447</v>
      </c>
      <c r="E88" s="95"/>
      <c r="F88" s="95">
        <f>SUM(F83:F87)</f>
        <v>198.66000000000003</v>
      </c>
      <c r="G88" s="46"/>
      <c r="H88" s="46"/>
      <c r="I88" s="74"/>
    </row>
    <row r="89" spans="1:9">
      <c r="D89" s="95" t="s">
        <v>448</v>
      </c>
      <c r="E89" s="46"/>
      <c r="F89" s="46"/>
      <c r="G89" s="46"/>
      <c r="H89" s="46"/>
      <c r="I89" s="74"/>
    </row>
    <row r="90" spans="1:9">
      <c r="D90" s="46" t="s">
        <v>449</v>
      </c>
      <c r="E90" s="46">
        <f>12 * 9</f>
        <v>108</v>
      </c>
      <c r="F90" s="46">
        <f>E90-E91</f>
        <v>88.48</v>
      </c>
      <c r="G90" s="46"/>
      <c r="H90" s="46"/>
      <c r="I90" s="74"/>
    </row>
    <row r="91" spans="1:9">
      <c r="D91" s="46" t="s">
        <v>450</v>
      </c>
      <c r="E91" s="266">
        <f>6.1*3.2</f>
        <v>19.52</v>
      </c>
      <c r="F91" s="46"/>
      <c r="G91" s="46"/>
      <c r="H91" s="46"/>
      <c r="I91" s="74"/>
    </row>
    <row r="92" spans="1:9">
      <c r="D92" s="46" t="s">
        <v>451</v>
      </c>
      <c r="E92" s="46">
        <f>12 * 9</f>
        <v>108</v>
      </c>
      <c r="F92" s="46">
        <f>E92</f>
        <v>108</v>
      </c>
      <c r="G92" s="46"/>
      <c r="H92" s="46"/>
      <c r="I92" s="74"/>
    </row>
    <row r="93" spans="1:9">
      <c r="C93" s="519">
        <v>2406309</v>
      </c>
      <c r="D93" s="46" t="s">
        <v>452</v>
      </c>
      <c r="E93" s="46">
        <f>9*12</f>
        <v>108</v>
      </c>
      <c r="F93" s="267">
        <f>E93</f>
        <v>108</v>
      </c>
      <c r="G93" s="46"/>
      <c r="H93" s="46"/>
      <c r="I93" s="74"/>
    </row>
    <row r="94" spans="1:9">
      <c r="C94" s="519">
        <v>1741485</v>
      </c>
      <c r="D94" s="46" t="s">
        <v>453</v>
      </c>
      <c r="E94" s="46">
        <f>12 * 9</f>
        <v>108</v>
      </c>
      <c r="F94" s="46">
        <f>E94-E95-E96</f>
        <v>74.2</v>
      </c>
      <c r="G94" s="46"/>
      <c r="H94" s="46"/>
      <c r="I94" s="74"/>
    </row>
    <row r="95" spans="1:9">
      <c r="C95" s="518">
        <f>SUM(C93:C94)</f>
        <v>4147794</v>
      </c>
      <c r="D95" s="46" t="s">
        <v>454</v>
      </c>
      <c r="E95" s="266">
        <f>3*7.1</f>
        <v>21.299999999999997</v>
      </c>
      <c r="F95" s="46"/>
      <c r="G95" s="46"/>
      <c r="H95" s="46"/>
      <c r="I95" s="74"/>
    </row>
    <row r="96" spans="1:9">
      <c r="D96" s="46" t="s">
        <v>455</v>
      </c>
      <c r="E96" s="266">
        <f>2.5 * 5</f>
        <v>12.5</v>
      </c>
      <c r="F96" s="46"/>
      <c r="G96" s="46"/>
      <c r="H96" s="46"/>
      <c r="I96" s="74"/>
    </row>
    <row r="97" spans="4:9">
      <c r="D97" s="46" t="s">
        <v>456</v>
      </c>
      <c r="E97" s="46">
        <f>12*12</f>
        <v>144</v>
      </c>
      <c r="F97" s="46">
        <f>E97</f>
        <v>144</v>
      </c>
      <c r="G97" s="46"/>
      <c r="H97" s="46"/>
      <c r="I97" s="74"/>
    </row>
    <row r="98" spans="4:9">
      <c r="D98" s="46" t="s">
        <v>457</v>
      </c>
      <c r="E98" s="46">
        <f>(7.9 * 2 * 2) + (5.8*2*2)</f>
        <v>54.8</v>
      </c>
      <c r="F98" s="46">
        <f>E98</f>
        <v>54.8</v>
      </c>
      <c r="G98" s="46"/>
      <c r="H98" s="46"/>
      <c r="I98" s="74"/>
    </row>
    <row r="99" spans="4:9">
      <c r="D99" s="46" t="s">
        <v>458</v>
      </c>
      <c r="E99" s="46">
        <f>7.9*5.8</f>
        <v>45.82</v>
      </c>
      <c r="F99" s="46">
        <f>E99</f>
        <v>45.82</v>
      </c>
      <c r="G99" s="46"/>
      <c r="H99" s="46"/>
      <c r="I99" s="74"/>
    </row>
    <row r="100" spans="4:9">
      <c r="D100" s="95" t="s">
        <v>1415</v>
      </c>
      <c r="E100" s="95"/>
      <c r="F100" s="95">
        <f>SUM(F90:F99)</f>
        <v>623.30000000000007</v>
      </c>
      <c r="G100" s="46"/>
      <c r="H100" s="46"/>
      <c r="I100" s="74"/>
    </row>
    <row r="101" spans="4:9">
      <c r="D101" s="95" t="s">
        <v>459</v>
      </c>
      <c r="E101" s="46"/>
      <c r="F101" s="46"/>
      <c r="G101" s="46"/>
      <c r="H101" s="46"/>
      <c r="I101" s="74"/>
    </row>
    <row r="102" spans="4:9">
      <c r="D102" s="46" t="s">
        <v>460</v>
      </c>
      <c r="E102" s="46">
        <f>(6.7 * 3) + (3 * 1)</f>
        <v>23.1</v>
      </c>
      <c r="F102" s="46">
        <f>E102</f>
        <v>23.1</v>
      </c>
      <c r="G102" s="46"/>
      <c r="H102" s="46"/>
      <c r="I102" s="74"/>
    </row>
    <row r="103" spans="4:9">
      <c r="D103" s="46" t="s">
        <v>461</v>
      </c>
      <c r="E103" s="46">
        <f>(9 * 2 * 1) + (11*2*1)</f>
        <v>40</v>
      </c>
      <c r="F103" s="46">
        <f>E103</f>
        <v>40</v>
      </c>
      <c r="G103" s="46"/>
      <c r="H103" s="46"/>
      <c r="I103" s="74"/>
    </row>
    <row r="104" spans="4:9">
      <c r="D104" s="46" t="s">
        <v>462</v>
      </c>
      <c r="E104" s="46">
        <f>9 * 11</f>
        <v>99</v>
      </c>
      <c r="F104" s="46">
        <f>E104</f>
        <v>99</v>
      </c>
      <c r="G104" s="46"/>
      <c r="H104" s="46"/>
      <c r="I104" s="74"/>
    </row>
    <row r="105" spans="4:9">
      <c r="D105" s="95" t="s">
        <v>463</v>
      </c>
      <c r="E105" s="95"/>
      <c r="F105" s="95">
        <f>SUM(F102:F104)</f>
        <v>162.1</v>
      </c>
      <c r="G105" s="46"/>
      <c r="H105" s="46"/>
      <c r="I105" s="74"/>
    </row>
    <row r="106" spans="4:9">
      <c r="D106" s="95" t="s">
        <v>464</v>
      </c>
      <c r="E106" s="46"/>
      <c r="F106" s="46"/>
      <c r="G106" s="46"/>
      <c r="H106" s="46"/>
      <c r="I106" s="74"/>
    </row>
    <row r="107" spans="4:9">
      <c r="D107" s="46" t="s">
        <v>465</v>
      </c>
      <c r="E107" s="46">
        <f>6.4* 4</f>
        <v>25.6</v>
      </c>
      <c r="F107" s="46">
        <f>E107</f>
        <v>25.6</v>
      </c>
      <c r="G107" s="46"/>
      <c r="H107" s="46"/>
      <c r="I107" s="74"/>
    </row>
    <row r="108" spans="4:9">
      <c r="D108" s="46" t="s">
        <v>466</v>
      </c>
      <c r="E108" s="46">
        <f>10.8 *3</f>
        <v>32.400000000000006</v>
      </c>
      <c r="F108" s="46">
        <f>E108</f>
        <v>32.400000000000006</v>
      </c>
      <c r="G108" s="46"/>
      <c r="H108" s="46"/>
      <c r="I108" s="74"/>
    </row>
    <row r="109" spans="4:9">
      <c r="D109" s="268" t="s">
        <v>467</v>
      </c>
      <c r="E109" s="46">
        <f>4.6 * 8.5</f>
        <v>39.099999999999994</v>
      </c>
      <c r="F109" s="46">
        <f>E109</f>
        <v>39.099999999999994</v>
      </c>
      <c r="G109" s="46"/>
      <c r="H109" s="46"/>
      <c r="I109" s="74"/>
    </row>
    <row r="110" spans="4:9">
      <c r="D110" s="268" t="s">
        <v>468</v>
      </c>
      <c r="E110" s="46">
        <f>4.6 * 3</f>
        <v>13.799999999999999</v>
      </c>
      <c r="F110" s="46">
        <f>E110</f>
        <v>13.799999999999999</v>
      </c>
      <c r="G110" s="46"/>
      <c r="H110" s="46"/>
      <c r="I110" s="74"/>
    </row>
    <row r="111" spans="4:9">
      <c r="D111" s="46" t="s">
        <v>469</v>
      </c>
      <c r="E111" s="46">
        <f>10.8 * 4.6</f>
        <v>49.68</v>
      </c>
      <c r="F111" s="46">
        <f>E111</f>
        <v>49.68</v>
      </c>
      <c r="G111" s="46"/>
      <c r="H111" s="46"/>
      <c r="I111" s="74"/>
    </row>
    <row r="112" spans="4:9">
      <c r="D112" s="95" t="s">
        <v>470</v>
      </c>
      <c r="E112" s="95"/>
      <c r="F112" s="95">
        <f>SUM(F107:F111)</f>
        <v>160.57999999999998</v>
      </c>
      <c r="G112" s="46"/>
      <c r="H112" s="46"/>
      <c r="I112" s="74"/>
    </row>
    <row r="113" spans="1:26">
      <c r="D113" s="95" t="s">
        <v>471</v>
      </c>
      <c r="E113" s="46"/>
      <c r="F113" s="46"/>
      <c r="G113" s="46"/>
      <c r="H113" s="46"/>
      <c r="I113" s="74"/>
    </row>
    <row r="114" spans="1:26">
      <c r="D114" s="46" t="s">
        <v>472</v>
      </c>
      <c r="E114" s="46">
        <f>(2.9 * 5) + (3.1 * 5)</f>
        <v>30</v>
      </c>
      <c r="F114" s="46">
        <f>E114/2</f>
        <v>15</v>
      </c>
      <c r="G114" s="46" t="s">
        <v>1437</v>
      </c>
      <c r="H114" s="46"/>
      <c r="I114" s="74"/>
    </row>
    <row r="115" spans="1:26">
      <c r="D115" s="268" t="s">
        <v>473</v>
      </c>
      <c r="E115" s="46">
        <f>(18.1 * 2 * 1) + (4.5 * 2 * 1)</f>
        <v>45.2</v>
      </c>
      <c r="F115" s="46">
        <f>E115/2</f>
        <v>22.6</v>
      </c>
      <c r="G115" s="46" t="s">
        <v>1437</v>
      </c>
      <c r="H115" s="46"/>
      <c r="I115" s="74"/>
    </row>
    <row r="116" spans="1:26">
      <c r="D116" s="46" t="s">
        <v>474</v>
      </c>
      <c r="E116" s="46">
        <f>18.1 * 4.5</f>
        <v>81.45</v>
      </c>
      <c r="F116" s="46">
        <f>E116</f>
        <v>81.45</v>
      </c>
      <c r="G116" s="46"/>
      <c r="H116" s="46"/>
      <c r="I116" s="74"/>
    </row>
    <row r="117" spans="1:26">
      <c r="D117" s="95" t="s">
        <v>475</v>
      </c>
      <c r="E117" s="95"/>
      <c r="F117" s="95">
        <f>SUM(F114:F116)</f>
        <v>119.05000000000001</v>
      </c>
      <c r="G117" s="46"/>
      <c r="H117" s="46"/>
      <c r="I117" s="74"/>
    </row>
    <row r="118" spans="1:26">
      <c r="D118" s="269" t="s">
        <v>476</v>
      </c>
      <c r="E118" s="269"/>
      <c r="F118" s="269">
        <f>SUM(F117,F112,F105,F100,F88,F81,F71,F65,F56,F51,F40)</f>
        <v>3637.6420000000007</v>
      </c>
      <c r="G118" s="234"/>
      <c r="H118" s="234"/>
      <c r="I118" s="270"/>
    </row>
    <row r="119" spans="1:26">
      <c r="D119" s="271" t="s">
        <v>477</v>
      </c>
      <c r="E119" s="271"/>
      <c r="F119" s="271">
        <f>F118</f>
        <v>3637.6420000000007</v>
      </c>
      <c r="G119" s="271">
        <f>F118*25</f>
        <v>90941.050000000017</v>
      </c>
      <c r="H119" s="272"/>
      <c r="I119" s="273"/>
    </row>
    <row r="120" spans="1:26">
      <c r="D120" s="271" t="s">
        <v>1416</v>
      </c>
      <c r="E120" s="271"/>
      <c r="F120" s="11">
        <f>SUM(F93,F58,F46,F36)</f>
        <v>499.50000000000006</v>
      </c>
      <c r="G120" s="271">
        <f>F120*70</f>
        <v>34965.000000000007</v>
      </c>
      <c r="H120" s="272"/>
      <c r="I120" s="273"/>
    </row>
    <row r="121" spans="1:26">
      <c r="D121" s="274" t="s">
        <v>478</v>
      </c>
      <c r="E121" s="271"/>
      <c r="F121" s="271">
        <f>F120</f>
        <v>499.50000000000006</v>
      </c>
      <c r="G121" s="271">
        <f>F121*25</f>
        <v>12487.500000000002</v>
      </c>
      <c r="H121" s="272"/>
      <c r="I121" s="273"/>
    </row>
    <row r="122" spans="1:26">
      <c r="A122" s="464" t="s">
        <v>1448</v>
      </c>
      <c r="D122" s="275" t="s">
        <v>479</v>
      </c>
      <c r="E122" s="275"/>
      <c r="F122" s="275">
        <f>F119-F121</f>
        <v>3138.1420000000007</v>
      </c>
      <c r="G122" s="275">
        <f>G119-G121 +G120</f>
        <v>113418.55000000002</v>
      </c>
      <c r="H122" s="272"/>
      <c r="I122" s="273">
        <f>3385/150</f>
        <v>22.566666666666666</v>
      </c>
    </row>
    <row r="123" spans="1:26">
      <c r="D123" s="95" t="s">
        <v>480</v>
      </c>
      <c r="E123" s="95"/>
      <c r="F123" s="95"/>
      <c r="G123" s="95"/>
      <c r="H123" s="272"/>
      <c r="I123" s="273">
        <f>22*5000</f>
        <v>110000</v>
      </c>
    </row>
    <row r="124" spans="1:26">
      <c r="D124" s="272" t="s">
        <v>481</v>
      </c>
      <c r="E124" s="46">
        <f>2.6*7 *2 * 5</f>
        <v>182</v>
      </c>
      <c r="F124" s="95"/>
      <c r="G124" s="95"/>
      <c r="H124" s="272"/>
      <c r="I124" s="273"/>
    </row>
    <row r="125" spans="1:26">
      <c r="D125" s="272" t="s">
        <v>482</v>
      </c>
      <c r="E125" s="272">
        <f>3*7 *2 * 3</f>
        <v>126</v>
      </c>
      <c r="F125" s="271"/>
      <c r="G125" s="271"/>
      <c r="H125" s="272"/>
      <c r="I125" s="273" t="s">
        <v>483</v>
      </c>
    </row>
    <row r="126" spans="1:26">
      <c r="D126" s="272" t="s">
        <v>484</v>
      </c>
      <c r="E126" s="272">
        <f>4*7 *2 * 1</f>
        <v>56</v>
      </c>
      <c r="F126" s="271"/>
      <c r="G126" s="271"/>
      <c r="H126" s="272"/>
      <c r="I126" s="273" t="s">
        <v>485</v>
      </c>
    </row>
    <row r="127" spans="1:26">
      <c r="D127" s="272" t="s">
        <v>486</v>
      </c>
      <c r="E127" s="272">
        <f>3*7 *2 *4</f>
        <v>168</v>
      </c>
      <c r="F127" s="271"/>
      <c r="G127" s="271"/>
      <c r="H127" s="272"/>
      <c r="I127" s="273" t="s">
        <v>487</v>
      </c>
    </row>
    <row r="128" spans="1:26">
      <c r="A128" s="276"/>
      <c r="B128" s="276"/>
      <c r="C128" s="276"/>
      <c r="D128" s="271" t="s">
        <v>488</v>
      </c>
      <c r="E128" s="271">
        <f>SUM(E124:E127)</f>
        <v>532</v>
      </c>
      <c r="F128" s="271">
        <f>E128*25</f>
        <v>13300</v>
      </c>
      <c r="G128" s="272"/>
      <c r="H128" s="272"/>
      <c r="I128" s="273" t="s">
        <v>489</v>
      </c>
      <c r="J128" s="276"/>
      <c r="K128" s="276"/>
      <c r="L128" s="276"/>
      <c r="M128" s="276"/>
      <c r="N128" s="276"/>
      <c r="O128" s="276"/>
      <c r="P128" s="276"/>
      <c r="Q128" s="276"/>
      <c r="R128" s="276"/>
      <c r="S128" s="276"/>
      <c r="T128" s="276"/>
      <c r="U128" s="276"/>
      <c r="V128" s="276"/>
      <c r="W128" s="276"/>
      <c r="X128" s="276"/>
      <c r="Y128" s="276"/>
      <c r="Z128" s="276"/>
    </row>
    <row r="129" spans="1:26">
      <c r="A129" s="276"/>
      <c r="B129" s="276"/>
      <c r="C129" s="276"/>
      <c r="D129" s="271"/>
      <c r="E129" s="271"/>
      <c r="F129" s="271"/>
      <c r="G129" s="272"/>
      <c r="H129" s="272"/>
      <c r="I129" s="273"/>
      <c r="J129" s="276"/>
      <c r="K129" s="276"/>
      <c r="L129" s="276"/>
      <c r="M129" s="276"/>
      <c r="N129" s="276"/>
      <c r="O129" s="276"/>
      <c r="P129" s="276"/>
      <c r="Q129" s="276"/>
      <c r="R129" s="276"/>
      <c r="S129" s="276"/>
      <c r="T129" s="276"/>
      <c r="U129" s="276"/>
      <c r="V129" s="276"/>
      <c r="W129" s="276"/>
      <c r="X129" s="276"/>
      <c r="Y129" s="276"/>
      <c r="Z129" s="276"/>
    </row>
    <row r="130" spans="1:26">
      <c r="A130" s="276"/>
      <c r="B130" s="276"/>
      <c r="C130" s="276"/>
      <c r="D130" s="271"/>
      <c r="E130" s="271"/>
      <c r="F130" s="271"/>
      <c r="G130" s="272"/>
      <c r="H130" s="272"/>
      <c r="I130" s="273"/>
      <c r="J130" s="276"/>
      <c r="K130" s="276"/>
      <c r="L130" s="276"/>
      <c r="M130" s="276"/>
      <c r="N130" s="276"/>
      <c r="O130" s="276"/>
      <c r="P130" s="276"/>
      <c r="Q130" s="276"/>
      <c r="R130" s="276"/>
      <c r="S130" s="276"/>
      <c r="T130" s="276"/>
      <c r="U130" s="276"/>
      <c r="V130" s="276"/>
      <c r="W130" s="276"/>
      <c r="X130" s="276"/>
      <c r="Y130" s="276"/>
      <c r="Z130" s="276"/>
    </row>
    <row r="131" spans="1:26" ht="30.5">
      <c r="D131" s="277" t="s">
        <v>490</v>
      </c>
      <c r="E131" s="46"/>
      <c r="F131" s="46"/>
      <c r="G131" s="46"/>
      <c r="H131" s="46"/>
      <c r="I131" s="46"/>
    </row>
    <row r="132" spans="1:26">
      <c r="D132" s="95" t="s">
        <v>367</v>
      </c>
      <c r="E132" s="95" t="s">
        <v>368</v>
      </c>
      <c r="F132" s="95"/>
      <c r="G132" s="95" t="s">
        <v>491</v>
      </c>
      <c r="H132" s="95" t="s">
        <v>492</v>
      </c>
      <c r="I132" s="95" t="s">
        <v>493</v>
      </c>
    </row>
    <row r="133" spans="1:26">
      <c r="B133">
        <f>3500*18</f>
        <v>63000</v>
      </c>
      <c r="D133" s="46" t="s">
        <v>375</v>
      </c>
      <c r="E133" s="46">
        <v>70</v>
      </c>
      <c r="F133" s="46"/>
      <c r="G133" s="46">
        <f>E133*60</f>
        <v>4200</v>
      </c>
      <c r="H133" s="46">
        <v>3000</v>
      </c>
      <c r="I133" s="74"/>
    </row>
    <row r="134" spans="1:26">
      <c r="D134" s="46" t="s">
        <v>494</v>
      </c>
      <c r="E134" s="46">
        <v>88</v>
      </c>
      <c r="F134" s="46"/>
      <c r="G134" s="46">
        <f>E134*60</f>
        <v>5280</v>
      </c>
      <c r="H134" s="46">
        <v>2000</v>
      </c>
      <c r="I134" s="74"/>
    </row>
    <row r="135" spans="1:26">
      <c r="D135" s="46" t="s">
        <v>495</v>
      </c>
      <c r="E135" s="46">
        <v>86</v>
      </c>
      <c r="F135" s="46"/>
      <c r="G135" s="46">
        <f>E135*60</f>
        <v>5160</v>
      </c>
      <c r="H135" s="46">
        <v>2000</v>
      </c>
      <c r="I135" s="74"/>
    </row>
    <row r="136" spans="1:26">
      <c r="D136" s="46" t="s">
        <v>496</v>
      </c>
      <c r="E136" s="46">
        <v>18</v>
      </c>
      <c r="F136" s="46"/>
      <c r="G136" s="46">
        <f>E136*100</f>
        <v>1800</v>
      </c>
      <c r="H136" s="46">
        <v>3000</v>
      </c>
      <c r="I136" s="74"/>
    </row>
    <row r="137" spans="1:26">
      <c r="D137" s="46" t="s">
        <v>497</v>
      </c>
      <c r="E137" s="46">
        <v>38</v>
      </c>
      <c r="F137" s="46"/>
      <c r="G137" s="46">
        <f>E137*70</f>
        <v>2660</v>
      </c>
      <c r="H137" s="46"/>
      <c r="I137" s="74"/>
    </row>
    <row r="138" spans="1:26">
      <c r="D138" s="11" t="s">
        <v>122</v>
      </c>
      <c r="E138" s="11">
        <f>SUM(E133:E137)</f>
        <v>300</v>
      </c>
      <c r="F138" s="11"/>
      <c r="G138" s="95">
        <f>SUM(G133:G137)</f>
        <v>19100</v>
      </c>
      <c r="H138" s="95">
        <f>SUM(H133:H137)</f>
        <v>10000</v>
      </c>
    </row>
    <row r="139" spans="1:26">
      <c r="D139" s="407" t="s">
        <v>1386</v>
      </c>
      <c r="E139" s="408">
        <v>38000</v>
      </c>
    </row>
    <row r="143" spans="1:26">
      <c r="F143" t="s">
        <v>1390</v>
      </c>
      <c r="H143" t="s">
        <v>1391</v>
      </c>
      <c r="I143" s="463" t="s">
        <v>1418</v>
      </c>
    </row>
    <row r="144" spans="1:26">
      <c r="F144" t="s">
        <v>1392</v>
      </c>
      <c r="G144">
        <f>500/15</f>
        <v>33.333333333333336</v>
      </c>
      <c r="H144" t="s">
        <v>1393</v>
      </c>
      <c r="I144">
        <f>800*8</f>
        <v>6400</v>
      </c>
    </row>
    <row r="145" spans="4:10">
      <c r="F145" t="s">
        <v>1394</v>
      </c>
      <c r="G145" t="s">
        <v>1395</v>
      </c>
      <c r="H145">
        <v>2500</v>
      </c>
      <c r="I145">
        <f>8*H145</f>
        <v>20000</v>
      </c>
    </row>
    <row r="146" spans="4:10" ht="14.4">
      <c r="H146" s="461">
        <v>3200</v>
      </c>
      <c r="I146" s="461"/>
    </row>
    <row r="148" spans="4:10">
      <c r="F148" t="s">
        <v>1396</v>
      </c>
      <c r="H148" t="s">
        <v>1397</v>
      </c>
    </row>
    <row r="149" spans="4:10">
      <c r="F149" t="s">
        <v>1398</v>
      </c>
      <c r="G149">
        <f>500/75</f>
        <v>6.666666666666667</v>
      </c>
      <c r="H149">
        <f>G149*150</f>
        <v>1000</v>
      </c>
      <c r="I149">
        <f>H149*8</f>
        <v>8000</v>
      </c>
    </row>
    <row r="150" spans="4:10">
      <c r="F150" t="s">
        <v>1399</v>
      </c>
      <c r="G150" t="s">
        <v>1400</v>
      </c>
      <c r="H150">
        <f>500*1.5</f>
        <v>750</v>
      </c>
      <c r="I150">
        <f>H150*8</f>
        <v>6000</v>
      </c>
    </row>
    <row r="151" spans="4:10" ht="14.4">
      <c r="H151" s="461">
        <f>SUM(H149:H150)</f>
        <v>1750</v>
      </c>
    </row>
    <row r="154" spans="4:10" ht="14.4">
      <c r="D154" s="461" t="s">
        <v>1401</v>
      </c>
      <c r="F154" t="s">
        <v>1402</v>
      </c>
      <c r="H154" t="s">
        <v>1403</v>
      </c>
    </row>
    <row r="155" spans="4:10">
      <c r="F155" t="s">
        <v>1417</v>
      </c>
      <c r="G155">
        <f>500/75</f>
        <v>6.666666666666667</v>
      </c>
      <c r="H155">
        <f>G155*280</f>
        <v>1866.6666666666667</v>
      </c>
      <c r="I155">
        <f>H155*8</f>
        <v>14933.333333333334</v>
      </c>
    </row>
    <row r="156" spans="4:10">
      <c r="F156" t="s">
        <v>1399</v>
      </c>
      <c r="G156" t="s">
        <v>1404</v>
      </c>
      <c r="H156">
        <f>500*10</f>
        <v>5000</v>
      </c>
      <c r="I156">
        <f>H156*8</f>
        <v>40000</v>
      </c>
    </row>
    <row r="157" spans="4:10" ht="14.4">
      <c r="H157" s="461">
        <f>SUM(H155:H156)</f>
        <v>6866.666666666667</v>
      </c>
    </row>
    <row r="159" spans="4:10" ht="14.4">
      <c r="F159" t="s">
        <v>32</v>
      </c>
      <c r="H159" s="461">
        <f>SUM(H157,H151,H146)</f>
        <v>11816.666666666668</v>
      </c>
      <c r="I159" s="463">
        <f>SUM(I144:I158)</f>
        <v>95333.333333333343</v>
      </c>
      <c r="J159">
        <f>H159/500</f>
        <v>23.633333333333336</v>
      </c>
    </row>
    <row r="162" spans="2:8">
      <c r="D162" s="463" t="s">
        <v>1405</v>
      </c>
      <c r="E162" t="s">
        <v>1411</v>
      </c>
      <c r="F162" t="s">
        <v>1412</v>
      </c>
      <c r="G162" s="462" t="s">
        <v>1410</v>
      </c>
      <c r="H162" t="s">
        <v>520</v>
      </c>
    </row>
    <row r="163" spans="2:8">
      <c r="B163" s="463" t="s">
        <v>1425</v>
      </c>
      <c r="D163" t="s">
        <v>1409</v>
      </c>
      <c r="E163">
        <v>8</v>
      </c>
      <c r="F163">
        <f>E163*32</f>
        <v>256</v>
      </c>
      <c r="G163">
        <v>80</v>
      </c>
      <c r="H163">
        <f>G163*F163</f>
        <v>20480</v>
      </c>
    </row>
    <row r="164" spans="2:8">
      <c r="D164" t="s">
        <v>1408</v>
      </c>
      <c r="E164">
        <v>2</v>
      </c>
      <c r="F164">
        <f>E164*32</f>
        <v>64</v>
      </c>
      <c r="G164">
        <v>65</v>
      </c>
      <c r="H164">
        <f>G164*F164</f>
        <v>4160</v>
      </c>
    </row>
    <row r="165" spans="2:8">
      <c r="D165" t="s">
        <v>1407</v>
      </c>
      <c r="E165">
        <v>1</v>
      </c>
      <c r="F165">
        <f>E165*32</f>
        <v>32</v>
      </c>
      <c r="G165">
        <v>105</v>
      </c>
      <c r="H165">
        <f>G165*F165</f>
        <v>3360</v>
      </c>
    </row>
    <row r="166" spans="2:8">
      <c r="D166" t="s">
        <v>1406</v>
      </c>
      <c r="E166">
        <v>4</v>
      </c>
      <c r="F166">
        <f>E166*32</f>
        <v>128</v>
      </c>
      <c r="G166">
        <v>45</v>
      </c>
      <c r="H166">
        <f>G166*F166</f>
        <v>5760</v>
      </c>
    </row>
    <row r="167" spans="2:8">
      <c r="D167" s="464" t="s">
        <v>1421</v>
      </c>
      <c r="H167">
        <v>2000</v>
      </c>
    </row>
    <row r="168" spans="2:8">
      <c r="D168" s="464" t="s">
        <v>1420</v>
      </c>
      <c r="H168">
        <v>300</v>
      </c>
    </row>
    <row r="169" spans="2:8">
      <c r="D169" s="464" t="s">
        <v>1419</v>
      </c>
      <c r="E169">
        <v>10</v>
      </c>
      <c r="G169">
        <v>450</v>
      </c>
      <c r="H169">
        <f>G169*E169</f>
        <v>4500</v>
      </c>
    </row>
    <row r="170" spans="2:8">
      <c r="D170" s="464" t="s">
        <v>1413</v>
      </c>
      <c r="E170" s="464">
        <v>15</v>
      </c>
      <c r="F170">
        <v>50</v>
      </c>
      <c r="G170">
        <v>30</v>
      </c>
      <c r="H170">
        <f>G170*E170</f>
        <v>450</v>
      </c>
    </row>
    <row r="171" spans="2:8">
      <c r="D171" s="464" t="s">
        <v>1414</v>
      </c>
      <c r="E171" s="464">
        <v>10</v>
      </c>
      <c r="G171">
        <v>30</v>
      </c>
      <c r="H171">
        <f>G171*E171</f>
        <v>300</v>
      </c>
    </row>
    <row r="172" spans="2:8">
      <c r="D172" s="463" t="s">
        <v>32</v>
      </c>
      <c r="E172" s="463"/>
      <c r="F172" s="463"/>
      <c r="G172" s="463"/>
      <c r="H172" s="463">
        <f>SUM(H163:H171)</f>
        <v>41310</v>
      </c>
    </row>
    <row r="174" spans="2:8">
      <c r="B174" s="463" t="s">
        <v>1424</v>
      </c>
      <c r="D174" s="464" t="s">
        <v>1409</v>
      </c>
      <c r="E174">
        <v>3</v>
      </c>
      <c r="F174">
        <f>E174*32</f>
        <v>96</v>
      </c>
      <c r="G174">
        <v>80</v>
      </c>
      <c r="H174">
        <f>G174*F174</f>
        <v>7680</v>
      </c>
    </row>
    <row r="175" spans="2:8">
      <c r="D175" s="464" t="s">
        <v>1422</v>
      </c>
      <c r="E175">
        <v>1</v>
      </c>
      <c r="F175">
        <f>E175*32</f>
        <v>32</v>
      </c>
      <c r="G175">
        <v>65</v>
      </c>
      <c r="H175">
        <f>G175*F175</f>
        <v>2080</v>
      </c>
    </row>
    <row r="176" spans="2:8">
      <c r="D176" s="464" t="s">
        <v>1423</v>
      </c>
      <c r="E176">
        <v>8</v>
      </c>
      <c r="G176">
        <v>450</v>
      </c>
      <c r="H176">
        <f>G176*E176</f>
        <v>3600</v>
      </c>
    </row>
    <row r="177" spans="2:9">
      <c r="D177" s="463" t="s">
        <v>32</v>
      </c>
      <c r="H177" s="463">
        <f>SUM(H174:H176)</f>
        <v>13360</v>
      </c>
    </row>
    <row r="179" spans="2:9">
      <c r="D179" s="464" t="s">
        <v>1432</v>
      </c>
      <c r="E179">
        <v>1</v>
      </c>
      <c r="G179">
        <v>400</v>
      </c>
      <c r="H179">
        <v>400</v>
      </c>
    </row>
    <row r="180" spans="2:9">
      <c r="D180" s="464"/>
    </row>
    <row r="181" spans="2:9">
      <c r="D181" s="466" t="s">
        <v>32</v>
      </c>
      <c r="E181" s="466"/>
      <c r="F181" s="466"/>
      <c r="G181" s="466"/>
      <c r="H181" s="466">
        <f>SUM(H177,H179,H172)</f>
        <v>55070</v>
      </c>
    </row>
    <row r="182" spans="2:9">
      <c r="D182" s="464"/>
    </row>
    <row r="184" spans="2:9">
      <c r="B184" s="463" t="s">
        <v>1427</v>
      </c>
      <c r="D184" t="s">
        <v>1479</v>
      </c>
      <c r="E184" s="464">
        <f>2080+225+390</f>
        <v>2695</v>
      </c>
      <c r="F184" t="s">
        <v>1451</v>
      </c>
      <c r="H184" s="483" t="s">
        <v>1095</v>
      </c>
      <c r="I184" s="482">
        <v>2100</v>
      </c>
    </row>
    <row r="185" spans="2:9">
      <c r="D185" t="s">
        <v>1442</v>
      </c>
      <c r="E185">
        <v>4800</v>
      </c>
      <c r="F185" t="s">
        <v>1453</v>
      </c>
      <c r="H185" s="483" t="s">
        <v>1480</v>
      </c>
      <c r="I185" s="482">
        <v>5000</v>
      </c>
    </row>
    <row r="186" spans="2:9">
      <c r="D186" s="464" t="s">
        <v>1443</v>
      </c>
      <c r="E186">
        <v>1200</v>
      </c>
      <c r="H186" s="483" t="s">
        <v>1481</v>
      </c>
      <c r="I186" s="482">
        <f>1060*6</f>
        <v>6360</v>
      </c>
    </row>
    <row r="187" spans="2:9">
      <c r="D187" s="464" t="s">
        <v>1475</v>
      </c>
      <c r="E187">
        <f>1320*6</f>
        <v>7920</v>
      </c>
      <c r="H187" s="483" t="s">
        <v>1482</v>
      </c>
      <c r="I187" s="482">
        <v>1200</v>
      </c>
    </row>
    <row r="188" spans="2:9">
      <c r="D188" s="464" t="s">
        <v>1478</v>
      </c>
      <c r="E188">
        <f>15*80</f>
        <v>1200</v>
      </c>
      <c r="H188" s="483" t="s">
        <v>1483</v>
      </c>
      <c r="I188" s="482">
        <v>100</v>
      </c>
    </row>
    <row r="189" spans="2:9">
      <c r="D189" s="464" t="s">
        <v>1477</v>
      </c>
      <c r="E189">
        <v>100</v>
      </c>
      <c r="H189" s="483" t="s">
        <v>1484</v>
      </c>
      <c r="I189" s="482">
        <f>(122*6)/2</f>
        <v>366</v>
      </c>
    </row>
    <row r="190" spans="2:9">
      <c r="D190" t="s">
        <v>1452</v>
      </c>
      <c r="E190">
        <v>720</v>
      </c>
      <c r="H190" s="483" t="s">
        <v>32</v>
      </c>
      <c r="I190" s="484">
        <f>SUM(I184:I189)</f>
        <v>15126</v>
      </c>
    </row>
    <row r="191" spans="2:9">
      <c r="D191" s="464" t="s">
        <v>1490</v>
      </c>
      <c r="E191">
        <f>60000+7000+15000+5500+7000+5000+4000+10000+10000+1000</f>
        <v>124500</v>
      </c>
      <c r="H191" s="483"/>
      <c r="I191" s="482"/>
    </row>
    <row r="192" spans="2:9">
      <c r="E192" s="463">
        <f>140000-(E191+I190)+100+1500</f>
        <v>1974</v>
      </c>
      <c r="F192" s="463"/>
      <c r="H192" s="483" t="s">
        <v>1485</v>
      </c>
      <c r="I192" s="482"/>
    </row>
    <row r="193" spans="4:10">
      <c r="E193" s="463">
        <f>E192+F192</f>
        <v>1974</v>
      </c>
      <c r="F193" s="463"/>
      <c r="H193" s="483" t="s">
        <v>1486</v>
      </c>
      <c r="I193" s="482">
        <f>1320*3</f>
        <v>3960</v>
      </c>
    </row>
    <row r="194" spans="4:10">
      <c r="E194" s="463"/>
      <c r="F194" s="463"/>
      <c r="H194" s="483" t="s">
        <v>1487</v>
      </c>
      <c r="I194" s="482">
        <v>1200</v>
      </c>
      <c r="J194">
        <f>140+10+1150</f>
        <v>1300</v>
      </c>
    </row>
    <row r="195" spans="4:10">
      <c r="E195" s="463"/>
      <c r="F195" s="463"/>
      <c r="H195" s="483" t="s">
        <v>1488</v>
      </c>
      <c r="I195" s="482">
        <v>4000</v>
      </c>
    </row>
    <row r="196" spans="4:10">
      <c r="D196" s="463" t="s">
        <v>1431</v>
      </c>
      <c r="H196" s="485" t="s">
        <v>1489</v>
      </c>
      <c r="I196" s="482">
        <f>450*3</f>
        <v>1350</v>
      </c>
    </row>
    <row r="197" spans="4:10">
      <c r="D197" t="s">
        <v>1428</v>
      </c>
      <c r="E197">
        <v>1760</v>
      </c>
      <c r="H197" s="485"/>
      <c r="I197" s="484">
        <f>SUM(I193:I196)</f>
        <v>10510</v>
      </c>
    </row>
    <row r="198" spans="4:10">
      <c r="D198" t="s">
        <v>1429</v>
      </c>
      <c r="E198">
        <v>2118</v>
      </c>
    </row>
    <row r="199" spans="4:10">
      <c r="D199" t="s">
        <v>1430</v>
      </c>
      <c r="E199">
        <v>511</v>
      </c>
    </row>
    <row r="200" spans="4:10">
      <c r="D200" t="s">
        <v>1439</v>
      </c>
      <c r="E200">
        <v>1510</v>
      </c>
    </row>
    <row r="201" spans="4:10">
      <c r="D201" t="s">
        <v>1440</v>
      </c>
      <c r="E201">
        <v>745</v>
      </c>
    </row>
    <row r="202" spans="4:10">
      <c r="D202" t="s">
        <v>1441</v>
      </c>
      <c r="E202">
        <v>1191</v>
      </c>
    </row>
    <row r="203" spans="4:10">
      <c r="D203" t="s">
        <v>1444</v>
      </c>
      <c r="E203">
        <v>3200</v>
      </c>
    </row>
    <row r="204" spans="4:10">
      <c r="D204" t="s">
        <v>1474</v>
      </c>
      <c r="E204">
        <v>335</v>
      </c>
    </row>
    <row r="205" spans="4:10">
      <c r="D205" t="s">
        <v>1476</v>
      </c>
      <c r="E205">
        <v>350</v>
      </c>
    </row>
    <row r="206" spans="4:10">
      <c r="D206" s="469" t="s">
        <v>1445</v>
      </c>
      <c r="E206" s="469">
        <v>1556</v>
      </c>
    </row>
    <row r="207" spans="4:10">
      <c r="E207" s="463">
        <f>SUM(E197:E205)-E206</f>
        <v>10164</v>
      </c>
    </row>
    <row r="210" spans="4:5">
      <c r="D210" s="464" t="s">
        <v>1446</v>
      </c>
      <c r="E210" s="464" t="s">
        <v>1447</v>
      </c>
    </row>
    <row r="212" spans="4:5" ht="16.100000000000001">
      <c r="D212" s="470" t="s">
        <v>1463</v>
      </c>
    </row>
    <row r="213" spans="4:5" ht="16.100000000000001">
      <c r="D213" s="470" t="s">
        <v>1464</v>
      </c>
    </row>
    <row r="214" spans="4:5">
      <c r="D214" s="471" t="s">
        <v>1465</v>
      </c>
    </row>
    <row r="215" spans="4:5">
      <c r="D215" s="472" t="s">
        <v>1461</v>
      </c>
    </row>
    <row r="216" spans="4:5">
      <c r="D216" s="471" t="s">
        <v>1471</v>
      </c>
    </row>
    <row r="217" spans="4:5">
      <c r="D217" s="472" t="s">
        <v>1472</v>
      </c>
    </row>
    <row r="218" spans="4:5">
      <c r="D218" s="472" t="s">
        <v>1473</v>
      </c>
    </row>
    <row r="219" spans="4:5">
      <c r="D219" s="476" t="s">
        <v>1449</v>
      </c>
    </row>
    <row r="220" spans="4:5">
      <c r="D220" s="477" t="s">
        <v>1457</v>
      </c>
    </row>
    <row r="221" spans="4:5">
      <c r="D221" s="477" t="s">
        <v>1458</v>
      </c>
    </row>
    <row r="222" spans="4:5">
      <c r="D222" s="477" t="s">
        <v>1459</v>
      </c>
    </row>
    <row r="223" spans="4:5">
      <c r="D223" s="477" t="s">
        <v>1460</v>
      </c>
    </row>
    <row r="224" spans="4:5">
      <c r="D224" s="478" t="s">
        <v>1450</v>
      </c>
    </row>
    <row r="225" spans="3:4">
      <c r="D225" s="473" t="s">
        <v>1455</v>
      </c>
    </row>
    <row r="226" spans="3:4">
      <c r="D226" s="474" t="s">
        <v>1456</v>
      </c>
    </row>
    <row r="227" spans="3:4" ht="146.25">
      <c r="D227" s="475" t="s">
        <v>1462</v>
      </c>
    </row>
    <row r="228" spans="3:4">
      <c r="D228" s="479" t="s">
        <v>1469</v>
      </c>
    </row>
    <row r="229" spans="3:4">
      <c r="D229" s="479" t="s">
        <v>1454</v>
      </c>
    </row>
    <row r="230" spans="3:4">
      <c r="D230" s="480" t="s">
        <v>1470</v>
      </c>
    </row>
    <row r="231" spans="3:4">
      <c r="D231" s="481" t="s">
        <v>1467</v>
      </c>
    </row>
    <row r="232" spans="3:4">
      <c r="D232" s="481" t="s">
        <v>1466</v>
      </c>
    </row>
    <row r="233" spans="3:4">
      <c r="D233" s="481" t="s">
        <v>1468</v>
      </c>
    </row>
    <row r="237" spans="3:4">
      <c r="D237" t="s">
        <v>1491</v>
      </c>
    </row>
    <row r="238" spans="3:4">
      <c r="C238" s="468">
        <v>44837</v>
      </c>
      <c r="D238">
        <v>30000</v>
      </c>
    </row>
    <row r="239" spans="3:4">
      <c r="C239" s="468">
        <v>44846</v>
      </c>
      <c r="D239">
        <v>5000</v>
      </c>
    </row>
    <row r="240" spans="3:4">
      <c r="C240" s="468">
        <v>44849</v>
      </c>
      <c r="D240">
        <v>5000</v>
      </c>
    </row>
    <row r="241" spans="3:4">
      <c r="C241" s="468">
        <v>44855</v>
      </c>
      <c r="D241">
        <v>8000</v>
      </c>
    </row>
    <row r="242" spans="3:4">
      <c r="C242" s="468">
        <v>44856</v>
      </c>
      <c r="D242">
        <v>3000</v>
      </c>
    </row>
    <row r="243" spans="3:4">
      <c r="C243" s="468">
        <v>44857</v>
      </c>
      <c r="D243">
        <v>2000</v>
      </c>
    </row>
    <row r="244" spans="3:4">
      <c r="C244" s="468">
        <v>44862</v>
      </c>
      <c r="D244">
        <v>1000</v>
      </c>
    </row>
    <row r="245" spans="3:4">
      <c r="C245" s="468">
        <v>44866</v>
      </c>
      <c r="D245">
        <v>10000</v>
      </c>
    </row>
    <row r="246" spans="3:4">
      <c r="D246" s="463">
        <f ca="1">SUM(D238:D246)</f>
        <v>64000</v>
      </c>
    </row>
    <row r="247" spans="3:4">
      <c r="C247" s="46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R30"/>
  <sheetViews>
    <sheetView workbookViewId="0"/>
  </sheetViews>
  <sheetFormatPr defaultRowHeight="13.3"/>
  <sheetData>
    <row r="3" spans="3:13">
      <c r="K3" s="10">
        <v>2021</v>
      </c>
      <c r="L3" s="10">
        <v>2022</v>
      </c>
    </row>
    <row r="4" spans="3:13" ht="14.4">
      <c r="C4" s="10" t="s">
        <v>498</v>
      </c>
      <c r="D4" s="10" t="s">
        <v>499</v>
      </c>
      <c r="E4" s="10" t="s">
        <v>500</v>
      </c>
      <c r="F4" s="10" t="s">
        <v>501</v>
      </c>
      <c r="J4" s="10" t="s">
        <v>502</v>
      </c>
      <c r="K4" s="10">
        <v>296888</v>
      </c>
      <c r="L4" s="10">
        <v>326578</v>
      </c>
      <c r="M4" s="278">
        <f>L4-K4</f>
        <v>29690</v>
      </c>
    </row>
    <row r="5" spans="3:13" ht="14.4">
      <c r="C5" s="10">
        <v>3958522</v>
      </c>
      <c r="D5" s="10">
        <v>4354386</v>
      </c>
      <c r="E5" s="10">
        <f>D5-C5</f>
        <v>395864</v>
      </c>
      <c r="F5" s="10">
        <f>E5/C5*100</f>
        <v>10.000298091055198</v>
      </c>
      <c r="J5" s="10" t="s">
        <v>503</v>
      </c>
      <c r="K5" s="10">
        <v>88620</v>
      </c>
      <c r="L5" s="10">
        <v>109003</v>
      </c>
      <c r="M5" s="278">
        <f>L5-K5</f>
        <v>20383</v>
      </c>
    </row>
    <row r="6" spans="3:13" ht="14.4">
      <c r="J6" s="10" t="s">
        <v>504</v>
      </c>
      <c r="K6" s="10">
        <v>106344</v>
      </c>
      <c r="L6" s="10">
        <v>130804</v>
      </c>
      <c r="M6" s="278">
        <f>L6-K6</f>
        <v>24460</v>
      </c>
    </row>
    <row r="7" spans="3:13">
      <c r="F7" s="10" t="s">
        <v>32</v>
      </c>
      <c r="G7" s="10">
        <v>395864</v>
      </c>
    </row>
    <row r="8" spans="3:13">
      <c r="F8" s="10" t="s">
        <v>505</v>
      </c>
      <c r="G8" s="10">
        <f>ROUND(G7*30/100, 0)</f>
        <v>118759</v>
      </c>
    </row>
    <row r="9" spans="3:13">
      <c r="F9" s="10" t="s">
        <v>502</v>
      </c>
      <c r="G9" s="10">
        <f>M4</f>
        <v>29690</v>
      </c>
    </row>
    <row r="10" spans="3:13">
      <c r="F10" s="10" t="s">
        <v>73</v>
      </c>
      <c r="G10" s="10">
        <f>M5</f>
        <v>20383</v>
      </c>
    </row>
    <row r="11" spans="3:13">
      <c r="F11" s="10" t="s">
        <v>504</v>
      </c>
      <c r="G11" s="10">
        <f>M6</f>
        <v>24460</v>
      </c>
    </row>
    <row r="12" spans="3:13" ht="14.4">
      <c r="F12" s="10" t="s">
        <v>32</v>
      </c>
      <c r="G12" s="278">
        <f>SUM(G8:G11)</f>
        <v>193292</v>
      </c>
    </row>
    <row r="13" spans="3:13" ht="14.4">
      <c r="F13" s="10" t="s">
        <v>506</v>
      </c>
      <c r="G13" s="278">
        <f>G7-G12</f>
        <v>202572</v>
      </c>
    </row>
    <row r="14" spans="3:13">
      <c r="F14" s="10" t="s">
        <v>507</v>
      </c>
      <c r="G14" s="10">
        <f>G13/12</f>
        <v>16881</v>
      </c>
    </row>
    <row r="18" spans="5:18">
      <c r="G18" s="10">
        <v>2021</v>
      </c>
      <c r="H18" s="10">
        <v>2022</v>
      </c>
      <c r="I18" s="10" t="s">
        <v>508</v>
      </c>
    </row>
    <row r="19" spans="5:18">
      <c r="E19" s="85" t="s">
        <v>509</v>
      </c>
      <c r="G19" s="10">
        <v>10870</v>
      </c>
      <c r="H19" s="10">
        <v>15241</v>
      </c>
      <c r="I19" s="11">
        <f>H19-G19</f>
        <v>4371</v>
      </c>
    </row>
    <row r="20" spans="5:18">
      <c r="E20" s="85" t="s">
        <v>510</v>
      </c>
      <c r="G20" s="10">
        <v>8092</v>
      </c>
      <c r="H20" s="10">
        <v>10616</v>
      </c>
      <c r="I20" s="11">
        <f>H20-G20</f>
        <v>2524</v>
      </c>
    </row>
    <row r="24" spans="5:18">
      <c r="I24">
        <v>110656</v>
      </c>
      <c r="L24">
        <v>91764</v>
      </c>
      <c r="O24">
        <f>12125*4</f>
        <v>48500</v>
      </c>
      <c r="P24">
        <f>12603*4</f>
        <v>50412</v>
      </c>
    </row>
    <row r="25" spans="5:18">
      <c r="I25">
        <v>4149</v>
      </c>
      <c r="L25">
        <v>3476</v>
      </c>
      <c r="O25">
        <f>10816*4</f>
        <v>43264</v>
      </c>
      <c r="P25">
        <f>15061*4</f>
        <v>60244</v>
      </c>
    </row>
    <row r="26" spans="5:18">
      <c r="I26">
        <v>373.41</v>
      </c>
      <c r="L26">
        <v>312.83999999999997</v>
      </c>
      <c r="O26">
        <f>SUM(O24:O25)</f>
        <v>91764</v>
      </c>
      <c r="P26">
        <f>SUM(P24:P25)</f>
        <v>110656</v>
      </c>
      <c r="R26">
        <v>2213</v>
      </c>
    </row>
    <row r="27" spans="5:18">
      <c r="I27">
        <v>373.41</v>
      </c>
      <c r="L27">
        <v>312.83999999999997</v>
      </c>
      <c r="R27">
        <v>1936</v>
      </c>
    </row>
    <row r="28" spans="5:18">
      <c r="I28">
        <f>SUM(I24:I27)</f>
        <v>115551.82</v>
      </c>
      <c r="L28">
        <f>SUM(L24:L27)</f>
        <v>95865.68</v>
      </c>
      <c r="R28">
        <f>SUM(R26:R27)</f>
        <v>4149</v>
      </c>
    </row>
    <row r="29" spans="5:18">
      <c r="I29">
        <v>-1500</v>
      </c>
    </row>
    <row r="30" spans="5:18">
      <c r="I30">
        <f>SUM(I28:I29)</f>
        <v>114051.82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6"/>
  <sheetViews>
    <sheetView workbookViewId="0"/>
  </sheetViews>
  <sheetFormatPr defaultRowHeight="13.3"/>
  <sheetData>
    <row r="1" spans="1:11">
      <c r="A1" s="46"/>
      <c r="B1" s="46"/>
      <c r="C1" s="46" t="s">
        <v>511</v>
      </c>
      <c r="D1" s="46" t="s">
        <v>512</v>
      </c>
    </row>
    <row r="2" spans="1:11" ht="22.75">
      <c r="A2" s="279" t="s">
        <v>513</v>
      </c>
      <c r="B2" s="97"/>
      <c r="C2" s="46"/>
      <c r="D2" s="46"/>
    </row>
    <row r="3" spans="1:11">
      <c r="A3" s="46" t="s">
        <v>514</v>
      </c>
      <c r="B3" s="97">
        <v>2</v>
      </c>
      <c r="C3" s="46">
        <v>3500</v>
      </c>
      <c r="D3" s="46"/>
      <c r="F3" s="280" t="s">
        <v>515</v>
      </c>
    </row>
    <row r="4" spans="1:11">
      <c r="A4" s="46" t="s">
        <v>516</v>
      </c>
      <c r="B4" s="97">
        <v>2</v>
      </c>
      <c r="C4" s="46">
        <v>3500</v>
      </c>
      <c r="D4" s="46"/>
      <c r="F4" s="281" t="s">
        <v>517</v>
      </c>
      <c r="G4" s="764" t="s">
        <v>518</v>
      </c>
      <c r="H4" s="711"/>
      <c r="I4" s="281" t="s">
        <v>519</v>
      </c>
      <c r="J4" s="281" t="s">
        <v>520</v>
      </c>
    </row>
    <row r="5" spans="1:11">
      <c r="A5" s="46" t="s">
        <v>521</v>
      </c>
      <c r="B5" s="97">
        <v>2</v>
      </c>
      <c r="C5" s="46">
        <v>2000</v>
      </c>
      <c r="D5" s="46"/>
      <c r="F5" s="762" t="s">
        <v>522</v>
      </c>
      <c r="G5" s="282" t="s">
        <v>523</v>
      </c>
      <c r="H5" s="282">
        <v>11500</v>
      </c>
      <c r="I5" s="762">
        <f>SUM(H6-H5)</f>
        <v>50</v>
      </c>
      <c r="J5" s="762">
        <f>SUM(I5*6)</f>
        <v>300</v>
      </c>
    </row>
    <row r="6" spans="1:11">
      <c r="A6" s="46" t="s">
        <v>524</v>
      </c>
      <c r="B6" s="97">
        <v>3</v>
      </c>
      <c r="C6" s="46">
        <v>2000</v>
      </c>
      <c r="D6" s="46"/>
      <c r="F6" s="709"/>
      <c r="G6" s="282" t="s">
        <v>525</v>
      </c>
      <c r="H6" s="282">
        <v>11550</v>
      </c>
      <c r="I6" s="709"/>
      <c r="J6" s="709"/>
    </row>
    <row r="7" spans="1:11">
      <c r="A7" s="46"/>
      <c r="B7" s="269" t="s">
        <v>32</v>
      </c>
      <c r="C7" s="269">
        <f>SUM(C3:C6)</f>
        <v>11000</v>
      </c>
      <c r="D7" s="46"/>
    </row>
    <row r="8" spans="1:11" ht="22.75">
      <c r="A8" s="279" t="s">
        <v>526</v>
      </c>
      <c r="B8" s="97"/>
      <c r="C8" s="46"/>
      <c r="D8" s="46"/>
      <c r="F8" s="280" t="s">
        <v>527</v>
      </c>
      <c r="G8" s="116"/>
    </row>
    <row r="9" spans="1:11">
      <c r="A9" s="46" t="s">
        <v>528</v>
      </c>
      <c r="B9" s="97">
        <v>3</v>
      </c>
      <c r="C9" s="95">
        <v>6000</v>
      </c>
      <c r="D9" s="46"/>
      <c r="F9" s="281" t="s">
        <v>517</v>
      </c>
      <c r="G9" s="764" t="s">
        <v>518</v>
      </c>
      <c r="H9" s="711"/>
      <c r="I9" s="281" t="s">
        <v>519</v>
      </c>
      <c r="J9" s="281" t="s">
        <v>520</v>
      </c>
      <c r="K9" s="283"/>
    </row>
    <row r="10" spans="1:11">
      <c r="A10" s="46" t="s">
        <v>529</v>
      </c>
      <c r="B10" s="97">
        <v>3</v>
      </c>
      <c r="C10" s="46">
        <v>1200</v>
      </c>
      <c r="D10" s="46"/>
      <c r="F10" s="762" t="s">
        <v>530</v>
      </c>
      <c r="G10" s="282" t="s">
        <v>525</v>
      </c>
      <c r="H10" s="282">
        <v>11550</v>
      </c>
      <c r="I10" s="762">
        <f>SUM(H11-H10)</f>
        <v>75</v>
      </c>
      <c r="J10" s="762">
        <f>SUM(I10*6)</f>
        <v>450</v>
      </c>
    </row>
    <row r="11" spans="1:11">
      <c r="A11" s="46"/>
      <c r="B11" s="269" t="s">
        <v>32</v>
      </c>
      <c r="C11" s="269">
        <f>SUM(C9:C10)</f>
        <v>7200</v>
      </c>
      <c r="D11" s="46"/>
      <c r="F11" s="709"/>
      <c r="G11" s="282" t="s">
        <v>531</v>
      </c>
      <c r="H11" s="282">
        <v>11625</v>
      </c>
      <c r="I11" s="709"/>
      <c r="J11" s="709"/>
    </row>
    <row r="12" spans="1:11" ht="22.75">
      <c r="A12" s="279" t="s">
        <v>532</v>
      </c>
      <c r="B12" s="97"/>
      <c r="C12" s="46"/>
      <c r="D12" s="46"/>
      <c r="F12" s="284" t="s">
        <v>533</v>
      </c>
      <c r="G12" s="765" t="s">
        <v>518</v>
      </c>
      <c r="H12" s="711"/>
      <c r="I12" s="284" t="s">
        <v>519</v>
      </c>
      <c r="J12" s="284" t="s">
        <v>520</v>
      </c>
    </row>
    <row r="13" spans="1:11">
      <c r="A13" s="267" t="s">
        <v>534</v>
      </c>
      <c r="B13" s="285">
        <v>2</v>
      </c>
      <c r="C13" s="267">
        <f>SUM(500*2)</f>
        <v>1000</v>
      </c>
      <c r="D13" s="46"/>
      <c r="F13" s="763" t="s">
        <v>530</v>
      </c>
      <c r="G13" s="286" t="s">
        <v>535</v>
      </c>
      <c r="H13" s="287" t="s">
        <v>536</v>
      </c>
      <c r="I13" s="763">
        <v>62</v>
      </c>
      <c r="J13" s="763">
        <f>SUM(I13*6)</f>
        <v>372</v>
      </c>
    </row>
    <row r="14" spans="1:11">
      <c r="A14" s="267" t="s">
        <v>537</v>
      </c>
      <c r="B14" s="285">
        <v>4</v>
      </c>
      <c r="C14" s="267">
        <f>SUM(280*4)</f>
        <v>1120</v>
      </c>
      <c r="D14" s="46"/>
      <c r="F14" s="709"/>
      <c r="G14" s="286" t="s">
        <v>538</v>
      </c>
      <c r="H14" s="287">
        <v>1251</v>
      </c>
      <c r="I14" s="709"/>
      <c r="J14" s="709"/>
    </row>
    <row r="15" spans="1:11">
      <c r="A15" s="46" t="s">
        <v>539</v>
      </c>
      <c r="B15" s="97" t="s">
        <v>540</v>
      </c>
      <c r="C15" s="46">
        <v>300</v>
      </c>
      <c r="D15" s="46"/>
      <c r="F15" s="288" t="s">
        <v>541</v>
      </c>
      <c r="G15" s="289" t="s">
        <v>538</v>
      </c>
      <c r="H15" s="288">
        <v>20210</v>
      </c>
    </row>
    <row r="16" spans="1:11">
      <c r="A16" s="46" t="s">
        <v>542</v>
      </c>
      <c r="B16" s="97" t="s">
        <v>543</v>
      </c>
      <c r="C16" s="46">
        <v>3000</v>
      </c>
      <c r="D16" s="46"/>
    </row>
    <row r="17" spans="1:11">
      <c r="A17" s="267" t="s">
        <v>544</v>
      </c>
      <c r="B17" s="285" t="s">
        <v>545</v>
      </c>
      <c r="C17" s="267">
        <v>1500</v>
      </c>
      <c r="D17" s="46"/>
    </row>
    <row r="18" spans="1:11">
      <c r="A18" s="46" t="s">
        <v>546</v>
      </c>
      <c r="B18" s="97" t="s">
        <v>547</v>
      </c>
      <c r="C18" s="46">
        <v>900</v>
      </c>
      <c r="D18" s="46"/>
      <c r="F18" s="290" t="s">
        <v>548</v>
      </c>
      <c r="G18" s="116"/>
    </row>
    <row r="19" spans="1:11">
      <c r="A19" s="267" t="s">
        <v>395</v>
      </c>
      <c r="B19" s="285" t="s">
        <v>549</v>
      </c>
      <c r="C19" s="267">
        <v>1200</v>
      </c>
      <c r="D19" s="46"/>
      <c r="F19" s="281" t="s">
        <v>517</v>
      </c>
      <c r="G19" s="764" t="s">
        <v>518</v>
      </c>
      <c r="H19" s="711"/>
      <c r="I19" s="281" t="s">
        <v>519</v>
      </c>
      <c r="J19" s="281" t="s">
        <v>520</v>
      </c>
    </row>
    <row r="20" spans="1:11">
      <c r="A20" s="46" t="s">
        <v>395</v>
      </c>
      <c r="B20" s="97" t="s">
        <v>550</v>
      </c>
      <c r="C20" s="46"/>
      <c r="D20" s="46"/>
      <c r="F20" s="762" t="s">
        <v>548</v>
      </c>
      <c r="G20" s="282" t="s">
        <v>531</v>
      </c>
      <c r="H20" s="282">
        <v>11625</v>
      </c>
      <c r="I20" s="762">
        <f>SUM(H21-H20)</f>
        <v>70</v>
      </c>
      <c r="J20" s="762">
        <f>SUM(I20*6)</f>
        <v>420</v>
      </c>
    </row>
    <row r="21" spans="1:11">
      <c r="A21" s="46" t="s">
        <v>551</v>
      </c>
      <c r="B21" s="97" t="s">
        <v>550</v>
      </c>
      <c r="C21" s="46">
        <v>1200</v>
      </c>
      <c r="D21" s="46"/>
      <c r="F21" s="709"/>
      <c r="G21" s="282" t="s">
        <v>552</v>
      </c>
      <c r="H21" s="282">
        <v>11695</v>
      </c>
      <c r="I21" s="709"/>
      <c r="J21" s="709"/>
    </row>
    <row r="22" spans="1:11">
      <c r="A22" s="46" t="s">
        <v>553</v>
      </c>
      <c r="B22" s="97" t="s">
        <v>550</v>
      </c>
      <c r="C22" s="46">
        <v>1200</v>
      </c>
      <c r="D22" s="46"/>
      <c r="F22" s="284" t="s">
        <v>533</v>
      </c>
      <c r="G22" s="765" t="s">
        <v>518</v>
      </c>
      <c r="H22" s="711"/>
      <c r="I22" s="284" t="s">
        <v>519</v>
      </c>
      <c r="J22" s="284" t="s">
        <v>520</v>
      </c>
    </row>
    <row r="23" spans="1:11">
      <c r="A23" s="46" t="s">
        <v>554</v>
      </c>
      <c r="B23" s="97" t="s">
        <v>555</v>
      </c>
      <c r="C23" s="46">
        <v>800</v>
      </c>
      <c r="D23" s="46"/>
      <c r="F23" s="763" t="s">
        <v>548</v>
      </c>
      <c r="G23" s="286" t="s">
        <v>538</v>
      </c>
      <c r="H23" s="287">
        <v>1251</v>
      </c>
      <c r="I23" s="763">
        <f>SUM(H24-H23)</f>
        <v>57</v>
      </c>
      <c r="J23" s="763">
        <f>SUM(I23*6)</f>
        <v>342</v>
      </c>
    </row>
    <row r="24" spans="1:11">
      <c r="A24" s="46" t="s">
        <v>556</v>
      </c>
      <c r="B24" s="97" t="s">
        <v>555</v>
      </c>
      <c r="C24" s="46">
        <v>800</v>
      </c>
      <c r="D24" s="46"/>
      <c r="F24" s="709"/>
      <c r="G24" s="286" t="s">
        <v>557</v>
      </c>
      <c r="H24" s="287">
        <v>1308</v>
      </c>
      <c r="I24" s="709"/>
      <c r="J24" s="709"/>
    </row>
    <row r="25" spans="1:11">
      <c r="A25" s="46" t="s">
        <v>558</v>
      </c>
      <c r="B25" s="97" t="s">
        <v>555</v>
      </c>
      <c r="C25" s="46">
        <v>800</v>
      </c>
      <c r="D25" s="46"/>
      <c r="F25" s="288" t="s">
        <v>541</v>
      </c>
      <c r="G25" s="289"/>
      <c r="H25" s="288"/>
    </row>
    <row r="26" spans="1:11">
      <c r="A26" s="46" t="s">
        <v>559</v>
      </c>
      <c r="B26" s="97" t="s">
        <v>560</v>
      </c>
      <c r="C26" s="46">
        <v>100</v>
      </c>
      <c r="D26" s="46"/>
      <c r="K26" s="11"/>
    </row>
    <row r="27" spans="1:11">
      <c r="A27" s="46" t="s">
        <v>561</v>
      </c>
      <c r="B27" s="97">
        <v>1</v>
      </c>
      <c r="C27" s="46">
        <v>100</v>
      </c>
      <c r="D27" s="46"/>
      <c r="F27" s="290" t="s">
        <v>562</v>
      </c>
      <c r="G27" s="116"/>
    </row>
    <row r="28" spans="1:11">
      <c r="A28" s="46"/>
      <c r="B28" s="90" t="s">
        <v>32</v>
      </c>
      <c r="C28" s="269">
        <f>SUM(C13:C27)</f>
        <v>14020</v>
      </c>
      <c r="D28" s="46"/>
      <c r="F28" s="281" t="s">
        <v>517</v>
      </c>
      <c r="G28" s="764" t="s">
        <v>518</v>
      </c>
      <c r="H28" s="711"/>
      <c r="I28" s="281" t="s">
        <v>519</v>
      </c>
      <c r="J28" s="281" t="s">
        <v>520</v>
      </c>
    </row>
    <row r="29" spans="1:11">
      <c r="F29" s="762" t="s">
        <v>562</v>
      </c>
      <c r="G29" s="282" t="s">
        <v>552</v>
      </c>
      <c r="H29" s="282">
        <v>11695</v>
      </c>
      <c r="I29" s="762">
        <f>SUM(H30-H29)</f>
        <v>55</v>
      </c>
      <c r="J29" s="762">
        <f>SUM(I29*6)</f>
        <v>330</v>
      </c>
    </row>
    <row r="30" spans="1:11">
      <c r="F30" s="709"/>
      <c r="G30" s="282" t="s">
        <v>563</v>
      </c>
      <c r="H30" s="282">
        <v>11750</v>
      </c>
      <c r="I30" s="709"/>
      <c r="J30" s="709"/>
    </row>
    <row r="31" spans="1:11">
      <c r="A31" s="10" t="s">
        <v>564</v>
      </c>
      <c r="F31" s="284" t="s">
        <v>533</v>
      </c>
      <c r="G31" s="765" t="s">
        <v>518</v>
      </c>
      <c r="H31" s="711"/>
      <c r="I31" s="284" t="s">
        <v>519</v>
      </c>
      <c r="J31" s="284" t="s">
        <v>520</v>
      </c>
    </row>
    <row r="32" spans="1:11">
      <c r="A32" s="10" t="s">
        <v>565</v>
      </c>
      <c r="F32" s="763" t="s">
        <v>562</v>
      </c>
      <c r="G32" s="286" t="s">
        <v>557</v>
      </c>
      <c r="H32" s="287">
        <v>1308</v>
      </c>
      <c r="I32" s="763">
        <f>SUM(H33-H32)</f>
        <v>87</v>
      </c>
      <c r="J32" s="763">
        <f>SUM(I32*6)</f>
        <v>522</v>
      </c>
    </row>
    <row r="33" spans="1:10">
      <c r="A33" s="10" t="s">
        <v>566</v>
      </c>
      <c r="F33" s="709"/>
      <c r="G33" s="286" t="s">
        <v>567</v>
      </c>
      <c r="H33" s="287">
        <v>1395</v>
      </c>
      <c r="I33" s="709"/>
      <c r="J33" s="709"/>
    </row>
    <row r="34" spans="1:10">
      <c r="A34" s="10" t="s">
        <v>568</v>
      </c>
      <c r="F34" s="288" t="s">
        <v>541</v>
      </c>
      <c r="G34" s="289"/>
      <c r="H34" s="288"/>
    </row>
    <row r="35" spans="1:10">
      <c r="A35" s="10" t="s">
        <v>569</v>
      </c>
    </row>
    <row r="36" spans="1:10">
      <c r="F36" s="290" t="s">
        <v>570</v>
      </c>
      <c r="G36" s="116"/>
    </row>
    <row r="37" spans="1:10">
      <c r="A37" s="10" t="s">
        <v>571</v>
      </c>
      <c r="F37" s="281" t="s">
        <v>517</v>
      </c>
      <c r="G37" s="764" t="s">
        <v>518</v>
      </c>
      <c r="H37" s="711"/>
      <c r="I37" s="281" t="s">
        <v>519</v>
      </c>
      <c r="J37" s="281" t="s">
        <v>520</v>
      </c>
    </row>
    <row r="38" spans="1:10">
      <c r="A38" s="10" t="s">
        <v>572</v>
      </c>
      <c r="F38" s="762" t="s">
        <v>570</v>
      </c>
      <c r="G38" s="282" t="s">
        <v>563</v>
      </c>
      <c r="H38" s="282">
        <v>11750</v>
      </c>
      <c r="I38" s="762">
        <f>SUM(H39-H38)</f>
        <v>50</v>
      </c>
      <c r="J38" s="762">
        <f>SUM(I38*6)</f>
        <v>300</v>
      </c>
    </row>
    <row r="39" spans="1:10">
      <c r="F39" s="709"/>
      <c r="G39" s="282" t="s">
        <v>573</v>
      </c>
      <c r="H39" s="282">
        <v>11800</v>
      </c>
      <c r="I39" s="709"/>
      <c r="J39" s="709"/>
    </row>
    <row r="40" spans="1:10">
      <c r="F40" s="284" t="s">
        <v>533</v>
      </c>
      <c r="G40" s="765" t="s">
        <v>518</v>
      </c>
      <c r="H40" s="711"/>
      <c r="I40" s="284" t="s">
        <v>519</v>
      </c>
      <c r="J40" s="284" t="s">
        <v>520</v>
      </c>
    </row>
    <row r="41" spans="1:10">
      <c r="F41" s="763" t="s">
        <v>570</v>
      </c>
      <c r="G41" s="286" t="s">
        <v>567</v>
      </c>
      <c r="H41" s="287">
        <v>1395</v>
      </c>
      <c r="I41" s="763">
        <f>SUM(H42-H41)</f>
        <v>74</v>
      </c>
      <c r="J41" s="763">
        <f>SUM(I41*6)</f>
        <v>444</v>
      </c>
    </row>
    <row r="42" spans="1:10">
      <c r="F42" s="709"/>
      <c r="G42" s="286" t="s">
        <v>574</v>
      </c>
      <c r="H42" s="287">
        <v>1469</v>
      </c>
      <c r="I42" s="709"/>
      <c r="J42" s="709"/>
    </row>
    <row r="43" spans="1:10">
      <c r="F43" s="288" t="s">
        <v>541</v>
      </c>
      <c r="G43" s="289"/>
      <c r="H43" s="288"/>
    </row>
    <row r="45" spans="1:10">
      <c r="F45" s="290" t="s">
        <v>575</v>
      </c>
      <c r="G45" s="116"/>
    </row>
    <row r="46" spans="1:10">
      <c r="F46" s="281" t="s">
        <v>517</v>
      </c>
      <c r="G46" s="764" t="s">
        <v>518</v>
      </c>
      <c r="H46" s="711"/>
      <c r="I46" s="281" t="s">
        <v>519</v>
      </c>
      <c r="J46" s="281" t="s">
        <v>520</v>
      </c>
    </row>
    <row r="47" spans="1:10">
      <c r="A47" s="11" t="s">
        <v>576</v>
      </c>
      <c r="F47" s="762" t="s">
        <v>575</v>
      </c>
      <c r="G47" s="282" t="s">
        <v>573</v>
      </c>
      <c r="H47" s="282">
        <v>11800</v>
      </c>
      <c r="I47" s="762">
        <f>SUM(H48-H47)</f>
        <v>47</v>
      </c>
      <c r="J47" s="762">
        <f>SUM(I47*6)</f>
        <v>282</v>
      </c>
    </row>
    <row r="48" spans="1:10">
      <c r="A48" s="116" t="s">
        <v>577</v>
      </c>
      <c r="F48" s="709"/>
      <c r="G48" s="282" t="s">
        <v>578</v>
      </c>
      <c r="H48" s="282">
        <v>11847</v>
      </c>
      <c r="I48" s="709"/>
      <c r="J48" s="709"/>
    </row>
    <row r="49" spans="1:10">
      <c r="F49" s="284" t="s">
        <v>533</v>
      </c>
      <c r="G49" s="765" t="s">
        <v>518</v>
      </c>
      <c r="H49" s="711"/>
      <c r="I49" s="284" t="s">
        <v>519</v>
      </c>
      <c r="J49" s="284" t="s">
        <v>520</v>
      </c>
    </row>
    <row r="50" spans="1:10">
      <c r="F50" s="763" t="s">
        <v>575</v>
      </c>
      <c r="G50" s="286" t="s">
        <v>574</v>
      </c>
      <c r="H50" s="287">
        <v>1469</v>
      </c>
      <c r="I50" s="763">
        <f>SUM(H51-H50)</f>
        <v>40</v>
      </c>
      <c r="J50" s="763">
        <f>SUM(I50*6)</f>
        <v>240</v>
      </c>
    </row>
    <row r="51" spans="1:10">
      <c r="F51" s="709"/>
      <c r="G51" s="286" t="s">
        <v>579</v>
      </c>
      <c r="H51" s="287">
        <v>1509</v>
      </c>
      <c r="I51" s="709"/>
      <c r="J51" s="709"/>
    </row>
    <row r="52" spans="1:10">
      <c r="F52" s="288" t="s">
        <v>541</v>
      </c>
      <c r="G52" s="289"/>
      <c r="H52" s="288"/>
    </row>
    <row r="54" spans="1:10">
      <c r="F54" s="290" t="s">
        <v>580</v>
      </c>
      <c r="G54" s="116"/>
    </row>
    <row r="55" spans="1:10">
      <c r="F55" s="281" t="s">
        <v>517</v>
      </c>
      <c r="G55" s="764" t="s">
        <v>518</v>
      </c>
      <c r="H55" s="711"/>
      <c r="I55" s="281" t="s">
        <v>519</v>
      </c>
      <c r="J55" s="281" t="s">
        <v>520</v>
      </c>
    </row>
    <row r="56" spans="1:10">
      <c r="F56" s="762"/>
      <c r="G56" s="282" t="s">
        <v>578</v>
      </c>
      <c r="H56" s="282">
        <v>11847</v>
      </c>
      <c r="I56" s="762">
        <f>SUM(H57-H56)</f>
        <v>102</v>
      </c>
      <c r="J56" s="762">
        <f>SUM(I56*6)</f>
        <v>612</v>
      </c>
    </row>
    <row r="57" spans="1:10">
      <c r="F57" s="709"/>
      <c r="G57" s="282" t="s">
        <v>581</v>
      </c>
      <c r="H57" s="282">
        <v>11949</v>
      </c>
      <c r="I57" s="709"/>
      <c r="J57" s="709"/>
    </row>
    <row r="58" spans="1:10">
      <c r="F58" s="284" t="s">
        <v>533</v>
      </c>
      <c r="G58" s="765" t="s">
        <v>518</v>
      </c>
      <c r="H58" s="711"/>
      <c r="I58" s="284" t="s">
        <v>519</v>
      </c>
      <c r="J58" s="284" t="s">
        <v>520</v>
      </c>
    </row>
    <row r="59" spans="1:10">
      <c r="F59" s="763"/>
      <c r="G59" s="286" t="s">
        <v>579</v>
      </c>
      <c r="H59" s="287">
        <v>1509</v>
      </c>
      <c r="I59" s="763">
        <f>SUM(H60-H59)</f>
        <v>87</v>
      </c>
      <c r="J59" s="763">
        <f>SUM(I59*6)</f>
        <v>522</v>
      </c>
    </row>
    <row r="60" spans="1:10">
      <c r="F60" s="709"/>
      <c r="G60" s="286" t="s">
        <v>582</v>
      </c>
      <c r="H60" s="287">
        <v>1596</v>
      </c>
      <c r="I60" s="709"/>
      <c r="J60" s="709"/>
    </row>
    <row r="61" spans="1:10">
      <c r="A61" s="10" t="s">
        <v>583</v>
      </c>
      <c r="F61" s="288" t="s">
        <v>541</v>
      </c>
      <c r="G61" s="289"/>
      <c r="H61" s="288"/>
    </row>
    <row r="62" spans="1:10">
      <c r="A62" s="10" t="s">
        <v>584</v>
      </c>
    </row>
    <row r="63" spans="1:10">
      <c r="A63" s="10" t="s">
        <v>585</v>
      </c>
      <c r="F63" s="290" t="s">
        <v>586</v>
      </c>
      <c r="G63" s="116"/>
    </row>
    <row r="64" spans="1:10">
      <c r="A64" s="10" t="s">
        <v>587</v>
      </c>
      <c r="F64" s="281" t="s">
        <v>517</v>
      </c>
      <c r="G64" s="764" t="s">
        <v>518</v>
      </c>
      <c r="H64" s="711"/>
      <c r="I64" s="281" t="s">
        <v>519</v>
      </c>
      <c r="J64" s="281" t="s">
        <v>520</v>
      </c>
    </row>
    <row r="65" spans="1:12">
      <c r="F65" s="762"/>
      <c r="G65" s="282" t="s">
        <v>581</v>
      </c>
      <c r="H65" s="282">
        <v>11949</v>
      </c>
      <c r="I65" s="762">
        <f>SUM(H66-H65)</f>
        <v>135</v>
      </c>
      <c r="J65" s="762">
        <f>SUM(I65*6)</f>
        <v>810</v>
      </c>
    </row>
    <row r="66" spans="1:12" ht="15.55">
      <c r="A66" s="11" t="s">
        <v>588</v>
      </c>
      <c r="B66" s="766" t="s">
        <v>589</v>
      </c>
      <c r="F66" s="709"/>
      <c r="G66" s="282" t="s">
        <v>590</v>
      </c>
      <c r="H66" s="282">
        <v>12084</v>
      </c>
      <c r="I66" s="709"/>
      <c r="J66" s="709"/>
    </row>
    <row r="67" spans="1:12">
      <c r="A67" s="10" t="s">
        <v>591</v>
      </c>
      <c r="B67" s="291" t="s">
        <v>592</v>
      </c>
      <c r="C67" s="291">
        <v>6800</v>
      </c>
      <c r="F67" s="284" t="s">
        <v>533</v>
      </c>
      <c r="G67" s="765" t="s">
        <v>518</v>
      </c>
      <c r="H67" s="711"/>
      <c r="I67" s="284" t="s">
        <v>519</v>
      </c>
      <c r="J67" s="284" t="s">
        <v>520</v>
      </c>
    </row>
    <row r="68" spans="1:12">
      <c r="A68" s="10" t="s">
        <v>593</v>
      </c>
      <c r="B68" s="291" t="s">
        <v>594</v>
      </c>
      <c r="C68" s="291">
        <v>6800</v>
      </c>
      <c r="F68" s="763"/>
      <c r="G68" s="286" t="s">
        <v>582</v>
      </c>
      <c r="H68" s="287">
        <v>1596</v>
      </c>
      <c r="I68" s="763">
        <f>SUM(H69-H68)</f>
        <v>119</v>
      </c>
      <c r="J68" s="763">
        <f>SUM(I68*6)</f>
        <v>714</v>
      </c>
    </row>
    <row r="69" spans="1:12">
      <c r="A69" s="10" t="s">
        <v>595</v>
      </c>
      <c r="B69" s="292" t="s">
        <v>32</v>
      </c>
      <c r="C69" s="292">
        <f>SUM(C67:C68)</f>
        <v>13600</v>
      </c>
      <c r="F69" s="709"/>
      <c r="G69" s="286" t="s">
        <v>596</v>
      </c>
      <c r="H69" s="287">
        <v>1715</v>
      </c>
      <c r="I69" s="709"/>
      <c r="J69" s="709"/>
      <c r="L69" s="293"/>
    </row>
    <row r="70" spans="1:12">
      <c r="A70" s="10" t="s">
        <v>597</v>
      </c>
      <c r="B70" s="294" t="s">
        <v>598</v>
      </c>
      <c r="C70" s="294"/>
      <c r="F70" s="288" t="s">
        <v>541</v>
      </c>
      <c r="G70" s="289"/>
      <c r="H70" s="288"/>
      <c r="L70" s="116"/>
    </row>
    <row r="71" spans="1:12">
      <c r="B71" s="294" t="s">
        <v>599</v>
      </c>
      <c r="C71" s="294">
        <v>2000</v>
      </c>
    </row>
    <row r="72" spans="1:12">
      <c r="B72" s="294" t="s">
        <v>600</v>
      </c>
      <c r="C72" s="294">
        <v>440</v>
      </c>
      <c r="F72" s="290" t="s">
        <v>601</v>
      </c>
      <c r="G72" s="116"/>
    </row>
    <row r="73" spans="1:12">
      <c r="B73" s="294"/>
      <c r="C73" s="295">
        <v>2440</v>
      </c>
      <c r="F73" s="281" t="s">
        <v>517</v>
      </c>
      <c r="G73" s="764" t="s">
        <v>518</v>
      </c>
      <c r="H73" s="711"/>
      <c r="I73" s="281" t="s">
        <v>519</v>
      </c>
      <c r="J73" s="281" t="s">
        <v>520</v>
      </c>
    </row>
    <row r="74" spans="1:12">
      <c r="B74" s="296" t="s">
        <v>602</v>
      </c>
      <c r="C74" s="296">
        <f>SUM(C69-C73)</f>
        <v>11160</v>
      </c>
      <c r="F74" s="762"/>
      <c r="G74" s="282" t="s">
        <v>590</v>
      </c>
      <c r="H74" s="282">
        <v>12084</v>
      </c>
      <c r="I74" s="762">
        <f>SUM(H75-H74)</f>
        <v>143</v>
      </c>
      <c r="J74" s="762">
        <f>SUM(I74*6)</f>
        <v>858</v>
      </c>
    </row>
    <row r="75" spans="1:12">
      <c r="F75" s="709"/>
      <c r="G75" s="282" t="s">
        <v>603</v>
      </c>
      <c r="H75" s="282">
        <v>12227</v>
      </c>
      <c r="I75" s="709"/>
      <c r="J75" s="709"/>
      <c r="L75" s="10">
        <f>(7216-6400)/6+12227</f>
        <v>12363</v>
      </c>
    </row>
    <row r="76" spans="1:12">
      <c r="F76" s="284" t="s">
        <v>533</v>
      </c>
      <c r="G76" s="765" t="s">
        <v>518</v>
      </c>
      <c r="H76" s="711"/>
      <c r="I76" s="284" t="s">
        <v>519</v>
      </c>
      <c r="J76" s="284" t="s">
        <v>520</v>
      </c>
    </row>
    <row r="77" spans="1:12">
      <c r="F77" s="763"/>
      <c r="G77" s="286" t="s">
        <v>596</v>
      </c>
      <c r="H77" s="287">
        <v>1715</v>
      </c>
      <c r="I77" s="763">
        <f>SUM(H78-H77)</f>
        <v>117</v>
      </c>
      <c r="J77" s="763">
        <f>SUM(I77*6)</f>
        <v>702</v>
      </c>
    </row>
    <row r="78" spans="1:12">
      <c r="F78" s="709"/>
      <c r="G78" s="286" t="s">
        <v>604</v>
      </c>
      <c r="H78" s="287">
        <v>1832</v>
      </c>
      <c r="I78" s="709"/>
      <c r="J78" s="709"/>
    </row>
    <row r="79" spans="1:12">
      <c r="B79" s="10" t="s">
        <v>605</v>
      </c>
      <c r="C79" s="10">
        <v>1024</v>
      </c>
      <c r="F79" s="288" t="s">
        <v>541</v>
      </c>
      <c r="G79" s="289"/>
      <c r="H79" s="288"/>
    </row>
    <row r="80" spans="1:12">
      <c r="B80" s="10" t="s">
        <v>606</v>
      </c>
      <c r="C80" s="10">
        <v>934</v>
      </c>
    </row>
    <row r="81" spans="2:10">
      <c r="B81" s="10" t="s">
        <v>508</v>
      </c>
      <c r="C81" s="10">
        <v>90</v>
      </c>
      <c r="F81" s="290" t="s">
        <v>607</v>
      </c>
      <c r="G81" s="116"/>
    </row>
    <row r="82" spans="2:10">
      <c r="B82" s="10" t="s">
        <v>608</v>
      </c>
      <c r="C82" s="11">
        <f>90 * 5.4</f>
        <v>486.00000000000006</v>
      </c>
      <c r="F82" s="281" t="s">
        <v>517</v>
      </c>
      <c r="G82" s="764" t="s">
        <v>518</v>
      </c>
      <c r="H82" s="711"/>
      <c r="I82" s="281" t="s">
        <v>519</v>
      </c>
      <c r="J82" s="281" t="s">
        <v>520</v>
      </c>
    </row>
    <row r="83" spans="2:10">
      <c r="B83" s="10" t="s">
        <v>609</v>
      </c>
      <c r="C83" s="11">
        <v>100</v>
      </c>
      <c r="F83" s="762"/>
      <c r="G83" s="282" t="s">
        <v>603</v>
      </c>
      <c r="H83" s="282">
        <v>12227</v>
      </c>
      <c r="I83" s="762">
        <f>SUM(H84-H83)</f>
        <v>136</v>
      </c>
      <c r="J83" s="762">
        <f>SUM(I83*6)</f>
        <v>816</v>
      </c>
    </row>
    <row r="84" spans="2:10">
      <c r="B84" s="10" t="s">
        <v>610</v>
      </c>
      <c r="C84" s="11">
        <f>586*13/100</f>
        <v>76.180000000000007</v>
      </c>
      <c r="F84" s="709"/>
      <c r="G84" s="282" t="s">
        <v>611</v>
      </c>
      <c r="H84" s="282">
        <v>12363</v>
      </c>
      <c r="I84" s="709"/>
      <c r="J84" s="709"/>
    </row>
    <row r="85" spans="2:10">
      <c r="B85" s="10" t="s">
        <v>612</v>
      </c>
      <c r="C85" s="10">
        <f>SUM(C82:C84)</f>
        <v>662.18000000000006</v>
      </c>
      <c r="F85" s="284" t="s">
        <v>533</v>
      </c>
      <c r="G85" s="765" t="s">
        <v>518</v>
      </c>
      <c r="H85" s="711"/>
      <c r="I85" s="284" t="s">
        <v>519</v>
      </c>
      <c r="J85" s="284" t="s">
        <v>520</v>
      </c>
    </row>
    <row r="86" spans="2:10">
      <c r="B86" s="10" t="s">
        <v>613</v>
      </c>
      <c r="C86" s="11">
        <v>6800</v>
      </c>
      <c r="F86" s="763"/>
      <c r="G86" s="286" t="s">
        <v>604</v>
      </c>
      <c r="H86" s="287">
        <v>30</v>
      </c>
      <c r="I86" s="763">
        <f>SUM(H87-H86)</f>
        <v>70</v>
      </c>
      <c r="J86" s="763">
        <f>SUM(I86*6)</f>
        <v>420</v>
      </c>
    </row>
    <row r="87" spans="2:10">
      <c r="B87" s="10" t="s">
        <v>614</v>
      </c>
      <c r="C87" s="10">
        <f>SUM(C85:C86)</f>
        <v>7462.18</v>
      </c>
      <c r="F87" s="709"/>
      <c r="G87" s="286" t="s">
        <v>615</v>
      </c>
      <c r="H87" s="287">
        <v>100</v>
      </c>
      <c r="I87" s="709"/>
      <c r="J87" s="709"/>
    </row>
    <row r="88" spans="2:10">
      <c r="F88" s="288" t="s">
        <v>541</v>
      </c>
      <c r="G88" s="289"/>
      <c r="H88" s="288"/>
    </row>
    <row r="90" spans="2:10">
      <c r="F90" s="290" t="s">
        <v>616</v>
      </c>
      <c r="G90" s="116"/>
    </row>
    <row r="91" spans="2:10">
      <c r="F91" s="281" t="s">
        <v>517</v>
      </c>
      <c r="G91" s="764" t="s">
        <v>518</v>
      </c>
      <c r="H91" s="711"/>
      <c r="I91" s="281" t="s">
        <v>519</v>
      </c>
      <c r="J91" s="281" t="s">
        <v>520</v>
      </c>
    </row>
    <row r="92" spans="2:10">
      <c r="B92" s="10">
        <v>72289</v>
      </c>
      <c r="F92" s="762"/>
      <c r="G92" s="282" t="s">
        <v>611</v>
      </c>
      <c r="H92" s="282"/>
      <c r="I92" s="762">
        <f>SUM(H93-H92)</f>
        <v>0</v>
      </c>
      <c r="J92" s="762">
        <f>SUM(I92*6)</f>
        <v>0</v>
      </c>
    </row>
    <row r="93" spans="2:10">
      <c r="B93" s="10">
        <v>182000</v>
      </c>
      <c r="F93" s="709"/>
      <c r="G93" s="282" t="s">
        <v>617</v>
      </c>
      <c r="H93" s="282"/>
      <c r="I93" s="709"/>
      <c r="J93" s="709"/>
    </row>
    <row r="94" spans="2:10">
      <c r="F94" s="284" t="s">
        <v>533</v>
      </c>
      <c r="G94" s="765" t="s">
        <v>518</v>
      </c>
      <c r="H94" s="711"/>
      <c r="I94" s="284" t="s">
        <v>519</v>
      </c>
      <c r="J94" s="284" t="s">
        <v>520</v>
      </c>
    </row>
    <row r="95" spans="2:10">
      <c r="F95" s="763"/>
      <c r="G95" s="286" t="s">
        <v>615</v>
      </c>
      <c r="H95" s="287">
        <v>100</v>
      </c>
      <c r="I95" s="763">
        <f>SUM(H96-H95)</f>
        <v>59</v>
      </c>
      <c r="J95" s="763">
        <f>SUM(I95*6)</f>
        <v>354</v>
      </c>
    </row>
    <row r="96" spans="2:10">
      <c r="F96" s="709"/>
      <c r="G96" s="286" t="s">
        <v>618</v>
      </c>
      <c r="H96" s="287">
        <v>159</v>
      </c>
      <c r="I96" s="709"/>
      <c r="J96" s="709"/>
    </row>
    <row r="97" spans="6:10">
      <c r="F97" s="288" t="s">
        <v>541</v>
      </c>
      <c r="G97" s="289"/>
      <c r="H97" s="288"/>
    </row>
    <row r="99" spans="6:10">
      <c r="F99" s="290" t="s">
        <v>616</v>
      </c>
      <c r="G99" s="116"/>
    </row>
    <row r="100" spans="6:10">
      <c r="F100" s="281" t="s">
        <v>517</v>
      </c>
      <c r="G100" s="764" t="s">
        <v>518</v>
      </c>
      <c r="H100" s="711"/>
      <c r="I100" s="281" t="s">
        <v>519</v>
      </c>
      <c r="J100" s="281" t="s">
        <v>520</v>
      </c>
    </row>
    <row r="101" spans="6:10">
      <c r="F101" s="762"/>
      <c r="G101" s="282" t="s">
        <v>611</v>
      </c>
      <c r="H101" s="282"/>
      <c r="I101" s="762">
        <f>SUM(H102-H101)</f>
        <v>0</v>
      </c>
      <c r="J101" s="762">
        <f>SUM(I101*6)</f>
        <v>0</v>
      </c>
    </row>
    <row r="102" spans="6:10">
      <c r="F102" s="709"/>
      <c r="G102" s="282" t="s">
        <v>617</v>
      </c>
      <c r="H102" s="282"/>
      <c r="I102" s="709"/>
      <c r="J102" s="709"/>
    </row>
    <row r="103" spans="6:10">
      <c r="F103" s="284" t="s">
        <v>533</v>
      </c>
      <c r="G103" s="765" t="s">
        <v>518</v>
      </c>
      <c r="H103" s="711"/>
      <c r="I103" s="284" t="s">
        <v>519</v>
      </c>
      <c r="J103" s="284" t="s">
        <v>520</v>
      </c>
    </row>
    <row r="104" spans="6:10">
      <c r="F104" s="763"/>
      <c r="G104" s="286" t="s">
        <v>615</v>
      </c>
      <c r="H104" s="287">
        <v>100</v>
      </c>
      <c r="I104" s="763">
        <f>SUM(H105-H104)</f>
        <v>59</v>
      </c>
      <c r="J104" s="763">
        <f>SUM(I104*6)</f>
        <v>354</v>
      </c>
    </row>
    <row r="105" spans="6:10">
      <c r="F105" s="709"/>
      <c r="G105" s="286" t="s">
        <v>618</v>
      </c>
      <c r="H105" s="287">
        <v>159</v>
      </c>
      <c r="I105" s="709"/>
      <c r="J105" s="709"/>
    </row>
    <row r="106" spans="6:10">
      <c r="F106" s="288" t="s">
        <v>541</v>
      </c>
      <c r="G106" s="289"/>
      <c r="H106" s="28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8"/>
  <sheetViews>
    <sheetView workbookViewId="0"/>
  </sheetViews>
  <sheetFormatPr defaultRowHeight="13.3"/>
  <sheetData>
    <row r="1" spans="1:11">
      <c r="A1" s="767" t="s">
        <v>619</v>
      </c>
      <c r="B1" s="768" t="s">
        <v>620</v>
      </c>
      <c r="C1" s="727"/>
      <c r="D1" s="764" t="s">
        <v>621</v>
      </c>
      <c r="E1" s="711"/>
      <c r="F1" s="767" t="s">
        <v>519</v>
      </c>
      <c r="G1" s="767" t="s">
        <v>520</v>
      </c>
    </row>
    <row r="2" spans="1:11">
      <c r="A2" s="709"/>
      <c r="B2" s="282" t="s">
        <v>622</v>
      </c>
      <c r="C2" s="282" t="s">
        <v>623</v>
      </c>
      <c r="D2" s="282" t="s">
        <v>622</v>
      </c>
      <c r="E2" s="282" t="s">
        <v>623</v>
      </c>
      <c r="F2" s="709"/>
      <c r="G2" s="709"/>
    </row>
    <row r="3" spans="1:11">
      <c r="A3" s="297" t="s">
        <v>624</v>
      </c>
      <c r="B3" s="298" t="s">
        <v>625</v>
      </c>
      <c r="C3" s="298">
        <v>273</v>
      </c>
      <c r="D3" s="298" t="s">
        <v>626</v>
      </c>
      <c r="E3" s="298">
        <v>219</v>
      </c>
      <c r="F3" s="298">
        <f>SUM(C3-E3)</f>
        <v>54</v>
      </c>
      <c r="G3" s="298">
        <f>SUM(F3*6)</f>
        <v>324</v>
      </c>
    </row>
    <row r="4" spans="1:11">
      <c r="A4" s="297" t="s">
        <v>517</v>
      </c>
      <c r="B4" s="298" t="s">
        <v>627</v>
      </c>
      <c r="C4" s="298">
        <v>12712</v>
      </c>
      <c r="D4" s="298" t="s">
        <v>628</v>
      </c>
      <c r="E4" s="298">
        <v>12618</v>
      </c>
      <c r="F4" s="298">
        <f>SUM(C4-E4)</f>
        <v>94</v>
      </c>
      <c r="G4" s="298">
        <f>SUM(F4*6)</f>
        <v>564</v>
      </c>
    </row>
    <row r="13" spans="1:11">
      <c r="B13" s="10" t="s">
        <v>629</v>
      </c>
      <c r="C13" s="10">
        <v>9140</v>
      </c>
      <c r="K13" s="299" t="s">
        <v>630</v>
      </c>
    </row>
    <row r="14" spans="1:11">
      <c r="B14" s="10" t="s">
        <v>631</v>
      </c>
      <c r="C14" s="10">
        <v>16667</v>
      </c>
    </row>
    <row r="15" spans="1:11">
      <c r="B15" s="10" t="s">
        <v>632</v>
      </c>
      <c r="C15" s="10">
        <v>16667</v>
      </c>
    </row>
    <row r="16" spans="1:11">
      <c r="B16" s="10" t="s">
        <v>633</v>
      </c>
      <c r="C16" s="10">
        <v>16667</v>
      </c>
    </row>
    <row r="17" spans="3:8">
      <c r="C17" s="10">
        <f>SUM(C13:C16)</f>
        <v>59141</v>
      </c>
      <c r="F17" s="85"/>
    </row>
    <row r="18" spans="3:8">
      <c r="F18" s="85"/>
    </row>
    <row r="19" spans="3:8">
      <c r="H19" s="11"/>
    </row>
    <row r="20" spans="3:8">
      <c r="H20" s="11">
        <v>1</v>
      </c>
    </row>
    <row r="21" spans="3:8">
      <c r="H21" s="10">
        <v>2</v>
      </c>
    </row>
    <row r="22" spans="3:8">
      <c r="H22" s="11">
        <v>3</v>
      </c>
    </row>
    <row r="23" spans="3:8">
      <c r="D23" s="300">
        <f>213 + 150</f>
        <v>363</v>
      </c>
      <c r="H23" s="11">
        <v>4</v>
      </c>
    </row>
    <row r="24" spans="3:8">
      <c r="H24" s="10">
        <v>5</v>
      </c>
    </row>
    <row r="25" spans="3:8">
      <c r="H25" s="11">
        <v>6</v>
      </c>
    </row>
    <row r="28" spans="3:8">
      <c r="E28" s="10" t="s">
        <v>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/>
  </sheetViews>
  <sheetFormatPr defaultRowHeight="13.3"/>
  <sheetData>
    <row r="1" spans="1:26" ht="27.7">
      <c r="A1" s="302" t="s">
        <v>657</v>
      </c>
      <c r="B1" s="311" t="s">
        <v>658</v>
      </c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</row>
    <row r="2" spans="1:26" ht="15.55">
      <c r="A2" s="312" t="s">
        <v>123</v>
      </c>
      <c r="B2" s="312" t="s">
        <v>659</v>
      </c>
      <c r="C2" s="312" t="s">
        <v>660</v>
      </c>
      <c r="D2" s="312" t="s">
        <v>661</v>
      </c>
      <c r="E2" s="313" t="s">
        <v>520</v>
      </c>
      <c r="F2" s="313" t="s">
        <v>662</v>
      </c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</row>
    <row r="3" spans="1:26" ht="15.55">
      <c r="A3" s="85">
        <v>1</v>
      </c>
      <c r="B3" s="314" t="s">
        <v>663</v>
      </c>
      <c r="C3" s="315">
        <v>42432</v>
      </c>
      <c r="D3" s="315"/>
      <c r="E3" s="316">
        <v>8951.2000000000007</v>
      </c>
      <c r="F3" s="116">
        <v>85</v>
      </c>
      <c r="I3" s="316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302"/>
      <c r="Z3" s="302"/>
    </row>
    <row r="4" spans="1:26" ht="15.55">
      <c r="A4" s="85">
        <v>2</v>
      </c>
      <c r="B4" s="116" t="s">
        <v>664</v>
      </c>
      <c r="C4" s="317">
        <v>42433</v>
      </c>
      <c r="D4" s="317"/>
      <c r="E4" s="1">
        <v>32049.7</v>
      </c>
      <c r="F4" s="116">
        <v>442</v>
      </c>
      <c r="I4" s="1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</row>
    <row r="5" spans="1:26" ht="15.55">
      <c r="A5" s="85">
        <v>3</v>
      </c>
      <c r="B5" s="116" t="s">
        <v>665</v>
      </c>
      <c r="C5" s="317">
        <v>42434</v>
      </c>
      <c r="D5" s="317"/>
      <c r="E5" s="1">
        <v>37797.620000000003</v>
      </c>
      <c r="F5" s="116">
        <v>805</v>
      </c>
      <c r="I5" s="1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</row>
    <row r="6" spans="1:26" ht="15.55">
      <c r="A6" s="85">
        <v>4</v>
      </c>
      <c r="B6" s="116" t="s">
        <v>666</v>
      </c>
      <c r="C6" s="317">
        <v>42435</v>
      </c>
      <c r="D6" s="317"/>
      <c r="E6" s="1">
        <v>7684</v>
      </c>
      <c r="F6" s="116">
        <v>899</v>
      </c>
      <c r="I6" s="1"/>
      <c r="J6" s="302"/>
      <c r="K6" s="302"/>
      <c r="L6" s="302"/>
      <c r="M6" s="302"/>
      <c r="N6" s="302"/>
      <c r="O6" s="302"/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</row>
    <row r="7" spans="1:26" ht="15.55">
      <c r="A7" s="85">
        <v>5</v>
      </c>
      <c r="B7" s="116" t="s">
        <v>667</v>
      </c>
      <c r="C7" s="317">
        <v>42436</v>
      </c>
      <c r="D7" s="317"/>
      <c r="E7" s="1">
        <v>8665.76</v>
      </c>
      <c r="F7" s="116">
        <v>986</v>
      </c>
      <c r="I7" s="1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</row>
    <row r="8" spans="1:26" ht="15.55">
      <c r="A8" s="85">
        <v>6</v>
      </c>
      <c r="B8" s="116" t="s">
        <v>668</v>
      </c>
      <c r="C8" s="317">
        <v>42437</v>
      </c>
      <c r="D8" s="317"/>
      <c r="E8" s="1">
        <v>45546.879999999997</v>
      </c>
      <c r="F8" s="116">
        <v>1439</v>
      </c>
      <c r="I8" s="1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</row>
    <row r="9" spans="1:26" ht="15.55">
      <c r="A9" s="85">
        <v>7</v>
      </c>
      <c r="B9" s="116" t="s">
        <v>669</v>
      </c>
      <c r="C9" s="317">
        <v>42438</v>
      </c>
      <c r="D9" s="317"/>
      <c r="E9" s="1">
        <v>25292</v>
      </c>
      <c r="F9" s="318">
        <v>1710</v>
      </c>
      <c r="G9" s="769"/>
      <c r="I9" s="1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</row>
    <row r="10" spans="1:26" ht="15.55">
      <c r="A10" s="85">
        <v>8</v>
      </c>
      <c r="B10" s="116" t="s">
        <v>670</v>
      </c>
      <c r="C10" s="317">
        <v>42439</v>
      </c>
      <c r="D10" s="319" t="s">
        <v>671</v>
      </c>
      <c r="E10" s="1">
        <v>19759.72</v>
      </c>
      <c r="F10" s="318">
        <v>1911</v>
      </c>
      <c r="H10" s="302"/>
      <c r="I10" s="1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</row>
    <row r="11" spans="1:26" ht="15.55">
      <c r="A11" s="85">
        <v>9</v>
      </c>
      <c r="B11" s="116" t="s">
        <v>672</v>
      </c>
      <c r="C11" s="317">
        <v>42440</v>
      </c>
      <c r="D11" s="319" t="s">
        <v>673</v>
      </c>
      <c r="E11" s="1">
        <v>22198</v>
      </c>
      <c r="F11" s="318">
        <v>2133</v>
      </c>
      <c r="H11" s="302"/>
      <c r="I11" s="1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</row>
    <row r="12" spans="1:26" ht="15.55">
      <c r="A12" s="85">
        <v>10</v>
      </c>
      <c r="B12" s="116" t="s">
        <v>674</v>
      </c>
      <c r="C12" s="317">
        <v>42441</v>
      </c>
      <c r="D12" s="319" t="s">
        <v>675</v>
      </c>
      <c r="E12" s="1">
        <v>31511.5</v>
      </c>
      <c r="F12" s="318">
        <v>2477</v>
      </c>
      <c r="H12" s="302"/>
      <c r="I12" s="1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</row>
    <row r="13" spans="1:26" ht="15.55">
      <c r="A13" s="85">
        <v>11</v>
      </c>
      <c r="B13" s="116" t="s">
        <v>676</v>
      </c>
      <c r="C13" s="317">
        <v>42795</v>
      </c>
      <c r="D13" s="319" t="s">
        <v>677</v>
      </c>
      <c r="E13" s="1">
        <v>23129.82</v>
      </c>
      <c r="F13" s="318">
        <v>2690</v>
      </c>
      <c r="H13" s="302"/>
      <c r="I13" s="1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</row>
    <row r="14" spans="1:26" ht="15.55">
      <c r="A14" s="85">
        <v>12</v>
      </c>
      <c r="B14" s="116" t="s">
        <v>678</v>
      </c>
      <c r="C14" s="317">
        <v>42796</v>
      </c>
      <c r="D14" s="319" t="s">
        <v>679</v>
      </c>
      <c r="E14" s="1">
        <v>20512.5</v>
      </c>
      <c r="F14" s="318">
        <v>2894</v>
      </c>
      <c r="H14" s="302"/>
      <c r="I14" s="1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</row>
    <row r="15" spans="1:26" ht="15.55">
      <c r="A15" s="85">
        <v>13</v>
      </c>
      <c r="B15" s="116" t="s">
        <v>680</v>
      </c>
      <c r="C15" s="317">
        <v>42797</v>
      </c>
      <c r="D15" s="319" t="s">
        <v>681</v>
      </c>
      <c r="E15" s="1">
        <v>7554.85</v>
      </c>
      <c r="F15" s="318">
        <v>2964</v>
      </c>
      <c r="H15" s="302"/>
      <c r="I15" s="1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</row>
    <row r="16" spans="1:26" ht="15.55">
      <c r="A16" s="85">
        <v>14</v>
      </c>
      <c r="B16" s="116" t="s">
        <v>682</v>
      </c>
      <c r="C16" s="317">
        <v>42798</v>
      </c>
      <c r="D16" s="319" t="s">
        <v>683</v>
      </c>
      <c r="E16" s="320">
        <v>42086.09</v>
      </c>
      <c r="F16" s="321">
        <v>3318</v>
      </c>
      <c r="H16" s="302"/>
      <c r="I16" s="320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</row>
    <row r="17" spans="1:26" ht="15.55">
      <c r="A17" s="85">
        <v>15</v>
      </c>
      <c r="B17" s="116" t="s">
        <v>684</v>
      </c>
      <c r="C17" s="317">
        <v>42799</v>
      </c>
      <c r="D17" s="319" t="s">
        <v>685</v>
      </c>
      <c r="E17" s="320">
        <v>34964.94</v>
      </c>
      <c r="F17" s="321">
        <v>3706</v>
      </c>
      <c r="H17" s="302"/>
      <c r="I17" s="32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</row>
    <row r="18" spans="1:26" ht="15.55">
      <c r="A18" s="85">
        <v>16</v>
      </c>
      <c r="B18" s="116" t="s">
        <v>686</v>
      </c>
      <c r="C18" s="317">
        <v>42800</v>
      </c>
      <c r="D18" s="319" t="s">
        <v>687</v>
      </c>
      <c r="E18" s="320">
        <v>12722.9</v>
      </c>
      <c r="F18" s="321">
        <v>3706</v>
      </c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</row>
    <row r="19" spans="1:26" ht="15.55">
      <c r="A19" s="85">
        <v>17</v>
      </c>
      <c r="B19" s="116" t="s">
        <v>688</v>
      </c>
      <c r="C19" s="317">
        <v>42801</v>
      </c>
      <c r="D19" s="319" t="s">
        <v>689</v>
      </c>
      <c r="E19" s="320">
        <v>5920</v>
      </c>
      <c r="F19" s="321">
        <v>3898</v>
      </c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</row>
    <row r="20" spans="1:26" ht="15.55">
      <c r="A20" s="85">
        <v>18</v>
      </c>
      <c r="B20" s="116" t="s">
        <v>690</v>
      </c>
      <c r="C20" s="317">
        <v>42802</v>
      </c>
      <c r="D20" s="319" t="s">
        <v>691</v>
      </c>
      <c r="E20" s="320">
        <v>21541.759999999998</v>
      </c>
      <c r="F20" s="321">
        <v>4111</v>
      </c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</row>
    <row r="21" spans="1:26" ht="15.55">
      <c r="A21" s="85">
        <v>19</v>
      </c>
      <c r="B21" s="116" t="s">
        <v>692</v>
      </c>
      <c r="C21" s="317">
        <v>42803</v>
      </c>
      <c r="D21" s="319" t="s">
        <v>693</v>
      </c>
      <c r="E21" s="320">
        <v>11795</v>
      </c>
      <c r="F21" s="321">
        <v>4229</v>
      </c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</row>
    <row r="22" spans="1:26" ht="15.55">
      <c r="A22" s="85">
        <v>20</v>
      </c>
      <c r="B22" s="116" t="s">
        <v>694</v>
      </c>
      <c r="C22" s="317">
        <v>42803</v>
      </c>
      <c r="D22" s="319" t="s">
        <v>695</v>
      </c>
      <c r="E22" s="1">
        <v>10000</v>
      </c>
      <c r="F22" s="318">
        <v>4329</v>
      </c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02"/>
      <c r="U22" s="302"/>
      <c r="V22" s="302"/>
      <c r="W22" s="302"/>
      <c r="X22" s="302"/>
      <c r="Y22" s="302"/>
      <c r="Z22" s="302"/>
    </row>
    <row r="23" spans="1:26" ht="15.55">
      <c r="A23" s="85">
        <v>21</v>
      </c>
      <c r="B23" s="116" t="s">
        <v>696</v>
      </c>
      <c r="C23" s="317">
        <v>42804</v>
      </c>
      <c r="D23" s="319" t="s">
        <v>697</v>
      </c>
      <c r="E23" s="1">
        <v>53654</v>
      </c>
      <c r="F23" s="318">
        <v>4862</v>
      </c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</row>
    <row r="24" spans="1:26" ht="15.55">
      <c r="A24" s="85">
        <v>22</v>
      </c>
      <c r="B24" s="116" t="s">
        <v>698</v>
      </c>
      <c r="C24" s="317">
        <v>42805</v>
      </c>
      <c r="D24" s="319" t="s">
        <v>699</v>
      </c>
      <c r="E24" s="1">
        <v>6231</v>
      </c>
      <c r="F24" s="318">
        <v>4862</v>
      </c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</row>
    <row r="25" spans="1:26" ht="15.55">
      <c r="A25" s="85">
        <v>23</v>
      </c>
      <c r="B25" s="116" t="s">
        <v>700</v>
      </c>
      <c r="C25" s="317" t="s">
        <v>701</v>
      </c>
      <c r="D25" s="317" t="s">
        <v>702</v>
      </c>
      <c r="E25" s="1">
        <v>18672.18</v>
      </c>
      <c r="F25" s="318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</row>
    <row r="26" spans="1:26" ht="15.55">
      <c r="A26" s="85"/>
      <c r="B26" s="116"/>
      <c r="C26" s="317"/>
      <c r="D26" s="319"/>
      <c r="E26" s="1"/>
      <c r="F26" s="318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</row>
    <row r="27" spans="1:26" ht="15.55">
      <c r="A27" s="323" t="s">
        <v>703</v>
      </c>
      <c r="B27" s="323" t="s">
        <v>704</v>
      </c>
      <c r="C27" s="116"/>
      <c r="D27" s="301" t="s">
        <v>32</v>
      </c>
      <c r="E27" s="13">
        <f>SUM(E3:E24)</f>
        <v>489569.24000000005</v>
      </c>
      <c r="F27" s="116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</row>
    <row r="28" spans="1:26" ht="15.55">
      <c r="A28" s="116"/>
      <c r="B28" s="116"/>
      <c r="C28" s="116"/>
      <c r="D28" s="116"/>
      <c r="E28" s="116"/>
      <c r="F28" s="116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</row>
    <row r="29" spans="1:26" ht="15.55">
      <c r="A29" s="116"/>
      <c r="B29" s="116"/>
      <c r="C29" s="116"/>
      <c r="D29" s="116"/>
      <c r="F29" s="116"/>
      <c r="H29" s="302"/>
      <c r="I29" s="302"/>
      <c r="J29" s="302"/>
      <c r="K29" s="302"/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302"/>
    </row>
    <row r="30" spans="1:26" ht="15.55">
      <c r="A30" s="312" t="s">
        <v>705</v>
      </c>
      <c r="B30" s="312"/>
      <c r="C30" s="305"/>
      <c r="D30" s="305"/>
      <c r="E30" s="305"/>
      <c r="F30" s="305"/>
      <c r="G30" s="312"/>
      <c r="H30" s="302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302"/>
    </row>
    <row r="31" spans="1:26" ht="15.55">
      <c r="A31" s="11">
        <v>1</v>
      </c>
      <c r="C31" s="302" t="s">
        <v>706</v>
      </c>
      <c r="D31" s="324">
        <v>75373</v>
      </c>
      <c r="E31" s="116">
        <v>290.51</v>
      </c>
      <c r="F31" s="116">
        <v>11938</v>
      </c>
      <c r="G31" s="302"/>
      <c r="H31" s="302"/>
      <c r="I31" s="302"/>
      <c r="J31" s="302"/>
      <c r="K31" s="302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302"/>
    </row>
    <row r="32" spans="1:26" ht="15.55">
      <c r="D32" s="116"/>
      <c r="E32" s="116"/>
      <c r="F32" s="116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</row>
    <row r="33" spans="1:26" ht="15.55">
      <c r="A33" s="116"/>
      <c r="B33" s="302" t="s">
        <v>707</v>
      </c>
      <c r="D33" s="116"/>
      <c r="E33" s="116"/>
      <c r="F33" s="116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</row>
    <row r="34" spans="1:26" ht="15.55">
      <c r="A34" s="116"/>
      <c r="B34" s="116" t="s">
        <v>708</v>
      </c>
      <c r="C34" s="116"/>
      <c r="D34" s="116"/>
      <c r="E34" s="116"/>
      <c r="F34" s="116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  <c r="X34" s="302"/>
      <c r="Y34" s="302"/>
      <c r="Z34" s="302"/>
    </row>
    <row r="35" spans="1:26" ht="15.55">
      <c r="A35" s="302"/>
      <c r="B35" s="302" t="s">
        <v>709</v>
      </c>
      <c r="D35" s="302">
        <v>68</v>
      </c>
      <c r="F35" s="302"/>
      <c r="G35" s="302"/>
      <c r="H35" s="302"/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2"/>
      <c r="T35" s="302"/>
      <c r="U35" s="302"/>
      <c r="V35" s="302"/>
      <c r="W35" s="302"/>
      <c r="X35" s="302"/>
      <c r="Y35" s="302"/>
      <c r="Z35" s="302"/>
    </row>
    <row r="36" spans="1:26" ht="15.55">
      <c r="A36" s="302"/>
      <c r="D36" s="302">
        <v>360</v>
      </c>
      <c r="F36" s="302"/>
      <c r="G36" s="302"/>
      <c r="H36" s="302"/>
      <c r="I36" s="302"/>
      <c r="J36" s="302"/>
      <c r="K36" s="302"/>
      <c r="L36" s="302"/>
      <c r="M36" s="302"/>
      <c r="N36" s="302"/>
      <c r="O36" s="302"/>
      <c r="P36" s="302"/>
      <c r="Q36" s="302"/>
      <c r="R36" s="302"/>
      <c r="S36" s="302"/>
      <c r="T36" s="302"/>
      <c r="U36" s="302"/>
      <c r="V36" s="302"/>
      <c r="W36" s="302"/>
      <c r="X36" s="302"/>
      <c r="Y36" s="302"/>
      <c r="Z36" s="302"/>
    </row>
    <row r="37" spans="1:26" ht="15.55">
      <c r="A37" s="302"/>
      <c r="B37" s="302" t="s">
        <v>710</v>
      </c>
      <c r="D37" s="302">
        <v>535</v>
      </c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302"/>
      <c r="Z37" s="302"/>
    </row>
    <row r="38" spans="1:26" ht="15.55">
      <c r="A38" s="302"/>
      <c r="D38" s="302">
        <v>425</v>
      </c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02"/>
      <c r="T38" s="302"/>
      <c r="U38" s="302"/>
      <c r="V38" s="302"/>
      <c r="W38" s="302"/>
      <c r="X38" s="302"/>
      <c r="Y38" s="302"/>
      <c r="Z38" s="302"/>
    </row>
    <row r="39" spans="1:26" ht="15.55">
      <c r="A39" s="302"/>
      <c r="D39" s="302">
        <v>3100</v>
      </c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</row>
    <row r="40" spans="1:26" ht="15.55">
      <c r="A40" s="302"/>
      <c r="D40" s="302">
        <v>2493</v>
      </c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</row>
    <row r="41" spans="1:26" ht="15.55">
      <c r="A41" s="302"/>
      <c r="D41" s="301">
        <f>SUM(D35:D40)</f>
        <v>6981</v>
      </c>
      <c r="E41" s="302">
        <v>499</v>
      </c>
      <c r="F41" s="302"/>
      <c r="G41" s="302"/>
      <c r="H41" s="30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</row>
    <row r="42" spans="1:26" ht="15.55">
      <c r="A42" s="302"/>
      <c r="E42" s="302">
        <v>69.87</v>
      </c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</row>
    <row r="43" spans="1:26" ht="15.55">
      <c r="A43" s="302"/>
      <c r="E43" s="302">
        <v>2.4900000000000002</v>
      </c>
      <c r="F43" s="302"/>
      <c r="G43" s="302"/>
      <c r="H43" s="302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</row>
    <row r="44" spans="1:26" ht="15.55">
      <c r="A44" s="302"/>
      <c r="E44" s="302">
        <v>2.4900000000000002</v>
      </c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</row>
    <row r="45" spans="1:26" ht="15.55">
      <c r="A45" s="302"/>
      <c r="E45" s="302">
        <f>SUM(E41:E44)</f>
        <v>573.85</v>
      </c>
      <c r="F45" s="302"/>
      <c r="G45" s="302"/>
      <c r="H45" s="302"/>
      <c r="I45" s="302"/>
      <c r="J45" s="302"/>
      <c r="K45" s="302"/>
      <c r="L45" s="302"/>
      <c r="M45" s="302"/>
      <c r="N45" s="302"/>
      <c r="O45" s="302"/>
      <c r="P45" s="302"/>
      <c r="Q45" s="302"/>
      <c r="R45" s="302"/>
      <c r="S45" s="302"/>
      <c r="T45" s="302"/>
      <c r="U45" s="302"/>
      <c r="V45" s="302"/>
      <c r="W45" s="302"/>
      <c r="X45" s="302"/>
      <c r="Y45" s="302"/>
      <c r="Z45" s="302"/>
    </row>
    <row r="46" spans="1:26" ht="15.55">
      <c r="A46" s="302"/>
      <c r="D46" s="302">
        <f>SUM(D41+E45)</f>
        <v>7554.85</v>
      </c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2"/>
      <c r="P46" s="302"/>
      <c r="Q46" s="302"/>
      <c r="R46" s="302"/>
      <c r="S46" s="302"/>
      <c r="T46" s="302"/>
      <c r="U46" s="302"/>
      <c r="V46" s="302"/>
      <c r="W46" s="302"/>
      <c r="X46" s="302"/>
      <c r="Y46" s="302"/>
      <c r="Z46" s="302"/>
    </row>
    <row r="47" spans="1:26" ht="15.55">
      <c r="A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</row>
    <row r="48" spans="1:26" ht="15.55">
      <c r="A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</row>
    <row r="49" spans="1:26" ht="15.55">
      <c r="A49" s="302"/>
      <c r="B49" s="325" t="s">
        <v>711</v>
      </c>
      <c r="C49" s="326" t="s">
        <v>660</v>
      </c>
      <c r="D49" s="327" t="s">
        <v>661</v>
      </c>
      <c r="E49" s="302"/>
      <c r="F49" s="302"/>
      <c r="G49" s="302"/>
      <c r="H49" s="302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2"/>
      <c r="T49" s="302"/>
      <c r="U49" s="302"/>
      <c r="V49" s="302"/>
      <c r="W49" s="302"/>
      <c r="X49" s="302"/>
      <c r="Y49" s="302"/>
      <c r="Z49" s="302"/>
    </row>
    <row r="50" spans="1:26" ht="15.55">
      <c r="A50" s="302"/>
      <c r="B50" s="328" t="s">
        <v>712</v>
      </c>
      <c r="C50" s="329" t="s">
        <v>713</v>
      </c>
      <c r="D50" s="330" t="s">
        <v>714</v>
      </c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</row>
    <row r="51" spans="1:26" ht="15.55">
      <c r="A51" s="302"/>
      <c r="B51" s="328" t="s">
        <v>715</v>
      </c>
      <c r="C51" s="329" t="s">
        <v>716</v>
      </c>
      <c r="D51" s="330" t="s">
        <v>717</v>
      </c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</row>
    <row r="52" spans="1:26" ht="15.55">
      <c r="A52" s="302"/>
      <c r="B52" s="328"/>
      <c r="C52" s="329"/>
      <c r="D52" s="330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</row>
    <row r="53" spans="1:26" ht="15.55">
      <c r="A53" s="302"/>
      <c r="B53" s="302"/>
      <c r="C53" s="302"/>
      <c r="D53" s="302"/>
      <c r="E53" s="302"/>
      <c r="F53" s="302"/>
      <c r="G53" s="302"/>
      <c r="H53" s="302"/>
      <c r="I53" s="302"/>
      <c r="J53" s="302"/>
      <c r="K53" s="302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</row>
    <row r="54" spans="1:26" ht="15.55">
      <c r="A54" s="302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</row>
    <row r="55" spans="1:26" ht="15.55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</row>
    <row r="56" spans="1:26" ht="15.55">
      <c r="A56" s="302"/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</row>
    <row r="57" spans="1:26" ht="15.55">
      <c r="A57" s="302"/>
      <c r="B57" s="302"/>
      <c r="C57" s="302"/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</row>
    <row r="58" spans="1:26" ht="15.55">
      <c r="A58" s="302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</row>
    <row r="59" spans="1:26" ht="15.55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</row>
    <row r="60" spans="1:26" ht="15.55">
      <c r="A60" s="302"/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</row>
    <row r="61" spans="1:26" ht="15.55">
      <c r="A61" s="302"/>
      <c r="B61" s="302"/>
      <c r="C61" s="302"/>
      <c r="D61" s="302"/>
      <c r="E61" s="302"/>
      <c r="F61" s="302"/>
      <c r="G61" s="302"/>
      <c r="H61" s="302"/>
      <c r="I61" s="302"/>
      <c r="J61" s="302"/>
      <c r="K61" s="302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</row>
    <row r="62" spans="1:26" ht="15.55">
      <c r="A62" s="302"/>
      <c r="B62" s="302"/>
      <c r="C62" s="302"/>
      <c r="D62" s="302"/>
      <c r="E62" s="302"/>
      <c r="F62" s="302"/>
      <c r="G62" s="302"/>
      <c r="H62" s="302"/>
      <c r="I62" s="302"/>
      <c r="J62" s="302"/>
      <c r="K62" s="302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</row>
    <row r="63" spans="1:26" ht="15.55">
      <c r="A63" s="302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</row>
    <row r="64" spans="1:26" ht="15.55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</row>
    <row r="65" spans="1:26" ht="15.55">
      <c r="A65" s="302"/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</row>
    <row r="66" spans="1:26" ht="15.55">
      <c r="A66" s="302"/>
      <c r="B66" s="302"/>
      <c r="C66" s="302"/>
      <c r="D66" s="302"/>
      <c r="E66" s="302"/>
      <c r="F66" s="302"/>
      <c r="G66" s="302"/>
      <c r="H66" s="302"/>
      <c r="I66" s="302"/>
      <c r="J66" s="302"/>
      <c r="K66" s="302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</row>
    <row r="67" spans="1:26" ht="15.55">
      <c r="A67" s="302"/>
      <c r="B67" s="302"/>
      <c r="C67" s="302"/>
      <c r="D67" s="302"/>
      <c r="E67" s="302"/>
      <c r="F67" s="302"/>
      <c r="G67" s="302"/>
      <c r="H67" s="302"/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</row>
    <row r="68" spans="1:26" ht="15.55">
      <c r="A68" s="302"/>
      <c r="B68" s="302"/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</row>
    <row r="69" spans="1:26" ht="15.55">
      <c r="A69" s="302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</row>
    <row r="70" spans="1:26" ht="15.55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</row>
    <row r="71" spans="1:26" ht="15.55">
      <c r="A71" s="302"/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</row>
    <row r="72" spans="1:26" ht="15.55">
      <c r="A72" s="302"/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</row>
    <row r="73" spans="1:26" ht="15.55">
      <c r="A73" s="302"/>
      <c r="B73" s="302"/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</row>
    <row r="74" spans="1:26" ht="15.55">
      <c r="A74" s="302"/>
      <c r="B74" s="302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</row>
    <row r="75" spans="1:26" ht="15.55">
      <c r="A75" s="302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</row>
    <row r="76" spans="1:26" ht="15.55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</row>
    <row r="77" spans="1:26" ht="15.55">
      <c r="A77" s="302"/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</row>
    <row r="78" spans="1:26" ht="15.55">
      <c r="A78" s="302"/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</row>
    <row r="79" spans="1:26" ht="15.55">
      <c r="A79" s="302"/>
      <c r="B79" s="302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</row>
    <row r="80" spans="1:26" ht="15.55">
      <c r="A80" s="302"/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</row>
    <row r="81" spans="1:26" ht="15.55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</row>
    <row r="82" spans="1:26" ht="15.55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</row>
    <row r="83" spans="1:26" ht="15.55">
      <c r="A83" s="302"/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</row>
    <row r="84" spans="1:26" ht="15.55">
      <c r="A84" s="302"/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</row>
    <row r="85" spans="1:26" ht="15.55">
      <c r="A85" s="302"/>
      <c r="B85" s="302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</row>
    <row r="86" spans="1:26" ht="15.55">
      <c r="A86" s="302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</row>
    <row r="87" spans="1:26" ht="15.55">
      <c r="A87" s="302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</row>
    <row r="88" spans="1:26" ht="15.55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</row>
    <row r="89" spans="1:26" ht="15.55">
      <c r="A89" s="302"/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</row>
    <row r="90" spans="1:26" ht="15.55">
      <c r="A90" s="302"/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</row>
    <row r="91" spans="1:26" ht="15.55">
      <c r="A91" s="302"/>
      <c r="B91" s="302"/>
      <c r="C91" s="302"/>
      <c r="D91" s="302"/>
      <c r="E91" s="302"/>
      <c r="F91" s="302"/>
      <c r="G91" s="302"/>
      <c r="H91" s="302"/>
      <c r="I91" s="302"/>
      <c r="J91" s="302"/>
      <c r="K91" s="302"/>
      <c r="L91" s="302"/>
      <c r="M91" s="302"/>
      <c r="N91" s="302"/>
      <c r="O91" s="302"/>
      <c r="P91" s="302"/>
      <c r="Q91" s="302"/>
      <c r="R91" s="302"/>
      <c r="S91" s="302"/>
      <c r="T91" s="302"/>
      <c r="U91" s="302"/>
      <c r="V91" s="302"/>
      <c r="W91" s="302"/>
      <c r="X91" s="302"/>
      <c r="Y91" s="302"/>
      <c r="Z91" s="302"/>
    </row>
    <row r="92" spans="1:26" ht="15.55">
      <c r="A92" s="302"/>
      <c r="B92" s="302"/>
      <c r="C92" s="302"/>
      <c r="D92" s="302"/>
      <c r="E92" s="302"/>
      <c r="F92" s="302"/>
      <c r="G92" s="302"/>
      <c r="H92" s="302"/>
      <c r="I92" s="302"/>
      <c r="J92" s="302"/>
      <c r="K92" s="302"/>
      <c r="L92" s="302"/>
      <c r="M92" s="302"/>
      <c r="N92" s="302"/>
      <c r="O92" s="302"/>
      <c r="P92" s="302"/>
      <c r="Q92" s="302"/>
      <c r="R92" s="302"/>
      <c r="S92" s="302"/>
      <c r="T92" s="302"/>
      <c r="U92" s="302"/>
      <c r="V92" s="302"/>
      <c r="W92" s="302"/>
      <c r="X92" s="302"/>
      <c r="Y92" s="302"/>
      <c r="Z92" s="302"/>
    </row>
    <row r="93" spans="1:26" ht="15.55">
      <c r="A93" s="302"/>
      <c r="B93" s="302"/>
      <c r="C93" s="302"/>
      <c r="D93" s="302"/>
      <c r="E93" s="302"/>
      <c r="F93" s="302"/>
      <c r="G93" s="302"/>
      <c r="H93" s="302"/>
      <c r="I93" s="302"/>
      <c r="J93" s="302"/>
      <c r="K93" s="302"/>
      <c r="L93" s="302"/>
      <c r="M93" s="302"/>
      <c r="N93" s="302"/>
      <c r="O93" s="302"/>
      <c r="P93" s="302"/>
      <c r="Q93" s="302"/>
      <c r="R93" s="302"/>
      <c r="S93" s="302"/>
      <c r="T93" s="302"/>
      <c r="U93" s="302"/>
      <c r="V93" s="302"/>
      <c r="W93" s="302"/>
      <c r="X93" s="302"/>
      <c r="Y93" s="302"/>
      <c r="Z93" s="302"/>
    </row>
    <row r="94" spans="1:26" ht="15.55">
      <c r="A94" s="302"/>
      <c r="B94" s="302"/>
      <c r="C94" s="302"/>
      <c r="D94" s="302"/>
      <c r="E94" s="302"/>
      <c r="F94" s="302"/>
      <c r="G94" s="302"/>
      <c r="H94" s="302"/>
      <c r="I94" s="302"/>
      <c r="J94" s="302"/>
      <c r="K94" s="302"/>
      <c r="L94" s="302"/>
      <c r="M94" s="302"/>
      <c r="N94" s="302"/>
      <c r="O94" s="302"/>
      <c r="P94" s="302"/>
      <c r="Q94" s="302"/>
      <c r="R94" s="302"/>
      <c r="S94" s="302"/>
      <c r="T94" s="302"/>
      <c r="U94" s="302"/>
      <c r="V94" s="302"/>
      <c r="W94" s="302"/>
      <c r="X94" s="302"/>
      <c r="Y94" s="302"/>
      <c r="Z94" s="302"/>
    </row>
    <row r="95" spans="1:26" ht="15.55">
      <c r="A95" s="302"/>
      <c r="B95" s="302"/>
      <c r="C95" s="302"/>
      <c r="D95" s="302"/>
      <c r="E95" s="302"/>
      <c r="F95" s="302"/>
      <c r="G95" s="302"/>
      <c r="H95" s="302"/>
      <c r="I95" s="302"/>
      <c r="J95" s="302"/>
      <c r="K95" s="302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</row>
    <row r="96" spans="1:26" ht="15.55">
      <c r="A96" s="302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</row>
    <row r="97" spans="1:26" ht="15.55">
      <c r="A97" s="302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</row>
    <row r="98" spans="1:26" ht="15.55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</row>
    <row r="99" spans="1:26" ht="15.55">
      <c r="A99" s="302"/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</row>
    <row r="100" spans="1:26" ht="15.55">
      <c r="A100" s="302"/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</row>
    <row r="101" spans="1:26" ht="15.55">
      <c r="A101" s="302"/>
      <c r="B101" s="302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  <c r="M101" s="302"/>
      <c r="N101" s="302"/>
      <c r="O101" s="302"/>
      <c r="P101" s="302"/>
      <c r="Q101" s="302"/>
      <c r="R101" s="302"/>
      <c r="S101" s="302"/>
      <c r="T101" s="302"/>
      <c r="U101" s="302"/>
      <c r="V101" s="302"/>
      <c r="W101" s="302"/>
      <c r="X101" s="302"/>
      <c r="Y101" s="302"/>
      <c r="Z101" s="302"/>
    </row>
    <row r="102" spans="1:26" ht="15.55">
      <c r="A102" s="302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2"/>
      <c r="P102" s="302"/>
      <c r="Q102" s="302"/>
      <c r="R102" s="302"/>
      <c r="S102" s="302"/>
      <c r="T102" s="302"/>
      <c r="U102" s="302"/>
      <c r="V102" s="302"/>
      <c r="W102" s="302"/>
      <c r="X102" s="302"/>
      <c r="Y102" s="302"/>
      <c r="Z102" s="302"/>
    </row>
    <row r="103" spans="1:26" ht="15.55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2"/>
      <c r="P103" s="302"/>
      <c r="Q103" s="302"/>
      <c r="R103" s="302"/>
      <c r="S103" s="302"/>
      <c r="T103" s="302"/>
      <c r="U103" s="302"/>
      <c r="V103" s="302"/>
      <c r="W103" s="302"/>
      <c r="X103" s="302"/>
      <c r="Y103" s="302"/>
      <c r="Z103" s="302"/>
    </row>
    <row r="104" spans="1:26" ht="15.55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</row>
    <row r="105" spans="1:26" ht="15.55">
      <c r="A105" s="302"/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</row>
    <row r="106" spans="1:26" ht="15.55">
      <c r="A106" s="302"/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</row>
    <row r="107" spans="1:26" ht="15.55">
      <c r="A107" s="302"/>
      <c r="B107" s="302"/>
      <c r="C107" s="302"/>
      <c r="D107" s="302"/>
      <c r="E107" s="302"/>
      <c r="F107" s="302"/>
      <c r="G107" s="302"/>
      <c r="H107" s="302"/>
      <c r="I107" s="302"/>
      <c r="J107" s="302"/>
      <c r="K107" s="302"/>
      <c r="L107" s="302"/>
      <c r="M107" s="302"/>
      <c r="N107" s="302"/>
      <c r="O107" s="302"/>
      <c r="P107" s="302"/>
      <c r="Q107" s="302"/>
      <c r="R107" s="302"/>
      <c r="S107" s="302"/>
      <c r="T107" s="302"/>
      <c r="U107" s="302"/>
      <c r="V107" s="302"/>
      <c r="W107" s="302"/>
      <c r="X107" s="302"/>
      <c r="Y107" s="302"/>
      <c r="Z107" s="302"/>
    </row>
    <row r="108" spans="1:26" ht="15.55">
      <c r="A108" s="302"/>
      <c r="B108" s="302"/>
      <c r="C108" s="302"/>
      <c r="D108" s="302"/>
      <c r="E108" s="302"/>
      <c r="F108" s="302"/>
      <c r="G108" s="302"/>
      <c r="H108" s="302"/>
      <c r="I108" s="302"/>
      <c r="J108" s="302"/>
      <c r="K108" s="302"/>
      <c r="L108" s="302"/>
      <c r="M108" s="302"/>
      <c r="N108" s="302"/>
      <c r="O108" s="302"/>
      <c r="P108" s="302"/>
      <c r="Q108" s="302"/>
      <c r="R108" s="302"/>
      <c r="S108" s="302"/>
      <c r="T108" s="302"/>
      <c r="U108" s="302"/>
      <c r="V108" s="302"/>
      <c r="W108" s="302"/>
      <c r="X108" s="302"/>
      <c r="Y108" s="302"/>
      <c r="Z108" s="302"/>
    </row>
    <row r="109" spans="1:26" ht="15.55">
      <c r="A109" s="302"/>
      <c r="B109" s="302"/>
      <c r="C109" s="302"/>
      <c r="D109" s="302"/>
      <c r="E109" s="302"/>
      <c r="F109" s="302"/>
      <c r="G109" s="302"/>
      <c r="H109" s="302"/>
      <c r="I109" s="302"/>
      <c r="J109" s="302"/>
      <c r="K109" s="302"/>
      <c r="L109" s="302"/>
      <c r="M109" s="302"/>
      <c r="N109" s="302"/>
      <c r="O109" s="302"/>
      <c r="P109" s="302"/>
      <c r="Q109" s="302"/>
      <c r="R109" s="302"/>
      <c r="S109" s="302"/>
      <c r="T109" s="302"/>
      <c r="U109" s="302"/>
      <c r="V109" s="302"/>
      <c r="W109" s="302"/>
      <c r="X109" s="302"/>
      <c r="Y109" s="302"/>
      <c r="Z109" s="302"/>
    </row>
    <row r="110" spans="1:26" ht="15.55">
      <c r="A110" s="302"/>
      <c r="B110" s="302"/>
      <c r="C110" s="302"/>
      <c r="D110" s="302"/>
      <c r="E110" s="302"/>
      <c r="F110" s="302"/>
      <c r="G110" s="302"/>
      <c r="H110" s="302"/>
      <c r="I110" s="302"/>
      <c r="J110" s="302"/>
      <c r="K110" s="302"/>
      <c r="L110" s="302"/>
      <c r="M110" s="302"/>
      <c r="N110" s="302"/>
      <c r="O110" s="302"/>
      <c r="P110" s="302"/>
      <c r="Q110" s="302"/>
      <c r="R110" s="302"/>
      <c r="S110" s="302"/>
      <c r="T110" s="302"/>
      <c r="U110" s="302"/>
      <c r="V110" s="302"/>
      <c r="W110" s="302"/>
      <c r="X110" s="302"/>
      <c r="Y110" s="302"/>
      <c r="Z110" s="302"/>
    </row>
    <row r="111" spans="1:26" ht="15.55">
      <c r="A111" s="302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2"/>
      <c r="P111" s="302"/>
      <c r="Q111" s="302"/>
      <c r="R111" s="302"/>
      <c r="S111" s="302"/>
      <c r="T111" s="302"/>
      <c r="U111" s="302"/>
      <c r="V111" s="302"/>
      <c r="W111" s="302"/>
      <c r="X111" s="302"/>
      <c r="Y111" s="302"/>
      <c r="Z111" s="302"/>
    </row>
    <row r="112" spans="1:26" ht="15.55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2"/>
      <c r="P112" s="302"/>
      <c r="Q112" s="302"/>
      <c r="R112" s="302"/>
      <c r="S112" s="302"/>
      <c r="T112" s="302"/>
      <c r="U112" s="302"/>
      <c r="V112" s="302"/>
      <c r="W112" s="302"/>
      <c r="X112" s="302"/>
      <c r="Y112" s="302"/>
      <c r="Z112" s="302"/>
    </row>
    <row r="113" spans="1:26" ht="15.55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</row>
    <row r="114" spans="1:26" ht="15.55">
      <c r="A114" s="302"/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</row>
    <row r="115" spans="1:26" ht="15.55">
      <c r="A115" s="302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2"/>
      <c r="P115" s="302"/>
      <c r="Q115" s="302"/>
      <c r="R115" s="302"/>
      <c r="S115" s="302"/>
      <c r="T115" s="302"/>
      <c r="U115" s="302"/>
      <c r="V115" s="302"/>
      <c r="W115" s="302"/>
      <c r="X115" s="302"/>
      <c r="Y115" s="302"/>
      <c r="Z115" s="302"/>
    </row>
    <row r="116" spans="1:26" ht="15.55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2"/>
      <c r="P116" s="302"/>
      <c r="Q116" s="302"/>
      <c r="R116" s="302"/>
      <c r="S116" s="302"/>
      <c r="T116" s="302"/>
      <c r="U116" s="302"/>
      <c r="V116" s="302"/>
      <c r="W116" s="302"/>
      <c r="X116" s="302"/>
      <c r="Y116" s="302"/>
      <c r="Z116" s="302"/>
    </row>
    <row r="117" spans="1:26" ht="15.55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</row>
    <row r="118" spans="1:26" ht="15.55">
      <c r="A118" s="302"/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</row>
    <row r="119" spans="1:26" ht="15.55">
      <c r="A119" s="302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2"/>
      <c r="T119" s="302"/>
      <c r="U119" s="302"/>
      <c r="V119" s="302"/>
      <c r="W119" s="302"/>
      <c r="X119" s="302"/>
      <c r="Y119" s="302"/>
      <c r="Z119" s="302"/>
    </row>
    <row r="120" spans="1:26" ht="15.55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2"/>
      <c r="P120" s="302"/>
      <c r="Q120" s="302"/>
      <c r="R120" s="302"/>
      <c r="S120" s="302"/>
      <c r="T120" s="302"/>
      <c r="U120" s="302"/>
      <c r="V120" s="302"/>
      <c r="W120" s="302"/>
      <c r="X120" s="302"/>
      <c r="Y120" s="302"/>
      <c r="Z120" s="302"/>
    </row>
    <row r="121" spans="1:26" ht="15.55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</row>
    <row r="122" spans="1:26" ht="15.55">
      <c r="A122" s="302"/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</row>
    <row r="123" spans="1:26" ht="15.55">
      <c r="A123" s="302"/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</row>
    <row r="124" spans="1:26" ht="15.55">
      <c r="A124" s="302"/>
      <c r="B124" s="302"/>
      <c r="C124" s="302"/>
      <c r="D124" s="302"/>
      <c r="E124" s="302"/>
      <c r="F124" s="302"/>
      <c r="G124" s="302"/>
      <c r="H124" s="302"/>
      <c r="I124" s="302"/>
      <c r="J124" s="302"/>
      <c r="K124" s="302"/>
      <c r="L124" s="302"/>
      <c r="M124" s="302"/>
      <c r="N124" s="302"/>
      <c r="O124" s="302"/>
      <c r="P124" s="302"/>
      <c r="Q124" s="302"/>
      <c r="R124" s="302"/>
      <c r="S124" s="302"/>
      <c r="T124" s="302"/>
      <c r="U124" s="302"/>
      <c r="V124" s="302"/>
      <c r="W124" s="302"/>
      <c r="X124" s="302"/>
      <c r="Y124" s="302"/>
      <c r="Z124" s="302"/>
    </row>
    <row r="125" spans="1:26" ht="15.55">
      <c r="A125" s="302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2"/>
      <c r="P125" s="302"/>
      <c r="Q125" s="302"/>
      <c r="R125" s="302"/>
      <c r="S125" s="302"/>
      <c r="T125" s="302"/>
      <c r="U125" s="302"/>
      <c r="V125" s="302"/>
      <c r="W125" s="302"/>
      <c r="X125" s="302"/>
      <c r="Y125" s="302"/>
      <c r="Z125" s="302"/>
    </row>
    <row r="126" spans="1:26" ht="15.55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2"/>
      <c r="P126" s="302"/>
      <c r="Q126" s="302"/>
      <c r="R126" s="302"/>
      <c r="S126" s="302"/>
      <c r="T126" s="302"/>
      <c r="U126" s="302"/>
      <c r="V126" s="302"/>
      <c r="W126" s="302"/>
      <c r="X126" s="302"/>
      <c r="Y126" s="302"/>
      <c r="Z126" s="302"/>
    </row>
    <row r="127" spans="1:26" ht="15.55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</row>
    <row r="128" spans="1:26" ht="15.55">
      <c r="A128" s="302"/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</row>
    <row r="129" spans="1:26" ht="15.55">
      <c r="A129" s="302"/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</row>
    <row r="130" spans="1:26" ht="15.55">
      <c r="A130" s="302"/>
      <c r="B130" s="302"/>
      <c r="C130" s="302"/>
      <c r="D130" s="302"/>
      <c r="E130" s="302"/>
      <c r="F130" s="302"/>
      <c r="G130" s="302"/>
      <c r="H130" s="302"/>
      <c r="I130" s="302"/>
      <c r="J130" s="302"/>
      <c r="K130" s="302"/>
      <c r="L130" s="302"/>
      <c r="M130" s="302"/>
      <c r="N130" s="302"/>
      <c r="O130" s="302"/>
      <c r="P130" s="302"/>
      <c r="Q130" s="302"/>
      <c r="R130" s="302"/>
      <c r="S130" s="302"/>
      <c r="T130" s="302"/>
      <c r="U130" s="302"/>
      <c r="V130" s="302"/>
      <c r="W130" s="302"/>
      <c r="X130" s="302"/>
      <c r="Y130" s="302"/>
      <c r="Z130" s="302"/>
    </row>
    <row r="131" spans="1:26" ht="15.55">
      <c r="A131" s="302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2"/>
      <c r="P131" s="302"/>
      <c r="Q131" s="302"/>
      <c r="R131" s="302"/>
      <c r="S131" s="302"/>
      <c r="T131" s="302"/>
      <c r="U131" s="302"/>
      <c r="V131" s="302"/>
      <c r="W131" s="302"/>
      <c r="X131" s="302"/>
      <c r="Y131" s="302"/>
      <c r="Z131" s="302"/>
    </row>
    <row r="132" spans="1:26" ht="15.55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2"/>
      <c r="P132" s="302"/>
      <c r="Q132" s="302"/>
      <c r="R132" s="302"/>
      <c r="S132" s="302"/>
      <c r="T132" s="302"/>
      <c r="U132" s="302"/>
      <c r="V132" s="302"/>
      <c r="W132" s="302"/>
      <c r="X132" s="302"/>
      <c r="Y132" s="302"/>
      <c r="Z132" s="302"/>
    </row>
    <row r="133" spans="1:26" ht="15.55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</row>
    <row r="134" spans="1:26" ht="15.55">
      <c r="A134" s="302"/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</row>
    <row r="135" spans="1:26" ht="15.55">
      <c r="A135" s="302"/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</row>
    <row r="136" spans="1:26" ht="15.55">
      <c r="A136" s="302"/>
      <c r="B136" s="302"/>
      <c r="C136" s="302"/>
      <c r="D136" s="302"/>
      <c r="E136" s="302"/>
      <c r="F136" s="302"/>
      <c r="G136" s="302"/>
      <c r="H136" s="302"/>
      <c r="I136" s="302"/>
      <c r="J136" s="302"/>
      <c r="K136" s="302"/>
      <c r="L136" s="302"/>
      <c r="M136" s="302"/>
      <c r="N136" s="302"/>
      <c r="O136" s="302"/>
      <c r="P136" s="302"/>
      <c r="Q136" s="302"/>
      <c r="R136" s="302"/>
      <c r="S136" s="302"/>
      <c r="T136" s="302"/>
      <c r="U136" s="302"/>
      <c r="V136" s="302"/>
      <c r="W136" s="302"/>
      <c r="X136" s="302"/>
      <c r="Y136" s="302"/>
      <c r="Z136" s="302"/>
    </row>
    <row r="137" spans="1:26" ht="15.55">
      <c r="A137" s="302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2"/>
      <c r="P137" s="302"/>
      <c r="Q137" s="302"/>
      <c r="R137" s="302"/>
      <c r="S137" s="302"/>
      <c r="T137" s="302"/>
      <c r="U137" s="302"/>
      <c r="V137" s="302"/>
      <c r="W137" s="302"/>
      <c r="X137" s="302"/>
      <c r="Y137" s="302"/>
      <c r="Z137" s="302"/>
    </row>
    <row r="138" spans="1:26" ht="15.55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2"/>
      <c r="P138" s="302"/>
      <c r="Q138" s="302"/>
      <c r="R138" s="302"/>
      <c r="S138" s="302"/>
      <c r="T138" s="302"/>
      <c r="U138" s="302"/>
      <c r="V138" s="302"/>
      <c r="W138" s="302"/>
      <c r="X138" s="302"/>
      <c r="Y138" s="302"/>
      <c r="Z138" s="302"/>
    </row>
    <row r="139" spans="1:26" ht="15.55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</row>
    <row r="140" spans="1:26" ht="15.55">
      <c r="A140" s="302"/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</row>
    <row r="141" spans="1:26" ht="15.55">
      <c r="A141" s="302"/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</row>
    <row r="142" spans="1:26" ht="15.55">
      <c r="A142" s="302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2"/>
      <c r="P142" s="302"/>
      <c r="Q142" s="302"/>
      <c r="R142" s="302"/>
      <c r="S142" s="302"/>
      <c r="T142" s="302"/>
      <c r="U142" s="302"/>
      <c r="V142" s="302"/>
      <c r="W142" s="302"/>
      <c r="X142" s="302"/>
      <c r="Y142" s="302"/>
      <c r="Z142" s="302"/>
    </row>
    <row r="143" spans="1:26" ht="15.55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2"/>
      <c r="P143" s="302"/>
      <c r="Q143" s="302"/>
      <c r="R143" s="302"/>
      <c r="S143" s="302"/>
      <c r="T143" s="302"/>
      <c r="U143" s="302"/>
      <c r="V143" s="302"/>
      <c r="W143" s="302"/>
      <c r="X143" s="302"/>
      <c r="Y143" s="302"/>
      <c r="Z143" s="302"/>
    </row>
    <row r="144" spans="1:26" ht="15.55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</row>
    <row r="145" spans="1:26" ht="15.55">
      <c r="A145" s="302"/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</row>
    <row r="146" spans="1:26" ht="15.55">
      <c r="A146" s="302"/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</row>
    <row r="147" spans="1:26" ht="15.55">
      <c r="A147" s="302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2"/>
      <c r="P147" s="302"/>
      <c r="Q147" s="302"/>
      <c r="R147" s="302"/>
      <c r="S147" s="302"/>
      <c r="T147" s="302"/>
      <c r="U147" s="302"/>
      <c r="V147" s="302"/>
      <c r="W147" s="302"/>
      <c r="X147" s="302"/>
      <c r="Y147" s="302"/>
      <c r="Z147" s="302"/>
    </row>
    <row r="148" spans="1:26" ht="15.55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2"/>
      <c r="P148" s="302"/>
      <c r="Q148" s="302"/>
      <c r="R148" s="302"/>
      <c r="S148" s="302"/>
      <c r="T148" s="302"/>
      <c r="U148" s="302"/>
      <c r="V148" s="302"/>
      <c r="W148" s="302"/>
      <c r="X148" s="302"/>
      <c r="Y148" s="302"/>
      <c r="Z148" s="302"/>
    </row>
    <row r="149" spans="1:26" ht="15.55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</row>
    <row r="150" spans="1:26" ht="15.55">
      <c r="A150" s="302"/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</row>
    <row r="151" spans="1:26" ht="15.55">
      <c r="A151" s="302"/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</row>
    <row r="152" spans="1:26" ht="15.55">
      <c r="A152" s="302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2"/>
      <c r="P152" s="302"/>
      <c r="Q152" s="302"/>
      <c r="R152" s="302"/>
      <c r="S152" s="302"/>
      <c r="T152" s="302"/>
      <c r="U152" s="302"/>
      <c r="V152" s="302"/>
      <c r="W152" s="302"/>
      <c r="X152" s="302"/>
      <c r="Y152" s="302"/>
      <c r="Z152" s="302"/>
    </row>
    <row r="153" spans="1:26" ht="15.55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2"/>
      <c r="P153" s="302"/>
      <c r="Q153" s="302"/>
      <c r="R153" s="302"/>
      <c r="S153" s="302"/>
      <c r="T153" s="302"/>
      <c r="U153" s="302"/>
      <c r="V153" s="302"/>
      <c r="W153" s="302"/>
      <c r="X153" s="302"/>
      <c r="Y153" s="302"/>
      <c r="Z153" s="302"/>
    </row>
    <row r="154" spans="1:26" ht="15.55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</row>
    <row r="155" spans="1:26" ht="15.55">
      <c r="A155" s="302"/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</row>
    <row r="156" spans="1:26" ht="15.55">
      <c r="A156" s="302"/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</row>
    <row r="157" spans="1:26" ht="15.55">
      <c r="A157" s="302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2"/>
      <c r="P157" s="302"/>
      <c r="Q157" s="302"/>
      <c r="R157" s="302"/>
      <c r="S157" s="302"/>
      <c r="T157" s="302"/>
      <c r="U157" s="302"/>
      <c r="V157" s="302"/>
      <c r="W157" s="302"/>
      <c r="X157" s="302"/>
      <c r="Y157" s="302"/>
      <c r="Z157" s="302"/>
    </row>
    <row r="158" spans="1:26" ht="15.55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2"/>
      <c r="P158" s="302"/>
      <c r="Q158" s="302"/>
      <c r="R158" s="302"/>
      <c r="S158" s="302"/>
      <c r="T158" s="302"/>
      <c r="U158" s="302"/>
      <c r="V158" s="302"/>
      <c r="W158" s="302"/>
      <c r="X158" s="302"/>
      <c r="Y158" s="302"/>
      <c r="Z158" s="302"/>
    </row>
    <row r="159" spans="1:26" ht="15.55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2"/>
      <c r="P159" s="302"/>
      <c r="Q159" s="302"/>
      <c r="R159" s="302"/>
      <c r="S159" s="302"/>
      <c r="T159" s="302"/>
      <c r="U159" s="302"/>
      <c r="V159" s="302"/>
      <c r="W159" s="302"/>
      <c r="X159" s="302"/>
      <c r="Y159" s="302"/>
      <c r="Z159" s="302"/>
    </row>
    <row r="160" spans="1:26" ht="15.55">
      <c r="A160" s="302"/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</row>
    <row r="161" spans="1:26" ht="15.55">
      <c r="A161" s="302"/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</row>
    <row r="162" spans="1:26" ht="15.55">
      <c r="A162" s="302"/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</row>
    <row r="163" spans="1:26" ht="15.55">
      <c r="A163" s="302"/>
      <c r="B163" s="302"/>
      <c r="C163" s="302"/>
      <c r="D163" s="302"/>
      <c r="E163" s="302"/>
      <c r="F163" s="302"/>
      <c r="G163" s="302"/>
      <c r="H163" s="302"/>
      <c r="I163" s="302"/>
      <c r="J163" s="302"/>
      <c r="K163" s="302"/>
      <c r="L163" s="302"/>
      <c r="M163" s="302"/>
      <c r="N163" s="302"/>
      <c r="O163" s="302"/>
      <c r="P163" s="302"/>
      <c r="Q163" s="302"/>
      <c r="R163" s="302"/>
      <c r="S163" s="302"/>
      <c r="T163" s="302"/>
      <c r="U163" s="302"/>
      <c r="V163" s="302"/>
      <c r="W163" s="302"/>
      <c r="X163" s="302"/>
      <c r="Y163" s="302"/>
      <c r="Z163" s="302"/>
    </row>
    <row r="164" spans="1:26" ht="15.55">
      <c r="A164" s="302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  <c r="X164" s="302"/>
      <c r="Y164" s="302"/>
      <c r="Z164" s="302"/>
    </row>
    <row r="165" spans="1:26" ht="15.55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2"/>
      <c r="P165" s="302"/>
      <c r="Q165" s="302"/>
      <c r="R165" s="302"/>
      <c r="S165" s="302"/>
      <c r="T165" s="302"/>
      <c r="U165" s="302"/>
      <c r="V165" s="302"/>
      <c r="W165" s="302"/>
      <c r="X165" s="302"/>
      <c r="Y165" s="302"/>
      <c r="Z165" s="302"/>
    </row>
    <row r="166" spans="1:26" ht="15.55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2"/>
      <c r="P166" s="302"/>
      <c r="Q166" s="302"/>
      <c r="R166" s="302"/>
      <c r="S166" s="302"/>
      <c r="T166" s="302"/>
      <c r="U166" s="302"/>
      <c r="V166" s="302"/>
      <c r="W166" s="302"/>
      <c r="X166" s="302"/>
      <c r="Y166" s="302"/>
      <c r="Z166" s="302"/>
    </row>
    <row r="167" spans="1:26" ht="15.55">
      <c r="A167" s="302"/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</row>
    <row r="168" spans="1:26" ht="15.55">
      <c r="A168" s="302"/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</row>
    <row r="169" spans="1:26" ht="15.55">
      <c r="A169" s="302"/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</row>
    <row r="170" spans="1:26" ht="15.55">
      <c r="A170" s="302"/>
      <c r="B170" s="302"/>
      <c r="C170" s="302"/>
      <c r="D170" s="302"/>
      <c r="E170" s="302"/>
      <c r="F170" s="302"/>
      <c r="G170" s="302"/>
      <c r="H170" s="302"/>
      <c r="I170" s="302"/>
      <c r="J170" s="302"/>
      <c r="K170" s="302"/>
      <c r="L170" s="302"/>
      <c r="M170" s="302"/>
      <c r="N170" s="302"/>
      <c r="O170" s="302"/>
      <c r="P170" s="302"/>
      <c r="Q170" s="302"/>
      <c r="R170" s="302"/>
      <c r="S170" s="302"/>
      <c r="T170" s="302"/>
      <c r="U170" s="302"/>
      <c r="V170" s="302"/>
      <c r="W170" s="302"/>
      <c r="X170" s="302"/>
      <c r="Y170" s="302"/>
      <c r="Z170" s="302"/>
    </row>
    <row r="171" spans="1:26" ht="15.55">
      <c r="A171" s="302"/>
      <c r="B171" s="302"/>
      <c r="C171" s="302"/>
      <c r="D171" s="302"/>
      <c r="E171" s="302"/>
      <c r="F171" s="302"/>
      <c r="G171" s="302"/>
      <c r="H171" s="302"/>
      <c r="I171" s="302"/>
      <c r="J171" s="302"/>
      <c r="K171" s="302"/>
      <c r="L171" s="302"/>
      <c r="M171" s="302"/>
      <c r="N171" s="302"/>
      <c r="O171" s="302"/>
      <c r="P171" s="302"/>
      <c r="Q171" s="302"/>
      <c r="R171" s="302"/>
      <c r="S171" s="302"/>
      <c r="T171" s="302"/>
      <c r="U171" s="302"/>
      <c r="V171" s="302"/>
      <c r="W171" s="302"/>
      <c r="X171" s="302"/>
      <c r="Y171" s="302"/>
      <c r="Z171" s="302"/>
    </row>
    <row r="172" spans="1:26" ht="15.55">
      <c r="A172" s="302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2"/>
      <c r="P172" s="302"/>
      <c r="Q172" s="302"/>
      <c r="R172" s="302"/>
      <c r="S172" s="302"/>
      <c r="T172" s="302"/>
      <c r="U172" s="302"/>
      <c r="V172" s="302"/>
      <c r="W172" s="302"/>
      <c r="X172" s="302"/>
      <c r="Y172" s="302"/>
      <c r="Z172" s="302"/>
    </row>
    <row r="173" spans="1:26" ht="15.55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2"/>
      <c r="P173" s="302"/>
      <c r="Q173" s="302"/>
      <c r="R173" s="302"/>
      <c r="S173" s="302"/>
      <c r="T173" s="302"/>
      <c r="U173" s="302"/>
      <c r="V173" s="302"/>
      <c r="W173" s="302"/>
      <c r="X173" s="302"/>
      <c r="Y173" s="302"/>
      <c r="Z173" s="302"/>
    </row>
    <row r="174" spans="1:26" ht="15.55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</row>
    <row r="175" spans="1:26" ht="15.55">
      <c r="A175" s="302"/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</row>
    <row r="176" spans="1:26" ht="15.55">
      <c r="A176" s="302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2"/>
      <c r="P176" s="302"/>
      <c r="Q176" s="302"/>
      <c r="R176" s="302"/>
      <c r="S176" s="302"/>
      <c r="T176" s="302"/>
      <c r="U176" s="302"/>
      <c r="V176" s="302"/>
      <c r="W176" s="302"/>
      <c r="X176" s="302"/>
      <c r="Y176" s="302"/>
      <c r="Z176" s="302"/>
    </row>
    <row r="177" spans="1:26" ht="15.55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2"/>
      <c r="P177" s="302"/>
      <c r="Q177" s="302"/>
      <c r="R177" s="302"/>
      <c r="S177" s="302"/>
      <c r="T177" s="302"/>
      <c r="U177" s="302"/>
      <c r="V177" s="302"/>
      <c r="W177" s="302"/>
      <c r="X177" s="302"/>
      <c r="Y177" s="302"/>
      <c r="Z177" s="302"/>
    </row>
    <row r="178" spans="1:26" ht="15.55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2"/>
      <c r="P178" s="302"/>
      <c r="Q178" s="302"/>
      <c r="R178" s="302"/>
      <c r="S178" s="302"/>
      <c r="T178" s="302"/>
      <c r="U178" s="302"/>
      <c r="V178" s="302"/>
      <c r="W178" s="302"/>
      <c r="X178" s="302"/>
      <c r="Y178" s="302"/>
      <c r="Z178" s="302"/>
    </row>
    <row r="179" spans="1:26" ht="15.55">
      <c r="A179" s="302"/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</row>
    <row r="180" spans="1:26" ht="15.55">
      <c r="A180" s="302"/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</row>
    <row r="181" spans="1:26" ht="15.55">
      <c r="A181" s="302"/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</row>
    <row r="182" spans="1:26" ht="15.55">
      <c r="A182" s="302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2"/>
      <c r="P182" s="302"/>
      <c r="Q182" s="302"/>
      <c r="R182" s="302"/>
      <c r="S182" s="302"/>
      <c r="T182" s="302"/>
      <c r="U182" s="302"/>
      <c r="V182" s="302"/>
      <c r="W182" s="302"/>
      <c r="X182" s="302"/>
      <c r="Y182" s="302"/>
      <c r="Z182" s="302"/>
    </row>
    <row r="183" spans="1:26" ht="15.55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2"/>
      <c r="P183" s="302"/>
      <c r="Q183" s="302"/>
      <c r="R183" s="302"/>
      <c r="S183" s="302"/>
      <c r="T183" s="302"/>
      <c r="U183" s="302"/>
      <c r="V183" s="302"/>
      <c r="W183" s="302"/>
      <c r="X183" s="302"/>
      <c r="Y183" s="302"/>
      <c r="Z183" s="302"/>
    </row>
    <row r="184" spans="1:26" ht="15.55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</row>
    <row r="185" spans="1:26" ht="15.55">
      <c r="A185" s="302"/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</row>
    <row r="186" spans="1:26" ht="15.55">
      <c r="A186" s="302"/>
      <c r="B186" s="302"/>
      <c r="C186" s="302"/>
      <c r="D186" s="302"/>
      <c r="E186" s="302"/>
      <c r="F186" s="302"/>
      <c r="G186" s="302"/>
      <c r="H186" s="302"/>
      <c r="I186" s="302"/>
      <c r="J186" s="302"/>
      <c r="K186" s="302"/>
      <c r="L186" s="302"/>
      <c r="M186" s="302"/>
      <c r="N186" s="302"/>
      <c r="O186" s="302"/>
      <c r="P186" s="302"/>
      <c r="Q186" s="302"/>
      <c r="R186" s="302"/>
      <c r="S186" s="302"/>
      <c r="T186" s="302"/>
      <c r="U186" s="302"/>
      <c r="V186" s="302"/>
      <c r="W186" s="302"/>
      <c r="X186" s="302"/>
      <c r="Y186" s="302"/>
      <c r="Z186" s="302"/>
    </row>
    <row r="187" spans="1:26" ht="15.55">
      <c r="A187" s="302"/>
      <c r="B187" s="302"/>
      <c r="C187" s="302"/>
      <c r="D187" s="302"/>
      <c r="E187" s="302"/>
      <c r="F187" s="302"/>
      <c r="G187" s="302"/>
      <c r="H187" s="302"/>
      <c r="I187" s="302"/>
      <c r="J187" s="302"/>
      <c r="K187" s="302"/>
      <c r="L187" s="302"/>
      <c r="M187" s="302"/>
      <c r="N187" s="302"/>
      <c r="O187" s="302"/>
      <c r="P187" s="302"/>
      <c r="Q187" s="302"/>
      <c r="R187" s="302"/>
      <c r="S187" s="302"/>
      <c r="T187" s="302"/>
      <c r="U187" s="302"/>
      <c r="V187" s="302"/>
      <c r="W187" s="302"/>
      <c r="X187" s="302"/>
      <c r="Y187" s="302"/>
      <c r="Z187" s="302"/>
    </row>
    <row r="188" spans="1:26" ht="15.55">
      <c r="A188" s="302"/>
      <c r="B188" s="302"/>
      <c r="C188" s="302"/>
      <c r="D188" s="302"/>
      <c r="E188" s="302"/>
      <c r="F188" s="302"/>
      <c r="G188" s="302"/>
      <c r="H188" s="302"/>
      <c r="I188" s="302"/>
      <c r="J188" s="302"/>
      <c r="K188" s="302"/>
      <c r="L188" s="302"/>
      <c r="M188" s="302"/>
      <c r="N188" s="302"/>
      <c r="O188" s="302"/>
      <c r="P188" s="302"/>
      <c r="Q188" s="302"/>
      <c r="R188" s="302"/>
      <c r="S188" s="302"/>
      <c r="T188" s="302"/>
      <c r="U188" s="302"/>
      <c r="V188" s="302"/>
      <c r="W188" s="302"/>
      <c r="X188" s="302"/>
      <c r="Y188" s="302"/>
      <c r="Z188" s="302"/>
    </row>
    <row r="189" spans="1:26" ht="15.55">
      <c r="A189" s="302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2"/>
      <c r="P189" s="302"/>
      <c r="Q189" s="302"/>
      <c r="R189" s="302"/>
      <c r="S189" s="302"/>
      <c r="T189" s="302"/>
      <c r="U189" s="302"/>
      <c r="V189" s="302"/>
      <c r="W189" s="302"/>
      <c r="X189" s="302"/>
      <c r="Y189" s="302"/>
      <c r="Z189" s="302"/>
    </row>
    <row r="190" spans="1:26" ht="15.55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2"/>
      <c r="P190" s="302"/>
      <c r="Q190" s="302"/>
      <c r="R190" s="302"/>
      <c r="S190" s="302"/>
      <c r="T190" s="302"/>
      <c r="U190" s="302"/>
      <c r="V190" s="302"/>
      <c r="W190" s="302"/>
      <c r="X190" s="302"/>
      <c r="Y190" s="302"/>
      <c r="Z190" s="302"/>
    </row>
    <row r="191" spans="1:26" ht="15.55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</row>
    <row r="192" spans="1:26" ht="15.55">
      <c r="A192" s="302"/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</row>
    <row r="193" spans="1:26" ht="15.55">
      <c r="A193" s="302"/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</row>
    <row r="194" spans="1:26" ht="15.55">
      <c r="A194" s="302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2"/>
      <c r="P194" s="302"/>
      <c r="Q194" s="302"/>
      <c r="R194" s="302"/>
      <c r="S194" s="302"/>
      <c r="T194" s="302"/>
      <c r="U194" s="302"/>
      <c r="V194" s="302"/>
      <c r="W194" s="302"/>
      <c r="X194" s="302"/>
      <c r="Y194" s="302"/>
      <c r="Z194" s="302"/>
    </row>
    <row r="195" spans="1:26" ht="15.55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2"/>
      <c r="P195" s="302"/>
      <c r="Q195" s="302"/>
      <c r="R195" s="302"/>
      <c r="S195" s="302"/>
      <c r="T195" s="302"/>
      <c r="U195" s="302"/>
      <c r="V195" s="302"/>
      <c r="W195" s="302"/>
      <c r="X195" s="302"/>
      <c r="Y195" s="302"/>
      <c r="Z195" s="302"/>
    </row>
    <row r="196" spans="1:26" ht="15.55">
      <c r="A196" s="302"/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</row>
    <row r="197" spans="1:26" ht="15.55">
      <c r="A197" s="302"/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</row>
    <row r="198" spans="1:26" ht="15.55">
      <c r="A198" s="302"/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2"/>
      <c r="M198" s="302"/>
      <c r="N198" s="302"/>
      <c r="O198" s="302"/>
      <c r="P198" s="302"/>
      <c r="Q198" s="302"/>
      <c r="R198" s="302"/>
      <c r="S198" s="302"/>
      <c r="T198" s="302"/>
      <c r="U198" s="302"/>
      <c r="V198" s="302"/>
      <c r="W198" s="302"/>
      <c r="X198" s="302"/>
      <c r="Y198" s="302"/>
      <c r="Z198" s="302"/>
    </row>
    <row r="199" spans="1:26" ht="15.55">
      <c r="A199" s="302"/>
      <c r="B199" s="302"/>
      <c r="C199" s="302"/>
      <c r="D199" s="302"/>
      <c r="E199" s="302"/>
      <c r="F199" s="302"/>
      <c r="G199" s="302"/>
      <c r="H199" s="302"/>
      <c r="I199" s="302"/>
      <c r="J199" s="302"/>
      <c r="K199" s="302"/>
      <c r="L199" s="302"/>
      <c r="M199" s="302"/>
      <c r="N199" s="302"/>
      <c r="O199" s="302"/>
      <c r="P199" s="302"/>
      <c r="Q199" s="302"/>
      <c r="R199" s="302"/>
      <c r="S199" s="302"/>
      <c r="T199" s="302"/>
      <c r="U199" s="302"/>
      <c r="V199" s="302"/>
      <c r="W199" s="302"/>
      <c r="X199" s="302"/>
      <c r="Y199" s="302"/>
      <c r="Z199" s="302"/>
    </row>
    <row r="200" spans="1:26" ht="15.55">
      <c r="A200" s="302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</row>
    <row r="201" spans="1:26" ht="15.55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2"/>
      <c r="P201" s="302"/>
      <c r="Q201" s="302"/>
      <c r="R201" s="302"/>
      <c r="S201" s="302"/>
      <c r="T201" s="302"/>
      <c r="U201" s="302"/>
      <c r="V201" s="302"/>
      <c r="W201" s="302"/>
      <c r="X201" s="302"/>
      <c r="Y201" s="302"/>
      <c r="Z201" s="302"/>
    </row>
    <row r="202" spans="1:26" ht="15.55">
      <c r="A202" s="302"/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</row>
    <row r="203" spans="1:26" ht="15.55">
      <c r="A203" s="302"/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</row>
    <row r="204" spans="1:26" ht="15.55">
      <c r="A204" s="302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2"/>
      <c r="P204" s="302"/>
      <c r="Q204" s="302"/>
      <c r="R204" s="302"/>
      <c r="S204" s="302"/>
      <c r="T204" s="302"/>
      <c r="U204" s="302"/>
      <c r="V204" s="302"/>
      <c r="W204" s="302"/>
      <c r="X204" s="302"/>
      <c r="Y204" s="302"/>
      <c r="Z204" s="302"/>
    </row>
    <row r="205" spans="1:26" ht="15.55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2"/>
      <c r="P205" s="302"/>
      <c r="Q205" s="302"/>
      <c r="R205" s="302"/>
      <c r="S205" s="302"/>
      <c r="T205" s="302"/>
      <c r="U205" s="302"/>
      <c r="V205" s="302"/>
      <c r="W205" s="302"/>
      <c r="X205" s="302"/>
      <c r="Y205" s="302"/>
      <c r="Z205" s="302"/>
    </row>
    <row r="206" spans="1:26" ht="15.55">
      <c r="A206" s="302"/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</row>
    <row r="207" spans="1:26" ht="15.55">
      <c r="A207" s="302"/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</row>
    <row r="208" spans="1:26" ht="15.55">
      <c r="A208" s="302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2"/>
      <c r="P208" s="302"/>
      <c r="Q208" s="302"/>
      <c r="R208" s="302"/>
      <c r="S208" s="302"/>
      <c r="T208" s="302"/>
      <c r="U208" s="302"/>
      <c r="V208" s="302"/>
      <c r="W208" s="302"/>
      <c r="X208" s="302"/>
      <c r="Y208" s="302"/>
      <c r="Z208" s="302"/>
    </row>
    <row r="209" spans="1:26" ht="15.55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2"/>
      <c r="P209" s="302"/>
      <c r="Q209" s="302"/>
      <c r="R209" s="302"/>
      <c r="S209" s="302"/>
      <c r="T209" s="302"/>
      <c r="U209" s="302"/>
      <c r="V209" s="302"/>
      <c r="W209" s="302"/>
      <c r="X209" s="302"/>
      <c r="Y209" s="302"/>
      <c r="Z209" s="302"/>
    </row>
    <row r="210" spans="1:26" ht="15.55">
      <c r="A210" s="302"/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</row>
    <row r="211" spans="1:26" ht="15.55">
      <c r="A211" s="302"/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</row>
    <row r="212" spans="1:26" ht="15.55">
      <c r="A212" s="302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2"/>
      <c r="P212" s="302"/>
      <c r="Q212" s="302"/>
      <c r="R212" s="302"/>
      <c r="S212" s="302"/>
      <c r="T212" s="302"/>
      <c r="U212" s="302"/>
      <c r="V212" s="302"/>
      <c r="W212" s="302"/>
      <c r="X212" s="302"/>
      <c r="Y212" s="302"/>
      <c r="Z212" s="302"/>
    </row>
    <row r="213" spans="1:26" ht="15.55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2"/>
      <c r="P213" s="302"/>
      <c r="Q213" s="302"/>
      <c r="R213" s="302"/>
      <c r="S213" s="302"/>
      <c r="T213" s="302"/>
      <c r="U213" s="302"/>
      <c r="V213" s="302"/>
      <c r="W213" s="302"/>
      <c r="X213" s="302"/>
      <c r="Y213" s="302"/>
      <c r="Z213" s="302"/>
    </row>
    <row r="214" spans="1:26" ht="15.55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</row>
    <row r="215" spans="1:26" ht="15.55">
      <c r="A215" s="302"/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</row>
    <row r="216" spans="1:26" ht="15.55">
      <c r="A216" s="302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</row>
    <row r="217" spans="1:26" ht="15.55">
      <c r="A217" s="302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2"/>
      <c r="P217" s="302"/>
      <c r="Q217" s="302"/>
      <c r="R217" s="302"/>
      <c r="S217" s="302"/>
      <c r="T217" s="302"/>
      <c r="U217" s="302"/>
      <c r="V217" s="302"/>
      <c r="W217" s="302"/>
      <c r="X217" s="302"/>
      <c r="Y217" s="302"/>
      <c r="Z217" s="302"/>
    </row>
    <row r="218" spans="1:26" ht="15.55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2"/>
      <c r="P218" s="302"/>
      <c r="Q218" s="302"/>
      <c r="R218" s="302"/>
      <c r="S218" s="302"/>
      <c r="T218" s="302"/>
      <c r="U218" s="302"/>
      <c r="V218" s="302"/>
      <c r="W218" s="302"/>
      <c r="X218" s="302"/>
      <c r="Y218" s="302"/>
      <c r="Z218" s="302"/>
    </row>
    <row r="219" spans="1:26" ht="15.55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</row>
    <row r="220" spans="1:26" ht="15.55">
      <c r="A220" s="302"/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</row>
    <row r="221" spans="1:26" ht="15.55">
      <c r="A221" s="302"/>
      <c r="B221" s="302"/>
      <c r="C221" s="302"/>
      <c r="D221" s="302"/>
      <c r="E221" s="302"/>
      <c r="F221" s="302"/>
      <c r="G221" s="302"/>
      <c r="H221" s="302"/>
      <c r="I221" s="302"/>
      <c r="J221" s="302"/>
      <c r="K221" s="302"/>
      <c r="L221" s="302"/>
      <c r="M221" s="302"/>
      <c r="N221" s="302"/>
      <c r="O221" s="302"/>
      <c r="P221" s="302"/>
      <c r="Q221" s="302"/>
      <c r="R221" s="302"/>
      <c r="S221" s="302"/>
      <c r="T221" s="302"/>
      <c r="U221" s="302"/>
      <c r="V221" s="302"/>
      <c r="W221" s="302"/>
      <c r="X221" s="302"/>
      <c r="Y221" s="302"/>
      <c r="Z221" s="302"/>
    </row>
    <row r="222" spans="1:26" ht="15.55">
      <c r="A222" s="302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2"/>
      <c r="P222" s="302"/>
      <c r="Q222" s="302"/>
      <c r="R222" s="302"/>
      <c r="S222" s="302"/>
      <c r="T222" s="302"/>
      <c r="U222" s="302"/>
      <c r="V222" s="302"/>
      <c r="W222" s="302"/>
      <c r="X222" s="302"/>
      <c r="Y222" s="302"/>
      <c r="Z222" s="302"/>
    </row>
    <row r="223" spans="1:26" ht="15.55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  <c r="U223" s="302"/>
      <c r="V223" s="302"/>
      <c r="W223" s="302"/>
      <c r="X223" s="302"/>
      <c r="Y223" s="302"/>
      <c r="Z223" s="302"/>
    </row>
    <row r="224" spans="1:26" ht="15.55">
      <c r="A224" s="302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</row>
    <row r="225" spans="1:26" ht="15.55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</row>
    <row r="226" spans="1:26" ht="15.55">
      <c r="A226" s="302"/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</row>
    <row r="227" spans="1:26" ht="15.55">
      <c r="A227" s="302"/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</row>
    <row r="228" spans="1:26" ht="15.55">
      <c r="A228" s="302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2"/>
      <c r="P228" s="302"/>
      <c r="Q228" s="302"/>
      <c r="R228" s="302"/>
      <c r="S228" s="302"/>
      <c r="T228" s="302"/>
      <c r="U228" s="302"/>
      <c r="V228" s="302"/>
      <c r="W228" s="302"/>
      <c r="X228" s="302"/>
      <c r="Y228" s="302"/>
      <c r="Z228" s="302"/>
    </row>
    <row r="229" spans="1:26" ht="15.55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</row>
    <row r="230" spans="1:26" ht="15.55">
      <c r="A230" s="302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</row>
    <row r="231" spans="1:26" ht="15.55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</row>
    <row r="232" spans="1:26" ht="15.55">
      <c r="A232" s="302"/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</row>
    <row r="233" spans="1:26" ht="15.55">
      <c r="A233" s="302"/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</row>
    <row r="234" spans="1:26" ht="15.55">
      <c r="A234" s="302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</row>
    <row r="235" spans="1:26" ht="15.55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</row>
    <row r="236" spans="1:26" ht="15.55">
      <c r="A236" s="302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  <c r="T236" s="302"/>
      <c r="U236" s="302"/>
      <c r="V236" s="302"/>
      <c r="W236" s="302"/>
      <c r="X236" s="302"/>
      <c r="Y236" s="302"/>
      <c r="Z236" s="302"/>
    </row>
    <row r="237" spans="1:26" ht="15.55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</row>
    <row r="238" spans="1:26" ht="15.55">
      <c r="A238" s="302"/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</row>
    <row r="239" spans="1:26" ht="15.55">
      <c r="A239" s="302"/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</row>
    <row r="240" spans="1:26" ht="15.55">
      <c r="A240" s="302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</row>
    <row r="241" spans="1:26" ht="15.55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2"/>
      <c r="P241" s="302"/>
      <c r="Q241" s="302"/>
      <c r="R241" s="302"/>
      <c r="S241" s="302"/>
      <c r="T241" s="302"/>
      <c r="U241" s="302"/>
      <c r="V241" s="302"/>
      <c r="W241" s="302"/>
      <c r="X241" s="302"/>
      <c r="Y241" s="302"/>
      <c r="Z241" s="302"/>
    </row>
    <row r="242" spans="1:26" ht="15.55">
      <c r="A242" s="302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2"/>
      <c r="P242" s="302"/>
      <c r="Q242" s="302"/>
      <c r="R242" s="302"/>
      <c r="S242" s="302"/>
      <c r="T242" s="302"/>
      <c r="U242" s="302"/>
      <c r="V242" s="302"/>
      <c r="W242" s="302"/>
      <c r="X242" s="302"/>
      <c r="Y242" s="302"/>
      <c r="Z242" s="302"/>
    </row>
    <row r="243" spans="1:26" ht="15.55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</row>
    <row r="244" spans="1:26" ht="15.55">
      <c r="A244" s="302"/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</row>
    <row r="245" spans="1:26" ht="15.55">
      <c r="A245" s="302"/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</row>
    <row r="246" spans="1:26" ht="15.55">
      <c r="A246" s="302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</row>
    <row r="247" spans="1:26" ht="15.55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2"/>
      <c r="P247" s="302"/>
      <c r="Q247" s="302"/>
      <c r="R247" s="302"/>
      <c r="S247" s="302"/>
      <c r="T247" s="302"/>
      <c r="U247" s="302"/>
      <c r="V247" s="302"/>
      <c r="W247" s="302"/>
      <c r="X247" s="302"/>
      <c r="Y247" s="302"/>
      <c r="Z247" s="302"/>
    </row>
    <row r="248" spans="1:26" ht="15.55">
      <c r="A248" s="302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2"/>
      <c r="P248" s="302"/>
      <c r="Q248" s="302"/>
      <c r="R248" s="302"/>
      <c r="S248" s="302"/>
      <c r="T248" s="302"/>
      <c r="U248" s="302"/>
      <c r="V248" s="302"/>
      <c r="W248" s="302"/>
      <c r="X248" s="302"/>
      <c r="Y248" s="302"/>
      <c r="Z248" s="302"/>
    </row>
    <row r="249" spans="1:26" ht="15.55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</row>
    <row r="250" spans="1:26" ht="15.55">
      <c r="A250" s="302"/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</row>
    <row r="251" spans="1:26" ht="15.55">
      <c r="A251" s="302"/>
      <c r="B251" s="302"/>
      <c r="C251" s="302"/>
      <c r="D251" s="302"/>
      <c r="E251" s="302"/>
      <c r="F251" s="302"/>
      <c r="G251" s="302"/>
      <c r="H251" s="302"/>
      <c r="I251" s="302"/>
      <c r="J251" s="302"/>
      <c r="K251" s="302"/>
      <c r="L251" s="302"/>
      <c r="M251" s="302"/>
      <c r="N251" s="302"/>
      <c r="O251" s="302"/>
      <c r="P251" s="302"/>
      <c r="Q251" s="302"/>
      <c r="R251" s="302"/>
      <c r="S251" s="302"/>
      <c r="T251" s="302"/>
      <c r="U251" s="302"/>
      <c r="V251" s="302"/>
      <c r="W251" s="302"/>
      <c r="X251" s="302"/>
      <c r="Y251" s="302"/>
      <c r="Z251" s="302"/>
    </row>
    <row r="252" spans="1:26" ht="15.55">
      <c r="A252" s="302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2"/>
      <c r="P252" s="302"/>
      <c r="Q252" s="302"/>
      <c r="R252" s="302"/>
      <c r="S252" s="302"/>
      <c r="T252" s="302"/>
      <c r="U252" s="302"/>
      <c r="V252" s="302"/>
      <c r="W252" s="302"/>
      <c r="X252" s="302"/>
      <c r="Y252" s="302"/>
      <c r="Z252" s="302"/>
    </row>
    <row r="253" spans="1:26" ht="15.55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2"/>
      <c r="P253" s="302"/>
      <c r="Q253" s="302"/>
      <c r="R253" s="302"/>
      <c r="S253" s="302"/>
      <c r="T253" s="302"/>
      <c r="U253" s="302"/>
      <c r="V253" s="302"/>
      <c r="W253" s="302"/>
      <c r="X253" s="302"/>
      <c r="Y253" s="302"/>
      <c r="Z253" s="302"/>
    </row>
    <row r="254" spans="1:26" ht="15.55">
      <c r="A254" s="302"/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</row>
    <row r="255" spans="1:26" ht="15.55">
      <c r="A255" s="302"/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</row>
    <row r="256" spans="1:26" ht="15.55">
      <c r="A256" s="302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</row>
    <row r="257" spans="1:26" ht="15.55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2"/>
      <c r="P257" s="302"/>
      <c r="Q257" s="302"/>
      <c r="R257" s="302"/>
      <c r="S257" s="302"/>
      <c r="T257" s="302"/>
      <c r="U257" s="302"/>
      <c r="V257" s="302"/>
      <c r="W257" s="302"/>
      <c r="X257" s="302"/>
      <c r="Y257" s="302"/>
      <c r="Z257" s="302"/>
    </row>
    <row r="258" spans="1:26" ht="15.55">
      <c r="A258" s="302"/>
      <c r="B258" s="302"/>
      <c r="C258" s="302"/>
      <c r="D258" s="302"/>
      <c r="E258" s="302"/>
      <c r="F258" s="302"/>
      <c r="G258" s="302"/>
      <c r="H258" s="302"/>
      <c r="I258" s="302"/>
      <c r="J258" s="302"/>
      <c r="K258" s="302"/>
      <c r="L258" s="302"/>
      <c r="M258" s="302"/>
      <c r="N258" s="302"/>
      <c r="O258" s="302"/>
      <c r="P258" s="302"/>
      <c r="Q258" s="302"/>
      <c r="R258" s="302"/>
      <c r="S258" s="302"/>
      <c r="T258" s="302"/>
      <c r="U258" s="302"/>
      <c r="V258" s="302"/>
      <c r="W258" s="302"/>
      <c r="X258" s="302"/>
      <c r="Y258" s="302"/>
      <c r="Z258" s="302"/>
    </row>
    <row r="259" spans="1:26" ht="15.55">
      <c r="A259" s="302"/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</row>
    <row r="260" spans="1:26" ht="15.55">
      <c r="A260" s="302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</row>
    <row r="261" spans="1:26" ht="15.55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2"/>
      <c r="P261" s="302"/>
      <c r="Q261" s="302"/>
      <c r="R261" s="302"/>
      <c r="S261" s="302"/>
      <c r="T261" s="302"/>
      <c r="U261" s="302"/>
      <c r="V261" s="302"/>
      <c r="W261" s="302"/>
      <c r="X261" s="302"/>
      <c r="Y261" s="302"/>
      <c r="Z261" s="302"/>
    </row>
    <row r="262" spans="1:26" ht="15.55">
      <c r="A262" s="302"/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</row>
    <row r="263" spans="1:26" ht="15.55">
      <c r="A263" s="302"/>
      <c r="B263" s="302"/>
      <c r="C263" s="302"/>
      <c r="D263" s="302"/>
      <c r="E263" s="302"/>
      <c r="F263" s="302"/>
      <c r="G263" s="302"/>
      <c r="H263" s="302"/>
      <c r="I263" s="302"/>
      <c r="J263" s="302"/>
      <c r="K263" s="302"/>
      <c r="L263" s="302"/>
      <c r="M263" s="302"/>
      <c r="N263" s="302"/>
      <c r="O263" s="302"/>
      <c r="P263" s="302"/>
      <c r="Q263" s="302"/>
      <c r="R263" s="302"/>
      <c r="S263" s="302"/>
      <c r="T263" s="302"/>
      <c r="U263" s="302"/>
      <c r="V263" s="302"/>
      <c r="W263" s="302"/>
      <c r="X263" s="302"/>
      <c r="Y263" s="302"/>
      <c r="Z263" s="302"/>
    </row>
    <row r="264" spans="1:26" ht="15.55">
      <c r="A264" s="302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2"/>
      <c r="P264" s="302"/>
      <c r="Q264" s="302"/>
      <c r="R264" s="302"/>
      <c r="S264" s="302"/>
      <c r="T264" s="302"/>
      <c r="U264" s="302"/>
      <c r="V264" s="302"/>
      <c r="W264" s="302"/>
      <c r="X264" s="302"/>
      <c r="Y264" s="302"/>
      <c r="Z264" s="302"/>
    </row>
    <row r="265" spans="1:26" ht="15.55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2"/>
      <c r="P265" s="302"/>
      <c r="Q265" s="302"/>
      <c r="R265" s="302"/>
      <c r="S265" s="302"/>
      <c r="T265" s="302"/>
      <c r="U265" s="302"/>
      <c r="V265" s="302"/>
      <c r="W265" s="302"/>
      <c r="X265" s="302"/>
      <c r="Y265" s="302"/>
      <c r="Z265" s="302"/>
    </row>
    <row r="266" spans="1:26" ht="15.55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</row>
    <row r="267" spans="1:26" ht="15.55">
      <c r="A267" s="302"/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</row>
    <row r="268" spans="1:26" ht="15.55">
      <c r="A268" s="302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2"/>
      <c r="P268" s="302"/>
      <c r="Q268" s="302"/>
      <c r="R268" s="302"/>
      <c r="S268" s="302"/>
      <c r="T268" s="302"/>
      <c r="U268" s="302"/>
      <c r="V268" s="302"/>
      <c r="W268" s="302"/>
      <c r="X268" s="302"/>
      <c r="Y268" s="302"/>
      <c r="Z268" s="302"/>
    </row>
    <row r="269" spans="1:26" ht="15.55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2"/>
      <c r="P269" s="302"/>
      <c r="Q269" s="302"/>
      <c r="R269" s="302"/>
      <c r="S269" s="302"/>
      <c r="T269" s="302"/>
      <c r="U269" s="302"/>
      <c r="V269" s="302"/>
      <c r="W269" s="302"/>
      <c r="X269" s="302"/>
      <c r="Y269" s="302"/>
      <c r="Z269" s="302"/>
    </row>
    <row r="270" spans="1:26" ht="15.55">
      <c r="A270" s="302"/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  <c r="X270" s="302"/>
      <c r="Y270" s="302"/>
      <c r="Z270" s="302"/>
    </row>
    <row r="271" spans="1:26" ht="15.55">
      <c r="A271" s="302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2"/>
      <c r="P271" s="302"/>
      <c r="Q271" s="302"/>
      <c r="R271" s="302"/>
      <c r="S271" s="302"/>
      <c r="T271" s="302"/>
      <c r="U271" s="302"/>
      <c r="V271" s="302"/>
      <c r="W271" s="302"/>
      <c r="X271" s="302"/>
      <c r="Y271" s="302"/>
      <c r="Z271" s="302"/>
    </row>
    <row r="272" spans="1:26" ht="15.55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2"/>
      <c r="P272" s="302"/>
      <c r="Q272" s="302"/>
      <c r="R272" s="302"/>
      <c r="S272" s="302"/>
      <c r="T272" s="302"/>
      <c r="U272" s="302"/>
      <c r="V272" s="302"/>
      <c r="W272" s="302"/>
      <c r="X272" s="302"/>
      <c r="Y272" s="302"/>
      <c r="Z272" s="302"/>
    </row>
    <row r="273" spans="1:26" ht="15.55">
      <c r="A273" s="302"/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</row>
    <row r="274" spans="1:26" ht="15.55">
      <c r="A274" s="302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2"/>
      <c r="P274" s="302"/>
      <c r="Q274" s="302"/>
      <c r="R274" s="302"/>
      <c r="S274" s="302"/>
      <c r="T274" s="302"/>
      <c r="U274" s="302"/>
      <c r="V274" s="302"/>
      <c r="W274" s="302"/>
      <c r="X274" s="302"/>
      <c r="Y274" s="302"/>
      <c r="Z274" s="302"/>
    </row>
    <row r="275" spans="1:26" ht="15.55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2"/>
      <c r="P275" s="302"/>
      <c r="Q275" s="302"/>
      <c r="R275" s="302"/>
      <c r="S275" s="302"/>
      <c r="T275" s="302"/>
      <c r="U275" s="302"/>
      <c r="V275" s="302"/>
      <c r="W275" s="302"/>
      <c r="X275" s="302"/>
      <c r="Y275" s="302"/>
      <c r="Z275" s="302"/>
    </row>
    <row r="276" spans="1:26" ht="15.55">
      <c r="A276" s="302"/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</row>
    <row r="277" spans="1:26" ht="15.55">
      <c r="A277" s="302"/>
      <c r="B277" s="302"/>
      <c r="C277" s="302"/>
      <c r="D277" s="302"/>
      <c r="E277" s="302"/>
      <c r="F277" s="302"/>
      <c r="G277" s="302"/>
      <c r="H277" s="302"/>
      <c r="I277" s="302"/>
      <c r="J277" s="302"/>
      <c r="K277" s="302"/>
      <c r="L277" s="302"/>
      <c r="M277" s="302"/>
      <c r="N277" s="302"/>
      <c r="O277" s="302"/>
      <c r="P277" s="302"/>
      <c r="Q277" s="302"/>
      <c r="R277" s="302"/>
      <c r="S277" s="302"/>
      <c r="T277" s="302"/>
      <c r="U277" s="302"/>
      <c r="V277" s="302"/>
      <c r="W277" s="302"/>
      <c r="X277" s="302"/>
      <c r="Y277" s="302"/>
      <c r="Z277" s="302"/>
    </row>
    <row r="278" spans="1:26" ht="15.55">
      <c r="A278" s="302"/>
      <c r="B278" s="302"/>
      <c r="C278" s="302"/>
      <c r="D278" s="302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O278" s="302"/>
      <c r="P278" s="302"/>
      <c r="Q278" s="302"/>
      <c r="R278" s="302"/>
      <c r="S278" s="302"/>
      <c r="T278" s="302"/>
      <c r="U278" s="302"/>
      <c r="V278" s="302"/>
      <c r="W278" s="302"/>
      <c r="X278" s="302"/>
      <c r="Y278" s="302"/>
      <c r="Z278" s="302"/>
    </row>
    <row r="279" spans="1:26" ht="15.55">
      <c r="A279" s="302"/>
      <c r="B279" s="302"/>
      <c r="C279" s="302"/>
      <c r="D279" s="302"/>
      <c r="E279" s="302"/>
      <c r="F279" s="302"/>
      <c r="G279" s="302"/>
      <c r="H279" s="302"/>
      <c r="I279" s="302"/>
      <c r="J279" s="302"/>
      <c r="K279" s="302"/>
      <c r="L279" s="302"/>
      <c r="M279" s="302"/>
      <c r="N279" s="302"/>
      <c r="O279" s="302"/>
      <c r="P279" s="302"/>
      <c r="Q279" s="302"/>
      <c r="R279" s="302"/>
      <c r="S279" s="302"/>
      <c r="T279" s="302"/>
      <c r="U279" s="302"/>
      <c r="V279" s="302"/>
      <c r="W279" s="302"/>
      <c r="X279" s="302"/>
      <c r="Y279" s="302"/>
      <c r="Z279" s="302"/>
    </row>
    <row r="280" spans="1:26" ht="15.55">
      <c r="A280" s="302"/>
      <c r="B280" s="302"/>
      <c r="C280" s="302"/>
      <c r="D280" s="302"/>
      <c r="E280" s="302"/>
      <c r="F280" s="302"/>
      <c r="G280" s="302"/>
      <c r="H280" s="302"/>
      <c r="I280" s="302"/>
      <c r="J280" s="302"/>
      <c r="K280" s="302"/>
      <c r="L280" s="302"/>
      <c r="M280" s="302"/>
      <c r="N280" s="302"/>
      <c r="O280" s="302"/>
      <c r="P280" s="302"/>
      <c r="Q280" s="302"/>
      <c r="R280" s="302"/>
      <c r="S280" s="302"/>
      <c r="T280" s="302"/>
      <c r="U280" s="302"/>
      <c r="V280" s="302"/>
      <c r="W280" s="302"/>
      <c r="X280" s="302"/>
      <c r="Y280" s="302"/>
      <c r="Z280" s="302"/>
    </row>
    <row r="281" spans="1:26" ht="15.55">
      <c r="A281" s="302"/>
      <c r="B281" s="302"/>
      <c r="C281" s="302"/>
      <c r="D281" s="302"/>
      <c r="E281" s="302"/>
      <c r="F281" s="302"/>
      <c r="G281" s="302"/>
      <c r="H281" s="302"/>
      <c r="I281" s="302"/>
      <c r="J281" s="302"/>
      <c r="K281" s="302"/>
      <c r="L281" s="302"/>
      <c r="M281" s="302"/>
      <c r="N281" s="302"/>
      <c r="O281" s="302"/>
      <c r="P281" s="302"/>
      <c r="Q281" s="302"/>
      <c r="R281" s="302"/>
      <c r="S281" s="302"/>
      <c r="T281" s="302"/>
      <c r="U281" s="302"/>
      <c r="V281" s="302"/>
      <c r="W281" s="302"/>
      <c r="X281" s="302"/>
      <c r="Y281" s="302"/>
      <c r="Z281" s="302"/>
    </row>
    <row r="282" spans="1:26" ht="15.55">
      <c r="A282" s="302"/>
      <c r="B282" s="302"/>
      <c r="C282" s="302"/>
      <c r="D282" s="302"/>
      <c r="E282" s="302"/>
      <c r="F282" s="302"/>
      <c r="G282" s="302"/>
      <c r="H282" s="302"/>
      <c r="I282" s="302"/>
      <c r="J282" s="302"/>
      <c r="K282" s="302"/>
      <c r="L282" s="302"/>
      <c r="M282" s="302"/>
      <c r="N282" s="302"/>
      <c r="O282" s="302"/>
      <c r="P282" s="302"/>
      <c r="Q282" s="302"/>
      <c r="R282" s="302"/>
      <c r="S282" s="302"/>
      <c r="T282" s="302"/>
      <c r="U282" s="302"/>
      <c r="V282" s="302"/>
      <c r="W282" s="302"/>
      <c r="X282" s="302"/>
      <c r="Y282" s="302"/>
      <c r="Z282" s="302"/>
    </row>
    <row r="283" spans="1:26" ht="15.55">
      <c r="A283" s="302"/>
      <c r="B283" s="302"/>
      <c r="C283" s="302"/>
      <c r="D283" s="302"/>
      <c r="E283" s="302"/>
      <c r="F283" s="302"/>
      <c r="G283" s="302"/>
      <c r="H283" s="302"/>
      <c r="I283" s="302"/>
      <c r="J283" s="302"/>
      <c r="K283" s="302"/>
      <c r="L283" s="302"/>
      <c r="M283" s="302"/>
      <c r="N283" s="302"/>
      <c r="O283" s="302"/>
      <c r="P283" s="302"/>
      <c r="Q283" s="302"/>
      <c r="R283" s="302"/>
      <c r="S283" s="302"/>
      <c r="T283" s="302"/>
      <c r="U283" s="302"/>
      <c r="V283" s="302"/>
      <c r="W283" s="302"/>
      <c r="X283" s="302"/>
      <c r="Y283" s="302"/>
      <c r="Z283" s="302"/>
    </row>
    <row r="284" spans="1:26" ht="15.55">
      <c r="A284" s="302"/>
      <c r="B284" s="302"/>
      <c r="C284" s="302"/>
      <c r="D284" s="302"/>
      <c r="E284" s="302"/>
      <c r="F284" s="302"/>
      <c r="G284" s="302"/>
      <c r="H284" s="302"/>
      <c r="I284" s="302"/>
      <c r="J284" s="302"/>
      <c r="K284" s="302"/>
      <c r="L284" s="302"/>
      <c r="M284" s="302"/>
      <c r="N284" s="302"/>
      <c r="O284" s="302"/>
      <c r="P284" s="302"/>
      <c r="Q284" s="302"/>
      <c r="R284" s="302"/>
      <c r="S284" s="302"/>
      <c r="T284" s="302"/>
      <c r="U284" s="302"/>
      <c r="V284" s="302"/>
      <c r="W284" s="302"/>
      <c r="X284" s="302"/>
      <c r="Y284" s="302"/>
      <c r="Z284" s="302"/>
    </row>
    <row r="285" spans="1:26" ht="15.55">
      <c r="A285" s="302"/>
      <c r="B285" s="302"/>
      <c r="C285" s="302"/>
      <c r="D285" s="302"/>
      <c r="E285" s="302"/>
      <c r="F285" s="302"/>
      <c r="G285" s="302"/>
      <c r="H285" s="302"/>
      <c r="I285" s="302"/>
      <c r="J285" s="302"/>
      <c r="K285" s="302"/>
      <c r="L285" s="302"/>
      <c r="M285" s="302"/>
      <c r="N285" s="302"/>
      <c r="O285" s="302"/>
      <c r="P285" s="302"/>
      <c r="Q285" s="302"/>
      <c r="R285" s="302"/>
      <c r="S285" s="302"/>
      <c r="T285" s="302"/>
      <c r="U285" s="302"/>
      <c r="V285" s="302"/>
      <c r="W285" s="302"/>
      <c r="X285" s="302"/>
      <c r="Y285" s="302"/>
      <c r="Z285" s="302"/>
    </row>
    <row r="286" spans="1:26" ht="15.55">
      <c r="A286" s="302"/>
      <c r="B286" s="302"/>
      <c r="C286" s="302"/>
      <c r="D286" s="302"/>
      <c r="E286" s="302"/>
      <c r="F286" s="302"/>
      <c r="G286" s="302"/>
      <c r="H286" s="302"/>
      <c r="I286" s="302"/>
      <c r="J286" s="302"/>
      <c r="K286" s="302"/>
      <c r="L286" s="302"/>
      <c r="M286" s="302"/>
      <c r="N286" s="302"/>
      <c r="O286" s="302"/>
      <c r="P286" s="302"/>
      <c r="Q286" s="302"/>
      <c r="R286" s="302"/>
      <c r="S286" s="302"/>
      <c r="T286" s="302"/>
      <c r="U286" s="302"/>
      <c r="V286" s="302"/>
      <c r="W286" s="302"/>
      <c r="X286" s="302"/>
      <c r="Y286" s="302"/>
      <c r="Z286" s="302"/>
    </row>
    <row r="287" spans="1:26" ht="15.55">
      <c r="A287" s="302"/>
      <c r="B287" s="302"/>
      <c r="C287" s="302"/>
      <c r="D287" s="302"/>
      <c r="E287" s="302"/>
      <c r="F287" s="302"/>
      <c r="G287" s="302"/>
      <c r="H287" s="302"/>
      <c r="I287" s="302"/>
      <c r="J287" s="302"/>
      <c r="K287" s="302"/>
      <c r="L287" s="302"/>
      <c r="M287" s="302"/>
      <c r="N287" s="302"/>
      <c r="O287" s="302"/>
      <c r="P287" s="302"/>
      <c r="Q287" s="302"/>
      <c r="R287" s="302"/>
      <c r="S287" s="302"/>
      <c r="T287" s="302"/>
      <c r="U287" s="302"/>
      <c r="V287" s="302"/>
      <c r="W287" s="302"/>
      <c r="X287" s="302"/>
      <c r="Y287" s="302"/>
      <c r="Z287" s="302"/>
    </row>
    <row r="288" spans="1:26" ht="15.55">
      <c r="A288" s="302"/>
      <c r="B288" s="302"/>
      <c r="C288" s="302"/>
      <c r="D288" s="302"/>
      <c r="E288" s="302"/>
      <c r="F288" s="302"/>
      <c r="G288" s="302"/>
      <c r="H288" s="302"/>
      <c r="I288" s="302"/>
      <c r="J288" s="302"/>
      <c r="K288" s="302"/>
      <c r="L288" s="302"/>
      <c r="M288" s="302"/>
      <c r="N288" s="302"/>
      <c r="O288" s="302"/>
      <c r="P288" s="302"/>
      <c r="Q288" s="302"/>
      <c r="R288" s="302"/>
      <c r="S288" s="302"/>
      <c r="T288" s="302"/>
      <c r="U288" s="302"/>
      <c r="V288" s="302"/>
      <c r="W288" s="302"/>
      <c r="X288" s="302"/>
      <c r="Y288" s="302"/>
      <c r="Z288" s="302"/>
    </row>
    <row r="289" spans="1:26" ht="15.55">
      <c r="A289" s="302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2"/>
      <c r="P289" s="302"/>
      <c r="Q289" s="302"/>
      <c r="R289" s="302"/>
      <c r="S289" s="302"/>
      <c r="T289" s="302"/>
      <c r="U289" s="302"/>
      <c r="V289" s="302"/>
      <c r="W289" s="302"/>
      <c r="X289" s="302"/>
      <c r="Y289" s="302"/>
      <c r="Z289" s="302"/>
    </row>
    <row r="290" spans="1:26" ht="15.55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2"/>
      <c r="P290" s="302"/>
      <c r="Q290" s="302"/>
      <c r="R290" s="302"/>
      <c r="S290" s="302"/>
      <c r="T290" s="302"/>
      <c r="U290" s="302"/>
      <c r="V290" s="302"/>
      <c r="W290" s="302"/>
      <c r="X290" s="302"/>
      <c r="Y290" s="302"/>
      <c r="Z290" s="302"/>
    </row>
    <row r="291" spans="1:26" ht="15.55">
      <c r="A291" s="302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02"/>
      <c r="P291" s="302"/>
      <c r="Q291" s="302"/>
      <c r="R291" s="302"/>
      <c r="S291" s="302"/>
      <c r="T291" s="302"/>
      <c r="U291" s="302"/>
      <c r="V291" s="302"/>
      <c r="W291" s="302"/>
      <c r="X291" s="302"/>
      <c r="Y291" s="302"/>
      <c r="Z291" s="302"/>
    </row>
    <row r="292" spans="1:26" ht="15.55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02"/>
      <c r="P292" s="302"/>
      <c r="Q292" s="302"/>
      <c r="R292" s="302"/>
      <c r="S292" s="302"/>
      <c r="T292" s="302"/>
      <c r="U292" s="302"/>
      <c r="V292" s="302"/>
      <c r="W292" s="302"/>
      <c r="X292" s="302"/>
      <c r="Y292" s="302"/>
      <c r="Z292" s="302"/>
    </row>
    <row r="293" spans="1:26" ht="15.55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2"/>
      <c r="P293" s="302"/>
      <c r="Q293" s="302"/>
      <c r="R293" s="302"/>
      <c r="S293" s="302"/>
      <c r="T293" s="302"/>
      <c r="U293" s="302"/>
      <c r="V293" s="302"/>
      <c r="W293" s="302"/>
      <c r="X293" s="302"/>
      <c r="Y293" s="302"/>
      <c r="Z293" s="302"/>
    </row>
    <row r="294" spans="1:26" ht="15.55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2"/>
      <c r="P294" s="302"/>
      <c r="Q294" s="302"/>
      <c r="R294" s="302"/>
      <c r="S294" s="302"/>
      <c r="T294" s="302"/>
      <c r="U294" s="302"/>
      <c r="V294" s="302"/>
      <c r="W294" s="302"/>
      <c r="X294" s="302"/>
      <c r="Y294" s="302"/>
      <c r="Z294" s="302"/>
    </row>
    <row r="295" spans="1:26" ht="15.55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02"/>
      <c r="P295" s="302"/>
      <c r="Q295" s="302"/>
      <c r="R295" s="302"/>
      <c r="S295" s="302"/>
      <c r="T295" s="302"/>
      <c r="U295" s="302"/>
      <c r="V295" s="302"/>
      <c r="W295" s="302"/>
      <c r="X295" s="302"/>
      <c r="Y295" s="302"/>
      <c r="Z295" s="302"/>
    </row>
    <row r="296" spans="1:26" ht="15.55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02"/>
      <c r="P296" s="302"/>
      <c r="Q296" s="302"/>
      <c r="R296" s="302"/>
      <c r="S296" s="302"/>
      <c r="T296" s="302"/>
      <c r="U296" s="302"/>
      <c r="V296" s="302"/>
      <c r="W296" s="302"/>
      <c r="X296" s="302"/>
      <c r="Y296" s="302"/>
      <c r="Z296" s="302"/>
    </row>
    <row r="297" spans="1:26" ht="15.55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02"/>
      <c r="P297" s="302"/>
      <c r="Q297" s="302"/>
      <c r="R297" s="302"/>
      <c r="S297" s="302"/>
      <c r="T297" s="302"/>
      <c r="U297" s="302"/>
      <c r="V297" s="302"/>
      <c r="W297" s="302"/>
      <c r="X297" s="302"/>
      <c r="Y297" s="302"/>
      <c r="Z297" s="302"/>
    </row>
    <row r="298" spans="1:26" ht="15.55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02"/>
      <c r="P298" s="302"/>
      <c r="Q298" s="302"/>
      <c r="R298" s="302"/>
      <c r="S298" s="302"/>
      <c r="T298" s="302"/>
      <c r="U298" s="302"/>
      <c r="V298" s="302"/>
      <c r="W298" s="302"/>
      <c r="X298" s="302"/>
      <c r="Y298" s="302"/>
      <c r="Z298" s="302"/>
    </row>
    <row r="299" spans="1:26" ht="15.55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02"/>
      <c r="P299" s="302"/>
      <c r="Q299" s="302"/>
      <c r="R299" s="302"/>
      <c r="S299" s="302"/>
      <c r="T299" s="302"/>
      <c r="U299" s="302"/>
      <c r="V299" s="302"/>
      <c r="W299" s="302"/>
      <c r="X299" s="302"/>
      <c r="Y299" s="302"/>
      <c r="Z299" s="302"/>
    </row>
    <row r="300" spans="1:26" ht="15.55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02"/>
      <c r="P300" s="302"/>
      <c r="Q300" s="302"/>
      <c r="R300" s="302"/>
      <c r="S300" s="302"/>
      <c r="T300" s="302"/>
      <c r="U300" s="302"/>
      <c r="V300" s="302"/>
      <c r="W300" s="302"/>
      <c r="X300" s="302"/>
      <c r="Y300" s="302"/>
      <c r="Z300" s="302"/>
    </row>
    <row r="301" spans="1:26" ht="15.55">
      <c r="A301" s="302"/>
      <c r="B301" s="302"/>
      <c r="C301" s="302"/>
      <c r="D301" s="302"/>
      <c r="E301" s="302"/>
      <c r="F301" s="302"/>
      <c r="G301" s="302"/>
      <c r="H301" s="302"/>
      <c r="I301" s="302"/>
      <c r="J301" s="302"/>
      <c r="K301" s="302"/>
      <c r="L301" s="302"/>
      <c r="M301" s="302"/>
      <c r="N301" s="302"/>
      <c r="O301" s="302"/>
      <c r="P301" s="302"/>
      <c r="Q301" s="302"/>
      <c r="R301" s="302"/>
      <c r="S301" s="302"/>
      <c r="T301" s="302"/>
      <c r="U301" s="302"/>
      <c r="V301" s="302"/>
      <c r="W301" s="302"/>
      <c r="X301" s="302"/>
      <c r="Y301" s="302"/>
      <c r="Z301" s="302"/>
    </row>
    <row r="302" spans="1:26" ht="15.55">
      <c r="A302" s="302"/>
      <c r="B302" s="302"/>
      <c r="C302" s="302"/>
      <c r="D302" s="302"/>
      <c r="E302" s="302"/>
      <c r="F302" s="302"/>
      <c r="G302" s="302"/>
      <c r="H302" s="302"/>
      <c r="I302" s="302"/>
      <c r="J302" s="302"/>
      <c r="K302" s="302"/>
      <c r="L302" s="302"/>
      <c r="M302" s="302"/>
      <c r="N302" s="302"/>
      <c r="O302" s="302"/>
      <c r="P302" s="302"/>
      <c r="Q302" s="302"/>
      <c r="R302" s="302"/>
      <c r="S302" s="302"/>
      <c r="T302" s="302"/>
      <c r="U302" s="302"/>
      <c r="V302" s="302"/>
      <c r="W302" s="302"/>
      <c r="X302" s="302"/>
      <c r="Y302" s="302"/>
      <c r="Z302" s="302"/>
    </row>
    <row r="303" spans="1:26" ht="15.55">
      <c r="A303" s="302"/>
      <c r="B303" s="302"/>
      <c r="C303" s="302"/>
      <c r="D303" s="302"/>
      <c r="E303" s="302"/>
      <c r="F303" s="302"/>
      <c r="G303" s="302"/>
      <c r="H303" s="302"/>
      <c r="I303" s="302"/>
      <c r="J303" s="302"/>
      <c r="K303" s="302"/>
      <c r="L303" s="302"/>
      <c r="M303" s="302"/>
      <c r="N303" s="302"/>
      <c r="O303" s="302"/>
      <c r="P303" s="302"/>
      <c r="Q303" s="302"/>
      <c r="R303" s="302"/>
      <c r="S303" s="302"/>
      <c r="T303" s="302"/>
      <c r="U303" s="302"/>
      <c r="V303" s="302"/>
      <c r="W303" s="302"/>
      <c r="X303" s="302"/>
      <c r="Y303" s="302"/>
      <c r="Z303" s="302"/>
    </row>
    <row r="304" spans="1:26" ht="15.55">
      <c r="A304" s="302"/>
      <c r="B304" s="302"/>
      <c r="C304" s="302"/>
      <c r="D304" s="302"/>
      <c r="E304" s="302"/>
      <c r="F304" s="302"/>
      <c r="G304" s="302"/>
      <c r="H304" s="302"/>
      <c r="I304" s="302"/>
      <c r="J304" s="302"/>
      <c r="K304" s="302"/>
      <c r="L304" s="302"/>
      <c r="M304" s="302"/>
      <c r="N304" s="302"/>
      <c r="O304" s="302"/>
      <c r="P304" s="302"/>
      <c r="Q304" s="302"/>
      <c r="R304" s="302"/>
      <c r="S304" s="302"/>
      <c r="T304" s="302"/>
      <c r="U304" s="302"/>
      <c r="V304" s="302"/>
      <c r="W304" s="302"/>
      <c r="X304" s="302"/>
      <c r="Y304" s="302"/>
      <c r="Z304" s="302"/>
    </row>
    <row r="305" spans="1:26" ht="15.55">
      <c r="A305" s="302"/>
      <c r="B305" s="302"/>
      <c r="C305" s="302"/>
      <c r="D305" s="302"/>
      <c r="E305" s="302"/>
      <c r="F305" s="302"/>
      <c r="G305" s="302"/>
      <c r="H305" s="302"/>
      <c r="I305" s="302"/>
      <c r="J305" s="302"/>
      <c r="K305" s="302"/>
      <c r="L305" s="302"/>
      <c r="M305" s="302"/>
      <c r="N305" s="302"/>
      <c r="O305" s="302"/>
      <c r="P305" s="302"/>
      <c r="Q305" s="302"/>
      <c r="R305" s="302"/>
      <c r="S305" s="302"/>
      <c r="T305" s="302"/>
      <c r="U305" s="302"/>
      <c r="V305" s="302"/>
      <c r="W305" s="302"/>
      <c r="X305" s="302"/>
      <c r="Y305" s="302"/>
      <c r="Z305" s="302"/>
    </row>
    <row r="306" spans="1:26" ht="15.55">
      <c r="A306" s="302"/>
      <c r="B306" s="302"/>
      <c r="C306" s="302"/>
      <c r="D306" s="302"/>
      <c r="E306" s="302"/>
      <c r="F306" s="302"/>
      <c r="G306" s="302"/>
      <c r="H306" s="302"/>
      <c r="I306" s="302"/>
      <c r="J306" s="302"/>
      <c r="K306" s="302"/>
      <c r="L306" s="302"/>
      <c r="M306" s="302"/>
      <c r="N306" s="302"/>
      <c r="O306" s="302"/>
      <c r="P306" s="302"/>
      <c r="Q306" s="302"/>
      <c r="R306" s="302"/>
      <c r="S306" s="302"/>
      <c r="T306" s="302"/>
      <c r="U306" s="302"/>
      <c r="V306" s="302"/>
      <c r="W306" s="302"/>
      <c r="X306" s="302"/>
      <c r="Y306" s="302"/>
      <c r="Z306" s="302"/>
    </row>
    <row r="307" spans="1:26" ht="15.55">
      <c r="A307" s="302"/>
      <c r="B307" s="302"/>
      <c r="C307" s="302"/>
      <c r="D307" s="302"/>
      <c r="E307" s="302"/>
      <c r="F307" s="302"/>
      <c r="G307" s="302"/>
      <c r="H307" s="302"/>
      <c r="I307" s="302"/>
      <c r="J307" s="302"/>
      <c r="K307" s="302"/>
      <c r="L307" s="302"/>
      <c r="M307" s="302"/>
      <c r="N307" s="302"/>
      <c r="O307" s="302"/>
      <c r="P307" s="302"/>
      <c r="Q307" s="302"/>
      <c r="R307" s="302"/>
      <c r="S307" s="302"/>
      <c r="T307" s="302"/>
      <c r="U307" s="302"/>
      <c r="V307" s="302"/>
      <c r="W307" s="302"/>
      <c r="X307" s="302"/>
      <c r="Y307" s="302"/>
      <c r="Z307" s="302"/>
    </row>
    <row r="308" spans="1:26" ht="15.55">
      <c r="A308" s="302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302"/>
      <c r="O308" s="302"/>
      <c r="P308" s="302"/>
      <c r="Q308" s="302"/>
      <c r="R308" s="302"/>
      <c r="S308" s="302"/>
      <c r="T308" s="302"/>
      <c r="U308" s="302"/>
      <c r="V308" s="302"/>
      <c r="W308" s="302"/>
      <c r="X308" s="302"/>
      <c r="Y308" s="302"/>
      <c r="Z308" s="302"/>
    </row>
    <row r="309" spans="1:26" ht="15.55">
      <c r="A309" s="302"/>
      <c r="B309" s="302"/>
      <c r="C309" s="302"/>
      <c r="D309" s="302"/>
      <c r="E309" s="302"/>
      <c r="F309" s="302"/>
      <c r="G309" s="302"/>
      <c r="H309" s="302"/>
      <c r="I309" s="302"/>
      <c r="J309" s="302"/>
      <c r="K309" s="302"/>
      <c r="L309" s="302"/>
      <c r="M309" s="302"/>
      <c r="N309" s="302"/>
      <c r="O309" s="302"/>
      <c r="P309" s="302"/>
      <c r="Q309" s="302"/>
      <c r="R309" s="302"/>
      <c r="S309" s="302"/>
      <c r="T309" s="302"/>
      <c r="U309" s="302"/>
      <c r="V309" s="302"/>
      <c r="W309" s="302"/>
      <c r="X309" s="302"/>
      <c r="Y309" s="302"/>
      <c r="Z309" s="302"/>
    </row>
    <row r="310" spans="1:26" ht="15.55">
      <c r="A310" s="302"/>
      <c r="B310" s="302"/>
      <c r="C310" s="302"/>
      <c r="D310" s="302"/>
      <c r="E310" s="302"/>
      <c r="F310" s="302"/>
      <c r="G310" s="302"/>
      <c r="H310" s="302"/>
      <c r="I310" s="302"/>
      <c r="J310" s="302"/>
      <c r="K310" s="302"/>
      <c r="L310" s="302"/>
      <c r="M310" s="302"/>
      <c r="N310" s="302"/>
      <c r="O310" s="302"/>
      <c r="P310" s="302"/>
      <c r="Q310" s="302"/>
      <c r="R310" s="302"/>
      <c r="S310" s="302"/>
      <c r="T310" s="302"/>
      <c r="U310" s="302"/>
      <c r="V310" s="302"/>
      <c r="W310" s="302"/>
      <c r="X310" s="302"/>
      <c r="Y310" s="302"/>
      <c r="Z310" s="302"/>
    </row>
    <row r="311" spans="1:26" ht="15.55">
      <c r="A311" s="302"/>
      <c r="B311" s="302"/>
      <c r="C311" s="302"/>
      <c r="D311" s="302"/>
      <c r="E311" s="302"/>
      <c r="F311" s="302"/>
      <c r="G311" s="302"/>
      <c r="H311" s="302"/>
      <c r="I311" s="302"/>
      <c r="J311" s="302"/>
      <c r="K311" s="302"/>
      <c r="L311" s="302"/>
      <c r="M311" s="302"/>
      <c r="N311" s="302"/>
      <c r="O311" s="302"/>
      <c r="P311" s="302"/>
      <c r="Q311" s="302"/>
      <c r="R311" s="302"/>
      <c r="S311" s="302"/>
      <c r="T311" s="302"/>
      <c r="U311" s="302"/>
      <c r="V311" s="302"/>
      <c r="W311" s="302"/>
      <c r="X311" s="302"/>
      <c r="Y311" s="302"/>
      <c r="Z311" s="302"/>
    </row>
    <row r="312" spans="1:26" ht="15.55">
      <c r="A312" s="302"/>
      <c r="B312" s="302"/>
      <c r="C312" s="302"/>
      <c r="D312" s="302"/>
      <c r="E312" s="302"/>
      <c r="F312" s="302"/>
      <c r="G312" s="302"/>
      <c r="H312" s="302"/>
      <c r="I312" s="302"/>
      <c r="J312" s="302"/>
      <c r="K312" s="302"/>
      <c r="L312" s="302"/>
      <c r="M312" s="302"/>
      <c r="N312" s="302"/>
      <c r="O312" s="302"/>
      <c r="P312" s="302"/>
      <c r="Q312" s="302"/>
      <c r="R312" s="302"/>
      <c r="S312" s="302"/>
      <c r="T312" s="302"/>
      <c r="U312" s="302"/>
      <c r="V312" s="302"/>
      <c r="W312" s="302"/>
      <c r="X312" s="302"/>
      <c r="Y312" s="302"/>
      <c r="Z312" s="302"/>
    </row>
    <row r="313" spans="1:26" ht="15.55">
      <c r="A313" s="302"/>
      <c r="B313" s="302"/>
      <c r="C313" s="302"/>
      <c r="D313" s="302"/>
      <c r="E313" s="302"/>
      <c r="F313" s="302"/>
      <c r="G313" s="302"/>
      <c r="H313" s="302"/>
      <c r="I313" s="302"/>
      <c r="J313" s="302"/>
      <c r="K313" s="302"/>
      <c r="L313" s="302"/>
      <c r="M313" s="302"/>
      <c r="N313" s="302"/>
      <c r="O313" s="302"/>
      <c r="P313" s="302"/>
      <c r="Q313" s="302"/>
      <c r="R313" s="302"/>
      <c r="S313" s="302"/>
      <c r="T313" s="302"/>
      <c r="U313" s="302"/>
      <c r="V313" s="302"/>
      <c r="W313" s="302"/>
      <c r="X313" s="302"/>
      <c r="Y313" s="302"/>
      <c r="Z313" s="302"/>
    </row>
    <row r="314" spans="1:26" ht="15.55">
      <c r="A314" s="302"/>
      <c r="B314" s="302"/>
      <c r="C314" s="302"/>
      <c r="D314" s="302"/>
      <c r="E314" s="302"/>
      <c r="F314" s="302"/>
      <c r="G314" s="302"/>
      <c r="H314" s="302"/>
      <c r="I314" s="302"/>
      <c r="J314" s="302"/>
      <c r="K314" s="302"/>
      <c r="L314" s="302"/>
      <c r="M314" s="302"/>
      <c r="N314" s="302"/>
      <c r="O314" s="302"/>
      <c r="P314" s="302"/>
      <c r="Q314" s="302"/>
      <c r="R314" s="302"/>
      <c r="S314" s="302"/>
      <c r="T314" s="302"/>
      <c r="U314" s="302"/>
      <c r="V314" s="302"/>
      <c r="W314" s="302"/>
      <c r="X314" s="302"/>
      <c r="Y314" s="302"/>
      <c r="Z314" s="302"/>
    </row>
    <row r="315" spans="1:26" ht="15.55">
      <c r="A315" s="302"/>
      <c r="B315" s="302"/>
      <c r="C315" s="302"/>
      <c r="D315" s="302"/>
      <c r="E315" s="302"/>
      <c r="F315" s="302"/>
      <c r="G315" s="302"/>
      <c r="H315" s="302"/>
      <c r="I315" s="302"/>
      <c r="J315" s="302"/>
      <c r="K315" s="302"/>
      <c r="L315" s="302"/>
      <c r="M315" s="302"/>
      <c r="N315" s="302"/>
      <c r="O315" s="302"/>
      <c r="P315" s="302"/>
      <c r="Q315" s="302"/>
      <c r="R315" s="302"/>
      <c r="S315" s="302"/>
      <c r="T315" s="302"/>
      <c r="U315" s="302"/>
      <c r="V315" s="302"/>
      <c r="W315" s="302"/>
      <c r="X315" s="302"/>
      <c r="Y315" s="302"/>
      <c r="Z315" s="302"/>
    </row>
    <row r="316" spans="1:26" ht="15.55">
      <c r="A316" s="302"/>
      <c r="B316" s="302"/>
      <c r="C316" s="302"/>
      <c r="D316" s="302"/>
      <c r="E316" s="302"/>
      <c r="F316" s="302"/>
      <c r="G316" s="302"/>
      <c r="H316" s="302"/>
      <c r="I316" s="302"/>
      <c r="J316" s="302"/>
      <c r="K316" s="302"/>
      <c r="L316" s="302"/>
      <c r="M316" s="302"/>
      <c r="N316" s="302"/>
      <c r="O316" s="302"/>
      <c r="P316" s="302"/>
      <c r="Q316" s="302"/>
      <c r="R316" s="302"/>
      <c r="S316" s="302"/>
      <c r="T316" s="302"/>
      <c r="U316" s="302"/>
      <c r="V316" s="302"/>
      <c r="W316" s="302"/>
      <c r="X316" s="302"/>
      <c r="Y316" s="302"/>
      <c r="Z316" s="302"/>
    </row>
    <row r="317" spans="1:26" ht="15.55">
      <c r="A317" s="302"/>
      <c r="B317" s="302"/>
      <c r="C317" s="302"/>
      <c r="D317" s="302"/>
      <c r="E317" s="302"/>
      <c r="F317" s="302"/>
      <c r="G317" s="302"/>
      <c r="H317" s="302"/>
      <c r="I317" s="302"/>
      <c r="J317" s="302"/>
      <c r="K317" s="302"/>
      <c r="L317" s="302"/>
      <c r="M317" s="302"/>
      <c r="N317" s="302"/>
      <c r="O317" s="302"/>
      <c r="P317" s="302"/>
      <c r="Q317" s="302"/>
      <c r="R317" s="302"/>
      <c r="S317" s="302"/>
      <c r="T317" s="302"/>
      <c r="U317" s="302"/>
      <c r="V317" s="302"/>
      <c r="W317" s="302"/>
      <c r="X317" s="302"/>
      <c r="Y317" s="302"/>
      <c r="Z317" s="302"/>
    </row>
    <row r="318" spans="1:26" ht="15.55">
      <c r="A318" s="302"/>
      <c r="B318" s="302"/>
      <c r="C318" s="302"/>
      <c r="D318" s="302"/>
      <c r="E318" s="302"/>
      <c r="F318" s="302"/>
      <c r="G318" s="302"/>
      <c r="H318" s="302"/>
      <c r="I318" s="302"/>
      <c r="J318" s="302"/>
      <c r="K318" s="302"/>
      <c r="L318" s="302"/>
      <c r="M318" s="302"/>
      <c r="N318" s="302"/>
      <c r="O318" s="302"/>
      <c r="P318" s="302"/>
      <c r="Q318" s="302"/>
      <c r="R318" s="302"/>
      <c r="S318" s="302"/>
      <c r="T318" s="302"/>
      <c r="U318" s="302"/>
      <c r="V318" s="302"/>
      <c r="W318" s="302"/>
      <c r="X318" s="302"/>
      <c r="Y318" s="302"/>
      <c r="Z318" s="302"/>
    </row>
    <row r="319" spans="1:26" ht="15.55">
      <c r="A319" s="302"/>
      <c r="B319" s="302"/>
      <c r="C319" s="302"/>
      <c r="D319" s="302"/>
      <c r="E319" s="302"/>
      <c r="F319" s="302"/>
      <c r="G319" s="302"/>
      <c r="H319" s="302"/>
      <c r="I319" s="302"/>
      <c r="J319" s="302"/>
      <c r="K319" s="302"/>
      <c r="L319" s="302"/>
      <c r="M319" s="302"/>
      <c r="N319" s="302"/>
      <c r="O319" s="302"/>
      <c r="P319" s="302"/>
      <c r="Q319" s="302"/>
      <c r="R319" s="302"/>
      <c r="S319" s="302"/>
      <c r="T319" s="302"/>
      <c r="U319" s="302"/>
      <c r="V319" s="302"/>
      <c r="W319" s="302"/>
      <c r="X319" s="302"/>
      <c r="Y319" s="302"/>
      <c r="Z319" s="302"/>
    </row>
    <row r="320" spans="1:26" ht="15.55">
      <c r="A320" s="302"/>
      <c r="B320" s="302"/>
      <c r="C320" s="302"/>
      <c r="D320" s="302"/>
      <c r="E320" s="302"/>
      <c r="F320" s="302"/>
      <c r="G320" s="302"/>
      <c r="H320" s="302"/>
      <c r="I320" s="302"/>
      <c r="J320" s="302"/>
      <c r="K320" s="302"/>
      <c r="L320" s="302"/>
      <c r="M320" s="302"/>
      <c r="N320" s="302"/>
      <c r="O320" s="302"/>
      <c r="P320" s="302"/>
      <c r="Q320" s="302"/>
      <c r="R320" s="302"/>
      <c r="S320" s="302"/>
      <c r="T320" s="302"/>
      <c r="U320" s="302"/>
      <c r="V320" s="302"/>
      <c r="W320" s="302"/>
      <c r="X320" s="302"/>
      <c r="Y320" s="302"/>
      <c r="Z320" s="302"/>
    </row>
    <row r="321" spans="1:26" ht="15.55">
      <c r="A321" s="302"/>
      <c r="B321" s="302"/>
      <c r="C321" s="302"/>
      <c r="D321" s="302"/>
      <c r="E321" s="302"/>
      <c r="F321" s="302"/>
      <c r="G321" s="302"/>
      <c r="H321" s="302"/>
      <c r="I321" s="302"/>
      <c r="J321" s="302"/>
      <c r="K321" s="302"/>
      <c r="L321" s="302"/>
      <c r="M321" s="302"/>
      <c r="N321" s="302"/>
      <c r="O321" s="302"/>
      <c r="P321" s="302"/>
      <c r="Q321" s="302"/>
      <c r="R321" s="302"/>
      <c r="S321" s="302"/>
      <c r="T321" s="302"/>
      <c r="U321" s="302"/>
      <c r="V321" s="302"/>
      <c r="W321" s="302"/>
      <c r="X321" s="302"/>
      <c r="Y321" s="302"/>
      <c r="Z321" s="302"/>
    </row>
    <row r="322" spans="1:26" ht="15.55">
      <c r="A322" s="302"/>
      <c r="B322" s="302"/>
      <c r="C322" s="302"/>
      <c r="D322" s="302"/>
      <c r="E322" s="302"/>
      <c r="F322" s="302"/>
      <c r="G322" s="302"/>
      <c r="H322" s="302"/>
      <c r="I322" s="302"/>
      <c r="J322" s="302"/>
      <c r="K322" s="302"/>
      <c r="L322" s="302"/>
      <c r="M322" s="302"/>
      <c r="N322" s="302"/>
      <c r="O322" s="302"/>
      <c r="P322" s="302"/>
      <c r="Q322" s="302"/>
      <c r="R322" s="302"/>
      <c r="S322" s="302"/>
      <c r="T322" s="302"/>
      <c r="U322" s="302"/>
      <c r="V322" s="302"/>
      <c r="W322" s="302"/>
      <c r="X322" s="302"/>
      <c r="Y322" s="302"/>
      <c r="Z322" s="302"/>
    </row>
    <row r="323" spans="1:26" ht="15.55">
      <c r="A323" s="302"/>
      <c r="B323" s="302"/>
      <c r="C323" s="302"/>
      <c r="D323" s="302"/>
      <c r="E323" s="302"/>
      <c r="F323" s="302"/>
      <c r="G323" s="302"/>
      <c r="H323" s="302"/>
      <c r="I323" s="302"/>
      <c r="J323" s="302"/>
      <c r="K323" s="302"/>
      <c r="L323" s="302"/>
      <c r="M323" s="302"/>
      <c r="N323" s="302"/>
      <c r="O323" s="302"/>
      <c r="P323" s="302"/>
      <c r="Q323" s="302"/>
      <c r="R323" s="302"/>
      <c r="S323" s="302"/>
      <c r="T323" s="302"/>
      <c r="U323" s="302"/>
      <c r="V323" s="302"/>
      <c r="W323" s="302"/>
      <c r="X323" s="302"/>
      <c r="Y323" s="302"/>
      <c r="Z323" s="302"/>
    </row>
    <row r="324" spans="1:26" ht="15.55">
      <c r="A324" s="302"/>
      <c r="B324" s="302"/>
      <c r="C324" s="302"/>
      <c r="D324" s="302"/>
      <c r="E324" s="302"/>
      <c r="F324" s="302"/>
      <c r="G324" s="302"/>
      <c r="H324" s="302"/>
      <c r="I324" s="302"/>
      <c r="J324" s="302"/>
      <c r="K324" s="302"/>
      <c r="L324" s="302"/>
      <c r="M324" s="302"/>
      <c r="N324" s="302"/>
      <c r="O324" s="302"/>
      <c r="P324" s="302"/>
      <c r="Q324" s="302"/>
      <c r="R324" s="302"/>
      <c r="S324" s="302"/>
      <c r="T324" s="302"/>
      <c r="U324" s="302"/>
      <c r="V324" s="302"/>
      <c r="W324" s="302"/>
      <c r="X324" s="302"/>
      <c r="Y324" s="302"/>
      <c r="Z324" s="302"/>
    </row>
    <row r="325" spans="1:26" ht="15.55">
      <c r="A325" s="302"/>
      <c r="B325" s="302"/>
      <c r="C325" s="302"/>
      <c r="D325" s="302"/>
      <c r="E325" s="302"/>
      <c r="F325" s="302"/>
      <c r="G325" s="302"/>
      <c r="H325" s="302"/>
      <c r="I325" s="302"/>
      <c r="J325" s="302"/>
      <c r="K325" s="302"/>
      <c r="L325" s="302"/>
      <c r="M325" s="302"/>
      <c r="N325" s="302"/>
      <c r="O325" s="302"/>
      <c r="P325" s="302"/>
      <c r="Q325" s="302"/>
      <c r="R325" s="302"/>
      <c r="S325" s="302"/>
      <c r="T325" s="302"/>
      <c r="U325" s="302"/>
      <c r="V325" s="302"/>
      <c r="W325" s="302"/>
      <c r="X325" s="302"/>
      <c r="Y325" s="302"/>
      <c r="Z325" s="302"/>
    </row>
    <row r="326" spans="1:26" ht="15.55">
      <c r="A326" s="302"/>
      <c r="B326" s="302"/>
      <c r="C326" s="302"/>
      <c r="D326" s="302"/>
      <c r="E326" s="302"/>
      <c r="F326" s="302"/>
      <c r="G326" s="302"/>
      <c r="H326" s="302"/>
      <c r="I326" s="302"/>
      <c r="J326" s="302"/>
      <c r="K326" s="302"/>
      <c r="L326" s="302"/>
      <c r="M326" s="302"/>
      <c r="N326" s="302"/>
      <c r="O326" s="302"/>
      <c r="P326" s="302"/>
      <c r="Q326" s="302"/>
      <c r="R326" s="302"/>
      <c r="S326" s="302"/>
      <c r="T326" s="302"/>
      <c r="U326" s="302"/>
      <c r="V326" s="302"/>
      <c r="W326" s="302"/>
      <c r="X326" s="302"/>
      <c r="Y326" s="302"/>
      <c r="Z326" s="302"/>
    </row>
    <row r="327" spans="1:26" ht="15.55">
      <c r="A327" s="302"/>
      <c r="B327" s="302"/>
      <c r="C327" s="302"/>
      <c r="D327" s="302"/>
      <c r="E327" s="302"/>
      <c r="F327" s="302"/>
      <c r="G327" s="302"/>
      <c r="H327" s="302"/>
      <c r="I327" s="302"/>
      <c r="J327" s="302"/>
      <c r="K327" s="302"/>
      <c r="L327" s="302"/>
      <c r="M327" s="302"/>
      <c r="N327" s="302"/>
      <c r="O327" s="302"/>
      <c r="P327" s="302"/>
      <c r="Q327" s="302"/>
      <c r="R327" s="302"/>
      <c r="S327" s="302"/>
      <c r="T327" s="302"/>
      <c r="U327" s="302"/>
      <c r="V327" s="302"/>
      <c r="W327" s="302"/>
      <c r="X327" s="302"/>
      <c r="Y327" s="302"/>
      <c r="Z327" s="302"/>
    </row>
    <row r="328" spans="1:26" ht="15.55">
      <c r="A328" s="302"/>
      <c r="B328" s="302"/>
      <c r="C328" s="302"/>
      <c r="D328" s="302"/>
      <c r="E328" s="302"/>
      <c r="F328" s="302"/>
      <c r="G328" s="302"/>
      <c r="H328" s="302"/>
      <c r="I328" s="302"/>
      <c r="J328" s="302"/>
      <c r="K328" s="302"/>
      <c r="L328" s="302"/>
      <c r="M328" s="302"/>
      <c r="N328" s="302"/>
      <c r="O328" s="302"/>
      <c r="P328" s="302"/>
      <c r="Q328" s="302"/>
      <c r="R328" s="302"/>
      <c r="S328" s="302"/>
      <c r="T328" s="302"/>
      <c r="U328" s="302"/>
      <c r="V328" s="302"/>
      <c r="W328" s="302"/>
      <c r="X328" s="302"/>
      <c r="Y328" s="302"/>
      <c r="Z328" s="302"/>
    </row>
    <row r="329" spans="1:26" ht="15.55">
      <c r="A329" s="302"/>
      <c r="B329" s="302"/>
      <c r="C329" s="302"/>
      <c r="D329" s="302"/>
      <c r="E329" s="302"/>
      <c r="F329" s="302"/>
      <c r="G329" s="302"/>
      <c r="H329" s="302"/>
      <c r="I329" s="302"/>
      <c r="J329" s="302"/>
      <c r="K329" s="302"/>
      <c r="L329" s="302"/>
      <c r="M329" s="302"/>
      <c r="N329" s="302"/>
      <c r="O329" s="302"/>
      <c r="P329" s="302"/>
      <c r="Q329" s="302"/>
      <c r="R329" s="302"/>
      <c r="S329" s="302"/>
      <c r="T329" s="302"/>
      <c r="U329" s="302"/>
      <c r="V329" s="302"/>
      <c r="W329" s="302"/>
      <c r="X329" s="302"/>
      <c r="Y329" s="302"/>
      <c r="Z329" s="302"/>
    </row>
    <row r="330" spans="1:26" ht="15.55">
      <c r="A330" s="302"/>
      <c r="B330" s="302"/>
      <c r="C330" s="302"/>
      <c r="D330" s="302"/>
      <c r="E330" s="302"/>
      <c r="F330" s="302"/>
      <c r="G330" s="302"/>
      <c r="H330" s="302"/>
      <c r="I330" s="302"/>
      <c r="J330" s="302"/>
      <c r="K330" s="302"/>
      <c r="L330" s="302"/>
      <c r="M330" s="302"/>
      <c r="N330" s="302"/>
      <c r="O330" s="302"/>
      <c r="P330" s="302"/>
      <c r="Q330" s="302"/>
      <c r="R330" s="302"/>
      <c r="S330" s="302"/>
      <c r="T330" s="302"/>
      <c r="U330" s="302"/>
      <c r="V330" s="302"/>
      <c r="W330" s="302"/>
      <c r="X330" s="302"/>
      <c r="Y330" s="302"/>
      <c r="Z330" s="302"/>
    </row>
    <row r="331" spans="1:26" ht="15.55">
      <c r="A331" s="302"/>
      <c r="B331" s="302"/>
      <c r="C331" s="302"/>
      <c r="D331" s="302"/>
      <c r="E331" s="302"/>
      <c r="F331" s="302"/>
      <c r="G331" s="302"/>
      <c r="H331" s="302"/>
      <c r="I331" s="302"/>
      <c r="J331" s="302"/>
      <c r="K331" s="302"/>
      <c r="L331" s="302"/>
      <c r="M331" s="302"/>
      <c r="N331" s="302"/>
      <c r="O331" s="302"/>
      <c r="P331" s="302"/>
      <c r="Q331" s="302"/>
      <c r="R331" s="302"/>
      <c r="S331" s="302"/>
      <c r="T331" s="302"/>
      <c r="U331" s="302"/>
      <c r="V331" s="302"/>
      <c r="W331" s="302"/>
      <c r="X331" s="302"/>
      <c r="Y331" s="302"/>
      <c r="Z331" s="302"/>
    </row>
    <row r="332" spans="1:26" ht="15.55">
      <c r="A332" s="302"/>
      <c r="B332" s="302"/>
      <c r="C332" s="302"/>
      <c r="D332" s="302"/>
      <c r="E332" s="302"/>
      <c r="F332" s="302"/>
      <c r="G332" s="302"/>
      <c r="H332" s="302"/>
      <c r="I332" s="302"/>
      <c r="J332" s="302"/>
      <c r="K332" s="302"/>
      <c r="L332" s="302"/>
      <c r="M332" s="302"/>
      <c r="N332" s="302"/>
      <c r="O332" s="302"/>
      <c r="P332" s="302"/>
      <c r="Q332" s="302"/>
      <c r="R332" s="302"/>
      <c r="S332" s="302"/>
      <c r="T332" s="302"/>
      <c r="U332" s="302"/>
      <c r="V332" s="302"/>
      <c r="W332" s="302"/>
      <c r="X332" s="302"/>
      <c r="Y332" s="302"/>
      <c r="Z332" s="302"/>
    </row>
    <row r="333" spans="1:26" ht="15.55">
      <c r="A333" s="302"/>
      <c r="B333" s="302"/>
      <c r="C333" s="302"/>
      <c r="D333" s="302"/>
      <c r="E333" s="302"/>
      <c r="F333" s="302"/>
      <c r="G333" s="302"/>
      <c r="H333" s="302"/>
      <c r="I333" s="302"/>
      <c r="J333" s="302"/>
      <c r="K333" s="302"/>
      <c r="L333" s="302"/>
      <c r="M333" s="302"/>
      <c r="N333" s="302"/>
      <c r="O333" s="302"/>
      <c r="P333" s="302"/>
      <c r="Q333" s="302"/>
      <c r="R333" s="302"/>
      <c r="S333" s="302"/>
      <c r="T333" s="302"/>
      <c r="U333" s="302"/>
      <c r="V333" s="302"/>
      <c r="W333" s="302"/>
      <c r="X333" s="302"/>
      <c r="Y333" s="302"/>
      <c r="Z333" s="302"/>
    </row>
    <row r="334" spans="1:26" ht="15.55">
      <c r="A334" s="302"/>
      <c r="B334" s="302"/>
      <c r="C334" s="302"/>
      <c r="D334" s="302"/>
      <c r="E334" s="302"/>
      <c r="F334" s="302"/>
      <c r="G334" s="302"/>
      <c r="H334" s="302"/>
      <c r="I334" s="302"/>
      <c r="J334" s="302"/>
      <c r="K334" s="302"/>
      <c r="L334" s="302"/>
      <c r="M334" s="302"/>
      <c r="N334" s="302"/>
      <c r="O334" s="302"/>
      <c r="P334" s="302"/>
      <c r="Q334" s="302"/>
      <c r="R334" s="302"/>
      <c r="S334" s="302"/>
      <c r="T334" s="302"/>
      <c r="U334" s="302"/>
      <c r="V334" s="302"/>
      <c r="W334" s="302"/>
      <c r="X334" s="302"/>
      <c r="Y334" s="302"/>
      <c r="Z334" s="302"/>
    </row>
    <row r="335" spans="1:26" ht="15.55">
      <c r="A335" s="302"/>
      <c r="B335" s="302"/>
      <c r="C335" s="302"/>
      <c r="D335" s="302"/>
      <c r="E335" s="302"/>
      <c r="F335" s="302"/>
      <c r="G335" s="302"/>
      <c r="H335" s="302"/>
      <c r="I335" s="302"/>
      <c r="J335" s="302"/>
      <c r="K335" s="302"/>
      <c r="L335" s="302"/>
      <c r="M335" s="302"/>
      <c r="N335" s="302"/>
      <c r="O335" s="302"/>
      <c r="P335" s="302"/>
      <c r="Q335" s="302"/>
      <c r="R335" s="302"/>
      <c r="S335" s="302"/>
      <c r="T335" s="302"/>
      <c r="U335" s="302"/>
      <c r="V335" s="302"/>
      <c r="W335" s="302"/>
      <c r="X335" s="302"/>
      <c r="Y335" s="302"/>
      <c r="Z335" s="302"/>
    </row>
    <row r="336" spans="1:26" ht="15.55">
      <c r="A336" s="302"/>
      <c r="B336" s="302"/>
      <c r="C336" s="302"/>
      <c r="D336" s="302"/>
      <c r="E336" s="302"/>
      <c r="F336" s="302"/>
      <c r="G336" s="302"/>
      <c r="H336" s="302"/>
      <c r="I336" s="302"/>
      <c r="J336" s="302"/>
      <c r="K336" s="302"/>
      <c r="L336" s="302"/>
      <c r="M336" s="302"/>
      <c r="N336" s="302"/>
      <c r="O336" s="302"/>
      <c r="P336" s="302"/>
      <c r="Q336" s="302"/>
      <c r="R336" s="302"/>
      <c r="S336" s="302"/>
      <c r="T336" s="302"/>
      <c r="U336" s="302"/>
      <c r="V336" s="302"/>
      <c r="W336" s="302"/>
      <c r="X336" s="302"/>
      <c r="Y336" s="302"/>
      <c r="Z336" s="302"/>
    </row>
    <row r="337" spans="1:26" ht="15.55">
      <c r="A337" s="302"/>
      <c r="B337" s="302"/>
      <c r="C337" s="302"/>
      <c r="D337" s="302"/>
      <c r="E337" s="302"/>
      <c r="F337" s="302"/>
      <c r="G337" s="302"/>
      <c r="H337" s="302"/>
      <c r="I337" s="302"/>
      <c r="J337" s="302"/>
      <c r="K337" s="302"/>
      <c r="L337" s="302"/>
      <c r="M337" s="302"/>
      <c r="N337" s="302"/>
      <c r="O337" s="302"/>
      <c r="P337" s="302"/>
      <c r="Q337" s="302"/>
      <c r="R337" s="302"/>
      <c r="S337" s="302"/>
      <c r="T337" s="302"/>
      <c r="U337" s="302"/>
      <c r="V337" s="302"/>
      <c r="W337" s="302"/>
      <c r="X337" s="302"/>
      <c r="Y337" s="302"/>
      <c r="Z337" s="302"/>
    </row>
    <row r="338" spans="1:26" ht="15.55">
      <c r="A338" s="302"/>
      <c r="B338" s="302"/>
      <c r="C338" s="302"/>
      <c r="D338" s="302"/>
      <c r="E338" s="302"/>
      <c r="F338" s="302"/>
      <c r="G338" s="302"/>
      <c r="H338" s="302"/>
      <c r="I338" s="302"/>
      <c r="J338" s="302"/>
      <c r="K338" s="302"/>
      <c r="L338" s="302"/>
      <c r="M338" s="302"/>
      <c r="N338" s="302"/>
      <c r="O338" s="302"/>
      <c r="P338" s="302"/>
      <c r="Q338" s="302"/>
      <c r="R338" s="302"/>
      <c r="S338" s="302"/>
      <c r="T338" s="302"/>
      <c r="U338" s="302"/>
      <c r="V338" s="302"/>
      <c r="W338" s="302"/>
      <c r="X338" s="302"/>
      <c r="Y338" s="302"/>
      <c r="Z338" s="302"/>
    </row>
    <row r="339" spans="1:26" ht="15.55">
      <c r="A339" s="302"/>
      <c r="B339" s="302"/>
      <c r="C339" s="302"/>
      <c r="D339" s="302"/>
      <c r="E339" s="302"/>
      <c r="F339" s="302"/>
      <c r="G339" s="302"/>
      <c r="H339" s="302"/>
      <c r="I339" s="302"/>
      <c r="J339" s="302"/>
      <c r="K339" s="302"/>
      <c r="L339" s="302"/>
      <c r="M339" s="302"/>
      <c r="N339" s="302"/>
      <c r="O339" s="302"/>
      <c r="P339" s="302"/>
      <c r="Q339" s="302"/>
      <c r="R339" s="302"/>
      <c r="S339" s="302"/>
      <c r="T339" s="302"/>
      <c r="U339" s="302"/>
      <c r="V339" s="302"/>
      <c r="W339" s="302"/>
      <c r="X339" s="302"/>
      <c r="Y339" s="302"/>
      <c r="Z339" s="302"/>
    </row>
    <row r="340" spans="1:26" ht="15.55">
      <c r="A340" s="302"/>
      <c r="B340" s="302"/>
      <c r="C340" s="302"/>
      <c r="D340" s="302"/>
      <c r="E340" s="302"/>
      <c r="F340" s="302"/>
      <c r="G340" s="302"/>
      <c r="H340" s="302"/>
      <c r="I340" s="302"/>
      <c r="J340" s="302"/>
      <c r="K340" s="302"/>
      <c r="L340" s="302"/>
      <c r="M340" s="302"/>
      <c r="N340" s="302"/>
      <c r="O340" s="302"/>
      <c r="P340" s="302"/>
      <c r="Q340" s="302"/>
      <c r="R340" s="302"/>
      <c r="S340" s="302"/>
      <c r="T340" s="302"/>
      <c r="U340" s="302"/>
      <c r="V340" s="302"/>
      <c r="W340" s="302"/>
      <c r="X340" s="302"/>
      <c r="Y340" s="302"/>
      <c r="Z340" s="302"/>
    </row>
    <row r="341" spans="1:26" ht="15.55">
      <c r="A341" s="302"/>
      <c r="B341" s="302"/>
      <c r="C341" s="302"/>
      <c r="D341" s="302"/>
      <c r="E341" s="302"/>
      <c r="F341" s="302"/>
      <c r="G341" s="302"/>
      <c r="H341" s="302"/>
      <c r="I341" s="302"/>
      <c r="J341" s="302"/>
      <c r="K341" s="302"/>
      <c r="L341" s="302"/>
      <c r="M341" s="302"/>
      <c r="N341" s="302"/>
      <c r="O341" s="302"/>
      <c r="P341" s="302"/>
      <c r="Q341" s="302"/>
      <c r="R341" s="302"/>
      <c r="S341" s="302"/>
      <c r="T341" s="302"/>
      <c r="U341" s="302"/>
      <c r="V341" s="302"/>
      <c r="W341" s="302"/>
      <c r="X341" s="302"/>
      <c r="Y341" s="302"/>
      <c r="Z341" s="302"/>
    </row>
    <row r="342" spans="1:26" ht="15.55">
      <c r="A342" s="302"/>
      <c r="B342" s="302"/>
      <c r="C342" s="302"/>
      <c r="D342" s="302"/>
      <c r="E342" s="302"/>
      <c r="F342" s="302"/>
      <c r="G342" s="302"/>
      <c r="H342" s="302"/>
      <c r="I342" s="302"/>
      <c r="J342" s="302"/>
      <c r="K342" s="302"/>
      <c r="L342" s="302"/>
      <c r="M342" s="302"/>
      <c r="N342" s="302"/>
      <c r="O342" s="302"/>
      <c r="P342" s="302"/>
      <c r="Q342" s="302"/>
      <c r="R342" s="302"/>
      <c r="S342" s="302"/>
      <c r="T342" s="302"/>
      <c r="U342" s="302"/>
      <c r="V342" s="302"/>
      <c r="W342" s="302"/>
      <c r="X342" s="302"/>
      <c r="Y342" s="302"/>
      <c r="Z342" s="302"/>
    </row>
    <row r="343" spans="1:26" ht="15.55">
      <c r="A343" s="302"/>
      <c r="B343" s="302"/>
      <c r="C343" s="302"/>
      <c r="D343" s="302"/>
      <c r="E343" s="302"/>
      <c r="F343" s="302"/>
      <c r="G343" s="302"/>
      <c r="H343" s="302"/>
      <c r="I343" s="302"/>
      <c r="J343" s="302"/>
      <c r="K343" s="302"/>
      <c r="L343" s="302"/>
      <c r="M343" s="302"/>
      <c r="N343" s="302"/>
      <c r="O343" s="302"/>
      <c r="P343" s="302"/>
      <c r="Q343" s="302"/>
      <c r="R343" s="302"/>
      <c r="S343" s="302"/>
      <c r="T343" s="302"/>
      <c r="U343" s="302"/>
      <c r="V343" s="302"/>
      <c r="W343" s="302"/>
      <c r="X343" s="302"/>
      <c r="Y343" s="302"/>
      <c r="Z343" s="302"/>
    </row>
    <row r="344" spans="1:26" ht="15.55">
      <c r="A344" s="302"/>
      <c r="B344" s="302"/>
      <c r="C344" s="302"/>
      <c r="D344" s="302"/>
      <c r="E344" s="302"/>
      <c r="F344" s="302"/>
      <c r="G344" s="302"/>
      <c r="H344" s="302"/>
      <c r="I344" s="302"/>
      <c r="J344" s="302"/>
      <c r="K344" s="302"/>
      <c r="L344" s="302"/>
      <c r="M344" s="302"/>
      <c r="N344" s="302"/>
      <c r="O344" s="302"/>
      <c r="P344" s="302"/>
      <c r="Q344" s="302"/>
      <c r="R344" s="302"/>
      <c r="S344" s="302"/>
      <c r="T344" s="302"/>
      <c r="U344" s="302"/>
      <c r="V344" s="302"/>
      <c r="W344" s="302"/>
      <c r="X344" s="302"/>
      <c r="Y344" s="302"/>
      <c r="Z344" s="302"/>
    </row>
    <row r="345" spans="1:26" ht="15.55">
      <c r="A345" s="302"/>
      <c r="B345" s="302"/>
      <c r="C345" s="302"/>
      <c r="D345" s="302"/>
      <c r="E345" s="302"/>
      <c r="F345" s="302"/>
      <c r="G345" s="302"/>
      <c r="H345" s="302"/>
      <c r="I345" s="302"/>
      <c r="J345" s="302"/>
      <c r="K345" s="302"/>
      <c r="L345" s="302"/>
      <c r="M345" s="302"/>
      <c r="N345" s="302"/>
      <c r="O345" s="302"/>
      <c r="P345" s="302"/>
      <c r="Q345" s="302"/>
      <c r="R345" s="302"/>
      <c r="S345" s="302"/>
      <c r="T345" s="302"/>
      <c r="U345" s="302"/>
      <c r="V345" s="302"/>
      <c r="W345" s="302"/>
      <c r="X345" s="302"/>
      <c r="Y345" s="302"/>
      <c r="Z345" s="302"/>
    </row>
    <row r="346" spans="1:26" ht="15.55">
      <c r="A346" s="302"/>
      <c r="B346" s="302"/>
      <c r="C346" s="302"/>
      <c r="D346" s="302"/>
      <c r="E346" s="302"/>
      <c r="F346" s="302"/>
      <c r="G346" s="302"/>
      <c r="H346" s="302"/>
      <c r="I346" s="302"/>
      <c r="J346" s="302"/>
      <c r="K346" s="302"/>
      <c r="L346" s="302"/>
      <c r="M346" s="302"/>
      <c r="N346" s="302"/>
      <c r="O346" s="302"/>
      <c r="P346" s="302"/>
      <c r="Q346" s="302"/>
      <c r="R346" s="302"/>
      <c r="S346" s="302"/>
      <c r="T346" s="302"/>
      <c r="U346" s="302"/>
      <c r="V346" s="302"/>
      <c r="W346" s="302"/>
      <c r="X346" s="302"/>
      <c r="Y346" s="302"/>
      <c r="Z346" s="302"/>
    </row>
    <row r="347" spans="1:26" ht="15.55">
      <c r="A347" s="302"/>
      <c r="B347" s="302"/>
      <c r="C347" s="302"/>
      <c r="D347" s="302"/>
      <c r="E347" s="302"/>
      <c r="F347" s="302"/>
      <c r="G347" s="302"/>
      <c r="H347" s="302"/>
      <c r="I347" s="302"/>
      <c r="J347" s="302"/>
      <c r="K347" s="302"/>
      <c r="L347" s="302"/>
      <c r="M347" s="302"/>
      <c r="N347" s="302"/>
      <c r="O347" s="302"/>
      <c r="P347" s="302"/>
      <c r="Q347" s="302"/>
      <c r="R347" s="302"/>
      <c r="S347" s="302"/>
      <c r="T347" s="302"/>
      <c r="U347" s="302"/>
      <c r="V347" s="302"/>
      <c r="W347" s="302"/>
      <c r="X347" s="302"/>
      <c r="Y347" s="302"/>
      <c r="Z347" s="302"/>
    </row>
    <row r="348" spans="1:26" ht="15.55">
      <c r="A348" s="302"/>
      <c r="B348" s="302"/>
      <c r="C348" s="302"/>
      <c r="D348" s="302"/>
      <c r="E348" s="302"/>
      <c r="F348" s="302"/>
      <c r="G348" s="302"/>
      <c r="H348" s="302"/>
      <c r="I348" s="302"/>
      <c r="J348" s="302"/>
      <c r="K348" s="302"/>
      <c r="L348" s="302"/>
      <c r="M348" s="302"/>
      <c r="N348" s="302"/>
      <c r="O348" s="302"/>
      <c r="P348" s="302"/>
      <c r="Q348" s="302"/>
      <c r="R348" s="302"/>
      <c r="S348" s="302"/>
      <c r="T348" s="302"/>
      <c r="U348" s="302"/>
      <c r="V348" s="302"/>
      <c r="W348" s="302"/>
      <c r="X348" s="302"/>
      <c r="Y348" s="302"/>
      <c r="Z348" s="302"/>
    </row>
    <row r="349" spans="1:26" ht="15.55">
      <c r="A349" s="302"/>
      <c r="B349" s="302"/>
      <c r="C349" s="302"/>
      <c r="D349" s="302"/>
      <c r="E349" s="302"/>
      <c r="F349" s="302"/>
      <c r="G349" s="302"/>
      <c r="H349" s="302"/>
      <c r="I349" s="302"/>
      <c r="J349" s="302"/>
      <c r="K349" s="302"/>
      <c r="L349" s="302"/>
      <c r="M349" s="302"/>
      <c r="N349" s="302"/>
      <c r="O349" s="302"/>
      <c r="P349" s="302"/>
      <c r="Q349" s="302"/>
      <c r="R349" s="302"/>
      <c r="S349" s="302"/>
      <c r="T349" s="302"/>
      <c r="U349" s="302"/>
      <c r="V349" s="302"/>
      <c r="W349" s="302"/>
      <c r="X349" s="302"/>
      <c r="Y349" s="302"/>
      <c r="Z349" s="302"/>
    </row>
    <row r="350" spans="1:26" ht="15.55">
      <c r="A350" s="302"/>
      <c r="B350" s="302"/>
      <c r="C350" s="302"/>
      <c r="D350" s="302"/>
      <c r="E350" s="302"/>
      <c r="F350" s="302"/>
      <c r="G350" s="302"/>
      <c r="H350" s="302"/>
      <c r="I350" s="302"/>
      <c r="J350" s="302"/>
      <c r="K350" s="302"/>
      <c r="L350" s="302"/>
      <c r="M350" s="302"/>
      <c r="N350" s="302"/>
      <c r="O350" s="302"/>
      <c r="P350" s="302"/>
      <c r="Q350" s="302"/>
      <c r="R350" s="302"/>
      <c r="S350" s="302"/>
      <c r="T350" s="302"/>
      <c r="U350" s="302"/>
      <c r="V350" s="302"/>
      <c r="W350" s="302"/>
      <c r="X350" s="302"/>
      <c r="Y350" s="302"/>
      <c r="Z350" s="302"/>
    </row>
    <row r="351" spans="1:26" ht="15.55">
      <c r="A351" s="302"/>
      <c r="B351" s="302"/>
      <c r="C351" s="302"/>
      <c r="D351" s="302"/>
      <c r="E351" s="302"/>
      <c r="F351" s="302"/>
      <c r="G351" s="302"/>
      <c r="H351" s="302"/>
      <c r="I351" s="302"/>
      <c r="J351" s="302"/>
      <c r="K351" s="302"/>
      <c r="L351" s="302"/>
      <c r="M351" s="302"/>
      <c r="N351" s="302"/>
      <c r="O351" s="302"/>
      <c r="P351" s="302"/>
      <c r="Q351" s="302"/>
      <c r="R351" s="302"/>
      <c r="S351" s="302"/>
      <c r="T351" s="302"/>
      <c r="U351" s="302"/>
      <c r="V351" s="302"/>
      <c r="W351" s="302"/>
      <c r="X351" s="302"/>
      <c r="Y351" s="302"/>
      <c r="Z351" s="302"/>
    </row>
    <row r="352" spans="1:26" ht="15.55">
      <c r="A352" s="302"/>
      <c r="B352" s="302"/>
      <c r="C352" s="302"/>
      <c r="D352" s="302"/>
      <c r="E352" s="302"/>
      <c r="F352" s="302"/>
      <c r="G352" s="302"/>
      <c r="H352" s="302"/>
      <c r="I352" s="302"/>
      <c r="J352" s="302"/>
      <c r="K352" s="302"/>
      <c r="L352" s="302"/>
      <c r="M352" s="302"/>
      <c r="N352" s="302"/>
      <c r="O352" s="302"/>
      <c r="P352" s="302"/>
      <c r="Q352" s="302"/>
      <c r="R352" s="302"/>
      <c r="S352" s="302"/>
      <c r="T352" s="302"/>
      <c r="U352" s="302"/>
      <c r="V352" s="302"/>
      <c r="W352" s="302"/>
      <c r="X352" s="302"/>
      <c r="Y352" s="302"/>
      <c r="Z352" s="302"/>
    </row>
    <row r="353" spans="1:26" ht="15.55">
      <c r="A353" s="302"/>
      <c r="B353" s="302"/>
      <c r="C353" s="302"/>
      <c r="D353" s="302"/>
      <c r="E353" s="302"/>
      <c r="F353" s="302"/>
      <c r="G353" s="302"/>
      <c r="H353" s="302"/>
      <c r="I353" s="302"/>
      <c r="J353" s="302"/>
      <c r="K353" s="302"/>
      <c r="L353" s="302"/>
      <c r="M353" s="302"/>
      <c r="N353" s="302"/>
      <c r="O353" s="302"/>
      <c r="P353" s="302"/>
      <c r="Q353" s="302"/>
      <c r="R353" s="302"/>
      <c r="S353" s="302"/>
      <c r="T353" s="302"/>
      <c r="U353" s="302"/>
      <c r="V353" s="302"/>
      <c r="W353" s="302"/>
      <c r="X353" s="302"/>
      <c r="Y353" s="302"/>
      <c r="Z353" s="302"/>
    </row>
    <row r="354" spans="1:26" ht="15.55">
      <c r="A354" s="302"/>
      <c r="B354" s="302"/>
      <c r="C354" s="302"/>
      <c r="D354" s="302"/>
      <c r="E354" s="302"/>
      <c r="F354" s="302"/>
      <c r="G354" s="302"/>
      <c r="H354" s="302"/>
      <c r="I354" s="302"/>
      <c r="J354" s="302"/>
      <c r="K354" s="302"/>
      <c r="L354" s="302"/>
      <c r="M354" s="302"/>
      <c r="N354" s="302"/>
      <c r="O354" s="302"/>
      <c r="P354" s="302"/>
      <c r="Q354" s="302"/>
      <c r="R354" s="302"/>
      <c r="S354" s="302"/>
      <c r="T354" s="302"/>
      <c r="U354" s="302"/>
      <c r="V354" s="302"/>
      <c r="W354" s="302"/>
      <c r="X354" s="302"/>
      <c r="Y354" s="302"/>
      <c r="Z354" s="302"/>
    </row>
    <row r="355" spans="1:26" ht="15.55">
      <c r="A355" s="302"/>
      <c r="B355" s="302"/>
      <c r="C355" s="302"/>
      <c r="D355" s="302"/>
      <c r="E355" s="302"/>
      <c r="F355" s="302"/>
      <c r="G355" s="302"/>
      <c r="H355" s="302"/>
      <c r="I355" s="302"/>
      <c r="J355" s="302"/>
      <c r="K355" s="302"/>
      <c r="L355" s="302"/>
      <c r="M355" s="302"/>
      <c r="N355" s="302"/>
      <c r="O355" s="302"/>
      <c r="P355" s="302"/>
      <c r="Q355" s="302"/>
      <c r="R355" s="302"/>
      <c r="S355" s="302"/>
      <c r="T355" s="302"/>
      <c r="U355" s="302"/>
      <c r="V355" s="302"/>
      <c r="W355" s="302"/>
      <c r="X355" s="302"/>
      <c r="Y355" s="302"/>
      <c r="Z355" s="302"/>
    </row>
    <row r="356" spans="1:26" ht="15.55">
      <c r="A356" s="302"/>
      <c r="B356" s="302"/>
      <c r="C356" s="302"/>
      <c r="D356" s="302"/>
      <c r="E356" s="302"/>
      <c r="F356" s="302"/>
      <c r="G356" s="302"/>
      <c r="H356" s="302"/>
      <c r="I356" s="302"/>
      <c r="J356" s="302"/>
      <c r="K356" s="302"/>
      <c r="L356" s="302"/>
      <c r="M356" s="302"/>
      <c r="N356" s="302"/>
      <c r="O356" s="302"/>
      <c r="P356" s="302"/>
      <c r="Q356" s="302"/>
      <c r="R356" s="302"/>
      <c r="S356" s="302"/>
      <c r="T356" s="302"/>
      <c r="U356" s="302"/>
      <c r="V356" s="302"/>
      <c r="W356" s="302"/>
      <c r="X356" s="302"/>
      <c r="Y356" s="302"/>
      <c r="Z356" s="302"/>
    </row>
    <row r="357" spans="1:26" ht="15.55">
      <c r="A357" s="302"/>
      <c r="B357" s="302"/>
      <c r="C357" s="302"/>
      <c r="D357" s="302"/>
      <c r="E357" s="302"/>
      <c r="F357" s="302"/>
      <c r="G357" s="302"/>
      <c r="H357" s="302"/>
      <c r="I357" s="302"/>
      <c r="J357" s="302"/>
      <c r="K357" s="302"/>
      <c r="L357" s="302"/>
      <c r="M357" s="302"/>
      <c r="N357" s="302"/>
      <c r="O357" s="302"/>
      <c r="P357" s="302"/>
      <c r="Q357" s="302"/>
      <c r="R357" s="302"/>
      <c r="S357" s="302"/>
      <c r="T357" s="302"/>
      <c r="U357" s="302"/>
      <c r="V357" s="302"/>
      <c r="W357" s="302"/>
      <c r="X357" s="302"/>
      <c r="Y357" s="302"/>
      <c r="Z357" s="302"/>
    </row>
    <row r="358" spans="1:26" ht="15.55">
      <c r="A358" s="302"/>
      <c r="B358" s="302"/>
      <c r="C358" s="302"/>
      <c r="D358" s="302"/>
      <c r="E358" s="302"/>
      <c r="F358" s="302"/>
      <c r="G358" s="302"/>
      <c r="H358" s="302"/>
      <c r="I358" s="302"/>
      <c r="J358" s="302"/>
      <c r="K358" s="302"/>
      <c r="L358" s="302"/>
      <c r="M358" s="302"/>
      <c r="N358" s="302"/>
      <c r="O358" s="302"/>
      <c r="P358" s="302"/>
      <c r="Q358" s="302"/>
      <c r="R358" s="302"/>
      <c r="S358" s="302"/>
      <c r="T358" s="302"/>
      <c r="U358" s="302"/>
      <c r="V358" s="302"/>
      <c r="W358" s="302"/>
      <c r="X358" s="302"/>
      <c r="Y358" s="302"/>
      <c r="Z358" s="302"/>
    </row>
    <row r="359" spans="1:26" ht="15.55">
      <c r="A359" s="302"/>
      <c r="B359" s="302"/>
      <c r="C359" s="302"/>
      <c r="D359" s="302"/>
      <c r="E359" s="302"/>
      <c r="F359" s="302"/>
      <c r="G359" s="302"/>
      <c r="H359" s="302"/>
      <c r="I359" s="302"/>
      <c r="J359" s="302"/>
      <c r="K359" s="302"/>
      <c r="L359" s="302"/>
      <c r="M359" s="302"/>
      <c r="N359" s="302"/>
      <c r="O359" s="302"/>
      <c r="P359" s="302"/>
      <c r="Q359" s="302"/>
      <c r="R359" s="302"/>
      <c r="S359" s="302"/>
      <c r="T359" s="302"/>
      <c r="U359" s="302"/>
      <c r="V359" s="302"/>
      <c r="W359" s="302"/>
      <c r="X359" s="302"/>
      <c r="Y359" s="302"/>
      <c r="Z359" s="302"/>
    </row>
    <row r="360" spans="1:26" ht="15.55">
      <c r="A360" s="302"/>
      <c r="B360" s="302"/>
      <c r="C360" s="302"/>
      <c r="D360" s="302"/>
      <c r="E360" s="302"/>
      <c r="F360" s="302"/>
      <c r="G360" s="302"/>
      <c r="H360" s="302"/>
      <c r="I360" s="302"/>
      <c r="J360" s="302"/>
      <c r="K360" s="302"/>
      <c r="L360" s="302"/>
      <c r="M360" s="302"/>
      <c r="N360" s="302"/>
      <c r="O360" s="302"/>
      <c r="P360" s="302"/>
      <c r="Q360" s="302"/>
      <c r="R360" s="302"/>
      <c r="S360" s="302"/>
      <c r="T360" s="302"/>
      <c r="U360" s="302"/>
      <c r="V360" s="302"/>
      <c r="W360" s="302"/>
      <c r="X360" s="302"/>
      <c r="Y360" s="302"/>
      <c r="Z360" s="302"/>
    </row>
    <row r="361" spans="1:26" ht="15.55">
      <c r="A361" s="302"/>
      <c r="B361" s="302"/>
      <c r="C361" s="302"/>
      <c r="D361" s="302"/>
      <c r="E361" s="302"/>
      <c r="F361" s="302"/>
      <c r="G361" s="302"/>
      <c r="H361" s="302"/>
      <c r="I361" s="302"/>
      <c r="J361" s="302"/>
      <c r="K361" s="302"/>
      <c r="L361" s="302"/>
      <c r="M361" s="302"/>
      <c r="N361" s="302"/>
      <c r="O361" s="302"/>
      <c r="P361" s="302"/>
      <c r="Q361" s="302"/>
      <c r="R361" s="302"/>
      <c r="S361" s="302"/>
      <c r="T361" s="302"/>
      <c r="U361" s="302"/>
      <c r="V361" s="302"/>
      <c r="W361" s="302"/>
      <c r="X361" s="302"/>
      <c r="Y361" s="302"/>
      <c r="Z361" s="302"/>
    </row>
    <row r="362" spans="1:26" ht="15.55">
      <c r="A362" s="302"/>
      <c r="B362" s="302"/>
      <c r="C362" s="302"/>
      <c r="D362" s="302"/>
      <c r="E362" s="302"/>
      <c r="F362" s="302"/>
      <c r="G362" s="302"/>
      <c r="H362" s="302"/>
      <c r="I362" s="302"/>
      <c r="J362" s="302"/>
      <c r="K362" s="302"/>
      <c r="L362" s="302"/>
      <c r="M362" s="302"/>
      <c r="N362" s="302"/>
      <c r="O362" s="302"/>
      <c r="P362" s="302"/>
      <c r="Q362" s="302"/>
      <c r="R362" s="302"/>
      <c r="S362" s="302"/>
      <c r="T362" s="302"/>
      <c r="U362" s="302"/>
      <c r="V362" s="302"/>
      <c r="W362" s="302"/>
      <c r="X362" s="302"/>
      <c r="Y362" s="302"/>
      <c r="Z362" s="302"/>
    </row>
    <row r="363" spans="1:26" ht="15.55">
      <c r="A363" s="302"/>
      <c r="B363" s="302"/>
      <c r="C363" s="302"/>
      <c r="D363" s="302"/>
      <c r="E363" s="302"/>
      <c r="F363" s="302"/>
      <c r="G363" s="302"/>
      <c r="H363" s="302"/>
      <c r="I363" s="302"/>
      <c r="J363" s="302"/>
      <c r="K363" s="302"/>
      <c r="L363" s="302"/>
      <c r="M363" s="302"/>
      <c r="N363" s="302"/>
      <c r="O363" s="302"/>
      <c r="P363" s="302"/>
      <c r="Q363" s="302"/>
      <c r="R363" s="302"/>
      <c r="S363" s="302"/>
      <c r="T363" s="302"/>
      <c r="U363" s="302"/>
      <c r="V363" s="302"/>
      <c r="W363" s="302"/>
      <c r="X363" s="302"/>
      <c r="Y363" s="302"/>
      <c r="Z363" s="302"/>
    </row>
    <row r="364" spans="1:26" ht="15.55">
      <c r="A364" s="302"/>
      <c r="B364" s="302"/>
      <c r="C364" s="302"/>
      <c r="D364" s="302"/>
      <c r="E364" s="302"/>
      <c r="F364" s="302"/>
      <c r="G364" s="302"/>
      <c r="H364" s="302"/>
      <c r="I364" s="302"/>
      <c r="J364" s="302"/>
      <c r="K364" s="302"/>
      <c r="L364" s="302"/>
      <c r="M364" s="302"/>
      <c r="N364" s="302"/>
      <c r="O364" s="302"/>
      <c r="P364" s="302"/>
      <c r="Q364" s="302"/>
      <c r="R364" s="302"/>
      <c r="S364" s="302"/>
      <c r="T364" s="302"/>
      <c r="U364" s="302"/>
      <c r="V364" s="302"/>
      <c r="W364" s="302"/>
      <c r="X364" s="302"/>
      <c r="Y364" s="302"/>
      <c r="Z364" s="302"/>
    </row>
    <row r="365" spans="1:26" ht="15.55">
      <c r="A365" s="302"/>
      <c r="B365" s="302"/>
      <c r="C365" s="302"/>
      <c r="D365" s="302"/>
      <c r="E365" s="302"/>
      <c r="F365" s="302"/>
      <c r="G365" s="302"/>
      <c r="H365" s="302"/>
      <c r="I365" s="302"/>
      <c r="J365" s="302"/>
      <c r="K365" s="302"/>
      <c r="L365" s="302"/>
      <c r="M365" s="302"/>
      <c r="N365" s="302"/>
      <c r="O365" s="302"/>
      <c r="P365" s="302"/>
      <c r="Q365" s="302"/>
      <c r="R365" s="302"/>
      <c r="S365" s="302"/>
      <c r="T365" s="302"/>
      <c r="U365" s="302"/>
      <c r="V365" s="302"/>
      <c r="W365" s="302"/>
      <c r="X365" s="302"/>
      <c r="Y365" s="302"/>
      <c r="Z365" s="302"/>
    </row>
    <row r="366" spans="1:26" ht="15.55">
      <c r="A366" s="302"/>
      <c r="B366" s="302"/>
      <c r="C366" s="302"/>
      <c r="D366" s="302"/>
      <c r="E366" s="302"/>
      <c r="F366" s="302"/>
      <c r="G366" s="302"/>
      <c r="H366" s="302"/>
      <c r="I366" s="302"/>
      <c r="J366" s="302"/>
      <c r="K366" s="302"/>
      <c r="L366" s="302"/>
      <c r="M366" s="302"/>
      <c r="N366" s="302"/>
      <c r="O366" s="302"/>
      <c r="P366" s="302"/>
      <c r="Q366" s="302"/>
      <c r="R366" s="302"/>
      <c r="S366" s="302"/>
      <c r="T366" s="302"/>
      <c r="U366" s="302"/>
      <c r="V366" s="302"/>
      <c r="W366" s="302"/>
      <c r="X366" s="302"/>
      <c r="Y366" s="302"/>
      <c r="Z366" s="302"/>
    </row>
    <row r="367" spans="1:26" ht="15.55">
      <c r="A367" s="302"/>
      <c r="B367" s="302"/>
      <c r="C367" s="302"/>
      <c r="D367" s="302"/>
      <c r="E367" s="302"/>
      <c r="F367" s="302"/>
      <c r="G367" s="302"/>
      <c r="H367" s="302"/>
      <c r="I367" s="302"/>
      <c r="J367" s="302"/>
      <c r="K367" s="302"/>
      <c r="L367" s="302"/>
      <c r="M367" s="302"/>
      <c r="N367" s="302"/>
      <c r="O367" s="302"/>
      <c r="P367" s="302"/>
      <c r="Q367" s="302"/>
      <c r="R367" s="302"/>
      <c r="S367" s="302"/>
      <c r="T367" s="302"/>
      <c r="U367" s="302"/>
      <c r="V367" s="302"/>
      <c r="W367" s="302"/>
      <c r="X367" s="302"/>
      <c r="Y367" s="302"/>
      <c r="Z367" s="302"/>
    </row>
    <row r="368" spans="1:26" ht="15.55">
      <c r="A368" s="302"/>
      <c r="B368" s="302"/>
      <c r="C368" s="302"/>
      <c r="D368" s="302"/>
      <c r="E368" s="302"/>
      <c r="F368" s="302"/>
      <c r="G368" s="302"/>
      <c r="H368" s="302"/>
      <c r="I368" s="302"/>
      <c r="J368" s="302"/>
      <c r="K368" s="302"/>
      <c r="L368" s="302"/>
      <c r="M368" s="302"/>
      <c r="N368" s="302"/>
      <c r="O368" s="302"/>
      <c r="P368" s="302"/>
      <c r="Q368" s="302"/>
      <c r="R368" s="302"/>
      <c r="S368" s="302"/>
      <c r="T368" s="302"/>
      <c r="U368" s="302"/>
      <c r="V368" s="302"/>
      <c r="W368" s="302"/>
      <c r="X368" s="302"/>
      <c r="Y368" s="302"/>
      <c r="Z368" s="302"/>
    </row>
    <row r="369" spans="1:26" ht="15.55">
      <c r="A369" s="302"/>
      <c r="B369" s="302"/>
      <c r="C369" s="302"/>
      <c r="D369" s="302"/>
      <c r="E369" s="302"/>
      <c r="F369" s="302"/>
      <c r="G369" s="302"/>
      <c r="H369" s="302"/>
      <c r="I369" s="302"/>
      <c r="J369" s="302"/>
      <c r="K369" s="302"/>
      <c r="L369" s="302"/>
      <c r="M369" s="302"/>
      <c r="N369" s="302"/>
      <c r="O369" s="302"/>
      <c r="P369" s="302"/>
      <c r="Q369" s="302"/>
      <c r="R369" s="302"/>
      <c r="S369" s="302"/>
      <c r="T369" s="302"/>
      <c r="U369" s="302"/>
      <c r="V369" s="302"/>
      <c r="W369" s="302"/>
      <c r="X369" s="302"/>
      <c r="Y369" s="302"/>
      <c r="Z369" s="302"/>
    </row>
    <row r="370" spans="1:26" ht="15.55">
      <c r="A370" s="302"/>
      <c r="B370" s="302"/>
      <c r="C370" s="302"/>
      <c r="D370" s="302"/>
      <c r="E370" s="302"/>
      <c r="F370" s="302"/>
      <c r="G370" s="302"/>
      <c r="H370" s="302"/>
      <c r="I370" s="302"/>
      <c r="J370" s="302"/>
      <c r="K370" s="302"/>
      <c r="L370" s="302"/>
      <c r="M370" s="302"/>
      <c r="N370" s="302"/>
      <c r="O370" s="302"/>
      <c r="P370" s="302"/>
      <c r="Q370" s="302"/>
      <c r="R370" s="302"/>
      <c r="S370" s="302"/>
      <c r="T370" s="302"/>
      <c r="U370" s="302"/>
      <c r="V370" s="302"/>
      <c r="W370" s="302"/>
      <c r="X370" s="302"/>
      <c r="Y370" s="302"/>
      <c r="Z370" s="302"/>
    </row>
    <row r="371" spans="1:26" ht="15.55">
      <c r="A371" s="302"/>
      <c r="B371" s="302"/>
      <c r="C371" s="302"/>
      <c r="D371" s="302"/>
      <c r="E371" s="302"/>
      <c r="F371" s="302"/>
      <c r="G371" s="302"/>
      <c r="H371" s="302"/>
      <c r="I371" s="302"/>
      <c r="J371" s="302"/>
      <c r="K371" s="302"/>
      <c r="L371" s="302"/>
      <c r="M371" s="302"/>
      <c r="N371" s="302"/>
      <c r="O371" s="302"/>
      <c r="P371" s="302"/>
      <c r="Q371" s="302"/>
      <c r="R371" s="302"/>
      <c r="S371" s="302"/>
      <c r="T371" s="302"/>
      <c r="U371" s="302"/>
      <c r="V371" s="302"/>
      <c r="W371" s="302"/>
      <c r="X371" s="302"/>
      <c r="Y371" s="302"/>
      <c r="Z371" s="302"/>
    </row>
    <row r="372" spans="1:26" ht="15.55">
      <c r="A372" s="302"/>
      <c r="B372" s="302"/>
      <c r="C372" s="302"/>
      <c r="D372" s="302"/>
      <c r="E372" s="302"/>
      <c r="F372" s="302"/>
      <c r="G372" s="302"/>
      <c r="H372" s="302"/>
      <c r="I372" s="302"/>
      <c r="J372" s="302"/>
      <c r="K372" s="302"/>
      <c r="L372" s="302"/>
      <c r="M372" s="302"/>
      <c r="N372" s="302"/>
      <c r="O372" s="302"/>
      <c r="P372" s="302"/>
      <c r="Q372" s="302"/>
      <c r="R372" s="302"/>
      <c r="S372" s="302"/>
      <c r="T372" s="302"/>
      <c r="U372" s="302"/>
      <c r="V372" s="302"/>
      <c r="W372" s="302"/>
      <c r="X372" s="302"/>
      <c r="Y372" s="302"/>
      <c r="Z372" s="302"/>
    </row>
    <row r="373" spans="1:26" ht="15.55">
      <c r="A373" s="302"/>
      <c r="B373" s="302"/>
      <c r="C373" s="302"/>
      <c r="D373" s="302"/>
      <c r="E373" s="302"/>
      <c r="F373" s="302"/>
      <c r="G373" s="302"/>
      <c r="H373" s="302"/>
      <c r="I373" s="302"/>
      <c r="J373" s="302"/>
      <c r="K373" s="302"/>
      <c r="L373" s="302"/>
      <c r="M373" s="302"/>
      <c r="N373" s="302"/>
      <c r="O373" s="302"/>
      <c r="P373" s="302"/>
      <c r="Q373" s="302"/>
      <c r="R373" s="302"/>
      <c r="S373" s="302"/>
      <c r="T373" s="302"/>
      <c r="U373" s="302"/>
      <c r="V373" s="302"/>
      <c r="W373" s="302"/>
      <c r="X373" s="302"/>
      <c r="Y373" s="302"/>
      <c r="Z373" s="302"/>
    </row>
    <row r="374" spans="1:26" ht="15.55">
      <c r="A374" s="302"/>
      <c r="B374" s="302"/>
      <c r="C374" s="302"/>
      <c r="D374" s="302"/>
      <c r="E374" s="302"/>
      <c r="F374" s="302"/>
      <c r="G374" s="302"/>
      <c r="H374" s="302"/>
      <c r="I374" s="302"/>
      <c r="J374" s="302"/>
      <c r="K374" s="302"/>
      <c r="L374" s="302"/>
      <c r="M374" s="302"/>
      <c r="N374" s="302"/>
      <c r="O374" s="302"/>
      <c r="P374" s="302"/>
      <c r="Q374" s="302"/>
      <c r="R374" s="302"/>
      <c r="S374" s="302"/>
      <c r="T374" s="302"/>
      <c r="U374" s="302"/>
      <c r="V374" s="302"/>
      <c r="W374" s="302"/>
      <c r="X374" s="302"/>
      <c r="Y374" s="302"/>
      <c r="Z374" s="302"/>
    </row>
    <row r="375" spans="1:26" ht="15.55">
      <c r="A375" s="302"/>
      <c r="B375" s="302"/>
      <c r="C375" s="302"/>
      <c r="D375" s="302"/>
      <c r="E375" s="302"/>
      <c r="F375" s="302"/>
      <c r="G375" s="302"/>
      <c r="H375" s="302"/>
      <c r="I375" s="302"/>
      <c r="J375" s="302"/>
      <c r="K375" s="302"/>
      <c r="L375" s="302"/>
      <c r="M375" s="302"/>
      <c r="N375" s="302"/>
      <c r="O375" s="302"/>
      <c r="P375" s="302"/>
      <c r="Q375" s="302"/>
      <c r="R375" s="302"/>
      <c r="S375" s="302"/>
      <c r="T375" s="302"/>
      <c r="U375" s="302"/>
      <c r="V375" s="302"/>
      <c r="W375" s="302"/>
      <c r="X375" s="302"/>
      <c r="Y375" s="302"/>
      <c r="Z375" s="302"/>
    </row>
    <row r="376" spans="1:26" ht="15.55">
      <c r="A376" s="302"/>
      <c r="B376" s="302"/>
      <c r="C376" s="302"/>
      <c r="D376" s="302"/>
      <c r="E376" s="302"/>
      <c r="F376" s="302"/>
      <c r="G376" s="302"/>
      <c r="H376" s="302"/>
      <c r="I376" s="302"/>
      <c r="J376" s="302"/>
      <c r="K376" s="302"/>
      <c r="L376" s="302"/>
      <c r="M376" s="302"/>
      <c r="N376" s="302"/>
      <c r="O376" s="302"/>
      <c r="P376" s="302"/>
      <c r="Q376" s="302"/>
      <c r="R376" s="302"/>
      <c r="S376" s="302"/>
      <c r="T376" s="302"/>
      <c r="U376" s="302"/>
      <c r="V376" s="302"/>
      <c r="W376" s="302"/>
      <c r="X376" s="302"/>
      <c r="Y376" s="302"/>
      <c r="Z376" s="302"/>
    </row>
    <row r="377" spans="1:26" ht="15.55">
      <c r="A377" s="302"/>
      <c r="B377" s="302"/>
      <c r="C377" s="302"/>
      <c r="D377" s="302"/>
      <c r="E377" s="302"/>
      <c r="F377" s="302"/>
      <c r="G377" s="302"/>
      <c r="H377" s="302"/>
      <c r="I377" s="302"/>
      <c r="J377" s="302"/>
      <c r="K377" s="302"/>
      <c r="L377" s="302"/>
      <c r="M377" s="302"/>
      <c r="N377" s="302"/>
      <c r="O377" s="302"/>
      <c r="P377" s="302"/>
      <c r="Q377" s="302"/>
      <c r="R377" s="302"/>
      <c r="S377" s="302"/>
      <c r="T377" s="302"/>
      <c r="U377" s="302"/>
      <c r="V377" s="302"/>
      <c r="W377" s="302"/>
      <c r="X377" s="302"/>
      <c r="Y377" s="302"/>
      <c r="Z377" s="302"/>
    </row>
    <row r="378" spans="1:26" ht="15.55">
      <c r="A378" s="302"/>
      <c r="B378" s="302"/>
      <c r="C378" s="302"/>
      <c r="D378" s="302"/>
      <c r="E378" s="302"/>
      <c r="F378" s="302"/>
      <c r="G378" s="302"/>
      <c r="H378" s="302"/>
      <c r="I378" s="302"/>
      <c r="J378" s="302"/>
      <c r="K378" s="302"/>
      <c r="L378" s="302"/>
      <c r="M378" s="302"/>
      <c r="N378" s="302"/>
      <c r="O378" s="302"/>
      <c r="P378" s="302"/>
      <c r="Q378" s="302"/>
      <c r="R378" s="302"/>
      <c r="S378" s="302"/>
      <c r="T378" s="302"/>
      <c r="U378" s="302"/>
      <c r="V378" s="302"/>
      <c r="W378" s="302"/>
      <c r="X378" s="302"/>
      <c r="Y378" s="302"/>
      <c r="Z378" s="302"/>
    </row>
    <row r="379" spans="1:26" ht="15.55">
      <c r="A379" s="302"/>
      <c r="B379" s="302"/>
      <c r="C379" s="302"/>
      <c r="D379" s="302"/>
      <c r="E379" s="302"/>
      <c r="F379" s="302"/>
      <c r="G379" s="302"/>
      <c r="H379" s="302"/>
      <c r="I379" s="302"/>
      <c r="J379" s="302"/>
      <c r="K379" s="302"/>
      <c r="L379" s="302"/>
      <c r="M379" s="302"/>
      <c r="N379" s="302"/>
      <c r="O379" s="302"/>
      <c r="P379" s="302"/>
      <c r="Q379" s="302"/>
      <c r="R379" s="302"/>
      <c r="S379" s="302"/>
      <c r="T379" s="302"/>
      <c r="U379" s="302"/>
      <c r="V379" s="302"/>
      <c r="W379" s="302"/>
      <c r="X379" s="302"/>
      <c r="Y379" s="302"/>
      <c r="Z379" s="302"/>
    </row>
    <row r="380" spans="1:26" ht="15.55">
      <c r="A380" s="302"/>
      <c r="B380" s="302"/>
      <c r="C380" s="302"/>
      <c r="D380" s="302"/>
      <c r="E380" s="302"/>
      <c r="F380" s="302"/>
      <c r="G380" s="302"/>
      <c r="H380" s="302"/>
      <c r="I380" s="302"/>
      <c r="J380" s="302"/>
      <c r="K380" s="302"/>
      <c r="L380" s="302"/>
      <c r="M380" s="302"/>
      <c r="N380" s="302"/>
      <c r="O380" s="302"/>
      <c r="P380" s="302"/>
      <c r="Q380" s="302"/>
      <c r="R380" s="302"/>
      <c r="S380" s="302"/>
      <c r="T380" s="302"/>
      <c r="U380" s="302"/>
      <c r="V380" s="302"/>
      <c r="W380" s="302"/>
      <c r="X380" s="302"/>
      <c r="Y380" s="302"/>
      <c r="Z380" s="302"/>
    </row>
    <row r="381" spans="1:26" ht="15.55">
      <c r="A381" s="302"/>
      <c r="B381" s="302"/>
      <c r="C381" s="302"/>
      <c r="D381" s="302"/>
      <c r="E381" s="302"/>
      <c r="F381" s="302"/>
      <c r="G381" s="302"/>
      <c r="H381" s="302"/>
      <c r="I381" s="302"/>
      <c r="J381" s="302"/>
      <c r="K381" s="302"/>
      <c r="L381" s="302"/>
      <c r="M381" s="302"/>
      <c r="N381" s="302"/>
      <c r="O381" s="302"/>
      <c r="P381" s="302"/>
      <c r="Q381" s="302"/>
      <c r="R381" s="302"/>
      <c r="S381" s="302"/>
      <c r="T381" s="302"/>
      <c r="U381" s="302"/>
      <c r="V381" s="302"/>
      <c r="W381" s="302"/>
      <c r="X381" s="302"/>
      <c r="Y381" s="302"/>
      <c r="Z381" s="302"/>
    </row>
    <row r="382" spans="1:26" ht="15.55">
      <c r="A382" s="302"/>
      <c r="B382" s="302"/>
      <c r="C382" s="302"/>
      <c r="D382" s="302"/>
      <c r="E382" s="302"/>
      <c r="F382" s="302"/>
      <c r="G382" s="302"/>
      <c r="H382" s="302"/>
      <c r="I382" s="302"/>
      <c r="J382" s="302"/>
      <c r="K382" s="302"/>
      <c r="L382" s="302"/>
      <c r="M382" s="302"/>
      <c r="N382" s="302"/>
      <c r="O382" s="302"/>
      <c r="P382" s="302"/>
      <c r="Q382" s="302"/>
      <c r="R382" s="302"/>
      <c r="S382" s="302"/>
      <c r="T382" s="302"/>
      <c r="U382" s="302"/>
      <c r="V382" s="302"/>
      <c r="W382" s="302"/>
      <c r="X382" s="302"/>
      <c r="Y382" s="302"/>
      <c r="Z382" s="302"/>
    </row>
    <row r="383" spans="1:26" ht="15.55">
      <c r="A383" s="302"/>
      <c r="B383" s="302"/>
      <c r="C383" s="302"/>
      <c r="D383" s="302"/>
      <c r="E383" s="302"/>
      <c r="F383" s="302"/>
      <c r="G383" s="302"/>
      <c r="H383" s="302"/>
      <c r="I383" s="302"/>
      <c r="J383" s="302"/>
      <c r="K383" s="302"/>
      <c r="L383" s="302"/>
      <c r="M383" s="302"/>
      <c r="N383" s="302"/>
      <c r="O383" s="302"/>
      <c r="P383" s="302"/>
      <c r="Q383" s="302"/>
      <c r="R383" s="302"/>
      <c r="S383" s="302"/>
      <c r="T383" s="302"/>
      <c r="U383" s="302"/>
      <c r="V383" s="302"/>
      <c r="W383" s="302"/>
      <c r="X383" s="302"/>
      <c r="Y383" s="302"/>
      <c r="Z383" s="302"/>
    </row>
    <row r="384" spans="1:26" ht="15.55">
      <c r="A384" s="302"/>
      <c r="B384" s="302"/>
      <c r="C384" s="302"/>
      <c r="D384" s="302"/>
      <c r="E384" s="302"/>
      <c r="F384" s="302"/>
      <c r="G384" s="302"/>
      <c r="H384" s="302"/>
      <c r="I384" s="302"/>
      <c r="J384" s="302"/>
      <c r="K384" s="302"/>
      <c r="L384" s="302"/>
      <c r="M384" s="302"/>
      <c r="N384" s="302"/>
      <c r="O384" s="302"/>
      <c r="P384" s="302"/>
      <c r="Q384" s="302"/>
      <c r="R384" s="302"/>
      <c r="S384" s="302"/>
      <c r="T384" s="302"/>
      <c r="U384" s="302"/>
      <c r="V384" s="302"/>
      <c r="W384" s="302"/>
      <c r="X384" s="302"/>
      <c r="Y384" s="302"/>
      <c r="Z384" s="302"/>
    </row>
    <row r="385" spans="1:26" ht="15.55">
      <c r="A385" s="302"/>
      <c r="B385" s="302"/>
      <c r="C385" s="302"/>
      <c r="D385" s="302"/>
      <c r="E385" s="302"/>
      <c r="F385" s="302"/>
      <c r="G385" s="302"/>
      <c r="H385" s="302"/>
      <c r="I385" s="302"/>
      <c r="J385" s="302"/>
      <c r="K385" s="302"/>
      <c r="L385" s="302"/>
      <c r="M385" s="302"/>
      <c r="N385" s="302"/>
      <c r="O385" s="302"/>
      <c r="P385" s="302"/>
      <c r="Q385" s="302"/>
      <c r="R385" s="302"/>
      <c r="S385" s="302"/>
      <c r="T385" s="302"/>
      <c r="U385" s="302"/>
      <c r="V385" s="302"/>
      <c r="W385" s="302"/>
      <c r="X385" s="302"/>
      <c r="Y385" s="302"/>
      <c r="Z385" s="302"/>
    </row>
    <row r="386" spans="1:26" ht="15.55">
      <c r="A386" s="302"/>
      <c r="B386" s="302"/>
      <c r="C386" s="302"/>
      <c r="D386" s="302"/>
      <c r="E386" s="302"/>
      <c r="F386" s="302"/>
      <c r="G386" s="302"/>
      <c r="H386" s="302"/>
      <c r="I386" s="302"/>
      <c r="J386" s="302"/>
      <c r="K386" s="302"/>
      <c r="L386" s="302"/>
      <c r="M386" s="302"/>
      <c r="N386" s="302"/>
      <c r="O386" s="302"/>
      <c r="P386" s="302"/>
      <c r="Q386" s="302"/>
      <c r="R386" s="302"/>
      <c r="S386" s="302"/>
      <c r="T386" s="302"/>
      <c r="U386" s="302"/>
      <c r="V386" s="302"/>
      <c r="W386" s="302"/>
      <c r="X386" s="302"/>
      <c r="Y386" s="302"/>
      <c r="Z386" s="302"/>
    </row>
    <row r="387" spans="1:26" ht="15.55">
      <c r="A387" s="302"/>
      <c r="B387" s="302"/>
      <c r="C387" s="302"/>
      <c r="D387" s="302"/>
      <c r="E387" s="302"/>
      <c r="F387" s="302"/>
      <c r="G387" s="302"/>
      <c r="H387" s="302"/>
      <c r="I387" s="302"/>
      <c r="J387" s="302"/>
      <c r="K387" s="302"/>
      <c r="L387" s="302"/>
      <c r="M387" s="302"/>
      <c r="N387" s="302"/>
      <c r="O387" s="302"/>
      <c r="P387" s="302"/>
      <c r="Q387" s="302"/>
      <c r="R387" s="302"/>
      <c r="S387" s="302"/>
      <c r="T387" s="302"/>
      <c r="U387" s="302"/>
      <c r="V387" s="302"/>
      <c r="W387" s="302"/>
      <c r="X387" s="302"/>
      <c r="Y387" s="302"/>
      <c r="Z387" s="302"/>
    </row>
    <row r="388" spans="1:26" ht="15.55">
      <c r="A388" s="302"/>
      <c r="B388" s="302"/>
      <c r="C388" s="302"/>
      <c r="D388" s="302"/>
      <c r="E388" s="302"/>
      <c r="F388" s="302"/>
      <c r="G388" s="302"/>
      <c r="H388" s="302"/>
      <c r="I388" s="302"/>
      <c r="J388" s="302"/>
      <c r="K388" s="302"/>
      <c r="L388" s="302"/>
      <c r="M388" s="302"/>
      <c r="N388" s="302"/>
      <c r="O388" s="302"/>
      <c r="P388" s="302"/>
      <c r="Q388" s="302"/>
      <c r="R388" s="302"/>
      <c r="S388" s="302"/>
      <c r="T388" s="302"/>
      <c r="U388" s="302"/>
      <c r="V388" s="302"/>
      <c r="W388" s="302"/>
      <c r="X388" s="302"/>
      <c r="Y388" s="302"/>
      <c r="Z388" s="302"/>
    </row>
    <row r="389" spans="1:26" ht="15.55">
      <c r="A389" s="302"/>
      <c r="B389" s="302"/>
      <c r="C389" s="302"/>
      <c r="D389" s="302"/>
      <c r="E389" s="302"/>
      <c r="F389" s="302"/>
      <c r="G389" s="302"/>
      <c r="H389" s="302"/>
      <c r="I389" s="302"/>
      <c r="J389" s="302"/>
      <c r="K389" s="302"/>
      <c r="L389" s="302"/>
      <c r="M389" s="302"/>
      <c r="N389" s="302"/>
      <c r="O389" s="302"/>
      <c r="P389" s="302"/>
      <c r="Q389" s="302"/>
      <c r="R389" s="302"/>
      <c r="S389" s="302"/>
      <c r="T389" s="302"/>
      <c r="U389" s="302"/>
      <c r="V389" s="302"/>
      <c r="W389" s="302"/>
      <c r="X389" s="302"/>
      <c r="Y389" s="302"/>
      <c r="Z389" s="302"/>
    </row>
    <row r="390" spans="1:26" ht="15.55">
      <c r="A390" s="302"/>
      <c r="B390" s="302"/>
      <c r="C390" s="302"/>
      <c r="D390" s="302"/>
      <c r="E390" s="302"/>
      <c r="F390" s="302"/>
      <c r="G390" s="302"/>
      <c r="H390" s="302"/>
      <c r="I390" s="302"/>
      <c r="J390" s="302"/>
      <c r="K390" s="302"/>
      <c r="L390" s="302"/>
      <c r="M390" s="302"/>
      <c r="N390" s="302"/>
      <c r="O390" s="302"/>
      <c r="P390" s="302"/>
      <c r="Q390" s="302"/>
      <c r="R390" s="302"/>
      <c r="S390" s="302"/>
      <c r="T390" s="302"/>
      <c r="U390" s="302"/>
      <c r="V390" s="302"/>
      <c r="W390" s="302"/>
      <c r="X390" s="302"/>
      <c r="Y390" s="302"/>
      <c r="Z390" s="302"/>
    </row>
    <row r="391" spans="1:26" ht="15.55">
      <c r="A391" s="302"/>
      <c r="B391" s="302"/>
      <c r="C391" s="302"/>
      <c r="D391" s="302"/>
      <c r="E391" s="302"/>
      <c r="F391" s="302"/>
      <c r="G391" s="302"/>
      <c r="H391" s="302"/>
      <c r="I391" s="302"/>
      <c r="J391" s="302"/>
      <c r="K391" s="302"/>
      <c r="L391" s="302"/>
      <c r="M391" s="302"/>
      <c r="N391" s="302"/>
      <c r="O391" s="302"/>
      <c r="P391" s="302"/>
      <c r="Q391" s="302"/>
      <c r="R391" s="302"/>
      <c r="S391" s="302"/>
      <c r="T391" s="302"/>
      <c r="U391" s="302"/>
      <c r="V391" s="302"/>
      <c r="W391" s="302"/>
      <c r="X391" s="302"/>
      <c r="Y391" s="302"/>
      <c r="Z391" s="302"/>
    </row>
    <row r="392" spans="1:26" ht="15.55">
      <c r="A392" s="302"/>
      <c r="B392" s="302"/>
      <c r="C392" s="302"/>
      <c r="D392" s="302"/>
      <c r="E392" s="302"/>
      <c r="F392" s="302"/>
      <c r="G392" s="302"/>
      <c r="H392" s="302"/>
      <c r="I392" s="302"/>
      <c r="J392" s="302"/>
      <c r="K392" s="302"/>
      <c r="L392" s="302"/>
      <c r="M392" s="302"/>
      <c r="N392" s="302"/>
      <c r="O392" s="302"/>
      <c r="P392" s="302"/>
      <c r="Q392" s="302"/>
      <c r="R392" s="302"/>
      <c r="S392" s="302"/>
      <c r="T392" s="302"/>
      <c r="U392" s="302"/>
      <c r="V392" s="302"/>
      <c r="W392" s="302"/>
      <c r="X392" s="302"/>
      <c r="Y392" s="302"/>
      <c r="Z392" s="302"/>
    </row>
    <row r="393" spans="1:26" ht="15.55">
      <c r="A393" s="302"/>
      <c r="B393" s="302"/>
      <c r="C393" s="302"/>
      <c r="D393" s="302"/>
      <c r="E393" s="302"/>
      <c r="F393" s="302"/>
      <c r="G393" s="302"/>
      <c r="H393" s="302"/>
      <c r="I393" s="302"/>
      <c r="J393" s="302"/>
      <c r="K393" s="302"/>
      <c r="L393" s="302"/>
      <c r="M393" s="302"/>
      <c r="N393" s="302"/>
      <c r="O393" s="302"/>
      <c r="P393" s="302"/>
      <c r="Q393" s="302"/>
      <c r="R393" s="302"/>
      <c r="S393" s="302"/>
      <c r="T393" s="302"/>
      <c r="U393" s="302"/>
      <c r="V393" s="302"/>
      <c r="W393" s="302"/>
      <c r="X393" s="302"/>
      <c r="Y393" s="302"/>
      <c r="Z393" s="302"/>
    </row>
    <row r="394" spans="1:26" ht="15.55">
      <c r="A394" s="302"/>
      <c r="B394" s="302"/>
      <c r="C394" s="302"/>
      <c r="D394" s="302"/>
      <c r="E394" s="302"/>
      <c r="F394" s="302"/>
      <c r="G394" s="302"/>
      <c r="H394" s="302"/>
      <c r="I394" s="302"/>
      <c r="J394" s="302"/>
      <c r="K394" s="302"/>
      <c r="L394" s="302"/>
      <c r="M394" s="302"/>
      <c r="N394" s="302"/>
      <c r="O394" s="302"/>
      <c r="P394" s="302"/>
      <c r="Q394" s="302"/>
      <c r="R394" s="302"/>
      <c r="S394" s="302"/>
      <c r="T394" s="302"/>
      <c r="U394" s="302"/>
      <c r="V394" s="302"/>
      <c r="W394" s="302"/>
      <c r="X394" s="302"/>
      <c r="Y394" s="302"/>
      <c r="Z394" s="302"/>
    </row>
    <row r="395" spans="1:26" ht="15.55">
      <c r="A395" s="302"/>
      <c r="B395" s="302"/>
      <c r="C395" s="302"/>
      <c r="D395" s="302"/>
      <c r="E395" s="302"/>
      <c r="F395" s="302"/>
      <c r="G395" s="302"/>
      <c r="H395" s="302"/>
      <c r="I395" s="302"/>
      <c r="J395" s="302"/>
      <c r="K395" s="302"/>
      <c r="L395" s="302"/>
      <c r="M395" s="302"/>
      <c r="N395" s="302"/>
      <c r="O395" s="302"/>
      <c r="P395" s="302"/>
      <c r="Q395" s="302"/>
      <c r="R395" s="302"/>
      <c r="S395" s="302"/>
      <c r="T395" s="302"/>
      <c r="U395" s="302"/>
      <c r="V395" s="302"/>
      <c r="W395" s="302"/>
      <c r="X395" s="302"/>
      <c r="Y395" s="302"/>
      <c r="Z395" s="302"/>
    </row>
    <row r="396" spans="1:26" ht="15.55">
      <c r="A396" s="302"/>
      <c r="B396" s="302"/>
      <c r="C396" s="302"/>
      <c r="D396" s="302"/>
      <c r="E396" s="302"/>
      <c r="F396" s="302"/>
      <c r="G396" s="302"/>
      <c r="H396" s="302"/>
      <c r="I396" s="302"/>
      <c r="J396" s="302"/>
      <c r="K396" s="302"/>
      <c r="L396" s="302"/>
      <c r="M396" s="302"/>
      <c r="N396" s="302"/>
      <c r="O396" s="302"/>
      <c r="P396" s="302"/>
      <c r="Q396" s="302"/>
      <c r="R396" s="302"/>
      <c r="S396" s="302"/>
      <c r="T396" s="302"/>
      <c r="U396" s="302"/>
      <c r="V396" s="302"/>
      <c r="W396" s="302"/>
      <c r="X396" s="302"/>
      <c r="Y396" s="302"/>
      <c r="Z396" s="302"/>
    </row>
    <row r="397" spans="1:26" ht="15.55">
      <c r="A397" s="302"/>
      <c r="B397" s="302"/>
      <c r="C397" s="302"/>
      <c r="D397" s="302"/>
      <c r="E397" s="302"/>
      <c r="F397" s="302"/>
      <c r="G397" s="302"/>
      <c r="H397" s="302"/>
      <c r="I397" s="302"/>
      <c r="J397" s="302"/>
      <c r="K397" s="302"/>
      <c r="L397" s="302"/>
      <c r="M397" s="302"/>
      <c r="N397" s="302"/>
      <c r="O397" s="302"/>
      <c r="P397" s="302"/>
      <c r="Q397" s="302"/>
      <c r="R397" s="302"/>
      <c r="S397" s="302"/>
      <c r="T397" s="302"/>
      <c r="U397" s="302"/>
      <c r="V397" s="302"/>
      <c r="W397" s="302"/>
      <c r="X397" s="302"/>
      <c r="Y397" s="302"/>
      <c r="Z397" s="302"/>
    </row>
    <row r="398" spans="1:26" ht="15.55">
      <c r="A398" s="302"/>
      <c r="B398" s="302"/>
      <c r="C398" s="302"/>
      <c r="D398" s="302"/>
      <c r="E398" s="302"/>
      <c r="F398" s="302"/>
      <c r="G398" s="302"/>
      <c r="H398" s="302"/>
      <c r="I398" s="302"/>
      <c r="J398" s="302"/>
      <c r="K398" s="302"/>
      <c r="L398" s="302"/>
      <c r="M398" s="302"/>
      <c r="N398" s="302"/>
      <c r="O398" s="302"/>
      <c r="P398" s="302"/>
      <c r="Q398" s="302"/>
      <c r="R398" s="302"/>
      <c r="S398" s="302"/>
      <c r="T398" s="302"/>
      <c r="U398" s="302"/>
      <c r="V398" s="302"/>
      <c r="W398" s="302"/>
      <c r="X398" s="302"/>
      <c r="Y398" s="302"/>
      <c r="Z398" s="302"/>
    </row>
    <row r="399" spans="1:26" ht="15.55">
      <c r="A399" s="302"/>
      <c r="B399" s="302"/>
      <c r="C399" s="302"/>
      <c r="D399" s="302"/>
      <c r="E399" s="302"/>
      <c r="F399" s="302"/>
      <c r="G399" s="302"/>
      <c r="H399" s="302"/>
      <c r="I399" s="302"/>
      <c r="J399" s="302"/>
      <c r="K399" s="302"/>
      <c r="L399" s="302"/>
      <c r="M399" s="302"/>
      <c r="N399" s="302"/>
      <c r="O399" s="302"/>
      <c r="P399" s="302"/>
      <c r="Q399" s="302"/>
      <c r="R399" s="302"/>
      <c r="S399" s="302"/>
      <c r="T399" s="302"/>
      <c r="U399" s="302"/>
      <c r="V399" s="302"/>
      <c r="W399" s="302"/>
      <c r="X399" s="302"/>
      <c r="Y399" s="302"/>
      <c r="Z399" s="302"/>
    </row>
    <row r="400" spans="1:26" ht="15.55">
      <c r="A400" s="302"/>
      <c r="B400" s="302"/>
      <c r="C400" s="302"/>
      <c r="D400" s="302"/>
      <c r="E400" s="302"/>
      <c r="F400" s="302"/>
      <c r="G400" s="302"/>
      <c r="H400" s="302"/>
      <c r="I400" s="302"/>
      <c r="J400" s="302"/>
      <c r="K400" s="302"/>
      <c r="L400" s="302"/>
      <c r="M400" s="302"/>
      <c r="N400" s="302"/>
      <c r="O400" s="302"/>
      <c r="P400" s="302"/>
      <c r="Q400" s="302"/>
      <c r="R400" s="302"/>
      <c r="S400" s="302"/>
      <c r="T400" s="302"/>
      <c r="U400" s="302"/>
      <c r="V400" s="302"/>
      <c r="W400" s="302"/>
      <c r="X400" s="302"/>
      <c r="Y400" s="302"/>
      <c r="Z400" s="302"/>
    </row>
    <row r="401" spans="1:26" ht="15.55">
      <c r="A401" s="302"/>
      <c r="B401" s="302"/>
      <c r="C401" s="302"/>
      <c r="D401" s="302"/>
      <c r="E401" s="302"/>
      <c r="F401" s="302"/>
      <c r="G401" s="302"/>
      <c r="H401" s="302"/>
      <c r="I401" s="302"/>
      <c r="J401" s="302"/>
      <c r="K401" s="302"/>
      <c r="L401" s="302"/>
      <c r="M401" s="302"/>
      <c r="N401" s="302"/>
      <c r="O401" s="302"/>
      <c r="P401" s="302"/>
      <c r="Q401" s="302"/>
      <c r="R401" s="302"/>
      <c r="S401" s="302"/>
      <c r="T401" s="302"/>
      <c r="U401" s="302"/>
      <c r="V401" s="302"/>
      <c r="W401" s="302"/>
      <c r="X401" s="302"/>
      <c r="Y401" s="302"/>
      <c r="Z401" s="302"/>
    </row>
    <row r="402" spans="1:26" ht="15.55">
      <c r="A402" s="302"/>
      <c r="B402" s="302"/>
      <c r="C402" s="302"/>
      <c r="D402" s="302"/>
      <c r="E402" s="302"/>
      <c r="F402" s="302"/>
      <c r="G402" s="302"/>
      <c r="H402" s="302"/>
      <c r="I402" s="302"/>
      <c r="J402" s="302"/>
      <c r="K402" s="302"/>
      <c r="L402" s="302"/>
      <c r="M402" s="302"/>
      <c r="N402" s="302"/>
      <c r="O402" s="302"/>
      <c r="P402" s="302"/>
      <c r="Q402" s="302"/>
      <c r="R402" s="302"/>
      <c r="S402" s="302"/>
      <c r="T402" s="302"/>
      <c r="U402" s="302"/>
      <c r="V402" s="302"/>
      <c r="W402" s="302"/>
      <c r="X402" s="302"/>
      <c r="Y402" s="302"/>
      <c r="Z402" s="302"/>
    </row>
    <row r="403" spans="1:26" ht="15.55">
      <c r="A403" s="302"/>
      <c r="B403" s="302"/>
      <c r="C403" s="302"/>
      <c r="D403" s="302"/>
      <c r="E403" s="302"/>
      <c r="F403" s="302"/>
      <c r="G403" s="302"/>
      <c r="H403" s="302"/>
      <c r="I403" s="302"/>
      <c r="J403" s="302"/>
      <c r="K403" s="302"/>
      <c r="L403" s="302"/>
      <c r="M403" s="302"/>
      <c r="N403" s="302"/>
      <c r="O403" s="302"/>
      <c r="P403" s="302"/>
      <c r="Q403" s="302"/>
      <c r="R403" s="302"/>
      <c r="S403" s="302"/>
      <c r="T403" s="302"/>
      <c r="U403" s="302"/>
      <c r="V403" s="302"/>
      <c r="W403" s="302"/>
      <c r="X403" s="302"/>
      <c r="Y403" s="302"/>
      <c r="Z403" s="302"/>
    </row>
    <row r="404" spans="1:26" ht="15.55">
      <c r="A404" s="302"/>
      <c r="B404" s="302"/>
      <c r="C404" s="302"/>
      <c r="D404" s="302"/>
      <c r="E404" s="302"/>
      <c r="F404" s="302"/>
      <c r="G404" s="302"/>
      <c r="H404" s="302"/>
      <c r="I404" s="302"/>
      <c r="J404" s="302"/>
      <c r="K404" s="302"/>
      <c r="L404" s="302"/>
      <c r="M404" s="302"/>
      <c r="N404" s="302"/>
      <c r="O404" s="302"/>
      <c r="P404" s="302"/>
      <c r="Q404" s="302"/>
      <c r="R404" s="302"/>
      <c r="S404" s="302"/>
      <c r="T404" s="302"/>
      <c r="U404" s="302"/>
      <c r="V404" s="302"/>
      <c r="W404" s="302"/>
      <c r="X404" s="302"/>
      <c r="Y404" s="302"/>
      <c r="Z404" s="302"/>
    </row>
    <row r="405" spans="1:26" ht="15.55">
      <c r="A405" s="302"/>
      <c r="B405" s="302"/>
      <c r="C405" s="302"/>
      <c r="D405" s="302"/>
      <c r="E405" s="302"/>
      <c r="F405" s="302"/>
      <c r="G405" s="302"/>
      <c r="H405" s="302"/>
      <c r="I405" s="302"/>
      <c r="J405" s="302"/>
      <c r="K405" s="302"/>
      <c r="L405" s="302"/>
      <c r="M405" s="302"/>
      <c r="N405" s="302"/>
      <c r="O405" s="302"/>
      <c r="P405" s="302"/>
      <c r="Q405" s="302"/>
      <c r="R405" s="302"/>
      <c r="S405" s="302"/>
      <c r="T405" s="302"/>
      <c r="U405" s="302"/>
      <c r="V405" s="302"/>
      <c r="W405" s="302"/>
      <c r="X405" s="302"/>
      <c r="Y405" s="302"/>
      <c r="Z405" s="302"/>
    </row>
    <row r="406" spans="1:26" ht="15.55">
      <c r="A406" s="302"/>
      <c r="B406" s="302"/>
      <c r="C406" s="302"/>
      <c r="D406" s="302"/>
      <c r="E406" s="302"/>
      <c r="F406" s="302"/>
      <c r="G406" s="302"/>
      <c r="H406" s="302"/>
      <c r="I406" s="302"/>
      <c r="J406" s="302"/>
      <c r="K406" s="302"/>
      <c r="L406" s="302"/>
      <c r="M406" s="302"/>
      <c r="N406" s="302"/>
      <c r="O406" s="302"/>
      <c r="P406" s="302"/>
      <c r="Q406" s="302"/>
      <c r="R406" s="302"/>
      <c r="S406" s="302"/>
      <c r="T406" s="302"/>
      <c r="U406" s="302"/>
      <c r="V406" s="302"/>
      <c r="W406" s="302"/>
      <c r="X406" s="302"/>
      <c r="Y406" s="302"/>
      <c r="Z406" s="302"/>
    </row>
    <row r="407" spans="1:26" ht="15.55">
      <c r="A407" s="302"/>
      <c r="B407" s="302"/>
      <c r="C407" s="302"/>
      <c r="D407" s="302"/>
      <c r="E407" s="302"/>
      <c r="F407" s="302"/>
      <c r="G407" s="302"/>
      <c r="H407" s="302"/>
      <c r="I407" s="302"/>
      <c r="J407" s="302"/>
      <c r="K407" s="302"/>
      <c r="L407" s="302"/>
      <c r="M407" s="302"/>
      <c r="N407" s="302"/>
      <c r="O407" s="302"/>
      <c r="P407" s="302"/>
      <c r="Q407" s="302"/>
      <c r="R407" s="302"/>
      <c r="S407" s="302"/>
      <c r="T407" s="302"/>
      <c r="U407" s="302"/>
      <c r="V407" s="302"/>
      <c r="W407" s="302"/>
      <c r="X407" s="302"/>
      <c r="Y407" s="302"/>
      <c r="Z407" s="302"/>
    </row>
    <row r="408" spans="1:26" ht="15.55">
      <c r="A408" s="302"/>
      <c r="B408" s="302"/>
      <c r="C408" s="302"/>
      <c r="D408" s="302"/>
      <c r="E408" s="302"/>
      <c r="F408" s="302"/>
      <c r="G408" s="302"/>
      <c r="H408" s="302"/>
      <c r="I408" s="302"/>
      <c r="J408" s="302"/>
      <c r="K408" s="302"/>
      <c r="L408" s="302"/>
      <c r="M408" s="302"/>
      <c r="N408" s="302"/>
      <c r="O408" s="302"/>
      <c r="P408" s="302"/>
      <c r="Q408" s="302"/>
      <c r="R408" s="302"/>
      <c r="S408" s="302"/>
      <c r="T408" s="302"/>
      <c r="U408" s="302"/>
      <c r="V408" s="302"/>
      <c r="W408" s="302"/>
      <c r="X408" s="302"/>
      <c r="Y408" s="302"/>
      <c r="Z408" s="302"/>
    </row>
    <row r="409" spans="1:26" ht="15.55">
      <c r="A409" s="302"/>
      <c r="B409" s="302"/>
      <c r="C409" s="302"/>
      <c r="D409" s="302"/>
      <c r="E409" s="302"/>
      <c r="F409" s="302"/>
      <c r="G409" s="302"/>
      <c r="H409" s="302"/>
      <c r="I409" s="302"/>
      <c r="J409" s="302"/>
      <c r="K409" s="302"/>
      <c r="L409" s="302"/>
      <c r="M409" s="302"/>
      <c r="N409" s="302"/>
      <c r="O409" s="302"/>
      <c r="P409" s="302"/>
      <c r="Q409" s="302"/>
      <c r="R409" s="302"/>
      <c r="S409" s="302"/>
      <c r="T409" s="302"/>
      <c r="U409" s="302"/>
      <c r="V409" s="302"/>
      <c r="W409" s="302"/>
      <c r="X409" s="302"/>
      <c r="Y409" s="302"/>
      <c r="Z409" s="302"/>
    </row>
    <row r="410" spans="1:26" ht="15.55">
      <c r="A410" s="302"/>
      <c r="B410" s="302"/>
      <c r="C410" s="302"/>
      <c r="D410" s="302"/>
      <c r="E410" s="302"/>
      <c r="F410" s="302"/>
      <c r="G410" s="302"/>
      <c r="H410" s="302"/>
      <c r="I410" s="302"/>
      <c r="J410" s="302"/>
      <c r="K410" s="302"/>
      <c r="L410" s="302"/>
      <c r="M410" s="302"/>
      <c r="N410" s="302"/>
      <c r="O410" s="302"/>
      <c r="P410" s="302"/>
      <c r="Q410" s="302"/>
      <c r="R410" s="302"/>
      <c r="S410" s="302"/>
      <c r="T410" s="302"/>
      <c r="U410" s="302"/>
      <c r="V410" s="302"/>
      <c r="W410" s="302"/>
      <c r="X410" s="302"/>
      <c r="Y410" s="302"/>
      <c r="Z410" s="302"/>
    </row>
    <row r="411" spans="1:26" ht="15.55">
      <c r="A411" s="302"/>
      <c r="B411" s="302"/>
      <c r="C411" s="302"/>
      <c r="D411" s="302"/>
      <c r="E411" s="302"/>
      <c r="F411" s="302"/>
      <c r="G411" s="302"/>
      <c r="H411" s="302"/>
      <c r="I411" s="302"/>
      <c r="J411" s="302"/>
      <c r="K411" s="302"/>
      <c r="L411" s="302"/>
      <c r="M411" s="302"/>
      <c r="N411" s="302"/>
      <c r="O411" s="302"/>
      <c r="P411" s="302"/>
      <c r="Q411" s="302"/>
      <c r="R411" s="302"/>
      <c r="S411" s="302"/>
      <c r="T411" s="302"/>
      <c r="U411" s="302"/>
      <c r="V411" s="302"/>
      <c r="W411" s="302"/>
      <c r="X411" s="302"/>
      <c r="Y411" s="302"/>
      <c r="Z411" s="302"/>
    </row>
    <row r="412" spans="1:26" ht="15.55">
      <c r="A412" s="302"/>
      <c r="B412" s="302"/>
      <c r="C412" s="302"/>
      <c r="D412" s="302"/>
      <c r="E412" s="302"/>
      <c r="F412" s="302"/>
      <c r="G412" s="302"/>
      <c r="H412" s="302"/>
      <c r="I412" s="302"/>
      <c r="J412" s="302"/>
      <c r="K412" s="302"/>
      <c r="L412" s="302"/>
      <c r="M412" s="302"/>
      <c r="N412" s="302"/>
      <c r="O412" s="302"/>
      <c r="P412" s="302"/>
      <c r="Q412" s="302"/>
      <c r="R412" s="302"/>
      <c r="S412" s="302"/>
      <c r="T412" s="302"/>
      <c r="U412" s="302"/>
      <c r="V412" s="302"/>
      <c r="W412" s="302"/>
      <c r="X412" s="302"/>
      <c r="Y412" s="302"/>
      <c r="Z412" s="302"/>
    </row>
    <row r="413" spans="1:26" ht="15.55">
      <c r="A413" s="302"/>
      <c r="B413" s="302"/>
      <c r="C413" s="302"/>
      <c r="D413" s="302"/>
      <c r="E413" s="302"/>
      <c r="F413" s="302"/>
      <c r="G413" s="302"/>
      <c r="H413" s="302"/>
      <c r="I413" s="302"/>
      <c r="J413" s="302"/>
      <c r="K413" s="302"/>
      <c r="L413" s="302"/>
      <c r="M413" s="302"/>
      <c r="N413" s="302"/>
      <c r="O413" s="302"/>
      <c r="P413" s="302"/>
      <c r="Q413" s="302"/>
      <c r="R413" s="302"/>
      <c r="S413" s="302"/>
      <c r="T413" s="302"/>
      <c r="U413" s="302"/>
      <c r="V413" s="302"/>
      <c r="W413" s="302"/>
      <c r="X413" s="302"/>
      <c r="Y413" s="302"/>
      <c r="Z413" s="302"/>
    </row>
    <row r="414" spans="1:26" ht="15.55">
      <c r="A414" s="302"/>
      <c r="B414" s="302"/>
      <c r="C414" s="302"/>
      <c r="D414" s="302"/>
      <c r="E414" s="302"/>
      <c r="F414" s="302"/>
      <c r="G414" s="302"/>
      <c r="H414" s="302"/>
      <c r="I414" s="302"/>
      <c r="J414" s="302"/>
      <c r="K414" s="302"/>
      <c r="L414" s="302"/>
      <c r="M414" s="302"/>
      <c r="N414" s="302"/>
      <c r="O414" s="302"/>
      <c r="P414" s="302"/>
      <c r="Q414" s="302"/>
      <c r="R414" s="302"/>
      <c r="S414" s="302"/>
      <c r="T414" s="302"/>
      <c r="U414" s="302"/>
      <c r="V414" s="302"/>
      <c r="W414" s="302"/>
      <c r="X414" s="302"/>
      <c r="Y414" s="302"/>
      <c r="Z414" s="302"/>
    </row>
    <row r="415" spans="1:26" ht="15.55">
      <c r="A415" s="302"/>
      <c r="B415" s="302"/>
      <c r="C415" s="302"/>
      <c r="D415" s="302"/>
      <c r="E415" s="302"/>
      <c r="F415" s="302"/>
      <c r="G415" s="302"/>
      <c r="H415" s="302"/>
      <c r="I415" s="302"/>
      <c r="J415" s="302"/>
      <c r="K415" s="302"/>
      <c r="L415" s="302"/>
      <c r="M415" s="302"/>
      <c r="N415" s="302"/>
      <c r="O415" s="302"/>
      <c r="P415" s="302"/>
      <c r="Q415" s="302"/>
      <c r="R415" s="302"/>
      <c r="S415" s="302"/>
      <c r="T415" s="302"/>
      <c r="U415" s="302"/>
      <c r="V415" s="302"/>
      <c r="W415" s="302"/>
      <c r="X415" s="302"/>
      <c r="Y415" s="302"/>
      <c r="Z415" s="302"/>
    </row>
    <row r="416" spans="1:26" ht="15.55">
      <c r="A416" s="302"/>
      <c r="B416" s="302"/>
      <c r="C416" s="302"/>
      <c r="D416" s="302"/>
      <c r="E416" s="302"/>
      <c r="F416" s="302"/>
      <c r="G416" s="302"/>
      <c r="H416" s="302"/>
      <c r="I416" s="302"/>
      <c r="J416" s="302"/>
      <c r="K416" s="302"/>
      <c r="L416" s="302"/>
      <c r="M416" s="302"/>
      <c r="N416" s="302"/>
      <c r="O416" s="302"/>
      <c r="P416" s="302"/>
      <c r="Q416" s="302"/>
      <c r="R416" s="302"/>
      <c r="S416" s="302"/>
      <c r="T416" s="302"/>
      <c r="U416" s="302"/>
      <c r="V416" s="302"/>
      <c r="W416" s="302"/>
      <c r="X416" s="302"/>
      <c r="Y416" s="302"/>
      <c r="Z416" s="302"/>
    </row>
    <row r="417" spans="1:26" ht="15.55">
      <c r="A417" s="302"/>
      <c r="B417" s="302"/>
      <c r="C417" s="302"/>
      <c r="D417" s="302"/>
      <c r="E417" s="302"/>
      <c r="F417" s="302"/>
      <c r="G417" s="302"/>
      <c r="H417" s="302"/>
      <c r="I417" s="302"/>
      <c r="J417" s="302"/>
      <c r="K417" s="302"/>
      <c r="L417" s="302"/>
      <c r="M417" s="302"/>
      <c r="N417" s="302"/>
      <c r="O417" s="302"/>
      <c r="P417" s="302"/>
      <c r="Q417" s="302"/>
      <c r="R417" s="302"/>
      <c r="S417" s="302"/>
      <c r="T417" s="302"/>
      <c r="U417" s="302"/>
      <c r="V417" s="302"/>
      <c r="W417" s="302"/>
      <c r="X417" s="302"/>
      <c r="Y417" s="302"/>
      <c r="Z417" s="302"/>
    </row>
    <row r="418" spans="1:26" ht="15.55">
      <c r="A418" s="302"/>
      <c r="B418" s="302"/>
      <c r="C418" s="302"/>
      <c r="D418" s="302"/>
      <c r="E418" s="302"/>
      <c r="F418" s="302"/>
      <c r="G418" s="302"/>
      <c r="H418" s="302"/>
      <c r="I418" s="302"/>
      <c r="J418" s="302"/>
      <c r="K418" s="302"/>
      <c r="L418" s="302"/>
      <c r="M418" s="302"/>
      <c r="N418" s="302"/>
      <c r="O418" s="302"/>
      <c r="P418" s="302"/>
      <c r="Q418" s="302"/>
      <c r="R418" s="302"/>
      <c r="S418" s="302"/>
      <c r="T418" s="302"/>
      <c r="U418" s="302"/>
      <c r="V418" s="302"/>
      <c r="W418" s="302"/>
      <c r="X418" s="302"/>
      <c r="Y418" s="302"/>
      <c r="Z418" s="302"/>
    </row>
    <row r="419" spans="1:26" ht="15.55">
      <c r="A419" s="302"/>
      <c r="B419" s="302"/>
      <c r="C419" s="302"/>
      <c r="D419" s="302"/>
      <c r="E419" s="302"/>
      <c r="F419" s="302"/>
      <c r="G419" s="302"/>
      <c r="H419" s="302"/>
      <c r="I419" s="302"/>
      <c r="J419" s="302"/>
      <c r="K419" s="302"/>
      <c r="L419" s="302"/>
      <c r="M419" s="302"/>
      <c r="N419" s="302"/>
      <c r="O419" s="302"/>
      <c r="P419" s="302"/>
      <c r="Q419" s="302"/>
      <c r="R419" s="302"/>
      <c r="S419" s="302"/>
      <c r="T419" s="302"/>
      <c r="U419" s="302"/>
      <c r="V419" s="302"/>
      <c r="W419" s="302"/>
      <c r="X419" s="302"/>
      <c r="Y419" s="302"/>
      <c r="Z419" s="302"/>
    </row>
    <row r="420" spans="1:26" ht="15.55">
      <c r="A420" s="302"/>
      <c r="B420" s="302"/>
      <c r="C420" s="302"/>
      <c r="D420" s="302"/>
      <c r="E420" s="302"/>
      <c r="F420" s="302"/>
      <c r="G420" s="302"/>
      <c r="H420" s="302"/>
      <c r="I420" s="302"/>
      <c r="J420" s="302"/>
      <c r="K420" s="302"/>
      <c r="L420" s="302"/>
      <c r="M420" s="302"/>
      <c r="N420" s="302"/>
      <c r="O420" s="302"/>
      <c r="P420" s="302"/>
      <c r="Q420" s="302"/>
      <c r="R420" s="302"/>
      <c r="S420" s="302"/>
      <c r="T420" s="302"/>
      <c r="U420" s="302"/>
      <c r="V420" s="302"/>
      <c r="W420" s="302"/>
      <c r="X420" s="302"/>
      <c r="Y420" s="302"/>
      <c r="Z420" s="302"/>
    </row>
    <row r="421" spans="1:26" ht="15.55">
      <c r="A421" s="302"/>
      <c r="B421" s="302"/>
      <c r="C421" s="302"/>
      <c r="D421" s="302"/>
      <c r="E421" s="302"/>
      <c r="F421" s="302"/>
      <c r="G421" s="302"/>
      <c r="H421" s="302"/>
      <c r="I421" s="302"/>
      <c r="J421" s="302"/>
      <c r="K421" s="302"/>
      <c r="L421" s="302"/>
      <c r="M421" s="302"/>
      <c r="N421" s="302"/>
      <c r="O421" s="302"/>
      <c r="P421" s="302"/>
      <c r="Q421" s="302"/>
      <c r="R421" s="302"/>
      <c r="S421" s="302"/>
      <c r="T421" s="302"/>
      <c r="U421" s="302"/>
      <c r="V421" s="302"/>
      <c r="W421" s="302"/>
      <c r="X421" s="302"/>
      <c r="Y421" s="302"/>
      <c r="Z421" s="302"/>
    </row>
    <row r="422" spans="1:26" ht="15.55">
      <c r="A422" s="302"/>
      <c r="B422" s="302"/>
      <c r="C422" s="302"/>
      <c r="D422" s="302"/>
      <c r="E422" s="302"/>
      <c r="F422" s="302"/>
      <c r="G422" s="302"/>
      <c r="H422" s="302"/>
      <c r="I422" s="302"/>
      <c r="J422" s="302"/>
      <c r="K422" s="302"/>
      <c r="L422" s="302"/>
      <c r="M422" s="302"/>
      <c r="N422" s="302"/>
      <c r="O422" s="302"/>
      <c r="P422" s="302"/>
      <c r="Q422" s="302"/>
      <c r="R422" s="302"/>
      <c r="S422" s="302"/>
      <c r="T422" s="302"/>
      <c r="U422" s="302"/>
      <c r="V422" s="302"/>
      <c r="W422" s="302"/>
      <c r="X422" s="302"/>
      <c r="Y422" s="302"/>
      <c r="Z422" s="302"/>
    </row>
    <row r="423" spans="1:26" ht="15.55">
      <c r="A423" s="302"/>
      <c r="B423" s="302"/>
      <c r="C423" s="302"/>
      <c r="D423" s="302"/>
      <c r="E423" s="302"/>
      <c r="F423" s="302"/>
      <c r="G423" s="302"/>
      <c r="H423" s="302"/>
      <c r="I423" s="302"/>
      <c r="J423" s="302"/>
      <c r="K423" s="302"/>
      <c r="L423" s="302"/>
      <c r="M423" s="302"/>
      <c r="N423" s="302"/>
      <c r="O423" s="302"/>
      <c r="P423" s="302"/>
      <c r="Q423" s="302"/>
      <c r="R423" s="302"/>
      <c r="S423" s="302"/>
      <c r="T423" s="302"/>
      <c r="U423" s="302"/>
      <c r="V423" s="302"/>
      <c r="W423" s="302"/>
      <c r="X423" s="302"/>
      <c r="Y423" s="302"/>
      <c r="Z423" s="302"/>
    </row>
    <row r="424" spans="1:26" ht="15.55">
      <c r="A424" s="302"/>
      <c r="B424" s="302"/>
      <c r="C424" s="302"/>
      <c r="D424" s="302"/>
      <c r="E424" s="302"/>
      <c r="F424" s="302"/>
      <c r="G424" s="302"/>
      <c r="H424" s="302"/>
      <c r="I424" s="302"/>
      <c r="J424" s="302"/>
      <c r="K424" s="302"/>
      <c r="L424" s="302"/>
      <c r="M424" s="302"/>
      <c r="N424" s="302"/>
      <c r="O424" s="302"/>
      <c r="P424" s="302"/>
      <c r="Q424" s="302"/>
      <c r="R424" s="302"/>
      <c r="S424" s="302"/>
      <c r="T424" s="302"/>
      <c r="U424" s="302"/>
      <c r="V424" s="302"/>
      <c r="W424" s="302"/>
      <c r="X424" s="302"/>
      <c r="Y424" s="302"/>
      <c r="Z424" s="302"/>
    </row>
    <row r="425" spans="1:26" ht="15.55">
      <c r="A425" s="302"/>
      <c r="B425" s="302"/>
      <c r="C425" s="302"/>
      <c r="D425" s="302"/>
      <c r="E425" s="302"/>
      <c r="F425" s="302"/>
      <c r="G425" s="302"/>
      <c r="H425" s="302"/>
      <c r="I425" s="302"/>
      <c r="J425" s="302"/>
      <c r="K425" s="302"/>
      <c r="L425" s="302"/>
      <c r="M425" s="302"/>
      <c r="N425" s="302"/>
      <c r="O425" s="302"/>
      <c r="P425" s="302"/>
      <c r="Q425" s="302"/>
      <c r="R425" s="302"/>
      <c r="S425" s="302"/>
      <c r="T425" s="302"/>
      <c r="U425" s="302"/>
      <c r="V425" s="302"/>
      <c r="W425" s="302"/>
      <c r="X425" s="302"/>
      <c r="Y425" s="302"/>
      <c r="Z425" s="302"/>
    </row>
    <row r="426" spans="1:26" ht="15.55">
      <c r="A426" s="302"/>
      <c r="B426" s="302"/>
      <c r="C426" s="302"/>
      <c r="D426" s="302"/>
      <c r="E426" s="302"/>
      <c r="F426" s="302"/>
      <c r="G426" s="302"/>
      <c r="H426" s="302"/>
      <c r="I426" s="302"/>
      <c r="J426" s="302"/>
      <c r="K426" s="302"/>
      <c r="L426" s="302"/>
      <c r="M426" s="302"/>
      <c r="N426" s="302"/>
      <c r="O426" s="302"/>
      <c r="P426" s="302"/>
      <c r="Q426" s="302"/>
      <c r="R426" s="302"/>
      <c r="S426" s="302"/>
      <c r="T426" s="302"/>
      <c r="U426" s="302"/>
      <c r="V426" s="302"/>
      <c r="W426" s="302"/>
      <c r="X426" s="302"/>
      <c r="Y426" s="302"/>
      <c r="Z426" s="302"/>
    </row>
    <row r="427" spans="1:26" ht="15.55">
      <c r="A427" s="302"/>
      <c r="B427" s="302"/>
      <c r="C427" s="302"/>
      <c r="D427" s="302"/>
      <c r="E427" s="302"/>
      <c r="F427" s="302"/>
      <c r="G427" s="302"/>
      <c r="H427" s="302"/>
      <c r="I427" s="302"/>
      <c r="J427" s="302"/>
      <c r="K427" s="302"/>
      <c r="L427" s="302"/>
      <c r="M427" s="302"/>
      <c r="N427" s="302"/>
      <c r="O427" s="302"/>
      <c r="P427" s="302"/>
      <c r="Q427" s="302"/>
      <c r="R427" s="302"/>
      <c r="S427" s="302"/>
      <c r="T427" s="302"/>
      <c r="U427" s="302"/>
      <c r="V427" s="302"/>
      <c r="W427" s="302"/>
      <c r="X427" s="302"/>
      <c r="Y427" s="302"/>
      <c r="Z427" s="302"/>
    </row>
    <row r="428" spans="1:26" ht="15.55">
      <c r="A428" s="302"/>
      <c r="B428" s="302"/>
      <c r="C428" s="302"/>
      <c r="D428" s="302"/>
      <c r="E428" s="302"/>
      <c r="F428" s="302"/>
      <c r="G428" s="302"/>
      <c r="H428" s="302"/>
      <c r="I428" s="302"/>
      <c r="J428" s="302"/>
      <c r="K428" s="302"/>
      <c r="L428" s="302"/>
      <c r="M428" s="302"/>
      <c r="N428" s="302"/>
      <c r="O428" s="302"/>
      <c r="P428" s="302"/>
      <c r="Q428" s="302"/>
      <c r="R428" s="302"/>
      <c r="S428" s="302"/>
      <c r="T428" s="302"/>
      <c r="U428" s="302"/>
      <c r="V428" s="302"/>
      <c r="W428" s="302"/>
      <c r="X428" s="302"/>
      <c r="Y428" s="302"/>
      <c r="Z428" s="302"/>
    </row>
    <row r="429" spans="1:26" ht="15.55">
      <c r="A429" s="302"/>
      <c r="B429" s="302"/>
      <c r="C429" s="302"/>
      <c r="D429" s="302"/>
      <c r="E429" s="302"/>
      <c r="F429" s="302"/>
      <c r="G429" s="302"/>
      <c r="H429" s="302"/>
      <c r="I429" s="302"/>
      <c r="J429" s="302"/>
      <c r="K429" s="302"/>
      <c r="L429" s="302"/>
      <c r="M429" s="302"/>
      <c r="N429" s="302"/>
      <c r="O429" s="302"/>
      <c r="P429" s="302"/>
      <c r="Q429" s="302"/>
      <c r="R429" s="302"/>
      <c r="S429" s="302"/>
      <c r="T429" s="302"/>
      <c r="U429" s="302"/>
      <c r="V429" s="302"/>
      <c r="W429" s="302"/>
      <c r="X429" s="302"/>
      <c r="Y429" s="302"/>
      <c r="Z429" s="302"/>
    </row>
    <row r="430" spans="1:26" ht="15.55">
      <c r="A430" s="302"/>
      <c r="B430" s="302"/>
      <c r="C430" s="302"/>
      <c r="D430" s="302"/>
      <c r="E430" s="302"/>
      <c r="F430" s="302"/>
      <c r="G430" s="302"/>
      <c r="H430" s="302"/>
      <c r="I430" s="302"/>
      <c r="J430" s="302"/>
      <c r="K430" s="302"/>
      <c r="L430" s="302"/>
      <c r="M430" s="302"/>
      <c r="N430" s="302"/>
      <c r="O430" s="302"/>
      <c r="P430" s="302"/>
      <c r="Q430" s="302"/>
      <c r="R430" s="302"/>
      <c r="S430" s="302"/>
      <c r="T430" s="302"/>
      <c r="U430" s="302"/>
      <c r="V430" s="302"/>
      <c r="W430" s="302"/>
      <c r="X430" s="302"/>
      <c r="Y430" s="302"/>
      <c r="Z430" s="302"/>
    </row>
    <row r="431" spans="1:26" ht="15.55">
      <c r="A431" s="302"/>
      <c r="B431" s="302"/>
      <c r="C431" s="302"/>
      <c r="D431" s="302"/>
      <c r="E431" s="302"/>
      <c r="F431" s="302"/>
      <c r="G431" s="302"/>
      <c r="H431" s="302"/>
      <c r="I431" s="302"/>
      <c r="J431" s="302"/>
      <c r="K431" s="302"/>
      <c r="L431" s="302"/>
      <c r="M431" s="302"/>
      <c r="N431" s="302"/>
      <c r="O431" s="302"/>
      <c r="P431" s="302"/>
      <c r="Q431" s="302"/>
      <c r="R431" s="302"/>
      <c r="S431" s="302"/>
      <c r="T431" s="302"/>
      <c r="U431" s="302"/>
      <c r="V431" s="302"/>
      <c r="W431" s="302"/>
      <c r="X431" s="302"/>
      <c r="Y431" s="302"/>
      <c r="Z431" s="302"/>
    </row>
    <row r="432" spans="1:26" ht="15.55">
      <c r="A432" s="302"/>
      <c r="B432" s="302"/>
      <c r="C432" s="302"/>
      <c r="D432" s="302"/>
      <c r="E432" s="302"/>
      <c r="F432" s="302"/>
      <c r="G432" s="302"/>
      <c r="H432" s="302"/>
      <c r="I432" s="302"/>
      <c r="J432" s="302"/>
      <c r="K432" s="302"/>
      <c r="L432" s="302"/>
      <c r="M432" s="302"/>
      <c r="N432" s="302"/>
      <c r="O432" s="302"/>
      <c r="P432" s="302"/>
      <c r="Q432" s="302"/>
      <c r="R432" s="302"/>
      <c r="S432" s="302"/>
      <c r="T432" s="302"/>
      <c r="U432" s="302"/>
      <c r="V432" s="302"/>
      <c r="W432" s="302"/>
      <c r="X432" s="302"/>
      <c r="Y432" s="302"/>
      <c r="Z432" s="302"/>
    </row>
    <row r="433" spans="1:26" ht="15.55">
      <c r="A433" s="302"/>
      <c r="B433" s="302"/>
      <c r="C433" s="302"/>
      <c r="D433" s="302"/>
      <c r="E433" s="302"/>
      <c r="F433" s="302"/>
      <c r="G433" s="302"/>
      <c r="H433" s="302"/>
      <c r="I433" s="302"/>
      <c r="J433" s="302"/>
      <c r="K433" s="302"/>
      <c r="L433" s="302"/>
      <c r="M433" s="302"/>
      <c r="N433" s="302"/>
      <c r="O433" s="302"/>
      <c r="P433" s="302"/>
      <c r="Q433" s="302"/>
      <c r="R433" s="302"/>
      <c r="S433" s="302"/>
      <c r="T433" s="302"/>
      <c r="U433" s="302"/>
      <c r="V433" s="302"/>
      <c r="W433" s="302"/>
      <c r="X433" s="302"/>
      <c r="Y433" s="302"/>
      <c r="Z433" s="302"/>
    </row>
    <row r="434" spans="1:26" ht="15.55">
      <c r="A434" s="302"/>
      <c r="B434" s="302"/>
      <c r="C434" s="302"/>
      <c r="D434" s="302"/>
      <c r="E434" s="302"/>
      <c r="F434" s="302"/>
      <c r="G434" s="302"/>
      <c r="H434" s="302"/>
      <c r="I434" s="302"/>
      <c r="J434" s="302"/>
      <c r="K434" s="302"/>
      <c r="L434" s="302"/>
      <c r="M434" s="302"/>
      <c r="N434" s="302"/>
      <c r="O434" s="302"/>
      <c r="P434" s="302"/>
      <c r="Q434" s="302"/>
      <c r="R434" s="302"/>
      <c r="S434" s="302"/>
      <c r="T434" s="302"/>
      <c r="U434" s="302"/>
      <c r="V434" s="302"/>
      <c r="W434" s="302"/>
      <c r="X434" s="302"/>
      <c r="Y434" s="302"/>
      <c r="Z434" s="302"/>
    </row>
    <row r="435" spans="1:26" ht="15.55">
      <c r="A435" s="302"/>
      <c r="B435" s="302"/>
      <c r="C435" s="302"/>
      <c r="D435" s="302"/>
      <c r="E435" s="302"/>
      <c r="F435" s="302"/>
      <c r="G435" s="302"/>
      <c r="H435" s="302"/>
      <c r="I435" s="302"/>
      <c r="J435" s="302"/>
      <c r="K435" s="302"/>
      <c r="L435" s="302"/>
      <c r="M435" s="302"/>
      <c r="N435" s="302"/>
      <c r="O435" s="302"/>
      <c r="P435" s="302"/>
      <c r="Q435" s="302"/>
      <c r="R435" s="302"/>
      <c r="S435" s="302"/>
      <c r="T435" s="302"/>
      <c r="U435" s="302"/>
      <c r="V435" s="302"/>
      <c r="W435" s="302"/>
      <c r="X435" s="302"/>
      <c r="Y435" s="302"/>
      <c r="Z435" s="302"/>
    </row>
    <row r="436" spans="1:26" ht="15.55">
      <c r="A436" s="302"/>
      <c r="B436" s="302"/>
      <c r="C436" s="302"/>
      <c r="D436" s="302"/>
      <c r="E436" s="302"/>
      <c r="F436" s="302"/>
      <c r="G436" s="302"/>
      <c r="H436" s="302"/>
      <c r="I436" s="302"/>
      <c r="J436" s="302"/>
      <c r="K436" s="302"/>
      <c r="L436" s="302"/>
      <c r="M436" s="302"/>
      <c r="N436" s="302"/>
      <c r="O436" s="302"/>
      <c r="P436" s="302"/>
      <c r="Q436" s="302"/>
      <c r="R436" s="302"/>
      <c r="S436" s="302"/>
      <c r="T436" s="302"/>
      <c r="U436" s="302"/>
      <c r="V436" s="302"/>
      <c r="W436" s="302"/>
      <c r="X436" s="302"/>
      <c r="Y436" s="302"/>
      <c r="Z436" s="302"/>
    </row>
    <row r="437" spans="1:26" ht="15.55">
      <c r="A437" s="302"/>
      <c r="B437" s="302"/>
      <c r="C437" s="302"/>
      <c r="D437" s="302"/>
      <c r="E437" s="302"/>
      <c r="F437" s="302"/>
      <c r="G437" s="302"/>
      <c r="H437" s="302"/>
      <c r="I437" s="302"/>
      <c r="J437" s="302"/>
      <c r="K437" s="302"/>
      <c r="L437" s="302"/>
      <c r="M437" s="302"/>
      <c r="N437" s="302"/>
      <c r="O437" s="302"/>
      <c r="P437" s="302"/>
      <c r="Q437" s="302"/>
      <c r="R437" s="302"/>
      <c r="S437" s="302"/>
      <c r="T437" s="302"/>
      <c r="U437" s="302"/>
      <c r="V437" s="302"/>
      <c r="W437" s="302"/>
      <c r="X437" s="302"/>
      <c r="Y437" s="302"/>
      <c r="Z437" s="302"/>
    </row>
    <row r="438" spans="1:26" ht="15.55">
      <c r="A438" s="302"/>
      <c r="B438" s="302"/>
      <c r="C438" s="302"/>
      <c r="D438" s="302"/>
      <c r="E438" s="302"/>
      <c r="F438" s="302"/>
      <c r="G438" s="302"/>
      <c r="H438" s="302"/>
      <c r="I438" s="302"/>
      <c r="J438" s="302"/>
      <c r="K438" s="302"/>
      <c r="L438" s="302"/>
      <c r="M438" s="302"/>
      <c r="N438" s="302"/>
      <c r="O438" s="302"/>
      <c r="P438" s="302"/>
      <c r="Q438" s="302"/>
      <c r="R438" s="302"/>
      <c r="S438" s="302"/>
      <c r="T438" s="302"/>
      <c r="U438" s="302"/>
      <c r="V438" s="302"/>
      <c r="W438" s="302"/>
      <c r="X438" s="302"/>
      <c r="Y438" s="302"/>
      <c r="Z438" s="302"/>
    </row>
    <row r="439" spans="1:26" ht="15.55">
      <c r="A439" s="302"/>
      <c r="B439" s="302"/>
      <c r="C439" s="302"/>
      <c r="D439" s="302"/>
      <c r="E439" s="302"/>
      <c r="F439" s="302"/>
      <c r="G439" s="302"/>
      <c r="H439" s="302"/>
      <c r="I439" s="302"/>
      <c r="J439" s="302"/>
      <c r="K439" s="302"/>
      <c r="L439" s="302"/>
      <c r="M439" s="302"/>
      <c r="N439" s="302"/>
      <c r="O439" s="302"/>
      <c r="P439" s="302"/>
      <c r="Q439" s="302"/>
      <c r="R439" s="302"/>
      <c r="S439" s="302"/>
      <c r="T439" s="302"/>
      <c r="U439" s="302"/>
      <c r="V439" s="302"/>
      <c r="W439" s="302"/>
      <c r="X439" s="302"/>
      <c r="Y439" s="302"/>
      <c r="Z439" s="302"/>
    </row>
    <row r="440" spans="1:26" ht="15.55">
      <c r="A440" s="302"/>
      <c r="B440" s="302"/>
      <c r="C440" s="302"/>
      <c r="D440" s="302"/>
      <c r="E440" s="302"/>
      <c r="F440" s="302"/>
      <c r="G440" s="302"/>
      <c r="H440" s="302"/>
      <c r="I440" s="302"/>
      <c r="J440" s="302"/>
      <c r="K440" s="302"/>
      <c r="L440" s="302"/>
      <c r="M440" s="302"/>
      <c r="N440" s="302"/>
      <c r="O440" s="302"/>
      <c r="P440" s="302"/>
      <c r="Q440" s="302"/>
      <c r="R440" s="302"/>
      <c r="S440" s="302"/>
      <c r="T440" s="302"/>
      <c r="U440" s="302"/>
      <c r="V440" s="302"/>
      <c r="W440" s="302"/>
      <c r="X440" s="302"/>
      <c r="Y440" s="302"/>
      <c r="Z440" s="302"/>
    </row>
    <row r="441" spans="1:26" ht="15.55">
      <c r="A441" s="302"/>
      <c r="B441" s="302"/>
      <c r="C441" s="302"/>
      <c r="D441" s="302"/>
      <c r="E441" s="302"/>
      <c r="F441" s="302"/>
      <c r="G441" s="302"/>
      <c r="H441" s="302"/>
      <c r="I441" s="302"/>
      <c r="J441" s="302"/>
      <c r="K441" s="302"/>
      <c r="L441" s="302"/>
      <c r="M441" s="302"/>
      <c r="N441" s="302"/>
      <c r="O441" s="302"/>
      <c r="P441" s="302"/>
      <c r="Q441" s="302"/>
      <c r="R441" s="302"/>
      <c r="S441" s="302"/>
      <c r="T441" s="302"/>
      <c r="U441" s="302"/>
      <c r="V441" s="302"/>
      <c r="W441" s="302"/>
      <c r="X441" s="302"/>
      <c r="Y441" s="302"/>
      <c r="Z441" s="302"/>
    </row>
    <row r="442" spans="1:26" ht="15.55">
      <c r="A442" s="302"/>
      <c r="B442" s="302"/>
      <c r="C442" s="302"/>
      <c r="D442" s="302"/>
      <c r="E442" s="302"/>
      <c r="F442" s="302"/>
      <c r="G442" s="302"/>
      <c r="H442" s="302"/>
      <c r="I442" s="302"/>
      <c r="J442" s="302"/>
      <c r="K442" s="302"/>
      <c r="L442" s="302"/>
      <c r="M442" s="302"/>
      <c r="N442" s="302"/>
      <c r="O442" s="302"/>
      <c r="P442" s="302"/>
      <c r="Q442" s="302"/>
      <c r="R442" s="302"/>
      <c r="S442" s="302"/>
      <c r="T442" s="302"/>
      <c r="U442" s="302"/>
      <c r="V442" s="302"/>
      <c r="W442" s="302"/>
      <c r="X442" s="302"/>
      <c r="Y442" s="302"/>
      <c r="Z442" s="302"/>
    </row>
    <row r="443" spans="1:26" ht="15.55">
      <c r="A443" s="302"/>
      <c r="B443" s="302"/>
      <c r="C443" s="302"/>
      <c r="D443" s="302"/>
      <c r="E443" s="302"/>
      <c r="F443" s="302"/>
      <c r="G443" s="302"/>
      <c r="H443" s="302"/>
      <c r="I443" s="302"/>
      <c r="J443" s="302"/>
      <c r="K443" s="302"/>
      <c r="L443" s="302"/>
      <c r="M443" s="302"/>
      <c r="N443" s="302"/>
      <c r="O443" s="302"/>
      <c r="P443" s="302"/>
      <c r="Q443" s="302"/>
      <c r="R443" s="302"/>
      <c r="S443" s="302"/>
      <c r="T443" s="302"/>
      <c r="U443" s="302"/>
      <c r="V443" s="302"/>
      <c r="W443" s="302"/>
      <c r="X443" s="302"/>
      <c r="Y443" s="302"/>
      <c r="Z443" s="302"/>
    </row>
    <row r="444" spans="1:26" ht="15.55">
      <c r="A444" s="302"/>
      <c r="B444" s="302"/>
      <c r="C444" s="302"/>
      <c r="D444" s="302"/>
      <c r="E444" s="302"/>
      <c r="F444" s="302"/>
      <c r="G444" s="302"/>
      <c r="H444" s="302"/>
      <c r="I444" s="302"/>
      <c r="J444" s="302"/>
      <c r="K444" s="302"/>
      <c r="L444" s="302"/>
      <c r="M444" s="302"/>
      <c r="N444" s="302"/>
      <c r="O444" s="302"/>
      <c r="P444" s="302"/>
      <c r="Q444" s="302"/>
      <c r="R444" s="302"/>
      <c r="S444" s="302"/>
      <c r="T444" s="302"/>
      <c r="U444" s="302"/>
      <c r="V444" s="302"/>
      <c r="W444" s="302"/>
      <c r="X444" s="302"/>
      <c r="Y444" s="302"/>
      <c r="Z444" s="302"/>
    </row>
    <row r="445" spans="1:26" ht="15.55">
      <c r="A445" s="302"/>
      <c r="B445" s="302"/>
      <c r="C445" s="302"/>
      <c r="D445" s="302"/>
      <c r="E445" s="302"/>
      <c r="F445" s="302"/>
      <c r="G445" s="302"/>
      <c r="H445" s="302"/>
      <c r="I445" s="302"/>
      <c r="J445" s="302"/>
      <c r="K445" s="302"/>
      <c r="L445" s="302"/>
      <c r="M445" s="302"/>
      <c r="N445" s="302"/>
      <c r="O445" s="302"/>
      <c r="P445" s="302"/>
      <c r="Q445" s="302"/>
      <c r="R445" s="302"/>
      <c r="S445" s="302"/>
      <c r="T445" s="302"/>
      <c r="U445" s="302"/>
      <c r="V445" s="302"/>
      <c r="W445" s="302"/>
      <c r="X445" s="302"/>
      <c r="Y445" s="302"/>
      <c r="Z445" s="302"/>
    </row>
    <row r="446" spans="1:26" ht="15.55">
      <c r="A446" s="302"/>
      <c r="B446" s="302"/>
      <c r="C446" s="302"/>
      <c r="D446" s="302"/>
      <c r="E446" s="302"/>
      <c r="F446" s="302"/>
      <c r="G446" s="302"/>
      <c r="H446" s="302"/>
      <c r="I446" s="302"/>
      <c r="J446" s="302"/>
      <c r="K446" s="302"/>
      <c r="L446" s="302"/>
      <c r="M446" s="302"/>
      <c r="N446" s="302"/>
      <c r="O446" s="302"/>
      <c r="P446" s="302"/>
      <c r="Q446" s="302"/>
      <c r="R446" s="302"/>
      <c r="S446" s="302"/>
      <c r="T446" s="302"/>
      <c r="U446" s="302"/>
      <c r="V446" s="302"/>
      <c r="W446" s="302"/>
      <c r="X446" s="302"/>
      <c r="Y446" s="302"/>
      <c r="Z446" s="302"/>
    </row>
    <row r="447" spans="1:26" ht="15.55">
      <c r="A447" s="302"/>
      <c r="B447" s="302"/>
      <c r="C447" s="302"/>
      <c r="D447" s="302"/>
      <c r="E447" s="302"/>
      <c r="F447" s="302"/>
      <c r="G447" s="302"/>
      <c r="H447" s="302"/>
      <c r="I447" s="302"/>
      <c r="J447" s="302"/>
      <c r="K447" s="302"/>
      <c r="L447" s="302"/>
      <c r="M447" s="302"/>
      <c r="N447" s="302"/>
      <c r="O447" s="302"/>
      <c r="P447" s="302"/>
      <c r="Q447" s="302"/>
      <c r="R447" s="302"/>
      <c r="S447" s="302"/>
      <c r="T447" s="302"/>
      <c r="U447" s="302"/>
      <c r="V447" s="302"/>
      <c r="W447" s="302"/>
      <c r="X447" s="302"/>
      <c r="Y447" s="302"/>
      <c r="Z447" s="302"/>
    </row>
    <row r="448" spans="1:26" ht="15.55">
      <c r="A448" s="302"/>
      <c r="B448" s="302"/>
      <c r="C448" s="302"/>
      <c r="D448" s="302"/>
      <c r="E448" s="302"/>
      <c r="F448" s="302"/>
      <c r="G448" s="302"/>
      <c r="H448" s="302"/>
      <c r="I448" s="302"/>
      <c r="J448" s="302"/>
      <c r="K448" s="302"/>
      <c r="L448" s="302"/>
      <c r="M448" s="302"/>
      <c r="N448" s="302"/>
      <c r="O448" s="302"/>
      <c r="P448" s="302"/>
      <c r="Q448" s="302"/>
      <c r="R448" s="302"/>
      <c r="S448" s="302"/>
      <c r="T448" s="302"/>
      <c r="U448" s="302"/>
      <c r="V448" s="302"/>
      <c r="W448" s="302"/>
      <c r="X448" s="302"/>
      <c r="Y448" s="302"/>
      <c r="Z448" s="302"/>
    </row>
    <row r="449" spans="1:26" ht="15.55">
      <c r="A449" s="302"/>
      <c r="B449" s="302"/>
      <c r="C449" s="302"/>
      <c r="D449" s="302"/>
      <c r="E449" s="302"/>
      <c r="F449" s="302"/>
      <c r="G449" s="302"/>
      <c r="H449" s="302"/>
      <c r="I449" s="302"/>
      <c r="J449" s="302"/>
      <c r="K449" s="302"/>
      <c r="L449" s="302"/>
      <c r="M449" s="302"/>
      <c r="N449" s="302"/>
      <c r="O449" s="302"/>
      <c r="P449" s="302"/>
      <c r="Q449" s="302"/>
      <c r="R449" s="302"/>
      <c r="S449" s="302"/>
      <c r="T449" s="302"/>
      <c r="U449" s="302"/>
      <c r="V449" s="302"/>
      <c r="W449" s="302"/>
      <c r="X449" s="302"/>
      <c r="Y449" s="302"/>
      <c r="Z449" s="302"/>
    </row>
    <row r="450" spans="1:26" ht="15.55">
      <c r="A450" s="302"/>
      <c r="B450" s="302"/>
      <c r="C450" s="302"/>
      <c r="D450" s="302"/>
      <c r="E450" s="302"/>
      <c r="F450" s="302"/>
      <c r="G450" s="302"/>
      <c r="H450" s="302"/>
      <c r="I450" s="302"/>
      <c r="J450" s="302"/>
      <c r="K450" s="302"/>
      <c r="L450" s="302"/>
      <c r="M450" s="302"/>
      <c r="N450" s="302"/>
      <c r="O450" s="302"/>
      <c r="P450" s="302"/>
      <c r="Q450" s="302"/>
      <c r="R450" s="302"/>
      <c r="S450" s="302"/>
      <c r="T450" s="302"/>
      <c r="U450" s="302"/>
      <c r="V450" s="302"/>
      <c r="W450" s="302"/>
      <c r="X450" s="302"/>
      <c r="Y450" s="302"/>
      <c r="Z450" s="302"/>
    </row>
    <row r="451" spans="1:26" ht="15.55">
      <c r="A451" s="302"/>
      <c r="B451" s="302"/>
      <c r="C451" s="302"/>
      <c r="D451" s="302"/>
      <c r="E451" s="302"/>
      <c r="F451" s="302"/>
      <c r="G451" s="302"/>
      <c r="H451" s="302"/>
      <c r="I451" s="302"/>
      <c r="J451" s="302"/>
      <c r="K451" s="302"/>
      <c r="L451" s="302"/>
      <c r="M451" s="302"/>
      <c r="N451" s="302"/>
      <c r="O451" s="302"/>
      <c r="P451" s="302"/>
      <c r="Q451" s="302"/>
      <c r="R451" s="302"/>
      <c r="S451" s="302"/>
      <c r="T451" s="302"/>
      <c r="U451" s="302"/>
      <c r="V451" s="302"/>
      <c r="W451" s="302"/>
      <c r="X451" s="302"/>
      <c r="Y451" s="302"/>
      <c r="Z451" s="302"/>
    </row>
    <row r="452" spans="1:26" ht="15.55">
      <c r="A452" s="302"/>
      <c r="B452" s="302"/>
      <c r="C452" s="302"/>
      <c r="D452" s="302"/>
      <c r="E452" s="302"/>
      <c r="F452" s="302"/>
      <c r="G452" s="302"/>
      <c r="H452" s="302"/>
      <c r="I452" s="302"/>
      <c r="J452" s="302"/>
      <c r="K452" s="302"/>
      <c r="L452" s="302"/>
      <c r="M452" s="302"/>
      <c r="N452" s="302"/>
      <c r="O452" s="302"/>
      <c r="P452" s="302"/>
      <c r="Q452" s="302"/>
      <c r="R452" s="302"/>
      <c r="S452" s="302"/>
      <c r="T452" s="302"/>
      <c r="U452" s="302"/>
      <c r="V452" s="302"/>
      <c r="W452" s="302"/>
      <c r="X452" s="302"/>
      <c r="Y452" s="302"/>
      <c r="Z452" s="302"/>
    </row>
    <row r="453" spans="1:26" ht="15.55">
      <c r="A453" s="302"/>
      <c r="B453" s="302"/>
      <c r="C453" s="302"/>
      <c r="D453" s="302"/>
      <c r="E453" s="302"/>
      <c r="F453" s="302"/>
      <c r="G453" s="302"/>
      <c r="H453" s="302"/>
      <c r="I453" s="302"/>
      <c r="J453" s="302"/>
      <c r="K453" s="302"/>
      <c r="L453" s="302"/>
      <c r="M453" s="302"/>
      <c r="N453" s="302"/>
      <c r="O453" s="302"/>
      <c r="P453" s="302"/>
      <c r="Q453" s="302"/>
      <c r="R453" s="302"/>
      <c r="S453" s="302"/>
      <c r="T453" s="302"/>
      <c r="U453" s="302"/>
      <c r="V453" s="302"/>
      <c r="W453" s="302"/>
      <c r="X453" s="302"/>
      <c r="Y453" s="302"/>
      <c r="Z453" s="302"/>
    </row>
    <row r="454" spans="1:26" ht="15.55">
      <c r="A454" s="302"/>
      <c r="B454" s="302"/>
      <c r="C454" s="302"/>
      <c r="D454" s="302"/>
      <c r="E454" s="302"/>
      <c r="F454" s="302"/>
      <c r="G454" s="302"/>
      <c r="H454" s="302"/>
      <c r="I454" s="302"/>
      <c r="J454" s="302"/>
      <c r="K454" s="302"/>
      <c r="L454" s="302"/>
      <c r="M454" s="302"/>
      <c r="N454" s="302"/>
      <c r="O454" s="302"/>
      <c r="P454" s="302"/>
      <c r="Q454" s="302"/>
      <c r="R454" s="302"/>
      <c r="S454" s="302"/>
      <c r="T454" s="302"/>
      <c r="U454" s="302"/>
      <c r="V454" s="302"/>
      <c r="W454" s="302"/>
      <c r="X454" s="302"/>
      <c r="Y454" s="302"/>
      <c r="Z454" s="302"/>
    </row>
    <row r="455" spans="1:26" ht="15.55">
      <c r="A455" s="302"/>
      <c r="B455" s="302"/>
      <c r="C455" s="302"/>
      <c r="D455" s="302"/>
      <c r="E455" s="302"/>
      <c r="F455" s="302"/>
      <c r="G455" s="302"/>
      <c r="H455" s="302"/>
      <c r="I455" s="302"/>
      <c r="J455" s="302"/>
      <c r="K455" s="302"/>
      <c r="L455" s="302"/>
      <c r="M455" s="302"/>
      <c r="N455" s="302"/>
      <c r="O455" s="302"/>
      <c r="P455" s="302"/>
      <c r="Q455" s="302"/>
      <c r="R455" s="302"/>
      <c r="S455" s="302"/>
      <c r="T455" s="302"/>
      <c r="U455" s="302"/>
      <c r="V455" s="302"/>
      <c r="W455" s="302"/>
      <c r="X455" s="302"/>
      <c r="Y455" s="302"/>
      <c r="Z455" s="302"/>
    </row>
    <row r="456" spans="1:26" ht="15.55">
      <c r="A456" s="302"/>
      <c r="B456" s="302"/>
      <c r="C456" s="302"/>
      <c r="D456" s="302"/>
      <c r="E456" s="302"/>
      <c r="F456" s="302"/>
      <c r="G456" s="302"/>
      <c r="H456" s="302"/>
      <c r="I456" s="302"/>
      <c r="J456" s="302"/>
      <c r="K456" s="302"/>
      <c r="L456" s="302"/>
      <c r="M456" s="302"/>
      <c r="N456" s="302"/>
      <c r="O456" s="302"/>
      <c r="P456" s="302"/>
      <c r="Q456" s="302"/>
      <c r="R456" s="302"/>
      <c r="S456" s="302"/>
      <c r="T456" s="302"/>
      <c r="U456" s="302"/>
      <c r="V456" s="302"/>
      <c r="W456" s="302"/>
      <c r="X456" s="302"/>
      <c r="Y456" s="302"/>
      <c r="Z456" s="302"/>
    </row>
    <row r="457" spans="1:26" ht="15.55">
      <c r="A457" s="302"/>
      <c r="B457" s="302"/>
      <c r="C457" s="302"/>
      <c r="D457" s="302"/>
      <c r="E457" s="302"/>
      <c r="F457" s="302"/>
      <c r="G457" s="302"/>
      <c r="H457" s="302"/>
      <c r="I457" s="302"/>
      <c r="J457" s="302"/>
      <c r="K457" s="302"/>
      <c r="L457" s="302"/>
      <c r="M457" s="302"/>
      <c r="N457" s="302"/>
      <c r="O457" s="302"/>
      <c r="P457" s="302"/>
      <c r="Q457" s="302"/>
      <c r="R457" s="302"/>
      <c r="S457" s="302"/>
      <c r="T457" s="302"/>
      <c r="U457" s="302"/>
      <c r="V457" s="302"/>
      <c r="W457" s="302"/>
      <c r="X457" s="302"/>
      <c r="Y457" s="302"/>
      <c r="Z457" s="302"/>
    </row>
    <row r="458" spans="1:26" ht="15.55">
      <c r="A458" s="302"/>
      <c r="B458" s="302"/>
      <c r="C458" s="302"/>
      <c r="D458" s="302"/>
      <c r="E458" s="302"/>
      <c r="F458" s="302"/>
      <c r="G458" s="302"/>
      <c r="H458" s="302"/>
      <c r="I458" s="302"/>
      <c r="J458" s="302"/>
      <c r="K458" s="302"/>
      <c r="L458" s="302"/>
      <c r="M458" s="302"/>
      <c r="N458" s="302"/>
      <c r="O458" s="302"/>
      <c r="P458" s="302"/>
      <c r="Q458" s="302"/>
      <c r="R458" s="302"/>
      <c r="S458" s="302"/>
      <c r="T458" s="302"/>
      <c r="U458" s="302"/>
      <c r="V458" s="302"/>
      <c r="W458" s="302"/>
      <c r="X458" s="302"/>
      <c r="Y458" s="302"/>
      <c r="Z458" s="302"/>
    </row>
    <row r="459" spans="1:26" ht="15.55">
      <c r="A459" s="302"/>
      <c r="B459" s="302"/>
      <c r="C459" s="302"/>
      <c r="D459" s="302"/>
      <c r="E459" s="302"/>
      <c r="F459" s="302"/>
      <c r="G459" s="302"/>
      <c r="H459" s="302"/>
      <c r="I459" s="302"/>
      <c r="J459" s="302"/>
      <c r="K459" s="302"/>
      <c r="L459" s="302"/>
      <c r="M459" s="302"/>
      <c r="N459" s="302"/>
      <c r="O459" s="302"/>
      <c r="P459" s="302"/>
      <c r="Q459" s="302"/>
      <c r="R459" s="302"/>
      <c r="S459" s="302"/>
      <c r="T459" s="302"/>
      <c r="U459" s="302"/>
      <c r="V459" s="302"/>
      <c r="W459" s="302"/>
      <c r="X459" s="302"/>
      <c r="Y459" s="302"/>
      <c r="Z459" s="302"/>
    </row>
    <row r="460" spans="1:26" ht="15.55">
      <c r="A460" s="302"/>
      <c r="B460" s="302"/>
      <c r="C460" s="302"/>
      <c r="D460" s="302"/>
      <c r="E460" s="302"/>
      <c r="F460" s="302"/>
      <c r="G460" s="302"/>
      <c r="H460" s="302"/>
      <c r="I460" s="302"/>
      <c r="J460" s="302"/>
      <c r="K460" s="302"/>
      <c r="L460" s="302"/>
      <c r="M460" s="302"/>
      <c r="N460" s="302"/>
      <c r="O460" s="302"/>
      <c r="P460" s="302"/>
      <c r="Q460" s="302"/>
      <c r="R460" s="302"/>
      <c r="S460" s="302"/>
      <c r="T460" s="302"/>
      <c r="U460" s="302"/>
      <c r="V460" s="302"/>
      <c r="W460" s="302"/>
      <c r="X460" s="302"/>
      <c r="Y460" s="302"/>
      <c r="Z460" s="302"/>
    </row>
    <row r="461" spans="1:26" ht="15.55">
      <c r="A461" s="302"/>
      <c r="B461" s="302"/>
      <c r="C461" s="302"/>
      <c r="D461" s="302"/>
      <c r="E461" s="302"/>
      <c r="F461" s="302"/>
      <c r="G461" s="302"/>
      <c r="H461" s="302"/>
      <c r="I461" s="302"/>
      <c r="J461" s="302"/>
      <c r="K461" s="302"/>
      <c r="L461" s="302"/>
      <c r="M461" s="302"/>
      <c r="N461" s="302"/>
      <c r="O461" s="302"/>
      <c r="P461" s="302"/>
      <c r="Q461" s="302"/>
      <c r="R461" s="302"/>
      <c r="S461" s="302"/>
      <c r="T461" s="302"/>
      <c r="U461" s="302"/>
      <c r="V461" s="302"/>
      <c r="W461" s="302"/>
      <c r="X461" s="302"/>
      <c r="Y461" s="302"/>
      <c r="Z461" s="302"/>
    </row>
    <row r="462" spans="1:26" ht="15.55">
      <c r="A462" s="302"/>
      <c r="B462" s="302"/>
      <c r="C462" s="302"/>
      <c r="D462" s="302"/>
      <c r="E462" s="302"/>
      <c r="F462" s="302"/>
      <c r="G462" s="302"/>
      <c r="H462" s="302"/>
      <c r="I462" s="302"/>
      <c r="J462" s="302"/>
      <c r="K462" s="302"/>
      <c r="L462" s="302"/>
      <c r="M462" s="302"/>
      <c r="N462" s="302"/>
      <c r="O462" s="302"/>
      <c r="P462" s="302"/>
      <c r="Q462" s="302"/>
      <c r="R462" s="302"/>
      <c r="S462" s="302"/>
      <c r="T462" s="302"/>
      <c r="U462" s="302"/>
      <c r="V462" s="302"/>
      <c r="W462" s="302"/>
      <c r="X462" s="302"/>
      <c r="Y462" s="302"/>
      <c r="Z462" s="302"/>
    </row>
    <row r="463" spans="1:26" ht="15.55">
      <c r="A463" s="302"/>
      <c r="B463" s="302"/>
      <c r="C463" s="302"/>
      <c r="D463" s="302"/>
      <c r="E463" s="302"/>
      <c r="F463" s="302"/>
      <c r="G463" s="302"/>
      <c r="H463" s="302"/>
      <c r="I463" s="302"/>
      <c r="J463" s="302"/>
      <c r="K463" s="302"/>
      <c r="L463" s="302"/>
      <c r="M463" s="302"/>
      <c r="N463" s="302"/>
      <c r="O463" s="302"/>
      <c r="P463" s="302"/>
      <c r="Q463" s="302"/>
      <c r="R463" s="302"/>
      <c r="S463" s="302"/>
      <c r="T463" s="302"/>
      <c r="U463" s="302"/>
      <c r="V463" s="302"/>
      <c r="W463" s="302"/>
      <c r="X463" s="302"/>
      <c r="Y463" s="302"/>
      <c r="Z463" s="302"/>
    </row>
    <row r="464" spans="1:26" ht="15.55">
      <c r="A464" s="302"/>
      <c r="B464" s="302"/>
      <c r="C464" s="302"/>
      <c r="D464" s="302"/>
      <c r="E464" s="302"/>
      <c r="F464" s="302"/>
      <c r="G464" s="302"/>
      <c r="H464" s="302"/>
      <c r="I464" s="302"/>
      <c r="J464" s="302"/>
      <c r="K464" s="302"/>
      <c r="L464" s="302"/>
      <c r="M464" s="302"/>
      <c r="N464" s="302"/>
      <c r="O464" s="302"/>
      <c r="P464" s="302"/>
      <c r="Q464" s="302"/>
      <c r="R464" s="302"/>
      <c r="S464" s="302"/>
      <c r="T464" s="302"/>
      <c r="U464" s="302"/>
      <c r="V464" s="302"/>
      <c r="W464" s="302"/>
      <c r="X464" s="302"/>
      <c r="Y464" s="302"/>
      <c r="Z464" s="302"/>
    </row>
    <row r="465" spans="1:26" ht="15.55">
      <c r="A465" s="302"/>
      <c r="B465" s="302"/>
      <c r="C465" s="302"/>
      <c r="D465" s="302"/>
      <c r="E465" s="302"/>
      <c r="F465" s="302"/>
      <c r="G465" s="302"/>
      <c r="H465" s="302"/>
      <c r="I465" s="302"/>
      <c r="J465" s="302"/>
      <c r="K465" s="302"/>
      <c r="L465" s="302"/>
      <c r="M465" s="302"/>
      <c r="N465" s="302"/>
      <c r="O465" s="302"/>
      <c r="P465" s="302"/>
      <c r="Q465" s="302"/>
      <c r="R465" s="302"/>
      <c r="S465" s="302"/>
      <c r="T465" s="302"/>
      <c r="U465" s="302"/>
      <c r="V465" s="302"/>
      <c r="W465" s="302"/>
      <c r="X465" s="302"/>
      <c r="Y465" s="302"/>
      <c r="Z465" s="302"/>
    </row>
    <row r="466" spans="1:26" ht="15.55">
      <c r="A466" s="302"/>
      <c r="B466" s="302"/>
      <c r="C466" s="302"/>
      <c r="D466" s="302"/>
      <c r="E466" s="302"/>
      <c r="F466" s="302"/>
      <c r="G466" s="302"/>
      <c r="H466" s="302"/>
      <c r="I466" s="302"/>
      <c r="J466" s="302"/>
      <c r="K466" s="302"/>
      <c r="L466" s="302"/>
      <c r="M466" s="302"/>
      <c r="N466" s="302"/>
      <c r="O466" s="302"/>
      <c r="P466" s="302"/>
      <c r="Q466" s="302"/>
      <c r="R466" s="302"/>
      <c r="S466" s="302"/>
      <c r="T466" s="302"/>
      <c r="U466" s="302"/>
      <c r="V466" s="302"/>
      <c r="W466" s="302"/>
      <c r="X466" s="302"/>
      <c r="Y466" s="302"/>
      <c r="Z466" s="302"/>
    </row>
    <row r="467" spans="1:26" ht="15.55">
      <c r="A467" s="302"/>
      <c r="B467" s="302"/>
      <c r="C467" s="302"/>
      <c r="D467" s="302"/>
      <c r="E467" s="302"/>
      <c r="F467" s="302"/>
      <c r="G467" s="302"/>
      <c r="H467" s="302"/>
      <c r="I467" s="302"/>
      <c r="J467" s="302"/>
      <c r="K467" s="302"/>
      <c r="L467" s="302"/>
      <c r="M467" s="302"/>
      <c r="N467" s="302"/>
      <c r="O467" s="302"/>
      <c r="P467" s="302"/>
      <c r="Q467" s="302"/>
      <c r="R467" s="302"/>
      <c r="S467" s="302"/>
      <c r="T467" s="302"/>
      <c r="U467" s="302"/>
      <c r="V467" s="302"/>
      <c r="W467" s="302"/>
      <c r="X467" s="302"/>
      <c r="Y467" s="302"/>
      <c r="Z467" s="302"/>
    </row>
    <row r="468" spans="1:26" ht="15.55">
      <c r="A468" s="302"/>
      <c r="B468" s="302"/>
      <c r="C468" s="302"/>
      <c r="D468" s="302"/>
      <c r="E468" s="302"/>
      <c r="F468" s="302"/>
      <c r="G468" s="302"/>
      <c r="H468" s="302"/>
      <c r="I468" s="302"/>
      <c r="J468" s="302"/>
      <c r="K468" s="302"/>
      <c r="L468" s="302"/>
      <c r="M468" s="302"/>
      <c r="N468" s="302"/>
      <c r="O468" s="302"/>
      <c r="P468" s="302"/>
      <c r="Q468" s="302"/>
      <c r="R468" s="302"/>
      <c r="S468" s="302"/>
      <c r="T468" s="302"/>
      <c r="U468" s="302"/>
      <c r="V468" s="302"/>
      <c r="W468" s="302"/>
      <c r="X468" s="302"/>
      <c r="Y468" s="302"/>
      <c r="Z468" s="302"/>
    </row>
    <row r="469" spans="1:26" ht="15.55">
      <c r="A469" s="302"/>
      <c r="B469" s="302"/>
      <c r="C469" s="302"/>
      <c r="D469" s="302"/>
      <c r="E469" s="302"/>
      <c r="F469" s="302"/>
      <c r="G469" s="302"/>
      <c r="H469" s="302"/>
      <c r="I469" s="302"/>
      <c r="J469" s="302"/>
      <c r="K469" s="302"/>
      <c r="L469" s="302"/>
      <c r="M469" s="302"/>
      <c r="N469" s="302"/>
      <c r="O469" s="302"/>
      <c r="P469" s="302"/>
      <c r="Q469" s="302"/>
      <c r="R469" s="302"/>
      <c r="S469" s="302"/>
      <c r="T469" s="302"/>
      <c r="U469" s="302"/>
      <c r="V469" s="302"/>
      <c r="W469" s="302"/>
      <c r="X469" s="302"/>
      <c r="Y469" s="302"/>
      <c r="Z469" s="302"/>
    </row>
    <row r="470" spans="1:26" ht="15.55">
      <c r="A470" s="302"/>
      <c r="B470" s="302"/>
      <c r="C470" s="302"/>
      <c r="D470" s="302"/>
      <c r="E470" s="302"/>
      <c r="F470" s="302"/>
      <c r="G470" s="302"/>
      <c r="H470" s="302"/>
      <c r="I470" s="302"/>
      <c r="J470" s="302"/>
      <c r="K470" s="302"/>
      <c r="L470" s="302"/>
      <c r="M470" s="302"/>
      <c r="N470" s="302"/>
      <c r="O470" s="302"/>
      <c r="P470" s="302"/>
      <c r="Q470" s="302"/>
      <c r="R470" s="302"/>
      <c r="S470" s="302"/>
      <c r="T470" s="302"/>
      <c r="U470" s="302"/>
      <c r="V470" s="302"/>
      <c r="W470" s="302"/>
      <c r="X470" s="302"/>
      <c r="Y470" s="302"/>
      <c r="Z470" s="302"/>
    </row>
    <row r="471" spans="1:26" ht="15.55">
      <c r="A471" s="302"/>
      <c r="B471" s="302"/>
      <c r="C471" s="302"/>
      <c r="D471" s="302"/>
      <c r="E471" s="302"/>
      <c r="F471" s="302"/>
      <c r="G471" s="302"/>
      <c r="H471" s="302"/>
      <c r="I471" s="302"/>
      <c r="J471" s="302"/>
      <c r="K471" s="302"/>
      <c r="L471" s="302"/>
      <c r="M471" s="302"/>
      <c r="N471" s="302"/>
      <c r="O471" s="302"/>
      <c r="P471" s="302"/>
      <c r="Q471" s="302"/>
      <c r="R471" s="302"/>
      <c r="S471" s="302"/>
      <c r="T471" s="302"/>
      <c r="U471" s="302"/>
      <c r="V471" s="302"/>
      <c r="W471" s="302"/>
      <c r="X471" s="302"/>
      <c r="Y471" s="302"/>
      <c r="Z471" s="302"/>
    </row>
    <row r="472" spans="1:26" ht="15.55">
      <c r="A472" s="302"/>
      <c r="B472" s="302"/>
      <c r="C472" s="302"/>
      <c r="D472" s="302"/>
      <c r="E472" s="302"/>
      <c r="F472" s="302"/>
      <c r="G472" s="302"/>
      <c r="H472" s="302"/>
      <c r="I472" s="302"/>
      <c r="J472" s="302"/>
      <c r="K472" s="302"/>
      <c r="L472" s="302"/>
      <c r="M472" s="302"/>
      <c r="N472" s="302"/>
      <c r="O472" s="302"/>
      <c r="P472" s="302"/>
      <c r="Q472" s="302"/>
      <c r="R472" s="302"/>
      <c r="S472" s="302"/>
      <c r="T472" s="302"/>
      <c r="U472" s="302"/>
      <c r="V472" s="302"/>
      <c r="W472" s="302"/>
      <c r="X472" s="302"/>
      <c r="Y472" s="302"/>
      <c r="Z472" s="302"/>
    </row>
    <row r="473" spans="1:26" ht="15.55">
      <c r="A473" s="302"/>
      <c r="B473" s="302"/>
      <c r="C473" s="302"/>
      <c r="D473" s="302"/>
      <c r="E473" s="302"/>
      <c r="F473" s="302"/>
      <c r="G473" s="302"/>
      <c r="H473" s="302"/>
      <c r="I473" s="302"/>
      <c r="J473" s="302"/>
      <c r="K473" s="302"/>
      <c r="L473" s="302"/>
      <c r="M473" s="302"/>
      <c r="N473" s="302"/>
      <c r="O473" s="302"/>
      <c r="P473" s="302"/>
      <c r="Q473" s="302"/>
      <c r="R473" s="302"/>
      <c r="S473" s="302"/>
      <c r="T473" s="302"/>
      <c r="U473" s="302"/>
      <c r="V473" s="302"/>
      <c r="W473" s="302"/>
      <c r="X473" s="302"/>
      <c r="Y473" s="302"/>
      <c r="Z473" s="302"/>
    </row>
    <row r="474" spans="1:26" ht="15.55">
      <c r="A474" s="302"/>
      <c r="B474" s="302"/>
      <c r="C474" s="302"/>
      <c r="D474" s="302"/>
      <c r="E474" s="302"/>
      <c r="F474" s="302"/>
      <c r="G474" s="302"/>
      <c r="H474" s="302"/>
      <c r="I474" s="302"/>
      <c r="J474" s="302"/>
      <c r="K474" s="302"/>
      <c r="L474" s="302"/>
      <c r="M474" s="302"/>
      <c r="N474" s="302"/>
      <c r="O474" s="302"/>
      <c r="P474" s="302"/>
      <c r="Q474" s="302"/>
      <c r="R474" s="302"/>
      <c r="S474" s="302"/>
      <c r="T474" s="302"/>
      <c r="U474" s="302"/>
      <c r="V474" s="302"/>
      <c r="W474" s="302"/>
      <c r="X474" s="302"/>
      <c r="Y474" s="302"/>
      <c r="Z474" s="302"/>
    </row>
    <row r="475" spans="1:26" ht="15.55">
      <c r="A475" s="302"/>
      <c r="B475" s="302"/>
      <c r="C475" s="302"/>
      <c r="D475" s="302"/>
      <c r="E475" s="302"/>
      <c r="F475" s="302"/>
      <c r="G475" s="302"/>
      <c r="H475" s="302"/>
      <c r="I475" s="302"/>
      <c r="J475" s="302"/>
      <c r="K475" s="302"/>
      <c r="L475" s="302"/>
      <c r="M475" s="302"/>
      <c r="N475" s="302"/>
      <c r="O475" s="302"/>
      <c r="P475" s="302"/>
      <c r="Q475" s="302"/>
      <c r="R475" s="302"/>
      <c r="S475" s="302"/>
      <c r="T475" s="302"/>
      <c r="U475" s="302"/>
      <c r="V475" s="302"/>
      <c r="W475" s="302"/>
      <c r="X475" s="302"/>
      <c r="Y475" s="302"/>
      <c r="Z475" s="302"/>
    </row>
    <row r="476" spans="1:26" ht="15.55">
      <c r="A476" s="302"/>
      <c r="B476" s="302"/>
      <c r="C476" s="302"/>
      <c r="D476" s="302"/>
      <c r="E476" s="302"/>
      <c r="F476" s="302"/>
      <c r="G476" s="302"/>
      <c r="H476" s="302"/>
      <c r="I476" s="302"/>
      <c r="J476" s="302"/>
      <c r="K476" s="302"/>
      <c r="L476" s="302"/>
      <c r="M476" s="302"/>
      <c r="N476" s="302"/>
      <c r="O476" s="302"/>
      <c r="P476" s="302"/>
      <c r="Q476" s="302"/>
      <c r="R476" s="302"/>
      <c r="S476" s="302"/>
      <c r="T476" s="302"/>
      <c r="U476" s="302"/>
      <c r="V476" s="302"/>
      <c r="W476" s="302"/>
      <c r="X476" s="302"/>
      <c r="Y476" s="302"/>
      <c r="Z476" s="302"/>
    </row>
    <row r="477" spans="1:26" ht="15.55">
      <c r="A477" s="302"/>
      <c r="B477" s="302"/>
      <c r="C477" s="302"/>
      <c r="D477" s="302"/>
      <c r="E477" s="302"/>
      <c r="F477" s="302"/>
      <c r="G477" s="302"/>
      <c r="H477" s="302"/>
      <c r="I477" s="302"/>
      <c r="J477" s="302"/>
      <c r="K477" s="302"/>
      <c r="L477" s="302"/>
      <c r="M477" s="302"/>
      <c r="N477" s="302"/>
      <c r="O477" s="302"/>
      <c r="P477" s="302"/>
      <c r="Q477" s="302"/>
      <c r="R477" s="302"/>
      <c r="S477" s="302"/>
      <c r="T477" s="302"/>
      <c r="U477" s="302"/>
      <c r="V477" s="302"/>
      <c r="W477" s="302"/>
      <c r="X477" s="302"/>
      <c r="Y477" s="302"/>
      <c r="Z477" s="302"/>
    </row>
    <row r="478" spans="1:26" ht="15.55">
      <c r="A478" s="302"/>
      <c r="B478" s="302"/>
      <c r="C478" s="302"/>
      <c r="D478" s="302"/>
      <c r="E478" s="302"/>
      <c r="F478" s="302"/>
      <c r="G478" s="302"/>
      <c r="H478" s="302"/>
      <c r="I478" s="302"/>
      <c r="J478" s="302"/>
      <c r="K478" s="302"/>
      <c r="L478" s="302"/>
      <c r="M478" s="302"/>
      <c r="N478" s="302"/>
      <c r="O478" s="302"/>
      <c r="P478" s="302"/>
      <c r="Q478" s="302"/>
      <c r="R478" s="302"/>
      <c r="S478" s="302"/>
      <c r="T478" s="302"/>
      <c r="U478" s="302"/>
      <c r="V478" s="302"/>
      <c r="W478" s="302"/>
      <c r="X478" s="302"/>
      <c r="Y478" s="302"/>
      <c r="Z478" s="302"/>
    </row>
    <row r="479" spans="1:26" ht="15.55">
      <c r="A479" s="302"/>
      <c r="B479" s="302"/>
      <c r="C479" s="302"/>
      <c r="D479" s="302"/>
      <c r="E479" s="302"/>
      <c r="F479" s="302"/>
      <c r="G479" s="302"/>
      <c r="H479" s="302"/>
      <c r="I479" s="302"/>
      <c r="J479" s="302"/>
      <c r="K479" s="302"/>
      <c r="L479" s="302"/>
      <c r="M479" s="302"/>
      <c r="N479" s="302"/>
      <c r="O479" s="302"/>
      <c r="P479" s="302"/>
      <c r="Q479" s="302"/>
      <c r="R479" s="302"/>
      <c r="S479" s="302"/>
      <c r="T479" s="302"/>
      <c r="U479" s="302"/>
      <c r="V479" s="302"/>
      <c r="W479" s="302"/>
      <c r="X479" s="302"/>
      <c r="Y479" s="302"/>
      <c r="Z479" s="302"/>
    </row>
    <row r="480" spans="1:26" ht="15.55">
      <c r="A480" s="302"/>
      <c r="B480" s="302"/>
      <c r="C480" s="302"/>
      <c r="D480" s="302"/>
      <c r="E480" s="302"/>
      <c r="F480" s="302"/>
      <c r="G480" s="302"/>
      <c r="H480" s="302"/>
      <c r="I480" s="302"/>
      <c r="J480" s="302"/>
      <c r="K480" s="302"/>
      <c r="L480" s="302"/>
      <c r="M480" s="302"/>
      <c r="N480" s="302"/>
      <c r="O480" s="302"/>
      <c r="P480" s="302"/>
      <c r="Q480" s="302"/>
      <c r="R480" s="302"/>
      <c r="S480" s="302"/>
      <c r="T480" s="302"/>
      <c r="U480" s="302"/>
      <c r="V480" s="302"/>
      <c r="W480" s="302"/>
      <c r="X480" s="302"/>
      <c r="Y480" s="302"/>
      <c r="Z480" s="302"/>
    </row>
    <row r="481" spans="1:26" ht="15.55">
      <c r="A481" s="302"/>
      <c r="B481" s="302"/>
      <c r="C481" s="302"/>
      <c r="D481" s="302"/>
      <c r="E481" s="302"/>
      <c r="F481" s="302"/>
      <c r="G481" s="302"/>
      <c r="H481" s="302"/>
      <c r="I481" s="302"/>
      <c r="J481" s="302"/>
      <c r="K481" s="302"/>
      <c r="L481" s="302"/>
      <c r="M481" s="302"/>
      <c r="N481" s="302"/>
      <c r="O481" s="302"/>
      <c r="P481" s="302"/>
      <c r="Q481" s="302"/>
      <c r="R481" s="302"/>
      <c r="S481" s="302"/>
      <c r="T481" s="302"/>
      <c r="U481" s="302"/>
      <c r="V481" s="302"/>
      <c r="W481" s="302"/>
      <c r="X481" s="302"/>
      <c r="Y481" s="302"/>
      <c r="Z481" s="302"/>
    </row>
    <row r="482" spans="1:26" ht="15.55">
      <c r="A482" s="302"/>
      <c r="B482" s="302"/>
      <c r="C482" s="302"/>
      <c r="D482" s="302"/>
      <c r="E482" s="302"/>
      <c r="F482" s="302"/>
      <c r="G482" s="302"/>
      <c r="H482" s="302"/>
      <c r="I482" s="302"/>
      <c r="J482" s="302"/>
      <c r="K482" s="302"/>
      <c r="L482" s="302"/>
      <c r="M482" s="302"/>
      <c r="N482" s="302"/>
      <c r="O482" s="302"/>
      <c r="P482" s="302"/>
      <c r="Q482" s="302"/>
      <c r="R482" s="302"/>
      <c r="S482" s="302"/>
      <c r="T482" s="302"/>
      <c r="U482" s="302"/>
      <c r="V482" s="302"/>
      <c r="W482" s="302"/>
      <c r="X482" s="302"/>
      <c r="Y482" s="302"/>
      <c r="Z482" s="302"/>
    </row>
    <row r="483" spans="1:26" ht="15.55">
      <c r="A483" s="302"/>
      <c r="B483" s="302"/>
      <c r="C483" s="302"/>
      <c r="D483" s="302"/>
      <c r="E483" s="302"/>
      <c r="F483" s="302"/>
      <c r="G483" s="302"/>
      <c r="H483" s="302"/>
      <c r="I483" s="302"/>
      <c r="J483" s="302"/>
      <c r="K483" s="302"/>
      <c r="L483" s="302"/>
      <c r="M483" s="302"/>
      <c r="N483" s="302"/>
      <c r="O483" s="302"/>
      <c r="P483" s="302"/>
      <c r="Q483" s="302"/>
      <c r="R483" s="302"/>
      <c r="S483" s="302"/>
      <c r="T483" s="302"/>
      <c r="U483" s="302"/>
      <c r="V483" s="302"/>
      <c r="W483" s="302"/>
      <c r="X483" s="302"/>
      <c r="Y483" s="302"/>
      <c r="Z483" s="302"/>
    </row>
    <row r="484" spans="1:26" ht="15.55">
      <c r="A484" s="302"/>
      <c r="B484" s="302"/>
      <c r="C484" s="302"/>
      <c r="D484" s="302"/>
      <c r="E484" s="302"/>
      <c r="F484" s="302"/>
      <c r="G484" s="302"/>
      <c r="H484" s="302"/>
      <c r="I484" s="302"/>
      <c r="J484" s="302"/>
      <c r="K484" s="302"/>
      <c r="L484" s="302"/>
      <c r="M484" s="302"/>
      <c r="N484" s="302"/>
      <c r="O484" s="302"/>
      <c r="P484" s="302"/>
      <c r="Q484" s="302"/>
      <c r="R484" s="302"/>
      <c r="S484" s="302"/>
      <c r="T484" s="302"/>
      <c r="U484" s="302"/>
      <c r="V484" s="302"/>
      <c r="W484" s="302"/>
      <c r="X484" s="302"/>
      <c r="Y484" s="302"/>
      <c r="Z484" s="302"/>
    </row>
    <row r="485" spans="1:26" ht="15.55">
      <c r="A485" s="302"/>
      <c r="B485" s="302"/>
      <c r="C485" s="302"/>
      <c r="D485" s="302"/>
      <c r="E485" s="302"/>
      <c r="F485" s="302"/>
      <c r="G485" s="302"/>
      <c r="H485" s="302"/>
      <c r="I485" s="302"/>
      <c r="J485" s="302"/>
      <c r="K485" s="302"/>
      <c r="L485" s="302"/>
      <c r="M485" s="302"/>
      <c r="N485" s="302"/>
      <c r="O485" s="302"/>
      <c r="P485" s="302"/>
      <c r="Q485" s="302"/>
      <c r="R485" s="302"/>
      <c r="S485" s="302"/>
      <c r="T485" s="302"/>
      <c r="U485" s="302"/>
      <c r="V485" s="302"/>
      <c r="W485" s="302"/>
      <c r="X485" s="302"/>
      <c r="Y485" s="302"/>
      <c r="Z485" s="302"/>
    </row>
    <row r="486" spans="1:26" ht="15.55">
      <c r="A486" s="302"/>
      <c r="B486" s="302"/>
      <c r="C486" s="302"/>
      <c r="D486" s="302"/>
      <c r="E486" s="302"/>
      <c r="F486" s="302"/>
      <c r="G486" s="302"/>
      <c r="H486" s="302"/>
      <c r="I486" s="302"/>
      <c r="J486" s="302"/>
      <c r="K486" s="302"/>
      <c r="L486" s="302"/>
      <c r="M486" s="302"/>
      <c r="N486" s="302"/>
      <c r="O486" s="302"/>
      <c r="P486" s="302"/>
      <c r="Q486" s="302"/>
      <c r="R486" s="302"/>
      <c r="S486" s="302"/>
      <c r="T486" s="302"/>
      <c r="U486" s="302"/>
      <c r="V486" s="302"/>
      <c r="W486" s="302"/>
      <c r="X486" s="302"/>
      <c r="Y486" s="302"/>
      <c r="Z486" s="302"/>
    </row>
    <row r="487" spans="1:26" ht="15.55">
      <c r="A487" s="302"/>
      <c r="B487" s="302"/>
      <c r="C487" s="302"/>
      <c r="D487" s="302"/>
      <c r="E487" s="302"/>
      <c r="F487" s="302"/>
      <c r="G487" s="302"/>
      <c r="H487" s="302"/>
      <c r="I487" s="302"/>
      <c r="J487" s="302"/>
      <c r="K487" s="302"/>
      <c r="L487" s="302"/>
      <c r="M487" s="302"/>
      <c r="N487" s="302"/>
      <c r="O487" s="302"/>
      <c r="P487" s="302"/>
      <c r="Q487" s="302"/>
      <c r="R487" s="302"/>
      <c r="S487" s="302"/>
      <c r="T487" s="302"/>
      <c r="U487" s="302"/>
      <c r="V487" s="302"/>
      <c r="W487" s="302"/>
      <c r="X487" s="302"/>
      <c r="Y487" s="302"/>
      <c r="Z487" s="302"/>
    </row>
    <row r="488" spans="1:26" ht="15.55">
      <c r="A488" s="302"/>
      <c r="B488" s="302"/>
      <c r="C488" s="302"/>
      <c r="D488" s="302"/>
      <c r="E488" s="302"/>
      <c r="F488" s="302"/>
      <c r="G488" s="302"/>
      <c r="H488" s="302"/>
      <c r="I488" s="302"/>
      <c r="J488" s="302"/>
      <c r="K488" s="302"/>
      <c r="L488" s="302"/>
      <c r="M488" s="302"/>
      <c r="N488" s="302"/>
      <c r="O488" s="302"/>
      <c r="P488" s="302"/>
      <c r="Q488" s="302"/>
      <c r="R488" s="302"/>
      <c r="S488" s="302"/>
      <c r="T488" s="302"/>
      <c r="U488" s="302"/>
      <c r="V488" s="302"/>
      <c r="W488" s="302"/>
      <c r="X488" s="302"/>
      <c r="Y488" s="302"/>
      <c r="Z488" s="302"/>
    </row>
    <row r="489" spans="1:26" ht="15.55">
      <c r="A489" s="302"/>
      <c r="B489" s="302"/>
      <c r="C489" s="302"/>
      <c r="D489" s="302"/>
      <c r="E489" s="302"/>
      <c r="F489" s="302"/>
      <c r="G489" s="302"/>
      <c r="H489" s="302"/>
      <c r="I489" s="302"/>
      <c r="J489" s="302"/>
      <c r="K489" s="302"/>
      <c r="L489" s="302"/>
      <c r="M489" s="302"/>
      <c r="N489" s="302"/>
      <c r="O489" s="302"/>
      <c r="P489" s="302"/>
      <c r="Q489" s="302"/>
      <c r="R489" s="302"/>
      <c r="S489" s="302"/>
      <c r="T489" s="302"/>
      <c r="U489" s="302"/>
      <c r="V489" s="302"/>
      <c r="W489" s="302"/>
      <c r="X489" s="302"/>
      <c r="Y489" s="302"/>
      <c r="Z489" s="302"/>
    </row>
    <row r="490" spans="1:26" ht="15.55">
      <c r="A490" s="302"/>
      <c r="B490" s="302"/>
      <c r="C490" s="302"/>
      <c r="D490" s="302"/>
      <c r="E490" s="302"/>
      <c r="F490" s="302"/>
      <c r="G490" s="302"/>
      <c r="H490" s="302"/>
      <c r="I490" s="302"/>
      <c r="J490" s="302"/>
      <c r="K490" s="302"/>
      <c r="L490" s="302"/>
      <c r="M490" s="302"/>
      <c r="N490" s="302"/>
      <c r="O490" s="302"/>
      <c r="P490" s="302"/>
      <c r="Q490" s="302"/>
      <c r="R490" s="302"/>
      <c r="S490" s="302"/>
      <c r="T490" s="302"/>
      <c r="U490" s="302"/>
      <c r="V490" s="302"/>
      <c r="W490" s="302"/>
      <c r="X490" s="302"/>
      <c r="Y490" s="302"/>
      <c r="Z490" s="302"/>
    </row>
    <row r="491" spans="1:26" ht="15.55">
      <c r="A491" s="302"/>
      <c r="B491" s="302"/>
      <c r="C491" s="302"/>
      <c r="D491" s="302"/>
      <c r="E491" s="302"/>
      <c r="F491" s="302"/>
      <c r="G491" s="302"/>
      <c r="H491" s="302"/>
      <c r="I491" s="302"/>
      <c r="J491" s="302"/>
      <c r="K491" s="302"/>
      <c r="L491" s="302"/>
      <c r="M491" s="302"/>
      <c r="N491" s="302"/>
      <c r="O491" s="302"/>
      <c r="P491" s="302"/>
      <c r="Q491" s="302"/>
      <c r="R491" s="302"/>
      <c r="S491" s="302"/>
      <c r="T491" s="302"/>
      <c r="U491" s="302"/>
      <c r="V491" s="302"/>
      <c r="W491" s="302"/>
      <c r="X491" s="302"/>
      <c r="Y491" s="302"/>
      <c r="Z491" s="302"/>
    </row>
    <row r="492" spans="1:26" ht="15.55">
      <c r="A492" s="302"/>
      <c r="B492" s="302"/>
      <c r="C492" s="302"/>
      <c r="D492" s="302"/>
      <c r="E492" s="302"/>
      <c r="F492" s="302"/>
      <c r="G492" s="302"/>
      <c r="H492" s="302"/>
      <c r="I492" s="302"/>
      <c r="J492" s="302"/>
      <c r="K492" s="302"/>
      <c r="L492" s="302"/>
      <c r="M492" s="302"/>
      <c r="N492" s="302"/>
      <c r="O492" s="302"/>
      <c r="P492" s="302"/>
      <c r="Q492" s="302"/>
      <c r="R492" s="302"/>
      <c r="S492" s="302"/>
      <c r="T492" s="302"/>
      <c r="U492" s="302"/>
      <c r="V492" s="302"/>
      <c r="W492" s="302"/>
      <c r="X492" s="302"/>
      <c r="Y492" s="302"/>
      <c r="Z492" s="302"/>
    </row>
    <row r="493" spans="1:26" ht="15.55">
      <c r="A493" s="302"/>
      <c r="B493" s="302"/>
      <c r="C493" s="302"/>
      <c r="D493" s="302"/>
      <c r="E493" s="302"/>
      <c r="F493" s="302"/>
      <c r="G493" s="302"/>
      <c r="H493" s="302"/>
      <c r="I493" s="302"/>
      <c r="J493" s="302"/>
      <c r="K493" s="302"/>
      <c r="L493" s="302"/>
      <c r="M493" s="302"/>
      <c r="N493" s="302"/>
      <c r="O493" s="302"/>
      <c r="P493" s="302"/>
      <c r="Q493" s="302"/>
      <c r="R493" s="302"/>
      <c r="S493" s="302"/>
      <c r="T493" s="302"/>
      <c r="U493" s="302"/>
      <c r="V493" s="302"/>
      <c r="W493" s="302"/>
      <c r="X493" s="302"/>
      <c r="Y493" s="302"/>
      <c r="Z493" s="302"/>
    </row>
    <row r="494" spans="1:26" ht="15.55">
      <c r="A494" s="302"/>
      <c r="B494" s="302"/>
      <c r="C494" s="302"/>
      <c r="D494" s="302"/>
      <c r="E494" s="302"/>
      <c r="F494" s="302"/>
      <c r="G494" s="302"/>
      <c r="H494" s="302"/>
      <c r="I494" s="302"/>
      <c r="J494" s="302"/>
      <c r="K494" s="302"/>
      <c r="L494" s="302"/>
      <c r="M494" s="302"/>
      <c r="N494" s="302"/>
      <c r="O494" s="302"/>
      <c r="P494" s="302"/>
      <c r="Q494" s="302"/>
      <c r="R494" s="302"/>
      <c r="S494" s="302"/>
      <c r="T494" s="302"/>
      <c r="U494" s="302"/>
      <c r="V494" s="302"/>
      <c r="W494" s="302"/>
      <c r="X494" s="302"/>
      <c r="Y494" s="302"/>
      <c r="Z494" s="302"/>
    </row>
    <row r="495" spans="1:26" ht="15.55">
      <c r="A495" s="302"/>
      <c r="B495" s="302"/>
      <c r="C495" s="302"/>
      <c r="D495" s="302"/>
      <c r="E495" s="302"/>
      <c r="F495" s="302"/>
      <c r="G495" s="302"/>
      <c r="H495" s="302"/>
      <c r="I495" s="302"/>
      <c r="J495" s="302"/>
      <c r="K495" s="302"/>
      <c r="L495" s="302"/>
      <c r="M495" s="302"/>
      <c r="N495" s="302"/>
      <c r="O495" s="302"/>
      <c r="P495" s="302"/>
      <c r="Q495" s="302"/>
      <c r="R495" s="302"/>
      <c r="S495" s="302"/>
      <c r="T495" s="302"/>
      <c r="U495" s="302"/>
      <c r="V495" s="302"/>
      <c r="W495" s="302"/>
      <c r="X495" s="302"/>
      <c r="Y495" s="302"/>
      <c r="Z495" s="302"/>
    </row>
    <row r="496" spans="1:26" ht="15.55">
      <c r="A496" s="302"/>
      <c r="B496" s="302"/>
      <c r="C496" s="302"/>
      <c r="D496" s="302"/>
      <c r="E496" s="302"/>
      <c r="F496" s="302"/>
      <c r="G496" s="302"/>
      <c r="H496" s="302"/>
      <c r="I496" s="302"/>
      <c r="J496" s="302"/>
      <c r="K496" s="302"/>
      <c r="L496" s="302"/>
      <c r="M496" s="302"/>
      <c r="N496" s="302"/>
      <c r="O496" s="302"/>
      <c r="P496" s="302"/>
      <c r="Q496" s="302"/>
      <c r="R496" s="302"/>
      <c r="S496" s="302"/>
      <c r="T496" s="302"/>
      <c r="U496" s="302"/>
      <c r="V496" s="302"/>
      <c r="W496" s="302"/>
      <c r="X496" s="302"/>
      <c r="Y496" s="302"/>
      <c r="Z496" s="302"/>
    </row>
    <row r="497" spans="1:26" ht="15.55">
      <c r="A497" s="302"/>
      <c r="B497" s="302"/>
      <c r="C497" s="302"/>
      <c r="D497" s="302"/>
      <c r="E497" s="302"/>
      <c r="F497" s="302"/>
      <c r="G497" s="302"/>
      <c r="H497" s="302"/>
      <c r="I497" s="302"/>
      <c r="J497" s="302"/>
      <c r="K497" s="302"/>
      <c r="L497" s="302"/>
      <c r="M497" s="302"/>
      <c r="N497" s="302"/>
      <c r="O497" s="302"/>
      <c r="P497" s="302"/>
      <c r="Q497" s="302"/>
      <c r="R497" s="302"/>
      <c r="S497" s="302"/>
      <c r="T497" s="302"/>
      <c r="U497" s="302"/>
      <c r="V497" s="302"/>
      <c r="W497" s="302"/>
      <c r="X497" s="302"/>
      <c r="Y497" s="302"/>
      <c r="Z497" s="302"/>
    </row>
    <row r="498" spans="1:26" ht="15.55">
      <c r="A498" s="302"/>
      <c r="B498" s="302"/>
      <c r="C498" s="302"/>
      <c r="D498" s="302"/>
      <c r="E498" s="302"/>
      <c r="F498" s="302"/>
      <c r="G498" s="302"/>
      <c r="H498" s="302"/>
      <c r="I498" s="302"/>
      <c r="J498" s="302"/>
      <c r="K498" s="302"/>
      <c r="L498" s="302"/>
      <c r="M498" s="302"/>
      <c r="N498" s="302"/>
      <c r="O498" s="302"/>
      <c r="P498" s="302"/>
      <c r="Q498" s="302"/>
      <c r="R498" s="302"/>
      <c r="S498" s="302"/>
      <c r="T498" s="302"/>
      <c r="U498" s="302"/>
      <c r="V498" s="302"/>
      <c r="W498" s="302"/>
      <c r="X498" s="302"/>
      <c r="Y498" s="302"/>
      <c r="Z498" s="302"/>
    </row>
    <row r="499" spans="1:26" ht="15.55">
      <c r="A499" s="302"/>
      <c r="B499" s="302"/>
      <c r="C499" s="302"/>
      <c r="D499" s="302"/>
      <c r="E499" s="302"/>
      <c r="F499" s="302"/>
      <c r="G499" s="302"/>
      <c r="H499" s="302"/>
      <c r="I499" s="302"/>
      <c r="J499" s="302"/>
      <c r="K499" s="302"/>
      <c r="L499" s="302"/>
      <c r="M499" s="302"/>
      <c r="N499" s="302"/>
      <c r="O499" s="302"/>
      <c r="P499" s="302"/>
      <c r="Q499" s="302"/>
      <c r="R499" s="302"/>
      <c r="S499" s="302"/>
      <c r="T499" s="302"/>
      <c r="U499" s="302"/>
      <c r="V499" s="302"/>
      <c r="W499" s="302"/>
      <c r="X499" s="302"/>
      <c r="Y499" s="302"/>
      <c r="Z499" s="302"/>
    </row>
    <row r="500" spans="1:26" ht="15.55">
      <c r="A500" s="302"/>
      <c r="B500" s="302"/>
      <c r="C500" s="302"/>
      <c r="D500" s="302"/>
      <c r="E500" s="302"/>
      <c r="F500" s="302"/>
      <c r="G500" s="302"/>
      <c r="H500" s="302"/>
      <c r="I500" s="302"/>
      <c r="J500" s="302"/>
      <c r="K500" s="302"/>
      <c r="L500" s="302"/>
      <c r="M500" s="302"/>
      <c r="N500" s="302"/>
      <c r="O500" s="302"/>
      <c r="P500" s="302"/>
      <c r="Q500" s="302"/>
      <c r="R500" s="302"/>
      <c r="S500" s="302"/>
      <c r="T500" s="302"/>
      <c r="U500" s="302"/>
      <c r="V500" s="302"/>
      <c r="W500" s="302"/>
      <c r="X500" s="302"/>
      <c r="Y500" s="302"/>
      <c r="Z500" s="302"/>
    </row>
    <row r="501" spans="1:26" ht="15.55">
      <c r="A501" s="302"/>
      <c r="B501" s="302"/>
      <c r="C501" s="302"/>
      <c r="D501" s="302"/>
      <c r="E501" s="302"/>
      <c r="F501" s="302"/>
      <c r="G501" s="302"/>
      <c r="H501" s="302"/>
      <c r="I501" s="302"/>
      <c r="J501" s="302"/>
      <c r="K501" s="302"/>
      <c r="L501" s="302"/>
      <c r="M501" s="302"/>
      <c r="N501" s="302"/>
      <c r="O501" s="302"/>
      <c r="P501" s="302"/>
      <c r="Q501" s="302"/>
      <c r="R501" s="302"/>
      <c r="S501" s="302"/>
      <c r="T501" s="302"/>
      <c r="U501" s="302"/>
      <c r="V501" s="302"/>
      <c r="W501" s="302"/>
      <c r="X501" s="302"/>
      <c r="Y501" s="302"/>
      <c r="Z501" s="302"/>
    </row>
    <row r="502" spans="1:26" ht="15.55">
      <c r="A502" s="302"/>
      <c r="B502" s="302"/>
      <c r="C502" s="302"/>
      <c r="D502" s="302"/>
      <c r="E502" s="302"/>
      <c r="F502" s="302"/>
      <c r="G502" s="302"/>
      <c r="H502" s="302"/>
      <c r="I502" s="302"/>
      <c r="J502" s="302"/>
      <c r="K502" s="302"/>
      <c r="L502" s="302"/>
      <c r="M502" s="302"/>
      <c r="N502" s="302"/>
      <c r="O502" s="302"/>
      <c r="P502" s="302"/>
      <c r="Q502" s="302"/>
      <c r="R502" s="302"/>
      <c r="S502" s="302"/>
      <c r="T502" s="302"/>
      <c r="U502" s="302"/>
      <c r="V502" s="302"/>
      <c r="W502" s="302"/>
      <c r="X502" s="302"/>
      <c r="Y502" s="302"/>
      <c r="Z502" s="302"/>
    </row>
    <row r="503" spans="1:26" ht="15.55">
      <c r="A503" s="302"/>
      <c r="B503" s="302"/>
      <c r="C503" s="302"/>
      <c r="D503" s="302"/>
      <c r="E503" s="302"/>
      <c r="F503" s="302"/>
      <c r="G503" s="302"/>
      <c r="H503" s="302"/>
      <c r="I503" s="302"/>
      <c r="J503" s="302"/>
      <c r="K503" s="302"/>
      <c r="L503" s="302"/>
      <c r="M503" s="302"/>
      <c r="N503" s="302"/>
      <c r="O503" s="302"/>
      <c r="P503" s="302"/>
      <c r="Q503" s="302"/>
      <c r="R503" s="302"/>
      <c r="S503" s="302"/>
      <c r="T503" s="302"/>
      <c r="U503" s="302"/>
      <c r="V503" s="302"/>
      <c r="W503" s="302"/>
      <c r="X503" s="302"/>
      <c r="Y503" s="302"/>
      <c r="Z503" s="302"/>
    </row>
    <row r="504" spans="1:26" ht="15.55">
      <c r="A504" s="302"/>
      <c r="B504" s="302"/>
      <c r="C504" s="302"/>
      <c r="D504" s="302"/>
      <c r="E504" s="302"/>
      <c r="F504" s="302"/>
      <c r="G504" s="302"/>
      <c r="H504" s="302"/>
      <c r="I504" s="302"/>
      <c r="J504" s="302"/>
      <c r="K504" s="302"/>
      <c r="L504" s="302"/>
      <c r="M504" s="302"/>
      <c r="N504" s="302"/>
      <c r="O504" s="302"/>
      <c r="P504" s="302"/>
      <c r="Q504" s="302"/>
      <c r="R504" s="302"/>
      <c r="S504" s="302"/>
      <c r="T504" s="302"/>
      <c r="U504" s="302"/>
      <c r="V504" s="302"/>
      <c r="W504" s="302"/>
      <c r="X504" s="302"/>
      <c r="Y504" s="302"/>
      <c r="Z504" s="302"/>
    </row>
    <row r="505" spans="1:26" ht="15.55">
      <c r="A505" s="302"/>
      <c r="B505" s="302"/>
      <c r="C505" s="302"/>
      <c r="D505" s="302"/>
      <c r="E505" s="302"/>
      <c r="F505" s="302"/>
      <c r="G505" s="302"/>
      <c r="H505" s="302"/>
      <c r="I505" s="302"/>
      <c r="J505" s="302"/>
      <c r="K505" s="302"/>
      <c r="L505" s="302"/>
      <c r="M505" s="302"/>
      <c r="N505" s="302"/>
      <c r="O505" s="302"/>
      <c r="P505" s="302"/>
      <c r="Q505" s="302"/>
      <c r="R505" s="302"/>
      <c r="S505" s="302"/>
      <c r="T505" s="302"/>
      <c r="U505" s="302"/>
      <c r="V505" s="302"/>
      <c r="W505" s="302"/>
      <c r="X505" s="302"/>
      <c r="Y505" s="302"/>
      <c r="Z505" s="302"/>
    </row>
    <row r="506" spans="1:26" ht="15.55">
      <c r="A506" s="302"/>
      <c r="B506" s="302"/>
      <c r="C506" s="302"/>
      <c r="D506" s="302"/>
      <c r="E506" s="302"/>
      <c r="F506" s="302"/>
      <c r="G506" s="302"/>
      <c r="H506" s="302"/>
      <c r="I506" s="302"/>
      <c r="J506" s="302"/>
      <c r="K506" s="302"/>
      <c r="L506" s="302"/>
      <c r="M506" s="302"/>
      <c r="N506" s="302"/>
      <c r="O506" s="302"/>
      <c r="P506" s="302"/>
      <c r="Q506" s="302"/>
      <c r="R506" s="302"/>
      <c r="S506" s="302"/>
      <c r="T506" s="302"/>
      <c r="U506" s="302"/>
      <c r="V506" s="302"/>
      <c r="W506" s="302"/>
      <c r="X506" s="302"/>
      <c r="Y506" s="302"/>
      <c r="Z506" s="302"/>
    </row>
    <row r="507" spans="1:26" ht="15.55">
      <c r="A507" s="302"/>
      <c r="B507" s="302"/>
      <c r="C507" s="302"/>
      <c r="D507" s="302"/>
      <c r="E507" s="302"/>
      <c r="F507" s="302"/>
      <c r="G507" s="302"/>
      <c r="H507" s="302"/>
      <c r="I507" s="302"/>
      <c r="J507" s="302"/>
      <c r="K507" s="302"/>
      <c r="L507" s="302"/>
      <c r="M507" s="302"/>
      <c r="N507" s="302"/>
      <c r="O507" s="302"/>
      <c r="P507" s="302"/>
      <c r="Q507" s="302"/>
      <c r="R507" s="302"/>
      <c r="S507" s="302"/>
      <c r="T507" s="302"/>
      <c r="U507" s="302"/>
      <c r="V507" s="302"/>
      <c r="W507" s="302"/>
      <c r="X507" s="302"/>
      <c r="Y507" s="302"/>
      <c r="Z507" s="302"/>
    </row>
    <row r="508" spans="1:26" ht="15.55">
      <c r="A508" s="302"/>
      <c r="B508" s="302"/>
      <c r="C508" s="302"/>
      <c r="D508" s="302"/>
      <c r="E508" s="302"/>
      <c r="F508" s="302"/>
      <c r="G508" s="302"/>
      <c r="H508" s="302"/>
      <c r="I508" s="302"/>
      <c r="J508" s="302"/>
      <c r="K508" s="302"/>
      <c r="L508" s="302"/>
      <c r="M508" s="302"/>
      <c r="N508" s="302"/>
      <c r="O508" s="302"/>
      <c r="P508" s="302"/>
      <c r="Q508" s="302"/>
      <c r="R508" s="302"/>
      <c r="S508" s="302"/>
      <c r="T508" s="302"/>
      <c r="U508" s="302"/>
      <c r="V508" s="302"/>
      <c r="W508" s="302"/>
      <c r="X508" s="302"/>
      <c r="Y508" s="302"/>
      <c r="Z508" s="302"/>
    </row>
    <row r="509" spans="1:26" ht="15.55">
      <c r="A509" s="302"/>
      <c r="B509" s="302"/>
      <c r="C509" s="302"/>
      <c r="D509" s="302"/>
      <c r="E509" s="302"/>
      <c r="F509" s="302"/>
      <c r="G509" s="302"/>
      <c r="H509" s="302"/>
      <c r="I509" s="302"/>
      <c r="J509" s="302"/>
      <c r="K509" s="302"/>
      <c r="L509" s="302"/>
      <c r="M509" s="302"/>
      <c r="N509" s="302"/>
      <c r="O509" s="302"/>
      <c r="P509" s="302"/>
      <c r="Q509" s="302"/>
      <c r="R509" s="302"/>
      <c r="S509" s="302"/>
      <c r="T509" s="302"/>
      <c r="U509" s="302"/>
      <c r="V509" s="302"/>
      <c r="W509" s="302"/>
      <c r="X509" s="302"/>
      <c r="Y509" s="302"/>
      <c r="Z509" s="302"/>
    </row>
    <row r="510" spans="1:26" ht="15.55">
      <c r="A510" s="302"/>
      <c r="B510" s="302"/>
      <c r="C510" s="302"/>
      <c r="D510" s="302"/>
      <c r="E510" s="302"/>
      <c r="F510" s="302"/>
      <c r="G510" s="302"/>
      <c r="H510" s="302"/>
      <c r="I510" s="302"/>
      <c r="J510" s="302"/>
      <c r="K510" s="302"/>
      <c r="L510" s="302"/>
      <c r="M510" s="302"/>
      <c r="N510" s="302"/>
      <c r="O510" s="302"/>
      <c r="P510" s="302"/>
      <c r="Q510" s="302"/>
      <c r="R510" s="302"/>
      <c r="S510" s="302"/>
      <c r="T510" s="302"/>
      <c r="U510" s="302"/>
      <c r="V510" s="302"/>
      <c r="W510" s="302"/>
      <c r="X510" s="302"/>
      <c r="Y510" s="302"/>
      <c r="Z510" s="302"/>
    </row>
    <row r="511" spans="1:26" ht="15.55">
      <c r="A511" s="302"/>
      <c r="B511" s="302"/>
      <c r="C511" s="302"/>
      <c r="D511" s="302"/>
      <c r="E511" s="302"/>
      <c r="F511" s="302"/>
      <c r="G511" s="302"/>
      <c r="H511" s="302"/>
      <c r="I511" s="302"/>
      <c r="J511" s="302"/>
      <c r="K511" s="302"/>
      <c r="L511" s="302"/>
      <c r="M511" s="302"/>
      <c r="N511" s="302"/>
      <c r="O511" s="302"/>
      <c r="P511" s="302"/>
      <c r="Q511" s="302"/>
      <c r="R511" s="302"/>
      <c r="S511" s="302"/>
      <c r="T511" s="302"/>
      <c r="U511" s="302"/>
      <c r="V511" s="302"/>
      <c r="W511" s="302"/>
      <c r="X511" s="302"/>
      <c r="Y511" s="302"/>
      <c r="Z511" s="302"/>
    </row>
    <row r="512" spans="1:26" ht="15.55">
      <c r="A512" s="302"/>
      <c r="B512" s="302"/>
      <c r="C512" s="302"/>
      <c r="D512" s="302"/>
      <c r="E512" s="302"/>
      <c r="F512" s="302"/>
      <c r="G512" s="302"/>
      <c r="H512" s="302"/>
      <c r="I512" s="302"/>
      <c r="J512" s="302"/>
      <c r="K512" s="302"/>
      <c r="L512" s="302"/>
      <c r="M512" s="302"/>
      <c r="N512" s="302"/>
      <c r="O512" s="302"/>
      <c r="P512" s="302"/>
      <c r="Q512" s="302"/>
      <c r="R512" s="302"/>
      <c r="S512" s="302"/>
      <c r="T512" s="302"/>
      <c r="U512" s="302"/>
      <c r="V512" s="302"/>
      <c r="W512" s="302"/>
      <c r="X512" s="302"/>
      <c r="Y512" s="302"/>
      <c r="Z512" s="302"/>
    </row>
    <row r="513" spans="1:26" ht="15.55">
      <c r="A513" s="302"/>
      <c r="B513" s="302"/>
      <c r="C513" s="302"/>
      <c r="D513" s="302"/>
      <c r="E513" s="302"/>
      <c r="F513" s="302"/>
      <c r="G513" s="302"/>
      <c r="H513" s="302"/>
      <c r="I513" s="302"/>
      <c r="J513" s="302"/>
      <c r="K513" s="302"/>
      <c r="L513" s="302"/>
      <c r="M513" s="302"/>
      <c r="N513" s="302"/>
      <c r="O513" s="302"/>
      <c r="P513" s="302"/>
      <c r="Q513" s="302"/>
      <c r="R513" s="302"/>
      <c r="S513" s="302"/>
      <c r="T513" s="302"/>
      <c r="U513" s="302"/>
      <c r="V513" s="302"/>
      <c r="W513" s="302"/>
      <c r="X513" s="302"/>
      <c r="Y513" s="302"/>
      <c r="Z513" s="302"/>
    </row>
    <row r="514" spans="1:26" ht="15.55">
      <c r="A514" s="302"/>
      <c r="B514" s="302"/>
      <c r="C514" s="302"/>
      <c r="D514" s="302"/>
      <c r="E514" s="302"/>
      <c r="F514" s="302"/>
      <c r="G514" s="302"/>
      <c r="H514" s="302"/>
      <c r="I514" s="302"/>
      <c r="J514" s="302"/>
      <c r="K514" s="302"/>
      <c r="L514" s="302"/>
      <c r="M514" s="302"/>
      <c r="N514" s="302"/>
      <c r="O514" s="302"/>
      <c r="P514" s="302"/>
      <c r="Q514" s="302"/>
      <c r="R514" s="302"/>
      <c r="S514" s="302"/>
      <c r="T514" s="302"/>
      <c r="U514" s="302"/>
      <c r="V514" s="302"/>
      <c r="W514" s="302"/>
      <c r="X514" s="302"/>
      <c r="Y514" s="302"/>
      <c r="Z514" s="302"/>
    </row>
    <row r="515" spans="1:26" ht="15.55">
      <c r="A515" s="302"/>
      <c r="B515" s="302"/>
      <c r="C515" s="302"/>
      <c r="D515" s="302"/>
      <c r="E515" s="302"/>
      <c r="F515" s="302"/>
      <c r="G515" s="302"/>
      <c r="H515" s="302"/>
      <c r="I515" s="302"/>
      <c r="J515" s="302"/>
      <c r="K515" s="302"/>
      <c r="L515" s="302"/>
      <c r="M515" s="302"/>
      <c r="N515" s="302"/>
      <c r="O515" s="302"/>
      <c r="P515" s="302"/>
      <c r="Q515" s="302"/>
      <c r="R515" s="302"/>
      <c r="S515" s="302"/>
      <c r="T515" s="302"/>
      <c r="U515" s="302"/>
      <c r="V515" s="302"/>
      <c r="W515" s="302"/>
      <c r="X515" s="302"/>
      <c r="Y515" s="302"/>
      <c r="Z515" s="302"/>
    </row>
    <row r="516" spans="1:26" ht="15.55">
      <c r="A516" s="302"/>
      <c r="B516" s="302"/>
      <c r="C516" s="302"/>
      <c r="D516" s="302"/>
      <c r="E516" s="302"/>
      <c r="F516" s="302"/>
      <c r="G516" s="302"/>
      <c r="H516" s="302"/>
      <c r="I516" s="302"/>
      <c r="J516" s="302"/>
      <c r="K516" s="302"/>
      <c r="L516" s="302"/>
      <c r="M516" s="302"/>
      <c r="N516" s="302"/>
      <c r="O516" s="302"/>
      <c r="P516" s="302"/>
      <c r="Q516" s="302"/>
      <c r="R516" s="302"/>
      <c r="S516" s="302"/>
      <c r="T516" s="302"/>
      <c r="U516" s="302"/>
      <c r="V516" s="302"/>
      <c r="W516" s="302"/>
      <c r="X516" s="302"/>
      <c r="Y516" s="302"/>
      <c r="Z516" s="302"/>
    </row>
    <row r="517" spans="1:26" ht="15.55">
      <c r="A517" s="302"/>
      <c r="B517" s="302"/>
      <c r="C517" s="302"/>
      <c r="D517" s="302"/>
      <c r="E517" s="302"/>
      <c r="F517" s="302"/>
      <c r="G517" s="302"/>
      <c r="H517" s="302"/>
      <c r="I517" s="302"/>
      <c r="J517" s="302"/>
      <c r="K517" s="302"/>
      <c r="L517" s="302"/>
      <c r="M517" s="302"/>
      <c r="N517" s="302"/>
      <c r="O517" s="302"/>
      <c r="P517" s="302"/>
      <c r="Q517" s="302"/>
      <c r="R517" s="302"/>
      <c r="S517" s="302"/>
      <c r="T517" s="302"/>
      <c r="U517" s="302"/>
      <c r="V517" s="302"/>
      <c r="W517" s="302"/>
      <c r="X517" s="302"/>
      <c r="Y517" s="302"/>
      <c r="Z517" s="302"/>
    </row>
    <row r="518" spans="1:26" ht="15.55">
      <c r="A518" s="302"/>
      <c r="B518" s="302"/>
      <c r="C518" s="302"/>
      <c r="D518" s="302"/>
      <c r="E518" s="302"/>
      <c r="F518" s="302"/>
      <c r="G518" s="302"/>
      <c r="H518" s="302"/>
      <c r="I518" s="302"/>
      <c r="J518" s="302"/>
      <c r="K518" s="302"/>
      <c r="L518" s="302"/>
      <c r="M518" s="302"/>
      <c r="N518" s="302"/>
      <c r="O518" s="302"/>
      <c r="P518" s="302"/>
      <c r="Q518" s="302"/>
      <c r="R518" s="302"/>
      <c r="S518" s="302"/>
      <c r="T518" s="302"/>
      <c r="U518" s="302"/>
      <c r="V518" s="302"/>
      <c r="W518" s="302"/>
      <c r="X518" s="302"/>
      <c r="Y518" s="302"/>
      <c r="Z518" s="302"/>
    </row>
    <row r="519" spans="1:26" ht="15.55">
      <c r="A519" s="302"/>
      <c r="B519" s="302"/>
      <c r="C519" s="302"/>
      <c r="D519" s="302"/>
      <c r="E519" s="302"/>
      <c r="F519" s="302"/>
      <c r="G519" s="302"/>
      <c r="H519" s="302"/>
      <c r="I519" s="302"/>
      <c r="J519" s="302"/>
      <c r="K519" s="302"/>
      <c r="L519" s="302"/>
      <c r="M519" s="302"/>
      <c r="N519" s="302"/>
      <c r="O519" s="302"/>
      <c r="P519" s="302"/>
      <c r="Q519" s="302"/>
      <c r="R519" s="302"/>
      <c r="S519" s="302"/>
      <c r="T519" s="302"/>
      <c r="U519" s="302"/>
      <c r="V519" s="302"/>
      <c r="W519" s="302"/>
      <c r="X519" s="302"/>
      <c r="Y519" s="302"/>
      <c r="Z519" s="302"/>
    </row>
    <row r="520" spans="1:26" ht="15.55">
      <c r="A520" s="302"/>
      <c r="B520" s="302"/>
      <c r="C520" s="302"/>
      <c r="D520" s="302"/>
      <c r="E520" s="302"/>
      <c r="F520" s="302"/>
      <c r="G520" s="302"/>
      <c r="H520" s="302"/>
      <c r="I520" s="302"/>
      <c r="J520" s="302"/>
      <c r="K520" s="302"/>
      <c r="L520" s="302"/>
      <c r="M520" s="302"/>
      <c r="N520" s="302"/>
      <c r="O520" s="302"/>
      <c r="P520" s="302"/>
      <c r="Q520" s="302"/>
      <c r="R520" s="302"/>
      <c r="S520" s="302"/>
      <c r="T520" s="302"/>
      <c r="U520" s="302"/>
      <c r="V520" s="302"/>
      <c r="W520" s="302"/>
      <c r="X520" s="302"/>
      <c r="Y520" s="302"/>
      <c r="Z520" s="302"/>
    </row>
    <row r="521" spans="1:26" ht="15.55">
      <c r="A521" s="302"/>
      <c r="B521" s="302"/>
      <c r="C521" s="302"/>
      <c r="D521" s="302"/>
      <c r="E521" s="302"/>
      <c r="F521" s="302"/>
      <c r="G521" s="302"/>
      <c r="H521" s="302"/>
      <c r="I521" s="302"/>
      <c r="J521" s="302"/>
      <c r="K521" s="302"/>
      <c r="L521" s="302"/>
      <c r="M521" s="302"/>
      <c r="N521" s="302"/>
      <c r="O521" s="302"/>
      <c r="P521" s="302"/>
      <c r="Q521" s="302"/>
      <c r="R521" s="302"/>
      <c r="S521" s="302"/>
      <c r="T521" s="302"/>
      <c r="U521" s="302"/>
      <c r="V521" s="302"/>
      <c r="W521" s="302"/>
      <c r="X521" s="302"/>
      <c r="Y521" s="302"/>
      <c r="Z521" s="302"/>
    </row>
    <row r="522" spans="1:26" ht="15.55">
      <c r="A522" s="302"/>
      <c r="B522" s="302"/>
      <c r="C522" s="302"/>
      <c r="D522" s="302"/>
      <c r="E522" s="302"/>
      <c r="F522" s="302"/>
      <c r="G522" s="302"/>
      <c r="H522" s="302"/>
      <c r="I522" s="302"/>
      <c r="J522" s="302"/>
      <c r="K522" s="302"/>
      <c r="L522" s="302"/>
      <c r="M522" s="302"/>
      <c r="N522" s="302"/>
      <c r="O522" s="302"/>
      <c r="P522" s="302"/>
      <c r="Q522" s="302"/>
      <c r="R522" s="302"/>
      <c r="S522" s="302"/>
      <c r="T522" s="302"/>
      <c r="U522" s="302"/>
      <c r="V522" s="302"/>
      <c r="W522" s="302"/>
      <c r="X522" s="302"/>
      <c r="Y522" s="302"/>
      <c r="Z522" s="302"/>
    </row>
    <row r="523" spans="1:26" ht="15.55">
      <c r="A523" s="302"/>
      <c r="B523" s="302"/>
      <c r="C523" s="302"/>
      <c r="D523" s="302"/>
      <c r="E523" s="302"/>
      <c r="F523" s="302"/>
      <c r="G523" s="302"/>
      <c r="H523" s="302"/>
      <c r="I523" s="302"/>
      <c r="J523" s="302"/>
      <c r="K523" s="302"/>
      <c r="L523" s="302"/>
      <c r="M523" s="302"/>
      <c r="N523" s="302"/>
      <c r="O523" s="302"/>
      <c r="P523" s="302"/>
      <c r="Q523" s="302"/>
      <c r="R523" s="302"/>
      <c r="S523" s="302"/>
      <c r="T523" s="302"/>
      <c r="U523" s="302"/>
      <c r="V523" s="302"/>
      <c r="W523" s="302"/>
      <c r="X523" s="302"/>
      <c r="Y523" s="302"/>
      <c r="Z523" s="302"/>
    </row>
    <row r="524" spans="1:26" ht="15.55">
      <c r="A524" s="302"/>
      <c r="B524" s="302"/>
      <c r="C524" s="302"/>
      <c r="D524" s="302"/>
      <c r="E524" s="302"/>
      <c r="F524" s="302"/>
      <c r="G524" s="302"/>
      <c r="H524" s="302"/>
      <c r="I524" s="302"/>
      <c r="J524" s="302"/>
      <c r="K524" s="302"/>
      <c r="L524" s="302"/>
      <c r="M524" s="302"/>
      <c r="N524" s="302"/>
      <c r="O524" s="302"/>
      <c r="P524" s="302"/>
      <c r="Q524" s="302"/>
      <c r="R524" s="302"/>
      <c r="S524" s="302"/>
      <c r="T524" s="302"/>
      <c r="U524" s="302"/>
      <c r="V524" s="302"/>
      <c r="W524" s="302"/>
      <c r="X524" s="302"/>
      <c r="Y524" s="302"/>
      <c r="Z524" s="302"/>
    </row>
    <row r="525" spans="1:26" ht="15.55">
      <c r="A525" s="302"/>
      <c r="B525" s="302"/>
      <c r="C525" s="302"/>
      <c r="D525" s="302"/>
      <c r="E525" s="302"/>
      <c r="F525" s="302"/>
      <c r="G525" s="302"/>
      <c r="H525" s="302"/>
      <c r="I525" s="302"/>
      <c r="J525" s="302"/>
      <c r="K525" s="302"/>
      <c r="L525" s="302"/>
      <c r="M525" s="302"/>
      <c r="N525" s="302"/>
      <c r="O525" s="302"/>
      <c r="P525" s="302"/>
      <c r="Q525" s="302"/>
      <c r="R525" s="302"/>
      <c r="S525" s="302"/>
      <c r="T525" s="302"/>
      <c r="U525" s="302"/>
      <c r="V525" s="302"/>
      <c r="W525" s="302"/>
      <c r="X525" s="302"/>
      <c r="Y525" s="302"/>
      <c r="Z525" s="302"/>
    </row>
    <row r="526" spans="1:26" ht="15.55">
      <c r="A526" s="302"/>
      <c r="B526" s="302"/>
      <c r="C526" s="302"/>
      <c r="D526" s="302"/>
      <c r="E526" s="302"/>
      <c r="F526" s="302"/>
      <c r="G526" s="302"/>
      <c r="H526" s="302"/>
      <c r="I526" s="302"/>
      <c r="J526" s="302"/>
      <c r="K526" s="302"/>
      <c r="L526" s="302"/>
      <c r="M526" s="302"/>
      <c r="N526" s="302"/>
      <c r="O526" s="302"/>
      <c r="P526" s="302"/>
      <c r="Q526" s="302"/>
      <c r="R526" s="302"/>
      <c r="S526" s="302"/>
      <c r="T526" s="302"/>
      <c r="U526" s="302"/>
      <c r="V526" s="302"/>
      <c r="W526" s="302"/>
      <c r="X526" s="302"/>
      <c r="Y526" s="302"/>
      <c r="Z526" s="302"/>
    </row>
    <row r="527" spans="1:26" ht="15.55">
      <c r="A527" s="302"/>
      <c r="B527" s="302"/>
      <c r="C527" s="302"/>
      <c r="D527" s="302"/>
      <c r="E527" s="302"/>
      <c r="F527" s="302"/>
      <c r="G527" s="302"/>
      <c r="H527" s="302"/>
      <c r="I527" s="302"/>
      <c r="J527" s="302"/>
      <c r="K527" s="302"/>
      <c r="L527" s="302"/>
      <c r="M527" s="302"/>
      <c r="N527" s="302"/>
      <c r="O527" s="302"/>
      <c r="P527" s="302"/>
      <c r="Q527" s="302"/>
      <c r="R527" s="302"/>
      <c r="S527" s="302"/>
      <c r="T527" s="302"/>
      <c r="U527" s="302"/>
      <c r="V527" s="302"/>
      <c r="W527" s="302"/>
      <c r="X527" s="302"/>
      <c r="Y527" s="302"/>
      <c r="Z527" s="302"/>
    </row>
    <row r="528" spans="1:26" ht="15.55">
      <c r="A528" s="302"/>
      <c r="B528" s="302"/>
      <c r="C528" s="302"/>
      <c r="D528" s="302"/>
      <c r="E528" s="302"/>
      <c r="F528" s="302"/>
      <c r="G528" s="302"/>
      <c r="H528" s="302"/>
      <c r="I528" s="302"/>
      <c r="J528" s="302"/>
      <c r="K528" s="302"/>
      <c r="L528" s="302"/>
      <c r="M528" s="302"/>
      <c r="N528" s="302"/>
      <c r="O528" s="302"/>
      <c r="P528" s="302"/>
      <c r="Q528" s="302"/>
      <c r="R528" s="302"/>
      <c r="S528" s="302"/>
      <c r="T528" s="302"/>
      <c r="U528" s="302"/>
      <c r="V528" s="302"/>
      <c r="W528" s="302"/>
      <c r="X528" s="302"/>
      <c r="Y528" s="302"/>
      <c r="Z528" s="302"/>
    </row>
    <row r="529" spans="1:26" ht="15.55">
      <c r="A529" s="302"/>
      <c r="B529" s="302"/>
      <c r="C529" s="302"/>
      <c r="D529" s="302"/>
      <c r="E529" s="302"/>
      <c r="F529" s="302"/>
      <c r="G529" s="302"/>
      <c r="H529" s="302"/>
      <c r="I529" s="302"/>
      <c r="J529" s="302"/>
      <c r="K529" s="302"/>
      <c r="L529" s="302"/>
      <c r="M529" s="302"/>
      <c r="N529" s="302"/>
      <c r="O529" s="302"/>
      <c r="P529" s="302"/>
      <c r="Q529" s="302"/>
      <c r="R529" s="302"/>
      <c r="S529" s="302"/>
      <c r="T529" s="302"/>
      <c r="U529" s="302"/>
      <c r="V529" s="302"/>
      <c r="W529" s="302"/>
      <c r="X529" s="302"/>
      <c r="Y529" s="302"/>
      <c r="Z529" s="302"/>
    </row>
    <row r="530" spans="1:26" ht="15.55">
      <c r="A530" s="302"/>
      <c r="B530" s="302"/>
      <c r="C530" s="302"/>
      <c r="D530" s="302"/>
      <c r="E530" s="302"/>
      <c r="F530" s="302"/>
      <c r="G530" s="302"/>
      <c r="H530" s="302"/>
      <c r="I530" s="302"/>
      <c r="J530" s="302"/>
      <c r="K530" s="302"/>
      <c r="L530" s="302"/>
      <c r="M530" s="302"/>
      <c r="N530" s="302"/>
      <c r="O530" s="302"/>
      <c r="P530" s="302"/>
      <c r="Q530" s="302"/>
      <c r="R530" s="302"/>
      <c r="S530" s="302"/>
      <c r="T530" s="302"/>
      <c r="U530" s="302"/>
      <c r="V530" s="302"/>
      <c r="W530" s="302"/>
      <c r="X530" s="302"/>
      <c r="Y530" s="302"/>
      <c r="Z530" s="302"/>
    </row>
    <row r="531" spans="1:26" ht="15.55">
      <c r="A531" s="302"/>
      <c r="B531" s="302"/>
      <c r="C531" s="302"/>
      <c r="D531" s="302"/>
      <c r="E531" s="302"/>
      <c r="F531" s="302"/>
      <c r="G531" s="302"/>
      <c r="H531" s="302"/>
      <c r="I531" s="302"/>
      <c r="J531" s="302"/>
      <c r="K531" s="302"/>
      <c r="L531" s="302"/>
      <c r="M531" s="302"/>
      <c r="N531" s="302"/>
      <c r="O531" s="302"/>
      <c r="P531" s="302"/>
      <c r="Q531" s="302"/>
      <c r="R531" s="302"/>
      <c r="S531" s="302"/>
      <c r="T531" s="302"/>
      <c r="U531" s="302"/>
      <c r="V531" s="302"/>
      <c r="W531" s="302"/>
      <c r="X531" s="302"/>
      <c r="Y531" s="302"/>
      <c r="Z531" s="302"/>
    </row>
    <row r="532" spans="1:26" ht="15.55">
      <c r="A532" s="302"/>
      <c r="B532" s="302"/>
      <c r="C532" s="302"/>
      <c r="D532" s="302"/>
      <c r="E532" s="302"/>
      <c r="F532" s="302"/>
      <c r="G532" s="302"/>
      <c r="H532" s="302"/>
      <c r="I532" s="302"/>
      <c r="J532" s="302"/>
      <c r="K532" s="302"/>
      <c r="L532" s="302"/>
      <c r="M532" s="302"/>
      <c r="N532" s="302"/>
      <c r="O532" s="302"/>
      <c r="P532" s="302"/>
      <c r="Q532" s="302"/>
      <c r="R532" s="302"/>
      <c r="S532" s="302"/>
      <c r="T532" s="302"/>
      <c r="U532" s="302"/>
      <c r="V532" s="302"/>
      <c r="W532" s="302"/>
      <c r="X532" s="302"/>
      <c r="Y532" s="302"/>
      <c r="Z532" s="302"/>
    </row>
    <row r="533" spans="1:26" ht="15.55">
      <c r="A533" s="302"/>
      <c r="B533" s="302"/>
      <c r="C533" s="302"/>
      <c r="D533" s="302"/>
      <c r="E533" s="302"/>
      <c r="F533" s="302"/>
      <c r="G533" s="302"/>
      <c r="H533" s="302"/>
      <c r="I533" s="302"/>
      <c r="J533" s="302"/>
      <c r="K533" s="302"/>
      <c r="L533" s="302"/>
      <c r="M533" s="302"/>
      <c r="N533" s="302"/>
      <c r="O533" s="302"/>
      <c r="P533" s="302"/>
      <c r="Q533" s="302"/>
      <c r="R533" s="302"/>
      <c r="S533" s="302"/>
      <c r="T533" s="302"/>
      <c r="U533" s="302"/>
      <c r="V533" s="302"/>
      <c r="W533" s="302"/>
      <c r="X533" s="302"/>
      <c r="Y533" s="302"/>
      <c r="Z533" s="302"/>
    </row>
    <row r="534" spans="1:26" ht="15.55">
      <c r="A534" s="302"/>
      <c r="B534" s="302"/>
      <c r="C534" s="302"/>
      <c r="D534" s="302"/>
      <c r="E534" s="302"/>
      <c r="F534" s="302"/>
      <c r="G534" s="302"/>
      <c r="H534" s="302"/>
      <c r="I534" s="302"/>
      <c r="J534" s="302"/>
      <c r="K534" s="302"/>
      <c r="L534" s="302"/>
      <c r="M534" s="302"/>
      <c r="N534" s="302"/>
      <c r="O534" s="302"/>
      <c r="P534" s="302"/>
      <c r="Q534" s="302"/>
      <c r="R534" s="302"/>
      <c r="S534" s="302"/>
      <c r="T534" s="302"/>
      <c r="U534" s="302"/>
      <c r="V534" s="302"/>
      <c r="W534" s="302"/>
      <c r="X534" s="302"/>
      <c r="Y534" s="302"/>
      <c r="Z534" s="302"/>
    </row>
    <row r="535" spans="1:26" ht="15.55">
      <c r="A535" s="302"/>
      <c r="B535" s="302"/>
      <c r="C535" s="302"/>
      <c r="D535" s="302"/>
      <c r="E535" s="302"/>
      <c r="F535" s="302"/>
      <c r="G535" s="302"/>
      <c r="H535" s="302"/>
      <c r="I535" s="302"/>
      <c r="J535" s="302"/>
      <c r="K535" s="302"/>
      <c r="L535" s="302"/>
      <c r="M535" s="302"/>
      <c r="N535" s="302"/>
      <c r="O535" s="302"/>
      <c r="P535" s="302"/>
      <c r="Q535" s="302"/>
      <c r="R535" s="302"/>
      <c r="S535" s="302"/>
      <c r="T535" s="302"/>
      <c r="U535" s="302"/>
      <c r="V535" s="302"/>
      <c r="W535" s="302"/>
      <c r="X535" s="302"/>
      <c r="Y535" s="302"/>
      <c r="Z535" s="302"/>
    </row>
    <row r="536" spans="1:26" ht="15.55">
      <c r="A536" s="302"/>
      <c r="B536" s="302"/>
      <c r="C536" s="302"/>
      <c r="D536" s="302"/>
      <c r="E536" s="302"/>
      <c r="F536" s="302"/>
      <c r="G536" s="302"/>
      <c r="H536" s="302"/>
      <c r="I536" s="302"/>
      <c r="J536" s="302"/>
      <c r="K536" s="302"/>
      <c r="L536" s="302"/>
      <c r="M536" s="302"/>
      <c r="N536" s="302"/>
      <c r="O536" s="302"/>
      <c r="P536" s="302"/>
      <c r="Q536" s="302"/>
      <c r="R536" s="302"/>
      <c r="S536" s="302"/>
      <c r="T536" s="302"/>
      <c r="U536" s="302"/>
      <c r="V536" s="302"/>
      <c r="W536" s="302"/>
      <c r="X536" s="302"/>
      <c r="Y536" s="302"/>
      <c r="Z536" s="302"/>
    </row>
    <row r="537" spans="1:26" ht="15.55">
      <c r="A537" s="302"/>
      <c r="B537" s="302"/>
      <c r="C537" s="302"/>
      <c r="D537" s="302"/>
      <c r="E537" s="302"/>
      <c r="F537" s="302"/>
      <c r="G537" s="302"/>
      <c r="H537" s="302"/>
      <c r="I537" s="302"/>
      <c r="J537" s="302"/>
      <c r="K537" s="302"/>
      <c r="L537" s="302"/>
      <c r="M537" s="302"/>
      <c r="N537" s="302"/>
      <c r="O537" s="302"/>
      <c r="P537" s="302"/>
      <c r="Q537" s="302"/>
      <c r="R537" s="302"/>
      <c r="S537" s="302"/>
      <c r="T537" s="302"/>
      <c r="U537" s="302"/>
      <c r="V537" s="302"/>
      <c r="W537" s="302"/>
      <c r="X537" s="302"/>
      <c r="Y537" s="302"/>
      <c r="Z537" s="302"/>
    </row>
    <row r="538" spans="1:26" ht="15.55">
      <c r="A538" s="302"/>
      <c r="B538" s="302"/>
      <c r="C538" s="302"/>
      <c r="D538" s="302"/>
      <c r="E538" s="302"/>
      <c r="F538" s="302"/>
      <c r="G538" s="302"/>
      <c r="H538" s="302"/>
      <c r="I538" s="302"/>
      <c r="J538" s="302"/>
      <c r="K538" s="302"/>
      <c r="L538" s="302"/>
      <c r="M538" s="302"/>
      <c r="N538" s="302"/>
      <c r="O538" s="302"/>
      <c r="P538" s="302"/>
      <c r="Q538" s="302"/>
      <c r="R538" s="302"/>
      <c r="S538" s="302"/>
      <c r="T538" s="302"/>
      <c r="U538" s="302"/>
      <c r="V538" s="302"/>
      <c r="W538" s="302"/>
      <c r="X538" s="302"/>
      <c r="Y538" s="302"/>
      <c r="Z538" s="302"/>
    </row>
    <row r="539" spans="1:26" ht="15.55">
      <c r="A539" s="302"/>
      <c r="B539" s="302"/>
      <c r="C539" s="302"/>
      <c r="D539" s="302"/>
      <c r="E539" s="302"/>
      <c r="F539" s="302"/>
      <c r="G539" s="302"/>
      <c r="H539" s="302"/>
      <c r="I539" s="302"/>
      <c r="J539" s="302"/>
      <c r="K539" s="302"/>
      <c r="L539" s="302"/>
      <c r="M539" s="302"/>
      <c r="N539" s="302"/>
      <c r="O539" s="302"/>
      <c r="P539" s="302"/>
      <c r="Q539" s="302"/>
      <c r="R539" s="302"/>
      <c r="S539" s="302"/>
      <c r="T539" s="302"/>
      <c r="U539" s="302"/>
      <c r="V539" s="302"/>
      <c r="W539" s="302"/>
      <c r="X539" s="302"/>
      <c r="Y539" s="302"/>
      <c r="Z539" s="302"/>
    </row>
    <row r="540" spans="1:26" ht="15.55">
      <c r="A540" s="302"/>
      <c r="B540" s="302"/>
      <c r="C540" s="302"/>
      <c r="D540" s="302"/>
      <c r="E540" s="302"/>
      <c r="F540" s="302"/>
      <c r="G540" s="302"/>
      <c r="H540" s="302"/>
      <c r="I540" s="302"/>
      <c r="J540" s="302"/>
      <c r="K540" s="302"/>
      <c r="L540" s="302"/>
      <c r="M540" s="302"/>
      <c r="N540" s="302"/>
      <c r="O540" s="302"/>
      <c r="P540" s="302"/>
      <c r="Q540" s="302"/>
      <c r="R540" s="302"/>
      <c r="S540" s="302"/>
      <c r="T540" s="302"/>
      <c r="U540" s="302"/>
      <c r="V540" s="302"/>
      <c r="W540" s="302"/>
      <c r="X540" s="302"/>
      <c r="Y540" s="302"/>
      <c r="Z540" s="302"/>
    </row>
    <row r="541" spans="1:26" ht="15.55">
      <c r="A541" s="302"/>
      <c r="B541" s="302"/>
      <c r="C541" s="302"/>
      <c r="D541" s="302"/>
      <c r="E541" s="302"/>
      <c r="F541" s="302"/>
      <c r="G541" s="302"/>
      <c r="H541" s="302"/>
      <c r="I541" s="302"/>
      <c r="J541" s="302"/>
      <c r="K541" s="302"/>
      <c r="L541" s="302"/>
      <c r="M541" s="302"/>
      <c r="N541" s="302"/>
      <c r="O541" s="302"/>
      <c r="P541" s="302"/>
      <c r="Q541" s="302"/>
      <c r="R541" s="302"/>
      <c r="S541" s="302"/>
      <c r="T541" s="302"/>
      <c r="U541" s="302"/>
      <c r="V541" s="302"/>
      <c r="W541" s="302"/>
      <c r="X541" s="302"/>
      <c r="Y541" s="302"/>
      <c r="Z541" s="302"/>
    </row>
    <row r="542" spans="1:26" ht="15.55">
      <c r="A542" s="302"/>
      <c r="B542" s="302"/>
      <c r="C542" s="302"/>
      <c r="D542" s="302"/>
      <c r="E542" s="302"/>
      <c r="F542" s="302"/>
      <c r="G542" s="302"/>
      <c r="H542" s="302"/>
      <c r="I542" s="302"/>
      <c r="J542" s="302"/>
      <c r="K542" s="302"/>
      <c r="L542" s="302"/>
      <c r="M542" s="302"/>
      <c r="N542" s="302"/>
      <c r="O542" s="302"/>
      <c r="P542" s="302"/>
      <c r="Q542" s="302"/>
      <c r="R542" s="302"/>
      <c r="S542" s="302"/>
      <c r="T542" s="302"/>
      <c r="U542" s="302"/>
      <c r="V542" s="302"/>
      <c r="W542" s="302"/>
      <c r="X542" s="302"/>
      <c r="Y542" s="302"/>
      <c r="Z542" s="302"/>
    </row>
    <row r="543" spans="1:26" ht="15.55">
      <c r="A543" s="302"/>
      <c r="B543" s="302"/>
      <c r="C543" s="302"/>
      <c r="D543" s="302"/>
      <c r="E543" s="302"/>
      <c r="F543" s="302"/>
      <c r="G543" s="302"/>
      <c r="H543" s="302"/>
      <c r="I543" s="302"/>
      <c r="J543" s="302"/>
      <c r="K543" s="302"/>
      <c r="L543" s="302"/>
      <c r="M543" s="302"/>
      <c r="N543" s="302"/>
      <c r="O543" s="302"/>
      <c r="P543" s="302"/>
      <c r="Q543" s="302"/>
      <c r="R543" s="302"/>
      <c r="S543" s="302"/>
      <c r="T543" s="302"/>
      <c r="U543" s="302"/>
      <c r="V543" s="302"/>
      <c r="W543" s="302"/>
      <c r="X543" s="302"/>
      <c r="Y543" s="302"/>
      <c r="Z543" s="302"/>
    </row>
    <row r="544" spans="1:26" ht="15.55">
      <c r="A544" s="302"/>
      <c r="B544" s="302"/>
      <c r="C544" s="302"/>
      <c r="D544" s="302"/>
      <c r="E544" s="302"/>
      <c r="F544" s="302"/>
      <c r="G544" s="302"/>
      <c r="H544" s="302"/>
      <c r="I544" s="302"/>
      <c r="J544" s="302"/>
      <c r="K544" s="302"/>
      <c r="L544" s="302"/>
      <c r="M544" s="302"/>
      <c r="N544" s="302"/>
      <c r="O544" s="302"/>
      <c r="P544" s="302"/>
      <c r="Q544" s="302"/>
      <c r="R544" s="302"/>
      <c r="S544" s="302"/>
      <c r="T544" s="302"/>
      <c r="U544" s="302"/>
      <c r="V544" s="302"/>
      <c r="W544" s="302"/>
      <c r="X544" s="302"/>
      <c r="Y544" s="302"/>
      <c r="Z544" s="302"/>
    </row>
    <row r="545" spans="1:26" ht="15.55">
      <c r="A545" s="302"/>
      <c r="B545" s="302"/>
      <c r="C545" s="302"/>
      <c r="D545" s="302"/>
      <c r="E545" s="302"/>
      <c r="F545" s="302"/>
      <c r="G545" s="302"/>
      <c r="H545" s="302"/>
      <c r="I545" s="302"/>
      <c r="J545" s="302"/>
      <c r="K545" s="302"/>
      <c r="L545" s="302"/>
      <c r="M545" s="302"/>
      <c r="N545" s="302"/>
      <c r="O545" s="302"/>
      <c r="P545" s="302"/>
      <c r="Q545" s="302"/>
      <c r="R545" s="302"/>
      <c r="S545" s="302"/>
      <c r="T545" s="302"/>
      <c r="U545" s="302"/>
      <c r="V545" s="302"/>
      <c r="W545" s="302"/>
      <c r="X545" s="302"/>
      <c r="Y545" s="302"/>
      <c r="Z545" s="302"/>
    </row>
    <row r="546" spans="1:26" ht="15.55">
      <c r="A546" s="302"/>
      <c r="B546" s="302"/>
      <c r="C546" s="302"/>
      <c r="D546" s="302"/>
      <c r="E546" s="302"/>
      <c r="F546" s="302"/>
      <c r="G546" s="302"/>
      <c r="H546" s="302"/>
      <c r="I546" s="302"/>
      <c r="J546" s="302"/>
      <c r="K546" s="302"/>
      <c r="L546" s="302"/>
      <c r="M546" s="302"/>
      <c r="N546" s="302"/>
      <c r="O546" s="302"/>
      <c r="P546" s="302"/>
      <c r="Q546" s="302"/>
      <c r="R546" s="302"/>
      <c r="S546" s="302"/>
      <c r="T546" s="302"/>
      <c r="U546" s="302"/>
      <c r="V546" s="302"/>
      <c r="W546" s="302"/>
      <c r="X546" s="302"/>
      <c r="Y546" s="302"/>
      <c r="Z546" s="302"/>
    </row>
    <row r="547" spans="1:26" ht="15.55">
      <c r="A547" s="302"/>
      <c r="B547" s="302"/>
      <c r="C547" s="302"/>
      <c r="D547" s="302"/>
      <c r="E547" s="302"/>
      <c r="F547" s="302"/>
      <c r="G547" s="302"/>
      <c r="H547" s="302"/>
      <c r="I547" s="302"/>
      <c r="J547" s="302"/>
      <c r="K547" s="302"/>
      <c r="L547" s="302"/>
      <c r="M547" s="302"/>
      <c r="N547" s="302"/>
      <c r="O547" s="302"/>
      <c r="P547" s="302"/>
      <c r="Q547" s="302"/>
      <c r="R547" s="302"/>
      <c r="S547" s="302"/>
      <c r="T547" s="302"/>
      <c r="U547" s="302"/>
      <c r="V547" s="302"/>
      <c r="W547" s="302"/>
      <c r="X547" s="302"/>
      <c r="Y547" s="302"/>
      <c r="Z547" s="302"/>
    </row>
    <row r="548" spans="1:26" ht="15.55">
      <c r="A548" s="302"/>
      <c r="B548" s="302"/>
      <c r="C548" s="302"/>
      <c r="D548" s="302"/>
      <c r="E548" s="302"/>
      <c r="F548" s="302"/>
      <c r="G548" s="302"/>
      <c r="H548" s="302"/>
      <c r="I548" s="302"/>
      <c r="J548" s="302"/>
      <c r="K548" s="302"/>
      <c r="L548" s="302"/>
      <c r="M548" s="302"/>
      <c r="N548" s="302"/>
      <c r="O548" s="302"/>
      <c r="P548" s="302"/>
      <c r="Q548" s="302"/>
      <c r="R548" s="302"/>
      <c r="S548" s="302"/>
      <c r="T548" s="302"/>
      <c r="U548" s="302"/>
      <c r="V548" s="302"/>
      <c r="W548" s="302"/>
      <c r="X548" s="302"/>
      <c r="Y548" s="302"/>
      <c r="Z548" s="302"/>
    </row>
    <row r="549" spans="1:26" ht="15.55">
      <c r="A549" s="302"/>
      <c r="B549" s="302"/>
      <c r="C549" s="302"/>
      <c r="D549" s="302"/>
      <c r="E549" s="302"/>
      <c r="F549" s="302"/>
      <c r="G549" s="302"/>
      <c r="H549" s="302"/>
      <c r="I549" s="302"/>
      <c r="J549" s="302"/>
      <c r="K549" s="302"/>
      <c r="L549" s="302"/>
      <c r="M549" s="302"/>
      <c r="N549" s="302"/>
      <c r="O549" s="302"/>
      <c r="P549" s="302"/>
      <c r="Q549" s="302"/>
      <c r="R549" s="302"/>
      <c r="S549" s="302"/>
      <c r="T549" s="302"/>
      <c r="U549" s="302"/>
      <c r="V549" s="302"/>
      <c r="W549" s="302"/>
      <c r="X549" s="302"/>
      <c r="Y549" s="302"/>
      <c r="Z549" s="302"/>
    </row>
    <row r="550" spans="1:26" ht="15.55">
      <c r="A550" s="302"/>
      <c r="B550" s="302"/>
      <c r="C550" s="302"/>
      <c r="D550" s="302"/>
      <c r="E550" s="302"/>
      <c r="F550" s="302"/>
      <c r="G550" s="302"/>
      <c r="H550" s="302"/>
      <c r="I550" s="302"/>
      <c r="J550" s="302"/>
      <c r="K550" s="302"/>
      <c r="L550" s="302"/>
      <c r="M550" s="302"/>
      <c r="N550" s="302"/>
      <c r="O550" s="302"/>
      <c r="P550" s="302"/>
      <c r="Q550" s="302"/>
      <c r="R550" s="302"/>
      <c r="S550" s="302"/>
      <c r="T550" s="302"/>
      <c r="U550" s="302"/>
      <c r="V550" s="302"/>
      <c r="W550" s="302"/>
      <c r="X550" s="302"/>
      <c r="Y550" s="302"/>
      <c r="Z550" s="302"/>
    </row>
    <row r="551" spans="1:26" ht="15.55">
      <c r="A551" s="302"/>
      <c r="B551" s="302"/>
      <c r="C551" s="302"/>
      <c r="D551" s="302"/>
      <c r="E551" s="302"/>
      <c r="F551" s="302"/>
      <c r="G551" s="302"/>
      <c r="H551" s="302"/>
      <c r="I551" s="302"/>
      <c r="J551" s="302"/>
      <c r="K551" s="302"/>
      <c r="L551" s="302"/>
      <c r="M551" s="302"/>
      <c r="N551" s="302"/>
      <c r="O551" s="302"/>
      <c r="P551" s="302"/>
      <c r="Q551" s="302"/>
      <c r="R551" s="302"/>
      <c r="S551" s="302"/>
      <c r="T551" s="302"/>
      <c r="U551" s="302"/>
      <c r="V551" s="302"/>
      <c r="W551" s="302"/>
      <c r="X551" s="302"/>
      <c r="Y551" s="302"/>
      <c r="Z551" s="302"/>
    </row>
    <row r="552" spans="1:26" ht="15.55">
      <c r="A552" s="302"/>
      <c r="B552" s="302"/>
      <c r="C552" s="302"/>
      <c r="D552" s="302"/>
      <c r="E552" s="302"/>
      <c r="F552" s="302"/>
      <c r="G552" s="302"/>
      <c r="H552" s="302"/>
      <c r="I552" s="302"/>
      <c r="J552" s="302"/>
      <c r="K552" s="302"/>
      <c r="L552" s="302"/>
      <c r="M552" s="302"/>
      <c r="N552" s="302"/>
      <c r="O552" s="302"/>
      <c r="P552" s="302"/>
      <c r="Q552" s="302"/>
      <c r="R552" s="302"/>
      <c r="S552" s="302"/>
      <c r="T552" s="302"/>
      <c r="U552" s="302"/>
      <c r="V552" s="302"/>
      <c r="W552" s="302"/>
      <c r="X552" s="302"/>
      <c r="Y552" s="302"/>
      <c r="Z552" s="302"/>
    </row>
    <row r="553" spans="1:26" ht="15.55">
      <c r="A553" s="302"/>
      <c r="B553" s="302"/>
      <c r="C553" s="302"/>
      <c r="D553" s="302"/>
      <c r="E553" s="302"/>
      <c r="F553" s="302"/>
      <c r="G553" s="302"/>
      <c r="H553" s="302"/>
      <c r="I553" s="302"/>
      <c r="J553" s="302"/>
      <c r="K553" s="302"/>
      <c r="L553" s="302"/>
      <c r="M553" s="302"/>
      <c r="N553" s="302"/>
      <c r="O553" s="302"/>
      <c r="P553" s="302"/>
      <c r="Q553" s="302"/>
      <c r="R553" s="302"/>
      <c r="S553" s="302"/>
      <c r="T553" s="302"/>
      <c r="U553" s="302"/>
      <c r="V553" s="302"/>
      <c r="W553" s="302"/>
      <c r="X553" s="302"/>
      <c r="Y553" s="302"/>
      <c r="Z553" s="302"/>
    </row>
    <row r="554" spans="1:26" ht="15.55">
      <c r="A554" s="302"/>
      <c r="B554" s="302"/>
      <c r="C554" s="302"/>
      <c r="D554" s="302"/>
      <c r="E554" s="302"/>
      <c r="F554" s="302"/>
      <c r="G554" s="302"/>
      <c r="H554" s="302"/>
      <c r="I554" s="302"/>
      <c r="J554" s="302"/>
      <c r="K554" s="302"/>
      <c r="L554" s="302"/>
      <c r="M554" s="302"/>
      <c r="N554" s="302"/>
      <c r="O554" s="302"/>
      <c r="P554" s="302"/>
      <c r="Q554" s="302"/>
      <c r="R554" s="302"/>
      <c r="S554" s="302"/>
      <c r="T554" s="302"/>
      <c r="U554" s="302"/>
      <c r="V554" s="302"/>
      <c r="W554" s="302"/>
      <c r="X554" s="302"/>
      <c r="Y554" s="302"/>
      <c r="Z554" s="302"/>
    </row>
    <row r="555" spans="1:26" ht="15.55">
      <c r="A555" s="302"/>
      <c r="B555" s="302"/>
      <c r="C555" s="302"/>
      <c r="D555" s="302"/>
      <c r="E555" s="302"/>
      <c r="F555" s="302"/>
      <c r="G555" s="302"/>
      <c r="H555" s="302"/>
      <c r="I555" s="302"/>
      <c r="J555" s="302"/>
      <c r="K555" s="302"/>
      <c r="L555" s="302"/>
      <c r="M555" s="302"/>
      <c r="N555" s="302"/>
      <c r="O555" s="302"/>
      <c r="P555" s="302"/>
      <c r="Q555" s="302"/>
      <c r="R555" s="302"/>
      <c r="S555" s="302"/>
      <c r="T555" s="302"/>
      <c r="U555" s="302"/>
      <c r="V555" s="302"/>
      <c r="W555" s="302"/>
      <c r="X555" s="302"/>
      <c r="Y555" s="302"/>
      <c r="Z555" s="302"/>
    </row>
    <row r="556" spans="1:26" ht="15.55">
      <c r="A556" s="302"/>
      <c r="B556" s="302"/>
      <c r="C556" s="302"/>
      <c r="D556" s="302"/>
      <c r="E556" s="302"/>
      <c r="F556" s="302"/>
      <c r="G556" s="302"/>
      <c r="H556" s="302"/>
      <c r="I556" s="302"/>
      <c r="J556" s="302"/>
      <c r="K556" s="302"/>
      <c r="L556" s="302"/>
      <c r="M556" s="302"/>
      <c r="N556" s="302"/>
      <c r="O556" s="302"/>
      <c r="P556" s="302"/>
      <c r="Q556" s="302"/>
      <c r="R556" s="302"/>
      <c r="S556" s="302"/>
      <c r="T556" s="302"/>
      <c r="U556" s="302"/>
      <c r="V556" s="302"/>
      <c r="W556" s="302"/>
      <c r="X556" s="302"/>
      <c r="Y556" s="302"/>
      <c r="Z556" s="302"/>
    </row>
    <row r="557" spans="1:26" ht="15.55">
      <c r="A557" s="302"/>
      <c r="B557" s="302"/>
      <c r="C557" s="302"/>
      <c r="D557" s="302"/>
      <c r="E557" s="302"/>
      <c r="F557" s="302"/>
      <c r="G557" s="302"/>
      <c r="H557" s="302"/>
      <c r="I557" s="302"/>
      <c r="J557" s="302"/>
      <c r="K557" s="302"/>
      <c r="L557" s="302"/>
      <c r="M557" s="302"/>
      <c r="N557" s="302"/>
      <c r="O557" s="302"/>
      <c r="P557" s="302"/>
      <c r="Q557" s="302"/>
      <c r="R557" s="302"/>
      <c r="S557" s="302"/>
      <c r="T557" s="302"/>
      <c r="U557" s="302"/>
      <c r="V557" s="302"/>
      <c r="W557" s="302"/>
      <c r="X557" s="302"/>
      <c r="Y557" s="302"/>
      <c r="Z557" s="302"/>
    </row>
    <row r="558" spans="1:26" ht="15.55">
      <c r="A558" s="302"/>
      <c r="B558" s="302"/>
      <c r="C558" s="302"/>
      <c r="D558" s="302"/>
      <c r="E558" s="302"/>
      <c r="F558" s="302"/>
      <c r="G558" s="302"/>
      <c r="H558" s="302"/>
      <c r="I558" s="302"/>
      <c r="J558" s="302"/>
      <c r="K558" s="302"/>
      <c r="L558" s="302"/>
      <c r="M558" s="302"/>
      <c r="N558" s="302"/>
      <c r="O558" s="302"/>
      <c r="P558" s="302"/>
      <c r="Q558" s="302"/>
      <c r="R558" s="302"/>
      <c r="S558" s="302"/>
      <c r="T558" s="302"/>
      <c r="U558" s="302"/>
      <c r="V558" s="302"/>
      <c r="W558" s="302"/>
      <c r="X558" s="302"/>
      <c r="Y558" s="302"/>
      <c r="Z558" s="302"/>
    </row>
    <row r="559" spans="1:26" ht="15.55">
      <c r="A559" s="302"/>
      <c r="B559" s="302"/>
      <c r="C559" s="302"/>
      <c r="D559" s="302"/>
      <c r="E559" s="302"/>
      <c r="F559" s="302"/>
      <c r="G559" s="302"/>
      <c r="H559" s="302"/>
      <c r="I559" s="302"/>
      <c r="J559" s="302"/>
      <c r="K559" s="302"/>
      <c r="L559" s="302"/>
      <c r="M559" s="302"/>
      <c r="N559" s="302"/>
      <c r="O559" s="302"/>
      <c r="P559" s="302"/>
      <c r="Q559" s="302"/>
      <c r="R559" s="302"/>
      <c r="S559" s="302"/>
      <c r="T559" s="302"/>
      <c r="U559" s="302"/>
      <c r="V559" s="302"/>
      <c r="W559" s="302"/>
      <c r="X559" s="302"/>
      <c r="Y559" s="302"/>
      <c r="Z559" s="302"/>
    </row>
    <row r="560" spans="1:26" ht="15.55">
      <c r="A560" s="302"/>
      <c r="B560" s="302"/>
      <c r="C560" s="302"/>
      <c r="D560" s="302"/>
      <c r="E560" s="302"/>
      <c r="F560" s="302"/>
      <c r="G560" s="302"/>
      <c r="H560" s="302"/>
      <c r="I560" s="302"/>
      <c r="J560" s="302"/>
      <c r="K560" s="302"/>
      <c r="L560" s="302"/>
      <c r="M560" s="302"/>
      <c r="N560" s="302"/>
      <c r="O560" s="302"/>
      <c r="P560" s="302"/>
      <c r="Q560" s="302"/>
      <c r="R560" s="302"/>
      <c r="S560" s="302"/>
      <c r="T560" s="302"/>
      <c r="U560" s="302"/>
      <c r="V560" s="302"/>
      <c r="W560" s="302"/>
      <c r="X560" s="302"/>
      <c r="Y560" s="302"/>
      <c r="Z560" s="302"/>
    </row>
    <row r="561" spans="1:26" ht="15.55">
      <c r="A561" s="302"/>
      <c r="B561" s="302"/>
      <c r="C561" s="302"/>
      <c r="D561" s="302"/>
      <c r="E561" s="302"/>
      <c r="F561" s="302"/>
      <c r="G561" s="302"/>
      <c r="H561" s="302"/>
      <c r="I561" s="302"/>
      <c r="J561" s="302"/>
      <c r="K561" s="302"/>
      <c r="L561" s="302"/>
      <c r="M561" s="302"/>
      <c r="N561" s="302"/>
      <c r="O561" s="302"/>
      <c r="P561" s="302"/>
      <c r="Q561" s="302"/>
      <c r="R561" s="302"/>
      <c r="S561" s="302"/>
      <c r="T561" s="302"/>
      <c r="U561" s="302"/>
      <c r="V561" s="302"/>
      <c r="W561" s="302"/>
      <c r="X561" s="302"/>
      <c r="Y561" s="302"/>
      <c r="Z561" s="302"/>
    </row>
    <row r="562" spans="1:26" ht="15.55">
      <c r="A562" s="302"/>
      <c r="B562" s="302"/>
      <c r="C562" s="302"/>
      <c r="D562" s="302"/>
      <c r="E562" s="302"/>
      <c r="F562" s="302"/>
      <c r="G562" s="302"/>
      <c r="H562" s="302"/>
      <c r="I562" s="302"/>
      <c r="J562" s="302"/>
      <c r="K562" s="302"/>
      <c r="L562" s="302"/>
      <c r="M562" s="302"/>
      <c r="N562" s="302"/>
      <c r="O562" s="302"/>
      <c r="P562" s="302"/>
      <c r="Q562" s="302"/>
      <c r="R562" s="302"/>
      <c r="S562" s="302"/>
      <c r="T562" s="302"/>
      <c r="U562" s="302"/>
      <c r="V562" s="302"/>
      <c r="W562" s="302"/>
      <c r="X562" s="302"/>
      <c r="Y562" s="302"/>
      <c r="Z562" s="302"/>
    </row>
    <row r="563" spans="1:26" ht="15.55">
      <c r="A563" s="302"/>
      <c r="B563" s="302"/>
      <c r="C563" s="302"/>
      <c r="D563" s="302"/>
      <c r="E563" s="302"/>
      <c r="F563" s="302"/>
      <c r="G563" s="302"/>
      <c r="H563" s="302"/>
      <c r="I563" s="302"/>
      <c r="J563" s="302"/>
      <c r="K563" s="302"/>
      <c r="L563" s="302"/>
      <c r="M563" s="302"/>
      <c r="N563" s="302"/>
      <c r="O563" s="302"/>
      <c r="P563" s="302"/>
      <c r="Q563" s="302"/>
      <c r="R563" s="302"/>
      <c r="S563" s="302"/>
      <c r="T563" s="302"/>
      <c r="U563" s="302"/>
      <c r="V563" s="302"/>
      <c r="W563" s="302"/>
      <c r="X563" s="302"/>
      <c r="Y563" s="302"/>
      <c r="Z563" s="302"/>
    </row>
    <row r="564" spans="1:26" ht="15.55">
      <c r="A564" s="302"/>
      <c r="B564" s="302"/>
      <c r="C564" s="302"/>
      <c r="D564" s="302"/>
      <c r="E564" s="302"/>
      <c r="F564" s="302"/>
      <c r="G564" s="302"/>
      <c r="H564" s="302"/>
      <c r="I564" s="302"/>
      <c r="J564" s="302"/>
      <c r="K564" s="302"/>
      <c r="L564" s="302"/>
      <c r="M564" s="302"/>
      <c r="N564" s="302"/>
      <c r="O564" s="302"/>
      <c r="P564" s="302"/>
      <c r="Q564" s="302"/>
      <c r="R564" s="302"/>
      <c r="S564" s="302"/>
      <c r="T564" s="302"/>
      <c r="U564" s="302"/>
      <c r="V564" s="302"/>
      <c r="W564" s="302"/>
      <c r="X564" s="302"/>
      <c r="Y564" s="302"/>
      <c r="Z564" s="302"/>
    </row>
    <row r="565" spans="1:26" ht="15.55">
      <c r="A565" s="302"/>
      <c r="B565" s="302"/>
      <c r="C565" s="302"/>
      <c r="D565" s="302"/>
      <c r="E565" s="302"/>
      <c r="F565" s="302"/>
      <c r="G565" s="302"/>
      <c r="H565" s="302"/>
      <c r="I565" s="302"/>
      <c r="J565" s="302"/>
      <c r="K565" s="302"/>
      <c r="L565" s="302"/>
      <c r="M565" s="302"/>
      <c r="N565" s="302"/>
      <c r="O565" s="302"/>
      <c r="P565" s="302"/>
      <c r="Q565" s="302"/>
      <c r="R565" s="302"/>
      <c r="S565" s="302"/>
      <c r="T565" s="302"/>
      <c r="U565" s="302"/>
      <c r="V565" s="302"/>
      <c r="W565" s="302"/>
      <c r="X565" s="302"/>
      <c r="Y565" s="302"/>
      <c r="Z565" s="302"/>
    </row>
    <row r="566" spans="1:26" ht="15.55">
      <c r="A566" s="302"/>
      <c r="B566" s="302"/>
      <c r="C566" s="302"/>
      <c r="D566" s="302"/>
      <c r="E566" s="302"/>
      <c r="F566" s="302"/>
      <c r="G566" s="302"/>
      <c r="H566" s="302"/>
      <c r="I566" s="302"/>
      <c r="J566" s="302"/>
      <c r="K566" s="302"/>
      <c r="L566" s="302"/>
      <c r="M566" s="302"/>
      <c r="N566" s="302"/>
      <c r="O566" s="302"/>
      <c r="P566" s="302"/>
      <c r="Q566" s="302"/>
      <c r="R566" s="302"/>
      <c r="S566" s="302"/>
      <c r="T566" s="302"/>
      <c r="U566" s="302"/>
      <c r="V566" s="302"/>
      <c r="W566" s="302"/>
      <c r="X566" s="302"/>
      <c r="Y566" s="302"/>
      <c r="Z566" s="302"/>
    </row>
    <row r="567" spans="1:26" ht="15.55">
      <c r="A567" s="302"/>
      <c r="B567" s="302"/>
      <c r="C567" s="302"/>
      <c r="D567" s="302"/>
      <c r="E567" s="302"/>
      <c r="F567" s="302"/>
      <c r="G567" s="302"/>
      <c r="H567" s="302"/>
      <c r="I567" s="302"/>
      <c r="J567" s="302"/>
      <c r="K567" s="302"/>
      <c r="L567" s="302"/>
      <c r="M567" s="302"/>
      <c r="N567" s="302"/>
      <c r="O567" s="302"/>
      <c r="P567" s="302"/>
      <c r="Q567" s="302"/>
      <c r="R567" s="302"/>
      <c r="S567" s="302"/>
      <c r="T567" s="302"/>
      <c r="U567" s="302"/>
      <c r="V567" s="302"/>
      <c r="W567" s="302"/>
      <c r="X567" s="302"/>
      <c r="Y567" s="302"/>
      <c r="Z567" s="302"/>
    </row>
    <row r="568" spans="1:26" ht="15.55">
      <c r="A568" s="302"/>
      <c r="B568" s="302"/>
      <c r="C568" s="302"/>
      <c r="D568" s="302"/>
      <c r="E568" s="302"/>
      <c r="F568" s="302"/>
      <c r="G568" s="302"/>
      <c r="H568" s="302"/>
      <c r="I568" s="302"/>
      <c r="J568" s="302"/>
      <c r="K568" s="302"/>
      <c r="L568" s="302"/>
      <c r="M568" s="302"/>
      <c r="N568" s="302"/>
      <c r="O568" s="302"/>
      <c r="P568" s="302"/>
      <c r="Q568" s="302"/>
      <c r="R568" s="302"/>
      <c r="S568" s="302"/>
      <c r="T568" s="302"/>
      <c r="U568" s="302"/>
      <c r="V568" s="302"/>
      <c r="W568" s="302"/>
      <c r="X568" s="302"/>
      <c r="Y568" s="302"/>
      <c r="Z568" s="302"/>
    </row>
    <row r="569" spans="1:26" ht="15.55">
      <c r="A569" s="302"/>
      <c r="B569" s="302"/>
      <c r="C569" s="302"/>
      <c r="D569" s="302"/>
      <c r="E569" s="302"/>
      <c r="F569" s="302"/>
      <c r="G569" s="302"/>
      <c r="H569" s="302"/>
      <c r="I569" s="302"/>
      <c r="J569" s="302"/>
      <c r="K569" s="302"/>
      <c r="L569" s="302"/>
      <c r="M569" s="302"/>
      <c r="N569" s="302"/>
      <c r="O569" s="302"/>
      <c r="P569" s="302"/>
      <c r="Q569" s="302"/>
      <c r="R569" s="302"/>
      <c r="S569" s="302"/>
      <c r="T569" s="302"/>
      <c r="U569" s="302"/>
      <c r="V569" s="302"/>
      <c r="W569" s="302"/>
      <c r="X569" s="302"/>
      <c r="Y569" s="302"/>
      <c r="Z569" s="302"/>
    </row>
    <row r="570" spans="1:26" ht="15.55">
      <c r="A570" s="302"/>
      <c r="B570" s="302"/>
      <c r="C570" s="302"/>
      <c r="D570" s="302"/>
      <c r="E570" s="302"/>
      <c r="F570" s="302"/>
      <c r="G570" s="302"/>
      <c r="H570" s="302"/>
      <c r="I570" s="302"/>
      <c r="J570" s="302"/>
      <c r="K570" s="302"/>
      <c r="L570" s="302"/>
      <c r="M570" s="302"/>
      <c r="N570" s="302"/>
      <c r="O570" s="302"/>
      <c r="P570" s="302"/>
      <c r="Q570" s="302"/>
      <c r="R570" s="302"/>
      <c r="S570" s="302"/>
      <c r="T570" s="302"/>
      <c r="U570" s="302"/>
      <c r="V570" s="302"/>
      <c r="W570" s="302"/>
      <c r="X570" s="302"/>
      <c r="Y570" s="302"/>
      <c r="Z570" s="302"/>
    </row>
    <row r="571" spans="1:26" ht="15.55">
      <c r="A571" s="302"/>
      <c r="B571" s="302"/>
      <c r="C571" s="302"/>
      <c r="D571" s="302"/>
      <c r="E571" s="302"/>
      <c r="F571" s="302"/>
      <c r="G571" s="302"/>
      <c r="H571" s="302"/>
      <c r="I571" s="302"/>
      <c r="J571" s="302"/>
      <c r="K571" s="302"/>
      <c r="L571" s="302"/>
      <c r="M571" s="302"/>
      <c r="N571" s="302"/>
      <c r="O571" s="302"/>
      <c r="P571" s="302"/>
      <c r="Q571" s="302"/>
      <c r="R571" s="302"/>
      <c r="S571" s="302"/>
      <c r="T571" s="302"/>
      <c r="U571" s="302"/>
      <c r="V571" s="302"/>
      <c r="W571" s="302"/>
      <c r="X571" s="302"/>
      <c r="Y571" s="302"/>
      <c r="Z571" s="302"/>
    </row>
    <row r="572" spans="1:26" ht="15.55">
      <c r="A572" s="302"/>
      <c r="B572" s="302"/>
      <c r="C572" s="302"/>
      <c r="D572" s="302"/>
      <c r="E572" s="302"/>
      <c r="F572" s="302"/>
      <c r="G572" s="302"/>
      <c r="H572" s="302"/>
      <c r="I572" s="302"/>
      <c r="J572" s="302"/>
      <c r="K572" s="302"/>
      <c r="L572" s="302"/>
      <c r="M572" s="302"/>
      <c r="N572" s="302"/>
      <c r="O572" s="302"/>
      <c r="P572" s="302"/>
      <c r="Q572" s="302"/>
      <c r="R572" s="302"/>
      <c r="S572" s="302"/>
      <c r="T572" s="302"/>
      <c r="U572" s="302"/>
      <c r="V572" s="302"/>
      <c r="W572" s="302"/>
      <c r="X572" s="302"/>
      <c r="Y572" s="302"/>
      <c r="Z572" s="302"/>
    </row>
    <row r="573" spans="1:26" ht="15.55">
      <c r="A573" s="302"/>
      <c r="B573" s="302"/>
      <c r="C573" s="302"/>
      <c r="D573" s="302"/>
      <c r="E573" s="302"/>
      <c r="F573" s="302"/>
      <c r="G573" s="302"/>
      <c r="H573" s="302"/>
      <c r="I573" s="302"/>
      <c r="J573" s="302"/>
      <c r="K573" s="302"/>
      <c r="L573" s="302"/>
      <c r="M573" s="302"/>
      <c r="N573" s="302"/>
      <c r="O573" s="302"/>
      <c r="P573" s="302"/>
      <c r="Q573" s="302"/>
      <c r="R573" s="302"/>
      <c r="S573" s="302"/>
      <c r="T573" s="302"/>
      <c r="U573" s="302"/>
      <c r="V573" s="302"/>
      <c r="W573" s="302"/>
      <c r="X573" s="302"/>
      <c r="Y573" s="302"/>
      <c r="Z573" s="302"/>
    </row>
    <row r="574" spans="1:26" ht="15.55">
      <c r="A574" s="302"/>
      <c r="B574" s="302"/>
      <c r="C574" s="302"/>
      <c r="D574" s="302"/>
      <c r="E574" s="302"/>
      <c r="F574" s="302"/>
      <c r="G574" s="302"/>
      <c r="H574" s="302"/>
      <c r="I574" s="302"/>
      <c r="J574" s="302"/>
      <c r="K574" s="302"/>
      <c r="L574" s="302"/>
      <c r="M574" s="302"/>
      <c r="N574" s="302"/>
      <c r="O574" s="302"/>
      <c r="P574" s="302"/>
      <c r="Q574" s="302"/>
      <c r="R574" s="302"/>
      <c r="S574" s="302"/>
      <c r="T574" s="302"/>
      <c r="U574" s="302"/>
      <c r="V574" s="302"/>
      <c r="W574" s="302"/>
      <c r="X574" s="302"/>
      <c r="Y574" s="302"/>
      <c r="Z574" s="302"/>
    </row>
    <row r="575" spans="1:26" ht="15.55">
      <c r="A575" s="302"/>
      <c r="B575" s="302"/>
      <c r="C575" s="302"/>
      <c r="D575" s="302"/>
      <c r="E575" s="302"/>
      <c r="F575" s="302"/>
      <c r="G575" s="302"/>
      <c r="H575" s="302"/>
      <c r="I575" s="302"/>
      <c r="J575" s="302"/>
      <c r="K575" s="302"/>
      <c r="L575" s="302"/>
      <c r="M575" s="302"/>
      <c r="N575" s="302"/>
      <c r="O575" s="302"/>
      <c r="P575" s="302"/>
      <c r="Q575" s="302"/>
      <c r="R575" s="302"/>
      <c r="S575" s="302"/>
      <c r="T575" s="302"/>
      <c r="U575" s="302"/>
      <c r="V575" s="302"/>
      <c r="W575" s="302"/>
      <c r="X575" s="302"/>
      <c r="Y575" s="302"/>
      <c r="Z575" s="302"/>
    </row>
    <row r="576" spans="1:26" ht="15.55">
      <c r="A576" s="302"/>
      <c r="B576" s="302"/>
      <c r="C576" s="302"/>
      <c r="D576" s="302"/>
      <c r="E576" s="302"/>
      <c r="F576" s="302"/>
      <c r="G576" s="302"/>
      <c r="H576" s="302"/>
      <c r="I576" s="302"/>
      <c r="J576" s="302"/>
      <c r="K576" s="302"/>
      <c r="L576" s="302"/>
      <c r="M576" s="302"/>
      <c r="N576" s="302"/>
      <c r="O576" s="302"/>
      <c r="P576" s="302"/>
      <c r="Q576" s="302"/>
      <c r="R576" s="302"/>
      <c r="S576" s="302"/>
      <c r="T576" s="302"/>
      <c r="U576" s="302"/>
      <c r="V576" s="302"/>
      <c r="W576" s="302"/>
      <c r="X576" s="302"/>
      <c r="Y576" s="302"/>
      <c r="Z576" s="302"/>
    </row>
    <row r="577" spans="1:26" ht="15.55">
      <c r="A577" s="302"/>
      <c r="B577" s="302"/>
      <c r="C577" s="302"/>
      <c r="D577" s="302"/>
      <c r="E577" s="302"/>
      <c r="F577" s="302"/>
      <c r="G577" s="302"/>
      <c r="H577" s="302"/>
      <c r="I577" s="302"/>
      <c r="J577" s="302"/>
      <c r="K577" s="302"/>
      <c r="L577" s="302"/>
      <c r="M577" s="302"/>
      <c r="N577" s="302"/>
      <c r="O577" s="302"/>
      <c r="P577" s="302"/>
      <c r="Q577" s="302"/>
      <c r="R577" s="302"/>
      <c r="S577" s="302"/>
      <c r="T577" s="302"/>
      <c r="U577" s="302"/>
      <c r="V577" s="302"/>
      <c r="W577" s="302"/>
      <c r="X577" s="302"/>
      <c r="Y577" s="302"/>
      <c r="Z577" s="302"/>
    </row>
    <row r="578" spans="1:26" ht="15.55">
      <c r="A578" s="302"/>
      <c r="B578" s="302"/>
      <c r="C578" s="302"/>
      <c r="D578" s="302"/>
      <c r="E578" s="302"/>
      <c r="F578" s="302"/>
      <c r="G578" s="302"/>
      <c r="H578" s="302"/>
      <c r="I578" s="302"/>
      <c r="J578" s="302"/>
      <c r="K578" s="302"/>
      <c r="L578" s="302"/>
      <c r="M578" s="302"/>
      <c r="N578" s="302"/>
      <c r="O578" s="302"/>
      <c r="P578" s="302"/>
      <c r="Q578" s="302"/>
      <c r="R578" s="302"/>
      <c r="S578" s="302"/>
      <c r="T578" s="302"/>
      <c r="U578" s="302"/>
      <c r="V578" s="302"/>
      <c r="W578" s="302"/>
      <c r="X578" s="302"/>
      <c r="Y578" s="302"/>
      <c r="Z578" s="302"/>
    </row>
    <row r="579" spans="1:26" ht="15.55">
      <c r="A579" s="302"/>
      <c r="B579" s="302"/>
      <c r="C579" s="302"/>
      <c r="D579" s="302"/>
      <c r="E579" s="302"/>
      <c r="F579" s="302"/>
      <c r="G579" s="302"/>
      <c r="H579" s="302"/>
      <c r="I579" s="302"/>
      <c r="J579" s="302"/>
      <c r="K579" s="302"/>
      <c r="L579" s="302"/>
      <c r="M579" s="302"/>
      <c r="N579" s="302"/>
      <c r="O579" s="302"/>
      <c r="P579" s="302"/>
      <c r="Q579" s="302"/>
      <c r="R579" s="302"/>
      <c r="S579" s="302"/>
      <c r="T579" s="302"/>
      <c r="U579" s="302"/>
      <c r="V579" s="302"/>
      <c r="W579" s="302"/>
      <c r="X579" s="302"/>
      <c r="Y579" s="302"/>
      <c r="Z579" s="302"/>
    </row>
    <row r="580" spans="1:26" ht="15.55">
      <c r="A580" s="302"/>
      <c r="B580" s="302"/>
      <c r="C580" s="302"/>
      <c r="D580" s="302"/>
      <c r="E580" s="302"/>
      <c r="F580" s="302"/>
      <c r="G580" s="302"/>
      <c r="H580" s="302"/>
      <c r="I580" s="302"/>
      <c r="J580" s="302"/>
      <c r="K580" s="302"/>
      <c r="L580" s="302"/>
      <c r="M580" s="302"/>
      <c r="N580" s="302"/>
      <c r="O580" s="302"/>
      <c r="P580" s="302"/>
      <c r="Q580" s="302"/>
      <c r="R580" s="302"/>
      <c r="S580" s="302"/>
      <c r="T580" s="302"/>
      <c r="U580" s="302"/>
      <c r="V580" s="302"/>
      <c r="W580" s="302"/>
      <c r="X580" s="302"/>
      <c r="Y580" s="302"/>
      <c r="Z580" s="302"/>
    </row>
    <row r="581" spans="1:26" ht="15.55">
      <c r="A581" s="302"/>
      <c r="B581" s="302"/>
      <c r="C581" s="302"/>
      <c r="D581" s="302"/>
      <c r="E581" s="302"/>
      <c r="F581" s="302"/>
      <c r="G581" s="302"/>
      <c r="H581" s="302"/>
      <c r="I581" s="302"/>
      <c r="J581" s="302"/>
      <c r="K581" s="302"/>
      <c r="L581" s="302"/>
      <c r="M581" s="302"/>
      <c r="N581" s="302"/>
      <c r="O581" s="302"/>
      <c r="P581" s="302"/>
      <c r="Q581" s="302"/>
      <c r="R581" s="302"/>
      <c r="S581" s="302"/>
      <c r="T581" s="302"/>
      <c r="U581" s="302"/>
      <c r="V581" s="302"/>
      <c r="W581" s="302"/>
      <c r="X581" s="302"/>
      <c r="Y581" s="302"/>
      <c r="Z581" s="302"/>
    </row>
    <row r="582" spans="1:26" ht="15.55">
      <c r="A582" s="302"/>
      <c r="B582" s="302"/>
      <c r="C582" s="302"/>
      <c r="D582" s="302"/>
      <c r="E582" s="302"/>
      <c r="F582" s="302"/>
      <c r="G582" s="302"/>
      <c r="H582" s="302"/>
      <c r="I582" s="302"/>
      <c r="J582" s="302"/>
      <c r="K582" s="302"/>
      <c r="L582" s="302"/>
      <c r="M582" s="302"/>
      <c r="N582" s="302"/>
      <c r="O582" s="302"/>
      <c r="P582" s="302"/>
      <c r="Q582" s="302"/>
      <c r="R582" s="302"/>
      <c r="S582" s="302"/>
      <c r="T582" s="302"/>
      <c r="U582" s="302"/>
      <c r="V582" s="302"/>
      <c r="W582" s="302"/>
      <c r="X582" s="302"/>
      <c r="Y582" s="302"/>
      <c r="Z582" s="302"/>
    </row>
    <row r="583" spans="1:26" ht="15.55">
      <c r="A583" s="302"/>
      <c r="B583" s="302"/>
      <c r="C583" s="302"/>
      <c r="D583" s="302"/>
      <c r="E583" s="302"/>
      <c r="F583" s="302"/>
      <c r="G583" s="302"/>
      <c r="H583" s="302"/>
      <c r="I583" s="302"/>
      <c r="J583" s="302"/>
      <c r="K583" s="302"/>
      <c r="L583" s="302"/>
      <c r="M583" s="302"/>
      <c r="N583" s="302"/>
      <c r="O583" s="302"/>
      <c r="P583" s="302"/>
      <c r="Q583" s="302"/>
      <c r="R583" s="302"/>
      <c r="S583" s="302"/>
      <c r="T583" s="302"/>
      <c r="U583" s="302"/>
      <c r="V583" s="302"/>
      <c r="W583" s="302"/>
      <c r="X583" s="302"/>
      <c r="Y583" s="302"/>
      <c r="Z583" s="302"/>
    </row>
    <row r="584" spans="1:26" ht="15.55">
      <c r="A584" s="302"/>
      <c r="B584" s="302"/>
      <c r="C584" s="302"/>
      <c r="D584" s="302"/>
      <c r="E584" s="302"/>
      <c r="F584" s="302"/>
      <c r="G584" s="302"/>
      <c r="H584" s="302"/>
      <c r="I584" s="302"/>
      <c r="J584" s="302"/>
      <c r="K584" s="302"/>
      <c r="L584" s="302"/>
      <c r="M584" s="302"/>
      <c r="N584" s="302"/>
      <c r="O584" s="302"/>
      <c r="P584" s="302"/>
      <c r="Q584" s="302"/>
      <c r="R584" s="302"/>
      <c r="S584" s="302"/>
      <c r="T584" s="302"/>
      <c r="U584" s="302"/>
      <c r="V584" s="302"/>
      <c r="W584" s="302"/>
      <c r="X584" s="302"/>
      <c r="Y584" s="302"/>
      <c r="Z584" s="302"/>
    </row>
    <row r="585" spans="1:26" ht="15.55">
      <c r="A585" s="302"/>
      <c r="B585" s="302"/>
      <c r="C585" s="302"/>
      <c r="D585" s="302"/>
      <c r="E585" s="302"/>
      <c r="F585" s="302"/>
      <c r="G585" s="302"/>
      <c r="H585" s="302"/>
      <c r="I585" s="302"/>
      <c r="J585" s="302"/>
      <c r="K585" s="302"/>
      <c r="L585" s="302"/>
      <c r="M585" s="302"/>
      <c r="N585" s="302"/>
      <c r="O585" s="302"/>
      <c r="P585" s="302"/>
      <c r="Q585" s="302"/>
      <c r="R585" s="302"/>
      <c r="S585" s="302"/>
      <c r="T585" s="302"/>
      <c r="U585" s="302"/>
      <c r="V585" s="302"/>
      <c r="W585" s="302"/>
      <c r="X585" s="302"/>
      <c r="Y585" s="302"/>
      <c r="Z585" s="302"/>
    </row>
    <row r="586" spans="1:26" ht="15.55">
      <c r="A586" s="302"/>
      <c r="B586" s="302"/>
      <c r="C586" s="302"/>
      <c r="D586" s="302"/>
      <c r="E586" s="302"/>
      <c r="F586" s="302"/>
      <c r="G586" s="302"/>
      <c r="H586" s="302"/>
      <c r="I586" s="302"/>
      <c r="J586" s="302"/>
      <c r="K586" s="302"/>
      <c r="L586" s="302"/>
      <c r="M586" s="302"/>
      <c r="N586" s="302"/>
      <c r="O586" s="302"/>
      <c r="P586" s="302"/>
      <c r="Q586" s="302"/>
      <c r="R586" s="302"/>
      <c r="S586" s="302"/>
      <c r="T586" s="302"/>
      <c r="U586" s="302"/>
      <c r="V586" s="302"/>
      <c r="W586" s="302"/>
      <c r="X586" s="302"/>
      <c r="Y586" s="302"/>
      <c r="Z586" s="302"/>
    </row>
    <row r="587" spans="1:26" ht="15.55">
      <c r="A587" s="302"/>
      <c r="B587" s="302"/>
      <c r="C587" s="302"/>
      <c r="D587" s="302"/>
      <c r="E587" s="302"/>
      <c r="F587" s="302"/>
      <c r="G587" s="302"/>
      <c r="H587" s="302"/>
      <c r="I587" s="302"/>
      <c r="J587" s="302"/>
      <c r="K587" s="302"/>
      <c r="L587" s="302"/>
      <c r="M587" s="302"/>
      <c r="N587" s="302"/>
      <c r="O587" s="302"/>
      <c r="P587" s="302"/>
      <c r="Q587" s="302"/>
      <c r="R587" s="302"/>
      <c r="S587" s="302"/>
      <c r="T587" s="302"/>
      <c r="U587" s="302"/>
      <c r="V587" s="302"/>
      <c r="W587" s="302"/>
      <c r="X587" s="302"/>
      <c r="Y587" s="302"/>
      <c r="Z587" s="302"/>
    </row>
    <row r="588" spans="1:26" ht="15.55">
      <c r="A588" s="302"/>
      <c r="B588" s="302"/>
      <c r="C588" s="302"/>
      <c r="D588" s="302"/>
      <c r="E588" s="302"/>
      <c r="F588" s="302"/>
      <c r="G588" s="302"/>
      <c r="H588" s="302"/>
      <c r="I588" s="302"/>
      <c r="J588" s="302"/>
      <c r="K588" s="302"/>
      <c r="L588" s="302"/>
      <c r="M588" s="302"/>
      <c r="N588" s="302"/>
      <c r="O588" s="302"/>
      <c r="P588" s="302"/>
      <c r="Q588" s="302"/>
      <c r="R588" s="302"/>
      <c r="S588" s="302"/>
      <c r="T588" s="302"/>
      <c r="U588" s="302"/>
      <c r="V588" s="302"/>
      <c r="W588" s="302"/>
      <c r="X588" s="302"/>
      <c r="Y588" s="302"/>
      <c r="Z588" s="302"/>
    </row>
    <row r="589" spans="1:26" ht="15.55">
      <c r="A589" s="302"/>
      <c r="B589" s="302"/>
      <c r="C589" s="302"/>
      <c r="D589" s="302"/>
      <c r="E589" s="302"/>
      <c r="F589" s="302"/>
      <c r="G589" s="302"/>
      <c r="H589" s="302"/>
      <c r="I589" s="302"/>
      <c r="J589" s="302"/>
      <c r="K589" s="302"/>
      <c r="L589" s="302"/>
      <c r="M589" s="302"/>
      <c r="N589" s="302"/>
      <c r="O589" s="302"/>
      <c r="P589" s="302"/>
      <c r="Q589" s="302"/>
      <c r="R589" s="302"/>
      <c r="S589" s="302"/>
      <c r="T589" s="302"/>
      <c r="U589" s="302"/>
      <c r="V589" s="302"/>
      <c r="W589" s="302"/>
      <c r="X589" s="302"/>
      <c r="Y589" s="302"/>
      <c r="Z589" s="302"/>
    </row>
    <row r="590" spans="1:26" ht="15.55">
      <c r="A590" s="302"/>
      <c r="B590" s="302"/>
      <c r="C590" s="302"/>
      <c r="D590" s="302"/>
      <c r="E590" s="302"/>
      <c r="F590" s="302"/>
      <c r="G590" s="302"/>
      <c r="H590" s="302"/>
      <c r="I590" s="302"/>
      <c r="J590" s="302"/>
      <c r="K590" s="302"/>
      <c r="L590" s="302"/>
      <c r="M590" s="302"/>
      <c r="N590" s="302"/>
      <c r="O590" s="302"/>
      <c r="P590" s="302"/>
      <c r="Q590" s="302"/>
      <c r="R590" s="302"/>
      <c r="S590" s="302"/>
      <c r="T590" s="302"/>
      <c r="U590" s="302"/>
      <c r="V590" s="302"/>
      <c r="W590" s="302"/>
      <c r="X590" s="302"/>
      <c r="Y590" s="302"/>
      <c r="Z590" s="302"/>
    </row>
    <row r="591" spans="1:26" ht="15.55">
      <c r="A591" s="302"/>
      <c r="B591" s="302"/>
      <c r="C591" s="302"/>
      <c r="D591" s="302"/>
      <c r="E591" s="302"/>
      <c r="F591" s="302"/>
      <c r="G591" s="302"/>
      <c r="H591" s="302"/>
      <c r="I591" s="302"/>
      <c r="J591" s="302"/>
      <c r="K591" s="302"/>
      <c r="L591" s="302"/>
      <c r="M591" s="302"/>
      <c r="N591" s="302"/>
      <c r="O591" s="302"/>
      <c r="P591" s="302"/>
      <c r="Q591" s="302"/>
      <c r="R591" s="302"/>
      <c r="S591" s="302"/>
      <c r="T591" s="302"/>
      <c r="U591" s="302"/>
      <c r="V591" s="302"/>
      <c r="W591" s="302"/>
      <c r="X591" s="302"/>
      <c r="Y591" s="302"/>
      <c r="Z591" s="302"/>
    </row>
    <row r="592" spans="1:26" ht="15.55">
      <c r="A592" s="302"/>
      <c r="B592" s="302"/>
      <c r="C592" s="302"/>
      <c r="D592" s="302"/>
      <c r="E592" s="302"/>
      <c r="F592" s="302"/>
      <c r="G592" s="302"/>
      <c r="H592" s="302"/>
      <c r="I592" s="302"/>
      <c r="J592" s="302"/>
      <c r="K592" s="302"/>
      <c r="L592" s="302"/>
      <c r="M592" s="302"/>
      <c r="N592" s="302"/>
      <c r="O592" s="302"/>
      <c r="P592" s="302"/>
      <c r="Q592" s="302"/>
      <c r="R592" s="302"/>
      <c r="S592" s="302"/>
      <c r="T592" s="302"/>
      <c r="U592" s="302"/>
      <c r="V592" s="302"/>
      <c r="W592" s="302"/>
      <c r="X592" s="302"/>
      <c r="Y592" s="302"/>
      <c r="Z592" s="302"/>
    </row>
    <row r="593" spans="1:26" ht="15.55">
      <c r="A593" s="302"/>
      <c r="B593" s="302"/>
      <c r="C593" s="302"/>
      <c r="D593" s="302"/>
      <c r="E593" s="302"/>
      <c r="F593" s="302"/>
      <c r="G593" s="302"/>
      <c r="H593" s="302"/>
      <c r="I593" s="302"/>
      <c r="J593" s="302"/>
      <c r="K593" s="302"/>
      <c r="L593" s="302"/>
      <c r="M593" s="302"/>
      <c r="N593" s="302"/>
      <c r="O593" s="302"/>
      <c r="P593" s="302"/>
      <c r="Q593" s="302"/>
      <c r="R593" s="302"/>
      <c r="S593" s="302"/>
      <c r="T593" s="302"/>
      <c r="U593" s="302"/>
      <c r="V593" s="302"/>
      <c r="W593" s="302"/>
      <c r="X593" s="302"/>
      <c r="Y593" s="302"/>
      <c r="Z593" s="302"/>
    </row>
    <row r="594" spans="1:26" ht="15.55">
      <c r="A594" s="302"/>
      <c r="B594" s="302"/>
      <c r="C594" s="302"/>
      <c r="D594" s="302"/>
      <c r="E594" s="302"/>
      <c r="F594" s="302"/>
      <c r="G594" s="302"/>
      <c r="H594" s="302"/>
      <c r="I594" s="302"/>
      <c r="J594" s="302"/>
      <c r="K594" s="302"/>
      <c r="L594" s="302"/>
      <c r="M594" s="302"/>
      <c r="N594" s="302"/>
      <c r="O594" s="302"/>
      <c r="P594" s="302"/>
      <c r="Q594" s="302"/>
      <c r="R594" s="302"/>
      <c r="S594" s="302"/>
      <c r="T594" s="302"/>
      <c r="U594" s="302"/>
      <c r="V594" s="302"/>
      <c r="W594" s="302"/>
      <c r="X594" s="302"/>
      <c r="Y594" s="302"/>
      <c r="Z594" s="302"/>
    </row>
    <row r="595" spans="1:26" ht="15.55">
      <c r="A595" s="302"/>
      <c r="B595" s="302"/>
      <c r="C595" s="302"/>
      <c r="D595" s="302"/>
      <c r="E595" s="302"/>
      <c r="F595" s="302"/>
      <c r="G595" s="302"/>
      <c r="H595" s="302"/>
      <c r="I595" s="302"/>
      <c r="J595" s="302"/>
      <c r="K595" s="302"/>
      <c r="L595" s="302"/>
      <c r="M595" s="302"/>
      <c r="N595" s="302"/>
      <c r="O595" s="302"/>
      <c r="P595" s="302"/>
      <c r="Q595" s="302"/>
      <c r="R595" s="302"/>
      <c r="S595" s="302"/>
      <c r="T595" s="302"/>
      <c r="U595" s="302"/>
      <c r="V595" s="302"/>
      <c r="W595" s="302"/>
      <c r="X595" s="302"/>
      <c r="Y595" s="302"/>
      <c r="Z595" s="302"/>
    </row>
    <row r="596" spans="1:26" ht="15.55">
      <c r="A596" s="302"/>
      <c r="B596" s="302"/>
      <c r="C596" s="302"/>
      <c r="D596" s="302"/>
      <c r="E596" s="302"/>
      <c r="F596" s="302"/>
      <c r="G596" s="302"/>
      <c r="H596" s="302"/>
      <c r="I596" s="302"/>
      <c r="J596" s="302"/>
      <c r="K596" s="302"/>
      <c r="L596" s="302"/>
      <c r="M596" s="302"/>
      <c r="N596" s="302"/>
      <c r="O596" s="302"/>
      <c r="P596" s="302"/>
      <c r="Q596" s="302"/>
      <c r="R596" s="302"/>
      <c r="S596" s="302"/>
      <c r="T596" s="302"/>
      <c r="U596" s="302"/>
      <c r="V596" s="302"/>
      <c r="W596" s="302"/>
      <c r="X596" s="302"/>
      <c r="Y596" s="302"/>
      <c r="Z596" s="302"/>
    </row>
    <row r="597" spans="1:26" ht="15.55">
      <c r="A597" s="302"/>
      <c r="B597" s="302"/>
      <c r="C597" s="302"/>
      <c r="D597" s="302"/>
      <c r="E597" s="302"/>
      <c r="F597" s="302"/>
      <c r="G597" s="302"/>
      <c r="H597" s="302"/>
      <c r="I597" s="302"/>
      <c r="J597" s="302"/>
      <c r="K597" s="302"/>
      <c r="L597" s="302"/>
      <c r="M597" s="302"/>
      <c r="N597" s="302"/>
      <c r="O597" s="302"/>
      <c r="P597" s="302"/>
      <c r="Q597" s="302"/>
      <c r="R597" s="302"/>
      <c r="S597" s="302"/>
      <c r="T597" s="302"/>
      <c r="U597" s="302"/>
      <c r="V597" s="302"/>
      <c r="W597" s="302"/>
      <c r="X597" s="302"/>
      <c r="Y597" s="302"/>
      <c r="Z597" s="302"/>
    </row>
    <row r="598" spans="1:26" ht="15.55">
      <c r="A598" s="302"/>
      <c r="B598" s="302"/>
      <c r="C598" s="302"/>
      <c r="D598" s="302"/>
      <c r="E598" s="302"/>
      <c r="F598" s="302"/>
      <c r="G598" s="302"/>
      <c r="H598" s="302"/>
      <c r="I598" s="302"/>
      <c r="J598" s="302"/>
      <c r="K598" s="302"/>
      <c r="L598" s="302"/>
      <c r="M598" s="302"/>
      <c r="N598" s="302"/>
      <c r="O598" s="302"/>
      <c r="P598" s="302"/>
      <c r="Q598" s="302"/>
      <c r="R598" s="302"/>
      <c r="S598" s="302"/>
      <c r="T598" s="302"/>
      <c r="U598" s="302"/>
      <c r="V598" s="302"/>
      <c r="W598" s="302"/>
      <c r="X598" s="302"/>
      <c r="Y598" s="302"/>
      <c r="Z598" s="302"/>
    </row>
    <row r="599" spans="1:26" ht="15.55">
      <c r="A599" s="302"/>
      <c r="B599" s="302"/>
      <c r="C599" s="302"/>
      <c r="D599" s="302"/>
      <c r="E599" s="302"/>
      <c r="F599" s="302"/>
      <c r="G599" s="302"/>
      <c r="H599" s="302"/>
      <c r="I599" s="302"/>
      <c r="J599" s="302"/>
      <c r="K599" s="302"/>
      <c r="L599" s="302"/>
      <c r="M599" s="302"/>
      <c r="N599" s="302"/>
      <c r="O599" s="302"/>
      <c r="P599" s="302"/>
      <c r="Q599" s="302"/>
      <c r="R599" s="302"/>
      <c r="S599" s="302"/>
      <c r="T599" s="302"/>
      <c r="U599" s="302"/>
      <c r="V599" s="302"/>
      <c r="W599" s="302"/>
      <c r="X599" s="302"/>
      <c r="Y599" s="302"/>
      <c r="Z599" s="302"/>
    </row>
    <row r="600" spans="1:26" ht="15.55">
      <c r="A600" s="302"/>
      <c r="B600" s="302"/>
      <c r="C600" s="302"/>
      <c r="D600" s="302"/>
      <c r="E600" s="302"/>
      <c r="F600" s="302"/>
      <c r="G600" s="302"/>
      <c r="H600" s="302"/>
      <c r="I600" s="302"/>
      <c r="J600" s="302"/>
      <c r="K600" s="302"/>
      <c r="L600" s="302"/>
      <c r="M600" s="302"/>
      <c r="N600" s="302"/>
      <c r="O600" s="302"/>
      <c r="P600" s="302"/>
      <c r="Q600" s="302"/>
      <c r="R600" s="302"/>
      <c r="S600" s="302"/>
      <c r="T600" s="302"/>
      <c r="U600" s="302"/>
      <c r="V600" s="302"/>
      <c r="W600" s="302"/>
      <c r="X600" s="302"/>
      <c r="Y600" s="302"/>
      <c r="Z600" s="302"/>
    </row>
    <row r="601" spans="1:26" ht="15.55">
      <c r="A601" s="302"/>
      <c r="B601" s="302"/>
      <c r="C601" s="302"/>
      <c r="D601" s="302"/>
      <c r="E601" s="302"/>
      <c r="F601" s="302"/>
      <c r="G601" s="302"/>
      <c r="H601" s="302"/>
      <c r="I601" s="302"/>
      <c r="J601" s="302"/>
      <c r="K601" s="302"/>
      <c r="L601" s="302"/>
      <c r="M601" s="302"/>
      <c r="N601" s="302"/>
      <c r="O601" s="302"/>
      <c r="P601" s="302"/>
      <c r="Q601" s="302"/>
      <c r="R601" s="302"/>
      <c r="S601" s="302"/>
      <c r="T601" s="302"/>
      <c r="U601" s="302"/>
      <c r="V601" s="302"/>
      <c r="W601" s="302"/>
      <c r="X601" s="302"/>
      <c r="Y601" s="302"/>
      <c r="Z601" s="302"/>
    </row>
    <row r="602" spans="1:26" ht="15.55">
      <c r="A602" s="302"/>
      <c r="B602" s="302"/>
      <c r="C602" s="302"/>
      <c r="D602" s="302"/>
      <c r="E602" s="302"/>
      <c r="F602" s="302"/>
      <c r="G602" s="302"/>
      <c r="H602" s="302"/>
      <c r="I602" s="302"/>
      <c r="J602" s="302"/>
      <c r="K602" s="302"/>
      <c r="L602" s="302"/>
      <c r="M602" s="302"/>
      <c r="N602" s="302"/>
      <c r="O602" s="302"/>
      <c r="P602" s="302"/>
      <c r="Q602" s="302"/>
      <c r="R602" s="302"/>
      <c r="S602" s="302"/>
      <c r="T602" s="302"/>
      <c r="U602" s="302"/>
      <c r="V602" s="302"/>
      <c r="W602" s="302"/>
      <c r="X602" s="302"/>
      <c r="Y602" s="302"/>
      <c r="Z602" s="302"/>
    </row>
    <row r="603" spans="1:26" ht="15.55">
      <c r="A603" s="302"/>
      <c r="B603" s="302"/>
      <c r="C603" s="302"/>
      <c r="D603" s="302"/>
      <c r="E603" s="302"/>
      <c r="F603" s="302"/>
      <c r="G603" s="302"/>
      <c r="H603" s="302"/>
      <c r="I603" s="302"/>
      <c r="J603" s="302"/>
      <c r="K603" s="302"/>
      <c r="L603" s="302"/>
      <c r="M603" s="302"/>
      <c r="N603" s="302"/>
      <c r="O603" s="302"/>
      <c r="P603" s="302"/>
      <c r="Q603" s="302"/>
      <c r="R603" s="302"/>
      <c r="S603" s="302"/>
      <c r="T603" s="302"/>
      <c r="U603" s="302"/>
      <c r="V603" s="302"/>
      <c r="W603" s="302"/>
      <c r="X603" s="302"/>
      <c r="Y603" s="302"/>
      <c r="Z603" s="302"/>
    </row>
    <row r="604" spans="1:26" ht="15.55">
      <c r="A604" s="302"/>
      <c r="B604" s="302"/>
      <c r="C604" s="302"/>
      <c r="D604" s="302"/>
      <c r="E604" s="302"/>
      <c r="F604" s="302"/>
      <c r="G604" s="302"/>
      <c r="H604" s="302"/>
      <c r="I604" s="302"/>
      <c r="J604" s="302"/>
      <c r="K604" s="302"/>
      <c r="L604" s="302"/>
      <c r="M604" s="302"/>
      <c r="N604" s="302"/>
      <c r="O604" s="302"/>
      <c r="P604" s="302"/>
      <c r="Q604" s="302"/>
      <c r="R604" s="302"/>
      <c r="S604" s="302"/>
      <c r="T604" s="302"/>
      <c r="U604" s="302"/>
      <c r="V604" s="302"/>
      <c r="W604" s="302"/>
      <c r="X604" s="302"/>
      <c r="Y604" s="302"/>
      <c r="Z604" s="302"/>
    </row>
    <row r="605" spans="1:26" ht="15.55">
      <c r="A605" s="302"/>
      <c r="B605" s="302"/>
      <c r="C605" s="302"/>
      <c r="D605" s="302"/>
      <c r="E605" s="302"/>
      <c r="F605" s="302"/>
      <c r="G605" s="302"/>
      <c r="H605" s="302"/>
      <c r="I605" s="302"/>
      <c r="J605" s="302"/>
      <c r="K605" s="302"/>
      <c r="L605" s="302"/>
      <c r="M605" s="302"/>
      <c r="N605" s="302"/>
      <c r="O605" s="302"/>
      <c r="P605" s="302"/>
      <c r="Q605" s="302"/>
      <c r="R605" s="302"/>
      <c r="S605" s="302"/>
      <c r="T605" s="302"/>
      <c r="U605" s="302"/>
      <c r="V605" s="302"/>
      <c r="W605" s="302"/>
      <c r="X605" s="302"/>
      <c r="Y605" s="302"/>
      <c r="Z605" s="302"/>
    </row>
    <row r="606" spans="1:26" ht="15.55">
      <c r="A606" s="302"/>
      <c r="B606" s="302"/>
      <c r="C606" s="302"/>
      <c r="D606" s="302"/>
      <c r="E606" s="302"/>
      <c r="F606" s="302"/>
      <c r="G606" s="302"/>
      <c r="H606" s="302"/>
      <c r="I606" s="302"/>
      <c r="J606" s="302"/>
      <c r="K606" s="302"/>
      <c r="L606" s="302"/>
      <c r="M606" s="302"/>
      <c r="N606" s="302"/>
      <c r="O606" s="302"/>
      <c r="P606" s="302"/>
      <c r="Q606" s="302"/>
      <c r="R606" s="302"/>
      <c r="S606" s="302"/>
      <c r="T606" s="302"/>
      <c r="U606" s="302"/>
      <c r="V606" s="302"/>
      <c r="W606" s="302"/>
      <c r="X606" s="302"/>
      <c r="Y606" s="302"/>
      <c r="Z606" s="302"/>
    </row>
    <row r="607" spans="1:26" ht="15.55">
      <c r="A607" s="302"/>
      <c r="B607" s="302"/>
      <c r="C607" s="302"/>
      <c r="D607" s="302"/>
      <c r="E607" s="302"/>
      <c r="F607" s="302"/>
      <c r="G607" s="302"/>
      <c r="H607" s="302"/>
      <c r="I607" s="302"/>
      <c r="J607" s="302"/>
      <c r="K607" s="302"/>
      <c r="L607" s="302"/>
      <c r="M607" s="302"/>
      <c r="N607" s="302"/>
      <c r="O607" s="302"/>
      <c r="P607" s="302"/>
      <c r="Q607" s="302"/>
      <c r="R607" s="302"/>
      <c r="S607" s="302"/>
      <c r="T607" s="302"/>
      <c r="U607" s="302"/>
      <c r="V607" s="302"/>
      <c r="W607" s="302"/>
      <c r="X607" s="302"/>
      <c r="Y607" s="302"/>
      <c r="Z607" s="302"/>
    </row>
    <row r="608" spans="1:26" ht="15.55">
      <c r="A608" s="302"/>
      <c r="B608" s="302"/>
      <c r="C608" s="302"/>
      <c r="D608" s="302"/>
      <c r="E608" s="302"/>
      <c r="F608" s="302"/>
      <c r="G608" s="302"/>
      <c r="H608" s="302"/>
      <c r="I608" s="302"/>
      <c r="J608" s="302"/>
      <c r="K608" s="302"/>
      <c r="L608" s="302"/>
      <c r="M608" s="302"/>
      <c r="N608" s="302"/>
      <c r="O608" s="302"/>
      <c r="P608" s="302"/>
      <c r="Q608" s="302"/>
      <c r="R608" s="302"/>
      <c r="S608" s="302"/>
      <c r="T608" s="302"/>
      <c r="U608" s="302"/>
      <c r="V608" s="302"/>
      <c r="W608" s="302"/>
      <c r="X608" s="302"/>
      <c r="Y608" s="302"/>
      <c r="Z608" s="302"/>
    </row>
    <row r="609" spans="1:26" ht="15.55">
      <c r="A609" s="302"/>
      <c r="B609" s="302"/>
      <c r="C609" s="302"/>
      <c r="D609" s="302"/>
      <c r="E609" s="302"/>
      <c r="F609" s="302"/>
      <c r="G609" s="302"/>
      <c r="H609" s="302"/>
      <c r="I609" s="302"/>
      <c r="J609" s="302"/>
      <c r="K609" s="302"/>
      <c r="L609" s="302"/>
      <c r="M609" s="302"/>
      <c r="N609" s="302"/>
      <c r="O609" s="302"/>
      <c r="P609" s="302"/>
      <c r="Q609" s="302"/>
      <c r="R609" s="302"/>
      <c r="S609" s="302"/>
      <c r="T609" s="302"/>
      <c r="U609" s="302"/>
      <c r="V609" s="302"/>
      <c r="W609" s="302"/>
      <c r="X609" s="302"/>
      <c r="Y609" s="302"/>
      <c r="Z609" s="302"/>
    </row>
    <row r="610" spans="1:26" ht="15.55">
      <c r="A610" s="302"/>
      <c r="B610" s="302"/>
      <c r="C610" s="302"/>
      <c r="D610" s="302"/>
      <c r="E610" s="302"/>
      <c r="F610" s="302"/>
      <c r="G610" s="302"/>
      <c r="H610" s="302"/>
      <c r="I610" s="302"/>
      <c r="J610" s="302"/>
      <c r="K610" s="302"/>
      <c r="L610" s="302"/>
      <c r="M610" s="302"/>
      <c r="N610" s="302"/>
      <c r="O610" s="302"/>
      <c r="P610" s="302"/>
      <c r="Q610" s="302"/>
      <c r="R610" s="302"/>
      <c r="S610" s="302"/>
      <c r="T610" s="302"/>
      <c r="U610" s="302"/>
      <c r="V610" s="302"/>
      <c r="W610" s="302"/>
      <c r="X610" s="302"/>
      <c r="Y610" s="302"/>
      <c r="Z610" s="302"/>
    </row>
    <row r="611" spans="1:26" ht="15.55">
      <c r="A611" s="302"/>
      <c r="B611" s="302"/>
      <c r="C611" s="302"/>
      <c r="D611" s="302"/>
      <c r="E611" s="302"/>
      <c r="F611" s="302"/>
      <c r="G611" s="302"/>
      <c r="H611" s="302"/>
      <c r="I611" s="302"/>
      <c r="J611" s="302"/>
      <c r="K611" s="302"/>
      <c r="L611" s="302"/>
      <c r="M611" s="302"/>
      <c r="N611" s="302"/>
      <c r="O611" s="302"/>
      <c r="P611" s="302"/>
      <c r="Q611" s="302"/>
      <c r="R611" s="302"/>
      <c r="S611" s="302"/>
      <c r="T611" s="302"/>
      <c r="U611" s="302"/>
      <c r="V611" s="302"/>
      <c r="W611" s="302"/>
      <c r="X611" s="302"/>
      <c r="Y611" s="302"/>
      <c r="Z611" s="302"/>
    </row>
    <row r="612" spans="1:26" ht="15.55">
      <c r="A612" s="302"/>
      <c r="B612" s="302"/>
      <c r="C612" s="302"/>
      <c r="D612" s="302"/>
      <c r="E612" s="302"/>
      <c r="F612" s="302"/>
      <c r="G612" s="302"/>
      <c r="H612" s="302"/>
      <c r="I612" s="302"/>
      <c r="J612" s="302"/>
      <c r="K612" s="302"/>
      <c r="L612" s="302"/>
      <c r="M612" s="302"/>
      <c r="N612" s="302"/>
      <c r="O612" s="302"/>
      <c r="P612" s="302"/>
      <c r="Q612" s="302"/>
      <c r="R612" s="302"/>
      <c r="S612" s="302"/>
      <c r="T612" s="302"/>
      <c r="U612" s="302"/>
      <c r="V612" s="302"/>
      <c r="W612" s="302"/>
      <c r="X612" s="302"/>
      <c r="Y612" s="302"/>
      <c r="Z612" s="302"/>
    </row>
    <row r="613" spans="1:26" ht="15.55">
      <c r="A613" s="302"/>
      <c r="B613" s="302"/>
      <c r="C613" s="302"/>
      <c r="D613" s="302"/>
      <c r="E613" s="302"/>
      <c r="F613" s="302"/>
      <c r="G613" s="302"/>
      <c r="H613" s="302"/>
      <c r="I613" s="302"/>
      <c r="J613" s="302"/>
      <c r="K613" s="302"/>
      <c r="L613" s="302"/>
      <c r="M613" s="302"/>
      <c r="N613" s="302"/>
      <c r="O613" s="302"/>
      <c r="P613" s="302"/>
      <c r="Q613" s="302"/>
      <c r="R613" s="302"/>
      <c r="S613" s="302"/>
      <c r="T613" s="302"/>
      <c r="U613" s="302"/>
      <c r="V613" s="302"/>
      <c r="W613" s="302"/>
      <c r="X613" s="302"/>
      <c r="Y613" s="302"/>
      <c r="Z613" s="302"/>
    </row>
    <row r="614" spans="1:26" ht="15.55">
      <c r="A614" s="302"/>
      <c r="B614" s="302"/>
      <c r="C614" s="302"/>
      <c r="D614" s="302"/>
      <c r="E614" s="302"/>
      <c r="F614" s="302"/>
      <c r="G614" s="302"/>
      <c r="H614" s="302"/>
      <c r="I614" s="302"/>
      <c r="J614" s="302"/>
      <c r="K614" s="302"/>
      <c r="L614" s="302"/>
      <c r="M614" s="302"/>
      <c r="N614" s="302"/>
      <c r="O614" s="302"/>
      <c r="P614" s="302"/>
      <c r="Q614" s="302"/>
      <c r="R614" s="302"/>
      <c r="S614" s="302"/>
      <c r="T614" s="302"/>
      <c r="U614" s="302"/>
      <c r="V614" s="302"/>
      <c r="W614" s="302"/>
      <c r="X614" s="302"/>
      <c r="Y614" s="302"/>
      <c r="Z614" s="302"/>
    </row>
    <row r="615" spans="1:26" ht="15.55">
      <c r="A615" s="302"/>
      <c r="B615" s="302"/>
      <c r="C615" s="302"/>
      <c r="D615" s="302"/>
      <c r="E615" s="302"/>
      <c r="F615" s="302"/>
      <c r="G615" s="302"/>
      <c r="H615" s="302"/>
      <c r="I615" s="302"/>
      <c r="J615" s="302"/>
      <c r="K615" s="302"/>
      <c r="L615" s="302"/>
      <c r="M615" s="302"/>
      <c r="N615" s="302"/>
      <c r="O615" s="302"/>
      <c r="P615" s="302"/>
      <c r="Q615" s="302"/>
      <c r="R615" s="302"/>
      <c r="S615" s="302"/>
      <c r="T615" s="302"/>
      <c r="U615" s="302"/>
      <c r="V615" s="302"/>
      <c r="W615" s="302"/>
      <c r="X615" s="302"/>
      <c r="Y615" s="302"/>
      <c r="Z615" s="302"/>
    </row>
    <row r="616" spans="1:26" ht="15.55">
      <c r="A616" s="302"/>
      <c r="B616" s="302"/>
      <c r="C616" s="302"/>
      <c r="D616" s="302"/>
      <c r="E616" s="302"/>
      <c r="F616" s="302"/>
      <c r="G616" s="302"/>
      <c r="H616" s="302"/>
      <c r="I616" s="302"/>
      <c r="J616" s="302"/>
      <c r="K616" s="302"/>
      <c r="L616" s="302"/>
      <c r="M616" s="302"/>
      <c r="N616" s="302"/>
      <c r="O616" s="302"/>
      <c r="P616" s="302"/>
      <c r="Q616" s="302"/>
      <c r="R616" s="302"/>
      <c r="S616" s="302"/>
      <c r="T616" s="302"/>
      <c r="U616" s="302"/>
      <c r="V616" s="302"/>
      <c r="W616" s="302"/>
      <c r="X616" s="302"/>
      <c r="Y616" s="302"/>
      <c r="Z616" s="302"/>
    </row>
    <row r="617" spans="1:26" ht="15.55">
      <c r="A617" s="302"/>
      <c r="B617" s="302"/>
      <c r="C617" s="302"/>
      <c r="D617" s="302"/>
      <c r="E617" s="302"/>
      <c r="F617" s="302"/>
      <c r="G617" s="302"/>
      <c r="H617" s="302"/>
      <c r="I617" s="302"/>
      <c r="J617" s="302"/>
      <c r="K617" s="302"/>
      <c r="L617" s="302"/>
      <c r="M617" s="302"/>
      <c r="N617" s="302"/>
      <c r="O617" s="302"/>
      <c r="P617" s="302"/>
      <c r="Q617" s="302"/>
      <c r="R617" s="302"/>
      <c r="S617" s="302"/>
      <c r="T617" s="302"/>
      <c r="U617" s="302"/>
      <c r="V617" s="302"/>
      <c r="W617" s="302"/>
      <c r="X617" s="302"/>
      <c r="Y617" s="302"/>
      <c r="Z617" s="302"/>
    </row>
    <row r="618" spans="1:26" ht="15.55">
      <c r="A618" s="302"/>
      <c r="B618" s="302"/>
      <c r="C618" s="302"/>
      <c r="D618" s="302"/>
      <c r="E618" s="302"/>
      <c r="F618" s="302"/>
      <c r="G618" s="302"/>
      <c r="H618" s="302"/>
      <c r="I618" s="302"/>
      <c r="J618" s="302"/>
      <c r="K618" s="302"/>
      <c r="L618" s="302"/>
      <c r="M618" s="302"/>
      <c r="N618" s="302"/>
      <c r="O618" s="302"/>
      <c r="P618" s="302"/>
      <c r="Q618" s="302"/>
      <c r="R618" s="302"/>
      <c r="S618" s="302"/>
      <c r="T618" s="302"/>
      <c r="U618" s="302"/>
      <c r="V618" s="302"/>
      <c r="W618" s="302"/>
      <c r="X618" s="302"/>
      <c r="Y618" s="302"/>
      <c r="Z618" s="302"/>
    </row>
    <row r="619" spans="1:26" ht="15.55">
      <c r="A619" s="302"/>
      <c r="B619" s="302"/>
      <c r="C619" s="302"/>
      <c r="D619" s="302"/>
      <c r="E619" s="302"/>
      <c r="F619" s="302"/>
      <c r="G619" s="302"/>
      <c r="H619" s="302"/>
      <c r="I619" s="302"/>
      <c r="J619" s="302"/>
      <c r="K619" s="302"/>
      <c r="L619" s="302"/>
      <c r="M619" s="302"/>
      <c r="N619" s="302"/>
      <c r="O619" s="302"/>
      <c r="P619" s="302"/>
      <c r="Q619" s="302"/>
      <c r="R619" s="302"/>
      <c r="S619" s="302"/>
      <c r="T619" s="302"/>
      <c r="U619" s="302"/>
      <c r="V619" s="302"/>
      <c r="W619" s="302"/>
      <c r="X619" s="302"/>
      <c r="Y619" s="302"/>
      <c r="Z619" s="302"/>
    </row>
    <row r="620" spans="1:26" ht="15.55">
      <c r="A620" s="302"/>
      <c r="B620" s="302"/>
      <c r="C620" s="302"/>
      <c r="D620" s="302"/>
      <c r="E620" s="302"/>
      <c r="F620" s="302"/>
      <c r="G620" s="302"/>
      <c r="H620" s="302"/>
      <c r="I620" s="302"/>
      <c r="J620" s="302"/>
      <c r="K620" s="302"/>
      <c r="L620" s="302"/>
      <c r="M620" s="302"/>
      <c r="N620" s="302"/>
      <c r="O620" s="302"/>
      <c r="P620" s="302"/>
      <c r="Q620" s="302"/>
      <c r="R620" s="302"/>
      <c r="S620" s="302"/>
      <c r="T620" s="302"/>
      <c r="U620" s="302"/>
      <c r="V620" s="302"/>
      <c r="W620" s="302"/>
      <c r="X620" s="302"/>
      <c r="Y620" s="302"/>
      <c r="Z620" s="302"/>
    </row>
    <row r="621" spans="1:26" ht="15.55">
      <c r="A621" s="302"/>
      <c r="B621" s="302"/>
      <c r="C621" s="302"/>
      <c r="D621" s="302"/>
      <c r="E621" s="302"/>
      <c r="F621" s="302"/>
      <c r="G621" s="302"/>
      <c r="H621" s="302"/>
      <c r="I621" s="302"/>
      <c r="J621" s="302"/>
      <c r="K621" s="302"/>
      <c r="L621" s="302"/>
      <c r="M621" s="302"/>
      <c r="N621" s="302"/>
      <c r="O621" s="302"/>
      <c r="P621" s="302"/>
      <c r="Q621" s="302"/>
      <c r="R621" s="302"/>
      <c r="S621" s="302"/>
      <c r="T621" s="302"/>
      <c r="U621" s="302"/>
      <c r="V621" s="302"/>
      <c r="W621" s="302"/>
      <c r="X621" s="302"/>
      <c r="Y621" s="302"/>
      <c r="Z621" s="302"/>
    </row>
    <row r="622" spans="1:26" ht="15.55">
      <c r="A622" s="302"/>
      <c r="B622" s="302"/>
      <c r="C622" s="302"/>
      <c r="D622" s="302"/>
      <c r="E622" s="302"/>
      <c r="F622" s="302"/>
      <c r="G622" s="302"/>
      <c r="H622" s="302"/>
      <c r="I622" s="302"/>
      <c r="J622" s="302"/>
      <c r="K622" s="302"/>
      <c r="L622" s="302"/>
      <c r="M622" s="302"/>
      <c r="N622" s="302"/>
      <c r="O622" s="302"/>
      <c r="P622" s="302"/>
      <c r="Q622" s="302"/>
      <c r="R622" s="302"/>
      <c r="S622" s="302"/>
      <c r="T622" s="302"/>
      <c r="U622" s="302"/>
      <c r="V622" s="302"/>
      <c r="W622" s="302"/>
      <c r="X622" s="302"/>
      <c r="Y622" s="302"/>
      <c r="Z622" s="302"/>
    </row>
    <row r="623" spans="1:26" ht="15.55">
      <c r="A623" s="302"/>
      <c r="B623" s="302"/>
      <c r="C623" s="302"/>
      <c r="D623" s="302"/>
      <c r="E623" s="302"/>
      <c r="F623" s="302"/>
      <c r="G623" s="302"/>
      <c r="H623" s="302"/>
      <c r="I623" s="302"/>
      <c r="J623" s="302"/>
      <c r="K623" s="302"/>
      <c r="L623" s="302"/>
      <c r="M623" s="302"/>
      <c r="N623" s="302"/>
      <c r="O623" s="302"/>
      <c r="P623" s="302"/>
      <c r="Q623" s="302"/>
      <c r="R623" s="302"/>
      <c r="S623" s="302"/>
      <c r="T623" s="302"/>
      <c r="U623" s="302"/>
      <c r="V623" s="302"/>
      <c r="W623" s="302"/>
      <c r="X623" s="302"/>
      <c r="Y623" s="302"/>
      <c r="Z623" s="302"/>
    </row>
    <row r="624" spans="1:26" ht="15.55">
      <c r="A624" s="302"/>
      <c r="B624" s="302"/>
      <c r="C624" s="302"/>
      <c r="D624" s="302"/>
      <c r="E624" s="302"/>
      <c r="F624" s="302"/>
      <c r="G624" s="302"/>
      <c r="H624" s="302"/>
      <c r="I624" s="302"/>
      <c r="J624" s="302"/>
      <c r="K624" s="302"/>
      <c r="L624" s="302"/>
      <c r="M624" s="302"/>
      <c r="N624" s="302"/>
      <c r="O624" s="302"/>
      <c r="P624" s="302"/>
      <c r="Q624" s="302"/>
      <c r="R624" s="302"/>
      <c r="S624" s="302"/>
      <c r="T624" s="302"/>
      <c r="U624" s="302"/>
      <c r="V624" s="302"/>
      <c r="W624" s="302"/>
      <c r="X624" s="302"/>
      <c r="Y624" s="302"/>
      <c r="Z624" s="302"/>
    </row>
    <row r="625" spans="1:26" ht="15.55">
      <c r="A625" s="302"/>
      <c r="B625" s="302"/>
      <c r="C625" s="302"/>
      <c r="D625" s="302"/>
      <c r="E625" s="302"/>
      <c r="F625" s="302"/>
      <c r="G625" s="302"/>
      <c r="H625" s="302"/>
      <c r="I625" s="302"/>
      <c r="J625" s="302"/>
      <c r="K625" s="302"/>
      <c r="L625" s="302"/>
      <c r="M625" s="302"/>
      <c r="N625" s="302"/>
      <c r="O625" s="302"/>
      <c r="P625" s="302"/>
      <c r="Q625" s="302"/>
      <c r="R625" s="302"/>
      <c r="S625" s="302"/>
      <c r="T625" s="302"/>
      <c r="U625" s="302"/>
      <c r="V625" s="302"/>
      <c r="W625" s="302"/>
      <c r="X625" s="302"/>
      <c r="Y625" s="302"/>
      <c r="Z625" s="302"/>
    </row>
    <row r="626" spans="1:26" ht="15.55">
      <c r="A626" s="302"/>
      <c r="B626" s="302"/>
      <c r="C626" s="302"/>
      <c r="D626" s="302"/>
      <c r="E626" s="302"/>
      <c r="F626" s="302"/>
      <c r="G626" s="302"/>
      <c r="H626" s="302"/>
      <c r="I626" s="302"/>
      <c r="J626" s="302"/>
      <c r="K626" s="302"/>
      <c r="L626" s="302"/>
      <c r="M626" s="302"/>
      <c r="N626" s="302"/>
      <c r="O626" s="302"/>
      <c r="P626" s="302"/>
      <c r="Q626" s="302"/>
      <c r="R626" s="302"/>
      <c r="S626" s="302"/>
      <c r="T626" s="302"/>
      <c r="U626" s="302"/>
      <c r="V626" s="302"/>
      <c r="W626" s="302"/>
      <c r="X626" s="302"/>
      <c r="Y626" s="302"/>
      <c r="Z626" s="302"/>
    </row>
    <row r="627" spans="1:26" ht="15.55">
      <c r="A627" s="302"/>
      <c r="B627" s="302"/>
      <c r="C627" s="302"/>
      <c r="D627" s="302"/>
      <c r="E627" s="302"/>
      <c r="F627" s="302"/>
      <c r="G627" s="302"/>
      <c r="H627" s="302"/>
      <c r="I627" s="302"/>
      <c r="J627" s="302"/>
      <c r="K627" s="302"/>
      <c r="L627" s="302"/>
      <c r="M627" s="302"/>
      <c r="N627" s="302"/>
      <c r="O627" s="302"/>
      <c r="P627" s="302"/>
      <c r="Q627" s="302"/>
      <c r="R627" s="302"/>
      <c r="S627" s="302"/>
      <c r="T627" s="302"/>
      <c r="U627" s="302"/>
      <c r="V627" s="302"/>
      <c r="W627" s="302"/>
      <c r="X627" s="302"/>
      <c r="Y627" s="302"/>
      <c r="Z627" s="302"/>
    </row>
    <row r="628" spans="1:26" ht="15.55">
      <c r="A628" s="302"/>
      <c r="B628" s="302"/>
      <c r="C628" s="302"/>
      <c r="D628" s="302"/>
      <c r="E628" s="302"/>
      <c r="F628" s="302"/>
      <c r="G628" s="302"/>
      <c r="H628" s="302"/>
      <c r="I628" s="302"/>
      <c r="J628" s="302"/>
      <c r="K628" s="302"/>
      <c r="L628" s="302"/>
      <c r="M628" s="302"/>
      <c r="N628" s="302"/>
      <c r="O628" s="302"/>
      <c r="P628" s="302"/>
      <c r="Q628" s="302"/>
      <c r="R628" s="302"/>
      <c r="S628" s="302"/>
      <c r="T628" s="302"/>
      <c r="U628" s="302"/>
      <c r="V628" s="302"/>
      <c r="W628" s="302"/>
      <c r="X628" s="302"/>
      <c r="Y628" s="302"/>
      <c r="Z628" s="302"/>
    </row>
    <row r="629" spans="1:26" ht="15.55">
      <c r="A629" s="302"/>
      <c r="B629" s="302"/>
      <c r="C629" s="302"/>
      <c r="D629" s="302"/>
      <c r="E629" s="302"/>
      <c r="F629" s="302"/>
      <c r="G629" s="302"/>
      <c r="H629" s="302"/>
      <c r="I629" s="302"/>
      <c r="J629" s="302"/>
      <c r="K629" s="302"/>
      <c r="L629" s="302"/>
      <c r="M629" s="302"/>
      <c r="N629" s="302"/>
      <c r="O629" s="302"/>
      <c r="P629" s="302"/>
      <c r="Q629" s="302"/>
      <c r="R629" s="302"/>
      <c r="S629" s="302"/>
      <c r="T629" s="302"/>
      <c r="U629" s="302"/>
      <c r="V629" s="302"/>
      <c r="W629" s="302"/>
      <c r="X629" s="302"/>
      <c r="Y629" s="302"/>
      <c r="Z629" s="302"/>
    </row>
    <row r="630" spans="1:26" ht="15.55">
      <c r="A630" s="302"/>
      <c r="B630" s="302"/>
      <c r="C630" s="302"/>
      <c r="D630" s="302"/>
      <c r="E630" s="302"/>
      <c r="F630" s="302"/>
      <c r="G630" s="302"/>
      <c r="H630" s="302"/>
      <c r="I630" s="302"/>
      <c r="J630" s="302"/>
      <c r="K630" s="302"/>
      <c r="L630" s="302"/>
      <c r="M630" s="302"/>
      <c r="N630" s="302"/>
      <c r="O630" s="302"/>
      <c r="P630" s="302"/>
      <c r="Q630" s="302"/>
      <c r="R630" s="302"/>
      <c r="S630" s="302"/>
      <c r="T630" s="302"/>
      <c r="U630" s="302"/>
      <c r="V630" s="302"/>
      <c r="W630" s="302"/>
      <c r="X630" s="302"/>
      <c r="Y630" s="302"/>
      <c r="Z630" s="302"/>
    </row>
    <row r="631" spans="1:26" ht="15.55">
      <c r="A631" s="302"/>
      <c r="B631" s="302"/>
      <c r="C631" s="302"/>
      <c r="D631" s="302"/>
      <c r="E631" s="302"/>
      <c r="F631" s="302"/>
      <c r="G631" s="302"/>
      <c r="H631" s="302"/>
      <c r="I631" s="302"/>
      <c r="J631" s="302"/>
      <c r="K631" s="302"/>
      <c r="L631" s="302"/>
      <c r="M631" s="302"/>
      <c r="N631" s="302"/>
      <c r="O631" s="302"/>
      <c r="P631" s="302"/>
      <c r="Q631" s="302"/>
      <c r="R631" s="302"/>
      <c r="S631" s="302"/>
      <c r="T631" s="302"/>
      <c r="U631" s="302"/>
      <c r="V631" s="302"/>
      <c r="W631" s="302"/>
      <c r="X631" s="302"/>
      <c r="Y631" s="302"/>
      <c r="Z631" s="302"/>
    </row>
    <row r="632" spans="1:26" ht="15.55">
      <c r="A632" s="302"/>
      <c r="B632" s="302"/>
      <c r="C632" s="302"/>
      <c r="D632" s="302"/>
      <c r="E632" s="302"/>
      <c r="F632" s="302"/>
      <c r="G632" s="302"/>
      <c r="H632" s="302"/>
      <c r="I632" s="302"/>
      <c r="J632" s="302"/>
      <c r="K632" s="302"/>
      <c r="L632" s="302"/>
      <c r="M632" s="302"/>
      <c r="N632" s="302"/>
      <c r="O632" s="302"/>
      <c r="P632" s="302"/>
      <c r="Q632" s="302"/>
      <c r="R632" s="302"/>
      <c r="S632" s="302"/>
      <c r="T632" s="302"/>
      <c r="U632" s="302"/>
      <c r="V632" s="302"/>
      <c r="W632" s="302"/>
      <c r="X632" s="302"/>
      <c r="Y632" s="302"/>
      <c r="Z632" s="302"/>
    </row>
    <row r="633" spans="1:26" ht="15.55">
      <c r="A633" s="302"/>
      <c r="B633" s="302"/>
      <c r="C633" s="302"/>
      <c r="D633" s="302"/>
      <c r="E633" s="302"/>
      <c r="F633" s="302"/>
      <c r="G633" s="302"/>
      <c r="H633" s="302"/>
      <c r="I633" s="302"/>
      <c r="J633" s="302"/>
      <c r="K633" s="302"/>
      <c r="L633" s="302"/>
      <c r="M633" s="302"/>
      <c r="N633" s="302"/>
      <c r="O633" s="302"/>
      <c r="P633" s="302"/>
      <c r="Q633" s="302"/>
      <c r="R633" s="302"/>
      <c r="S633" s="302"/>
      <c r="T633" s="302"/>
      <c r="U633" s="302"/>
      <c r="V633" s="302"/>
      <c r="W633" s="302"/>
      <c r="X633" s="302"/>
      <c r="Y633" s="302"/>
      <c r="Z633" s="302"/>
    </row>
    <row r="634" spans="1:26" ht="15.55">
      <c r="A634" s="302"/>
      <c r="B634" s="302"/>
      <c r="C634" s="302"/>
      <c r="D634" s="302"/>
      <c r="E634" s="302"/>
      <c r="F634" s="302"/>
      <c r="G634" s="302"/>
      <c r="H634" s="302"/>
      <c r="I634" s="302"/>
      <c r="J634" s="302"/>
      <c r="K634" s="302"/>
      <c r="L634" s="302"/>
      <c r="M634" s="302"/>
      <c r="N634" s="302"/>
      <c r="O634" s="302"/>
      <c r="P634" s="302"/>
      <c r="Q634" s="302"/>
      <c r="R634" s="302"/>
      <c r="S634" s="302"/>
      <c r="T634" s="302"/>
      <c r="U634" s="302"/>
      <c r="V634" s="302"/>
      <c r="W634" s="302"/>
      <c r="X634" s="302"/>
      <c r="Y634" s="302"/>
      <c r="Z634" s="302"/>
    </row>
    <row r="635" spans="1:26" ht="15.55">
      <c r="A635" s="302"/>
      <c r="B635" s="302"/>
      <c r="C635" s="302"/>
      <c r="D635" s="302"/>
      <c r="E635" s="302"/>
      <c r="F635" s="302"/>
      <c r="G635" s="302"/>
      <c r="H635" s="302"/>
      <c r="I635" s="302"/>
      <c r="J635" s="302"/>
      <c r="K635" s="302"/>
      <c r="L635" s="302"/>
      <c r="M635" s="302"/>
      <c r="N635" s="302"/>
      <c r="O635" s="302"/>
      <c r="P635" s="302"/>
      <c r="Q635" s="302"/>
      <c r="R635" s="302"/>
      <c r="S635" s="302"/>
      <c r="T635" s="302"/>
      <c r="U635" s="302"/>
      <c r="V635" s="302"/>
      <c r="W635" s="302"/>
      <c r="X635" s="302"/>
      <c r="Y635" s="302"/>
      <c r="Z635" s="302"/>
    </row>
    <row r="636" spans="1:26" ht="15.55">
      <c r="A636" s="302"/>
      <c r="B636" s="302"/>
      <c r="C636" s="302"/>
      <c r="D636" s="302"/>
      <c r="E636" s="302"/>
      <c r="F636" s="302"/>
      <c r="G636" s="302"/>
      <c r="H636" s="302"/>
      <c r="I636" s="302"/>
      <c r="J636" s="302"/>
      <c r="K636" s="302"/>
      <c r="L636" s="302"/>
      <c r="M636" s="302"/>
      <c r="N636" s="302"/>
      <c r="O636" s="302"/>
      <c r="P636" s="302"/>
      <c r="Q636" s="302"/>
      <c r="R636" s="302"/>
      <c r="S636" s="302"/>
      <c r="T636" s="302"/>
      <c r="U636" s="302"/>
      <c r="V636" s="302"/>
      <c r="W636" s="302"/>
      <c r="X636" s="302"/>
      <c r="Y636" s="302"/>
      <c r="Z636" s="302"/>
    </row>
    <row r="637" spans="1:26" ht="15.55">
      <c r="A637" s="302"/>
      <c r="B637" s="302"/>
      <c r="C637" s="302"/>
      <c r="D637" s="302"/>
      <c r="E637" s="302"/>
      <c r="F637" s="302"/>
      <c r="G637" s="302"/>
      <c r="H637" s="302"/>
      <c r="I637" s="302"/>
      <c r="J637" s="302"/>
      <c r="K637" s="302"/>
      <c r="L637" s="302"/>
      <c r="M637" s="302"/>
      <c r="N637" s="302"/>
      <c r="O637" s="302"/>
      <c r="P637" s="302"/>
      <c r="Q637" s="302"/>
      <c r="R637" s="302"/>
      <c r="S637" s="302"/>
      <c r="T637" s="302"/>
      <c r="U637" s="302"/>
      <c r="V637" s="302"/>
      <c r="W637" s="302"/>
      <c r="X637" s="302"/>
      <c r="Y637" s="302"/>
      <c r="Z637" s="302"/>
    </row>
    <row r="638" spans="1:26" ht="15.55">
      <c r="A638" s="302"/>
      <c r="B638" s="302"/>
      <c r="C638" s="302"/>
      <c r="D638" s="302"/>
      <c r="E638" s="302"/>
      <c r="F638" s="302"/>
      <c r="G638" s="302"/>
      <c r="H638" s="302"/>
      <c r="I638" s="302"/>
      <c r="J638" s="302"/>
      <c r="K638" s="302"/>
      <c r="L638" s="302"/>
      <c r="M638" s="302"/>
      <c r="N638" s="302"/>
      <c r="O638" s="302"/>
      <c r="P638" s="302"/>
      <c r="Q638" s="302"/>
      <c r="R638" s="302"/>
      <c r="S638" s="302"/>
      <c r="T638" s="302"/>
      <c r="U638" s="302"/>
      <c r="V638" s="302"/>
      <c r="W638" s="302"/>
      <c r="X638" s="302"/>
      <c r="Y638" s="302"/>
      <c r="Z638" s="302"/>
    </row>
    <row r="639" spans="1:26" ht="15.55">
      <c r="A639" s="302"/>
      <c r="B639" s="302"/>
      <c r="C639" s="302"/>
      <c r="D639" s="302"/>
      <c r="E639" s="302"/>
      <c r="F639" s="302"/>
      <c r="G639" s="302"/>
      <c r="H639" s="302"/>
      <c r="I639" s="302"/>
      <c r="J639" s="302"/>
      <c r="K639" s="302"/>
      <c r="L639" s="302"/>
      <c r="M639" s="302"/>
      <c r="N639" s="302"/>
      <c r="O639" s="302"/>
      <c r="P639" s="302"/>
      <c r="Q639" s="302"/>
      <c r="R639" s="302"/>
      <c r="S639" s="302"/>
      <c r="T639" s="302"/>
      <c r="U639" s="302"/>
      <c r="V639" s="302"/>
      <c r="W639" s="302"/>
      <c r="X639" s="302"/>
      <c r="Y639" s="302"/>
      <c r="Z639" s="302"/>
    </row>
    <row r="640" spans="1:26" ht="15.55">
      <c r="A640" s="302"/>
      <c r="B640" s="302"/>
      <c r="C640" s="302"/>
      <c r="D640" s="302"/>
      <c r="E640" s="302"/>
      <c r="F640" s="302"/>
      <c r="G640" s="302"/>
      <c r="H640" s="302"/>
      <c r="I640" s="302"/>
      <c r="J640" s="302"/>
      <c r="K640" s="302"/>
      <c r="L640" s="302"/>
      <c r="M640" s="302"/>
      <c r="N640" s="302"/>
      <c r="O640" s="302"/>
      <c r="P640" s="302"/>
      <c r="Q640" s="302"/>
      <c r="R640" s="302"/>
      <c r="S640" s="302"/>
      <c r="T640" s="302"/>
      <c r="U640" s="302"/>
      <c r="V640" s="302"/>
      <c r="W640" s="302"/>
      <c r="X640" s="302"/>
      <c r="Y640" s="302"/>
      <c r="Z640" s="302"/>
    </row>
    <row r="641" spans="1:26" ht="15.55">
      <c r="A641" s="302"/>
      <c r="B641" s="302"/>
      <c r="C641" s="302"/>
      <c r="D641" s="302"/>
      <c r="E641" s="302"/>
      <c r="F641" s="302"/>
      <c r="G641" s="302"/>
      <c r="H641" s="302"/>
      <c r="I641" s="302"/>
      <c r="J641" s="302"/>
      <c r="K641" s="302"/>
      <c r="L641" s="302"/>
      <c r="M641" s="302"/>
      <c r="N641" s="302"/>
      <c r="O641" s="302"/>
      <c r="P641" s="302"/>
      <c r="Q641" s="302"/>
      <c r="R641" s="302"/>
      <c r="S641" s="302"/>
      <c r="T641" s="302"/>
      <c r="U641" s="302"/>
      <c r="V641" s="302"/>
      <c r="W641" s="302"/>
      <c r="X641" s="302"/>
      <c r="Y641" s="302"/>
      <c r="Z641" s="302"/>
    </row>
    <row r="642" spans="1:26" ht="15.55">
      <c r="A642" s="302"/>
      <c r="B642" s="302"/>
      <c r="C642" s="302"/>
      <c r="D642" s="302"/>
      <c r="E642" s="302"/>
      <c r="F642" s="302"/>
      <c r="G642" s="302"/>
      <c r="H642" s="302"/>
      <c r="I642" s="302"/>
      <c r="J642" s="302"/>
      <c r="K642" s="302"/>
      <c r="L642" s="302"/>
      <c r="M642" s="302"/>
      <c r="N642" s="302"/>
      <c r="O642" s="302"/>
      <c r="P642" s="302"/>
      <c r="Q642" s="302"/>
      <c r="R642" s="302"/>
      <c r="S642" s="302"/>
      <c r="T642" s="302"/>
      <c r="U642" s="302"/>
      <c r="V642" s="302"/>
      <c r="W642" s="302"/>
      <c r="X642" s="302"/>
      <c r="Y642" s="302"/>
      <c r="Z642" s="302"/>
    </row>
    <row r="643" spans="1:26" ht="15.55">
      <c r="A643" s="302"/>
      <c r="B643" s="302"/>
      <c r="C643" s="302"/>
      <c r="D643" s="302"/>
      <c r="E643" s="302"/>
      <c r="F643" s="302"/>
      <c r="G643" s="302"/>
      <c r="H643" s="302"/>
      <c r="I643" s="302"/>
      <c r="J643" s="302"/>
      <c r="K643" s="302"/>
      <c r="L643" s="302"/>
      <c r="M643" s="302"/>
      <c r="N643" s="302"/>
      <c r="O643" s="302"/>
      <c r="P643" s="302"/>
      <c r="Q643" s="302"/>
      <c r="R643" s="302"/>
      <c r="S643" s="302"/>
      <c r="T643" s="302"/>
      <c r="U643" s="302"/>
      <c r="V643" s="302"/>
      <c r="W643" s="302"/>
      <c r="X643" s="302"/>
      <c r="Y643" s="302"/>
      <c r="Z643" s="302"/>
    </row>
    <row r="644" spans="1:26" ht="15.55">
      <c r="A644" s="302"/>
      <c r="B644" s="302"/>
      <c r="C644" s="302"/>
      <c r="D644" s="302"/>
      <c r="E644" s="302"/>
      <c r="F644" s="302"/>
      <c r="G644" s="302"/>
      <c r="H644" s="302"/>
      <c r="I644" s="302"/>
      <c r="J644" s="302"/>
      <c r="K644" s="302"/>
      <c r="L644" s="302"/>
      <c r="M644" s="302"/>
      <c r="N644" s="302"/>
      <c r="O644" s="302"/>
      <c r="P644" s="302"/>
      <c r="Q644" s="302"/>
      <c r="R644" s="302"/>
      <c r="S644" s="302"/>
      <c r="T644" s="302"/>
      <c r="U644" s="302"/>
      <c r="V644" s="302"/>
      <c r="W644" s="302"/>
      <c r="X644" s="302"/>
      <c r="Y644" s="302"/>
      <c r="Z644" s="302"/>
    </row>
    <row r="645" spans="1:26" ht="15.55">
      <c r="A645" s="302"/>
      <c r="B645" s="302"/>
      <c r="C645" s="302"/>
      <c r="D645" s="302"/>
      <c r="E645" s="302"/>
      <c r="F645" s="302"/>
      <c r="G645" s="302"/>
      <c r="H645" s="302"/>
      <c r="I645" s="302"/>
      <c r="J645" s="302"/>
      <c r="K645" s="302"/>
      <c r="L645" s="302"/>
      <c r="M645" s="302"/>
      <c r="N645" s="302"/>
      <c r="O645" s="302"/>
      <c r="P645" s="302"/>
      <c r="Q645" s="302"/>
      <c r="R645" s="302"/>
      <c r="S645" s="302"/>
      <c r="T645" s="302"/>
      <c r="U645" s="302"/>
      <c r="V645" s="302"/>
      <c r="W645" s="302"/>
      <c r="X645" s="302"/>
      <c r="Y645" s="302"/>
      <c r="Z645" s="302"/>
    </row>
    <row r="646" spans="1:26" ht="15.55">
      <c r="A646" s="302"/>
      <c r="B646" s="302"/>
      <c r="C646" s="302"/>
      <c r="D646" s="302"/>
      <c r="E646" s="302"/>
      <c r="F646" s="302"/>
      <c r="G646" s="302"/>
      <c r="H646" s="302"/>
      <c r="I646" s="302"/>
      <c r="J646" s="302"/>
      <c r="K646" s="302"/>
      <c r="L646" s="302"/>
      <c r="M646" s="302"/>
      <c r="N646" s="302"/>
      <c r="O646" s="302"/>
      <c r="P646" s="302"/>
      <c r="Q646" s="302"/>
      <c r="R646" s="302"/>
      <c r="S646" s="302"/>
      <c r="T646" s="302"/>
      <c r="U646" s="302"/>
      <c r="V646" s="302"/>
      <c r="W646" s="302"/>
      <c r="X646" s="302"/>
      <c r="Y646" s="302"/>
      <c r="Z646" s="302"/>
    </row>
    <row r="647" spans="1:26" ht="15.55">
      <c r="A647" s="302"/>
      <c r="B647" s="302"/>
      <c r="C647" s="302"/>
      <c r="D647" s="302"/>
      <c r="E647" s="302"/>
      <c r="F647" s="302"/>
      <c r="G647" s="302"/>
      <c r="H647" s="302"/>
      <c r="I647" s="302"/>
      <c r="J647" s="302"/>
      <c r="K647" s="302"/>
      <c r="L647" s="302"/>
      <c r="M647" s="302"/>
      <c r="N647" s="302"/>
      <c r="O647" s="302"/>
      <c r="P647" s="302"/>
      <c r="Q647" s="302"/>
      <c r="R647" s="302"/>
      <c r="S647" s="302"/>
      <c r="T647" s="302"/>
      <c r="U647" s="302"/>
      <c r="V647" s="302"/>
      <c r="W647" s="302"/>
      <c r="X647" s="302"/>
      <c r="Y647" s="302"/>
      <c r="Z647" s="302"/>
    </row>
    <row r="648" spans="1:26" ht="15.55">
      <c r="A648" s="302"/>
      <c r="B648" s="302"/>
      <c r="C648" s="302"/>
      <c r="D648" s="302"/>
      <c r="E648" s="302"/>
      <c r="F648" s="302"/>
      <c r="G648" s="302"/>
      <c r="H648" s="302"/>
      <c r="I648" s="302"/>
      <c r="J648" s="302"/>
      <c r="K648" s="302"/>
      <c r="L648" s="302"/>
      <c r="M648" s="302"/>
      <c r="N648" s="302"/>
      <c r="O648" s="302"/>
      <c r="P648" s="302"/>
      <c r="Q648" s="302"/>
      <c r="R648" s="302"/>
      <c r="S648" s="302"/>
      <c r="T648" s="302"/>
      <c r="U648" s="302"/>
      <c r="V648" s="302"/>
      <c r="W648" s="302"/>
      <c r="X648" s="302"/>
      <c r="Y648" s="302"/>
      <c r="Z648" s="302"/>
    </row>
    <row r="649" spans="1:26" ht="15.55">
      <c r="A649" s="302"/>
      <c r="B649" s="302"/>
      <c r="C649" s="302"/>
      <c r="D649" s="302"/>
      <c r="E649" s="302"/>
      <c r="F649" s="302"/>
      <c r="G649" s="302"/>
      <c r="H649" s="302"/>
      <c r="I649" s="302"/>
      <c r="J649" s="302"/>
      <c r="K649" s="302"/>
      <c r="L649" s="302"/>
      <c r="M649" s="302"/>
      <c r="N649" s="302"/>
      <c r="O649" s="302"/>
      <c r="P649" s="302"/>
      <c r="Q649" s="302"/>
      <c r="R649" s="302"/>
      <c r="S649" s="302"/>
      <c r="T649" s="302"/>
      <c r="U649" s="302"/>
      <c r="V649" s="302"/>
      <c r="W649" s="302"/>
      <c r="X649" s="302"/>
      <c r="Y649" s="302"/>
      <c r="Z649" s="302"/>
    </row>
    <row r="650" spans="1:26" ht="15.55">
      <c r="A650" s="302"/>
      <c r="B650" s="302"/>
      <c r="C650" s="302"/>
      <c r="D650" s="302"/>
      <c r="E650" s="302"/>
      <c r="F650" s="302"/>
      <c r="G650" s="302"/>
      <c r="H650" s="302"/>
      <c r="I650" s="302"/>
      <c r="J650" s="302"/>
      <c r="K650" s="302"/>
      <c r="L650" s="302"/>
      <c r="M650" s="302"/>
      <c r="N650" s="302"/>
      <c r="O650" s="302"/>
      <c r="P650" s="302"/>
      <c r="Q650" s="302"/>
      <c r="R650" s="302"/>
      <c r="S650" s="302"/>
      <c r="T650" s="302"/>
      <c r="U650" s="302"/>
      <c r="V650" s="302"/>
      <c r="W650" s="302"/>
      <c r="X650" s="302"/>
      <c r="Y650" s="302"/>
      <c r="Z650" s="302"/>
    </row>
    <row r="651" spans="1:26" ht="15.55">
      <c r="A651" s="302"/>
      <c r="B651" s="302"/>
      <c r="C651" s="302"/>
      <c r="D651" s="302"/>
      <c r="E651" s="302"/>
      <c r="F651" s="302"/>
      <c r="G651" s="302"/>
      <c r="H651" s="302"/>
      <c r="I651" s="302"/>
      <c r="J651" s="302"/>
      <c r="K651" s="302"/>
      <c r="L651" s="302"/>
      <c r="M651" s="302"/>
      <c r="N651" s="302"/>
      <c r="O651" s="302"/>
      <c r="P651" s="302"/>
      <c r="Q651" s="302"/>
      <c r="R651" s="302"/>
      <c r="S651" s="302"/>
      <c r="T651" s="302"/>
      <c r="U651" s="302"/>
      <c r="V651" s="302"/>
      <c r="W651" s="302"/>
      <c r="X651" s="302"/>
      <c r="Y651" s="302"/>
      <c r="Z651" s="302"/>
    </row>
    <row r="652" spans="1:26" ht="15.55">
      <c r="A652" s="302"/>
      <c r="B652" s="302"/>
      <c r="C652" s="302"/>
      <c r="D652" s="302"/>
      <c r="E652" s="302"/>
      <c r="F652" s="302"/>
      <c r="G652" s="302"/>
      <c r="H652" s="302"/>
      <c r="I652" s="302"/>
      <c r="J652" s="302"/>
      <c r="K652" s="302"/>
      <c r="L652" s="302"/>
      <c r="M652" s="302"/>
      <c r="N652" s="302"/>
      <c r="O652" s="302"/>
      <c r="P652" s="302"/>
      <c r="Q652" s="302"/>
      <c r="R652" s="302"/>
      <c r="S652" s="302"/>
      <c r="T652" s="302"/>
      <c r="U652" s="302"/>
      <c r="V652" s="302"/>
      <c r="W652" s="302"/>
      <c r="X652" s="302"/>
      <c r="Y652" s="302"/>
      <c r="Z652" s="302"/>
    </row>
    <row r="653" spans="1:26" ht="15.55">
      <c r="A653" s="302"/>
      <c r="B653" s="302"/>
      <c r="C653" s="302"/>
      <c r="D653" s="302"/>
      <c r="E653" s="302"/>
      <c r="F653" s="302"/>
      <c r="G653" s="302"/>
      <c r="H653" s="302"/>
      <c r="I653" s="302"/>
      <c r="J653" s="302"/>
      <c r="K653" s="302"/>
      <c r="L653" s="302"/>
      <c r="M653" s="302"/>
      <c r="N653" s="302"/>
      <c r="O653" s="302"/>
      <c r="P653" s="302"/>
      <c r="Q653" s="302"/>
      <c r="R653" s="302"/>
      <c r="S653" s="302"/>
      <c r="T653" s="302"/>
      <c r="U653" s="302"/>
      <c r="V653" s="302"/>
      <c r="W653" s="302"/>
      <c r="X653" s="302"/>
      <c r="Y653" s="302"/>
      <c r="Z653" s="302"/>
    </row>
    <row r="654" spans="1:26" ht="15.55">
      <c r="A654" s="302"/>
      <c r="B654" s="302"/>
      <c r="C654" s="302"/>
      <c r="D654" s="302"/>
      <c r="E654" s="302"/>
      <c r="F654" s="302"/>
      <c r="G654" s="302"/>
      <c r="H654" s="302"/>
      <c r="I654" s="302"/>
      <c r="J654" s="302"/>
      <c r="K654" s="302"/>
      <c r="L654" s="302"/>
      <c r="M654" s="302"/>
      <c r="N654" s="302"/>
      <c r="O654" s="302"/>
      <c r="P654" s="302"/>
      <c r="Q654" s="302"/>
      <c r="R654" s="302"/>
      <c r="S654" s="302"/>
      <c r="T654" s="302"/>
      <c r="U654" s="302"/>
      <c r="V654" s="302"/>
      <c r="W654" s="302"/>
      <c r="X654" s="302"/>
      <c r="Y654" s="302"/>
      <c r="Z654" s="302"/>
    </row>
    <row r="655" spans="1:26" ht="15.55">
      <c r="A655" s="302"/>
      <c r="B655" s="302"/>
      <c r="C655" s="302"/>
      <c r="D655" s="302"/>
      <c r="E655" s="302"/>
      <c r="F655" s="302"/>
      <c r="G655" s="302"/>
      <c r="H655" s="302"/>
      <c r="I655" s="302"/>
      <c r="J655" s="302"/>
      <c r="K655" s="302"/>
      <c r="L655" s="302"/>
      <c r="M655" s="302"/>
      <c r="N655" s="302"/>
      <c r="O655" s="302"/>
      <c r="P655" s="302"/>
      <c r="Q655" s="302"/>
      <c r="R655" s="302"/>
      <c r="S655" s="302"/>
      <c r="T655" s="302"/>
      <c r="U655" s="302"/>
      <c r="V655" s="302"/>
      <c r="W655" s="302"/>
      <c r="X655" s="302"/>
      <c r="Y655" s="302"/>
      <c r="Z655" s="302"/>
    </row>
    <row r="656" spans="1:26" ht="15.55">
      <c r="A656" s="302"/>
      <c r="B656" s="302"/>
      <c r="C656" s="302"/>
      <c r="D656" s="302"/>
      <c r="E656" s="302"/>
      <c r="F656" s="302"/>
      <c r="G656" s="302"/>
      <c r="H656" s="302"/>
      <c r="I656" s="302"/>
      <c r="J656" s="302"/>
      <c r="K656" s="302"/>
      <c r="L656" s="302"/>
      <c r="M656" s="302"/>
      <c r="N656" s="302"/>
      <c r="O656" s="302"/>
      <c r="P656" s="302"/>
      <c r="Q656" s="302"/>
      <c r="R656" s="302"/>
      <c r="S656" s="302"/>
      <c r="T656" s="302"/>
      <c r="U656" s="302"/>
      <c r="V656" s="302"/>
      <c r="W656" s="302"/>
      <c r="X656" s="302"/>
      <c r="Y656" s="302"/>
      <c r="Z656" s="302"/>
    </row>
    <row r="657" spans="1:26" ht="15.55">
      <c r="A657" s="302"/>
      <c r="B657" s="302"/>
      <c r="C657" s="302"/>
      <c r="D657" s="302"/>
      <c r="E657" s="302"/>
      <c r="F657" s="302"/>
      <c r="G657" s="302"/>
      <c r="H657" s="302"/>
      <c r="I657" s="302"/>
      <c r="J657" s="302"/>
      <c r="K657" s="302"/>
      <c r="L657" s="302"/>
      <c r="M657" s="302"/>
      <c r="N657" s="302"/>
      <c r="O657" s="302"/>
      <c r="P657" s="302"/>
      <c r="Q657" s="302"/>
      <c r="R657" s="302"/>
      <c r="S657" s="302"/>
      <c r="T657" s="302"/>
      <c r="U657" s="302"/>
      <c r="V657" s="302"/>
      <c r="W657" s="302"/>
      <c r="X657" s="302"/>
      <c r="Y657" s="302"/>
      <c r="Z657" s="302"/>
    </row>
    <row r="658" spans="1:26" ht="15.55">
      <c r="A658" s="302"/>
      <c r="B658" s="302"/>
      <c r="C658" s="302"/>
      <c r="D658" s="302"/>
      <c r="E658" s="302"/>
      <c r="F658" s="302"/>
      <c r="G658" s="302"/>
      <c r="H658" s="302"/>
      <c r="I658" s="302"/>
      <c r="J658" s="302"/>
      <c r="K658" s="302"/>
      <c r="L658" s="302"/>
      <c r="M658" s="302"/>
      <c r="N658" s="302"/>
      <c r="O658" s="302"/>
      <c r="P658" s="302"/>
      <c r="Q658" s="302"/>
      <c r="R658" s="302"/>
      <c r="S658" s="302"/>
      <c r="T658" s="302"/>
      <c r="U658" s="302"/>
      <c r="V658" s="302"/>
      <c r="W658" s="302"/>
      <c r="X658" s="302"/>
      <c r="Y658" s="302"/>
      <c r="Z658" s="302"/>
    </row>
    <row r="659" spans="1:26" ht="15.55">
      <c r="A659" s="302"/>
      <c r="B659" s="302"/>
      <c r="C659" s="302"/>
      <c r="D659" s="302"/>
      <c r="E659" s="302"/>
      <c r="F659" s="302"/>
      <c r="G659" s="302"/>
      <c r="H659" s="302"/>
      <c r="I659" s="302"/>
      <c r="J659" s="302"/>
      <c r="K659" s="302"/>
      <c r="L659" s="302"/>
      <c r="M659" s="302"/>
      <c r="N659" s="302"/>
      <c r="O659" s="302"/>
      <c r="P659" s="302"/>
      <c r="Q659" s="302"/>
      <c r="R659" s="302"/>
      <c r="S659" s="302"/>
      <c r="T659" s="302"/>
      <c r="U659" s="302"/>
      <c r="V659" s="302"/>
      <c r="W659" s="302"/>
      <c r="X659" s="302"/>
      <c r="Y659" s="302"/>
      <c r="Z659" s="302"/>
    </row>
    <row r="660" spans="1:26" ht="15.55">
      <c r="A660" s="302"/>
      <c r="B660" s="302"/>
      <c r="C660" s="302"/>
      <c r="D660" s="302"/>
      <c r="E660" s="302"/>
      <c r="F660" s="302"/>
      <c r="G660" s="302"/>
      <c r="H660" s="302"/>
      <c r="I660" s="302"/>
      <c r="J660" s="302"/>
      <c r="K660" s="302"/>
      <c r="L660" s="302"/>
      <c r="M660" s="302"/>
      <c r="N660" s="302"/>
      <c r="O660" s="302"/>
      <c r="P660" s="302"/>
      <c r="Q660" s="302"/>
      <c r="R660" s="302"/>
      <c r="S660" s="302"/>
      <c r="T660" s="302"/>
      <c r="U660" s="302"/>
      <c r="V660" s="302"/>
      <c r="W660" s="302"/>
      <c r="X660" s="302"/>
      <c r="Y660" s="302"/>
      <c r="Z660" s="302"/>
    </row>
    <row r="661" spans="1:26" ht="15.55">
      <c r="A661" s="302"/>
      <c r="B661" s="302"/>
      <c r="C661" s="302"/>
      <c r="D661" s="302"/>
      <c r="E661" s="302"/>
      <c r="F661" s="302"/>
      <c r="G661" s="302"/>
      <c r="H661" s="302"/>
      <c r="I661" s="302"/>
      <c r="J661" s="302"/>
      <c r="K661" s="302"/>
      <c r="L661" s="302"/>
      <c r="M661" s="302"/>
      <c r="N661" s="302"/>
      <c r="O661" s="302"/>
      <c r="P661" s="302"/>
      <c r="Q661" s="302"/>
      <c r="R661" s="302"/>
      <c r="S661" s="302"/>
      <c r="T661" s="302"/>
      <c r="U661" s="302"/>
      <c r="V661" s="302"/>
      <c r="W661" s="302"/>
      <c r="X661" s="302"/>
      <c r="Y661" s="302"/>
      <c r="Z661" s="302"/>
    </row>
    <row r="662" spans="1:26" ht="15.55">
      <c r="A662" s="302"/>
      <c r="B662" s="302"/>
      <c r="C662" s="302"/>
      <c r="D662" s="302"/>
      <c r="E662" s="302"/>
      <c r="F662" s="302"/>
      <c r="G662" s="302"/>
      <c r="H662" s="302"/>
      <c r="I662" s="302"/>
      <c r="J662" s="302"/>
      <c r="K662" s="302"/>
      <c r="L662" s="302"/>
      <c r="M662" s="302"/>
      <c r="N662" s="302"/>
      <c r="O662" s="302"/>
      <c r="P662" s="302"/>
      <c r="Q662" s="302"/>
      <c r="R662" s="302"/>
      <c r="S662" s="302"/>
      <c r="T662" s="302"/>
      <c r="U662" s="302"/>
      <c r="V662" s="302"/>
      <c r="W662" s="302"/>
      <c r="X662" s="302"/>
      <c r="Y662" s="302"/>
      <c r="Z662" s="302"/>
    </row>
    <row r="663" spans="1:26" ht="15.55">
      <c r="A663" s="302"/>
      <c r="B663" s="302"/>
      <c r="C663" s="302"/>
      <c r="D663" s="302"/>
      <c r="E663" s="302"/>
      <c r="F663" s="302"/>
      <c r="G663" s="302"/>
      <c r="H663" s="302"/>
      <c r="I663" s="302"/>
      <c r="J663" s="302"/>
      <c r="K663" s="302"/>
      <c r="L663" s="302"/>
      <c r="M663" s="302"/>
      <c r="N663" s="302"/>
      <c r="O663" s="302"/>
      <c r="P663" s="302"/>
      <c r="Q663" s="302"/>
      <c r="R663" s="302"/>
      <c r="S663" s="302"/>
      <c r="T663" s="302"/>
      <c r="U663" s="302"/>
      <c r="V663" s="302"/>
      <c r="W663" s="302"/>
      <c r="X663" s="302"/>
      <c r="Y663" s="302"/>
      <c r="Z663" s="302"/>
    </row>
    <row r="664" spans="1:26" ht="15.55">
      <c r="A664" s="302"/>
      <c r="B664" s="302"/>
      <c r="C664" s="302"/>
      <c r="D664" s="302"/>
      <c r="E664" s="302"/>
      <c r="F664" s="302"/>
      <c r="G664" s="302"/>
      <c r="H664" s="302"/>
      <c r="I664" s="302"/>
      <c r="J664" s="302"/>
      <c r="K664" s="302"/>
      <c r="L664" s="302"/>
      <c r="M664" s="302"/>
      <c r="N664" s="302"/>
      <c r="O664" s="302"/>
      <c r="P664" s="302"/>
      <c r="Q664" s="302"/>
      <c r="R664" s="302"/>
      <c r="S664" s="302"/>
      <c r="T664" s="302"/>
      <c r="U664" s="302"/>
      <c r="V664" s="302"/>
      <c r="W664" s="302"/>
      <c r="X664" s="302"/>
      <c r="Y664" s="302"/>
      <c r="Z664" s="302"/>
    </row>
    <row r="665" spans="1:26" ht="15.55">
      <c r="A665" s="302"/>
      <c r="B665" s="302"/>
      <c r="C665" s="302"/>
      <c r="D665" s="302"/>
      <c r="E665" s="302"/>
      <c r="F665" s="302"/>
      <c r="G665" s="302"/>
      <c r="H665" s="302"/>
      <c r="I665" s="302"/>
      <c r="J665" s="302"/>
      <c r="K665" s="302"/>
      <c r="L665" s="302"/>
      <c r="M665" s="302"/>
      <c r="N665" s="302"/>
      <c r="O665" s="302"/>
      <c r="P665" s="302"/>
      <c r="Q665" s="302"/>
      <c r="R665" s="302"/>
      <c r="S665" s="302"/>
      <c r="T665" s="302"/>
      <c r="U665" s="302"/>
      <c r="V665" s="302"/>
      <c r="W665" s="302"/>
      <c r="X665" s="302"/>
      <c r="Y665" s="302"/>
      <c r="Z665" s="302"/>
    </row>
    <row r="666" spans="1:26" ht="15.55">
      <c r="A666" s="302"/>
      <c r="B666" s="302"/>
      <c r="C666" s="302"/>
      <c r="D666" s="302"/>
      <c r="E666" s="302"/>
      <c r="F666" s="302"/>
      <c r="G666" s="302"/>
      <c r="H666" s="302"/>
      <c r="I666" s="302"/>
      <c r="J666" s="302"/>
      <c r="K666" s="302"/>
      <c r="L666" s="302"/>
      <c r="M666" s="302"/>
      <c r="N666" s="302"/>
      <c r="O666" s="302"/>
      <c r="P666" s="302"/>
      <c r="Q666" s="302"/>
      <c r="R666" s="302"/>
      <c r="S666" s="302"/>
      <c r="T666" s="302"/>
      <c r="U666" s="302"/>
      <c r="V666" s="302"/>
      <c r="W666" s="302"/>
      <c r="X666" s="302"/>
      <c r="Y666" s="302"/>
      <c r="Z666" s="302"/>
    </row>
    <row r="667" spans="1:26" ht="15.55">
      <c r="A667" s="302"/>
      <c r="B667" s="302"/>
      <c r="C667" s="302"/>
      <c r="D667" s="302"/>
      <c r="E667" s="302"/>
      <c r="F667" s="302"/>
      <c r="G667" s="302"/>
      <c r="H667" s="302"/>
      <c r="I667" s="302"/>
      <c r="J667" s="302"/>
      <c r="K667" s="302"/>
      <c r="L667" s="302"/>
      <c r="M667" s="302"/>
      <c r="N667" s="302"/>
      <c r="O667" s="302"/>
      <c r="P667" s="302"/>
      <c r="Q667" s="302"/>
      <c r="R667" s="302"/>
      <c r="S667" s="302"/>
      <c r="T667" s="302"/>
      <c r="U667" s="302"/>
      <c r="V667" s="302"/>
      <c r="W667" s="302"/>
      <c r="X667" s="302"/>
      <c r="Y667" s="302"/>
      <c r="Z667" s="302"/>
    </row>
    <row r="668" spans="1:26" ht="15.55">
      <c r="A668" s="302"/>
      <c r="B668" s="302"/>
      <c r="C668" s="302"/>
      <c r="D668" s="302"/>
      <c r="E668" s="302"/>
      <c r="F668" s="302"/>
      <c r="G668" s="302"/>
      <c r="H668" s="302"/>
      <c r="I668" s="302"/>
      <c r="J668" s="302"/>
      <c r="K668" s="302"/>
      <c r="L668" s="302"/>
      <c r="M668" s="302"/>
      <c r="N668" s="302"/>
      <c r="O668" s="302"/>
      <c r="P668" s="302"/>
      <c r="Q668" s="302"/>
      <c r="R668" s="302"/>
      <c r="S668" s="302"/>
      <c r="T668" s="302"/>
      <c r="U668" s="302"/>
      <c r="V668" s="302"/>
      <c r="W668" s="302"/>
      <c r="X668" s="302"/>
      <c r="Y668" s="302"/>
      <c r="Z668" s="302"/>
    </row>
    <row r="669" spans="1:26" ht="15.55">
      <c r="A669" s="302"/>
      <c r="B669" s="302"/>
      <c r="C669" s="302"/>
      <c r="D669" s="302"/>
      <c r="E669" s="302"/>
      <c r="F669" s="302"/>
      <c r="G669" s="302"/>
      <c r="H669" s="302"/>
      <c r="I669" s="302"/>
      <c r="J669" s="302"/>
      <c r="K669" s="302"/>
      <c r="L669" s="302"/>
      <c r="M669" s="302"/>
      <c r="N669" s="302"/>
      <c r="O669" s="302"/>
      <c r="P669" s="302"/>
      <c r="Q669" s="302"/>
      <c r="R669" s="302"/>
      <c r="S669" s="302"/>
      <c r="T669" s="302"/>
      <c r="U669" s="302"/>
      <c r="V669" s="302"/>
      <c r="W669" s="302"/>
      <c r="X669" s="302"/>
      <c r="Y669" s="302"/>
      <c r="Z669" s="302"/>
    </row>
    <row r="670" spans="1:26" ht="15.55">
      <c r="A670" s="302"/>
      <c r="B670" s="302"/>
      <c r="C670" s="302"/>
      <c r="D670" s="302"/>
      <c r="E670" s="302"/>
      <c r="F670" s="302"/>
      <c r="G670" s="302"/>
      <c r="H670" s="302"/>
      <c r="I670" s="302"/>
      <c r="J670" s="302"/>
      <c r="K670" s="302"/>
      <c r="L670" s="302"/>
      <c r="M670" s="302"/>
      <c r="N670" s="302"/>
      <c r="O670" s="302"/>
      <c r="P670" s="302"/>
      <c r="Q670" s="302"/>
      <c r="R670" s="302"/>
      <c r="S670" s="302"/>
      <c r="T670" s="302"/>
      <c r="U670" s="302"/>
      <c r="V670" s="302"/>
      <c r="W670" s="302"/>
      <c r="X670" s="302"/>
      <c r="Y670" s="302"/>
      <c r="Z670" s="302"/>
    </row>
    <row r="671" spans="1:26" ht="15.55">
      <c r="A671" s="302"/>
      <c r="B671" s="302"/>
      <c r="C671" s="302"/>
      <c r="D671" s="302"/>
      <c r="E671" s="302"/>
      <c r="F671" s="302"/>
      <c r="G671" s="302"/>
      <c r="H671" s="302"/>
      <c r="I671" s="302"/>
      <c r="J671" s="302"/>
      <c r="K671" s="302"/>
      <c r="L671" s="302"/>
      <c r="M671" s="302"/>
      <c r="N671" s="302"/>
      <c r="O671" s="302"/>
      <c r="P671" s="302"/>
      <c r="Q671" s="302"/>
      <c r="R671" s="302"/>
      <c r="S671" s="302"/>
      <c r="T671" s="302"/>
      <c r="U671" s="302"/>
      <c r="V671" s="302"/>
      <c r="W671" s="302"/>
      <c r="X671" s="302"/>
      <c r="Y671" s="302"/>
      <c r="Z671" s="302"/>
    </row>
    <row r="672" spans="1:26" ht="15.55">
      <c r="A672" s="302"/>
      <c r="B672" s="302"/>
      <c r="C672" s="302"/>
      <c r="D672" s="302"/>
      <c r="E672" s="302"/>
      <c r="F672" s="302"/>
      <c r="G672" s="302"/>
      <c r="H672" s="302"/>
      <c r="I672" s="302"/>
      <c r="J672" s="302"/>
      <c r="K672" s="302"/>
      <c r="L672" s="302"/>
      <c r="M672" s="302"/>
      <c r="N672" s="302"/>
      <c r="O672" s="302"/>
      <c r="P672" s="302"/>
      <c r="Q672" s="302"/>
      <c r="R672" s="302"/>
      <c r="S672" s="302"/>
      <c r="T672" s="302"/>
      <c r="U672" s="302"/>
      <c r="V672" s="302"/>
      <c r="W672" s="302"/>
      <c r="X672" s="302"/>
      <c r="Y672" s="302"/>
      <c r="Z672" s="302"/>
    </row>
    <row r="673" spans="1:26" ht="15.55">
      <c r="A673" s="302"/>
      <c r="B673" s="302"/>
      <c r="C673" s="302"/>
      <c r="D673" s="302"/>
      <c r="E673" s="302"/>
      <c r="F673" s="302"/>
      <c r="G673" s="302"/>
      <c r="H673" s="302"/>
      <c r="I673" s="302"/>
      <c r="J673" s="302"/>
      <c r="K673" s="302"/>
      <c r="L673" s="302"/>
      <c r="M673" s="302"/>
      <c r="N673" s="302"/>
      <c r="O673" s="302"/>
      <c r="P673" s="302"/>
      <c r="Q673" s="302"/>
      <c r="R673" s="302"/>
      <c r="S673" s="302"/>
      <c r="T673" s="302"/>
      <c r="U673" s="302"/>
      <c r="V673" s="302"/>
      <c r="W673" s="302"/>
      <c r="X673" s="302"/>
      <c r="Y673" s="302"/>
      <c r="Z673" s="302"/>
    </row>
    <row r="674" spans="1:26" ht="15.55">
      <c r="A674" s="302"/>
      <c r="B674" s="302"/>
      <c r="C674" s="302"/>
      <c r="D674" s="302"/>
      <c r="E674" s="302"/>
      <c r="F674" s="302"/>
      <c r="G674" s="302"/>
      <c r="H674" s="302"/>
      <c r="I674" s="302"/>
      <c r="J674" s="302"/>
      <c r="K674" s="302"/>
      <c r="L674" s="302"/>
      <c r="M674" s="302"/>
      <c r="N674" s="302"/>
      <c r="O674" s="302"/>
      <c r="P674" s="302"/>
      <c r="Q674" s="302"/>
      <c r="R674" s="302"/>
      <c r="S674" s="302"/>
      <c r="T674" s="302"/>
      <c r="U674" s="302"/>
      <c r="V674" s="302"/>
      <c r="W674" s="302"/>
      <c r="X674" s="302"/>
      <c r="Y674" s="302"/>
      <c r="Z674" s="302"/>
    </row>
    <row r="675" spans="1:26" ht="15.55">
      <c r="A675" s="302"/>
      <c r="B675" s="302"/>
      <c r="C675" s="302"/>
      <c r="D675" s="302"/>
      <c r="E675" s="302"/>
      <c r="F675" s="302"/>
      <c r="G675" s="302"/>
      <c r="H675" s="302"/>
      <c r="I675" s="302"/>
      <c r="J675" s="302"/>
      <c r="K675" s="302"/>
      <c r="L675" s="302"/>
      <c r="M675" s="302"/>
      <c r="N675" s="302"/>
      <c r="O675" s="302"/>
      <c r="P675" s="302"/>
      <c r="Q675" s="302"/>
      <c r="R675" s="302"/>
      <c r="S675" s="302"/>
      <c r="T675" s="302"/>
      <c r="U675" s="302"/>
      <c r="V675" s="302"/>
      <c r="W675" s="302"/>
      <c r="X675" s="302"/>
      <c r="Y675" s="302"/>
      <c r="Z675" s="302"/>
    </row>
    <row r="676" spans="1:26" ht="15.55">
      <c r="A676" s="302"/>
      <c r="B676" s="302"/>
      <c r="C676" s="302"/>
      <c r="D676" s="302"/>
      <c r="E676" s="302"/>
      <c r="F676" s="302"/>
      <c r="G676" s="302"/>
      <c r="H676" s="302"/>
      <c r="I676" s="302"/>
      <c r="J676" s="302"/>
      <c r="K676" s="302"/>
      <c r="L676" s="302"/>
      <c r="M676" s="302"/>
      <c r="N676" s="302"/>
      <c r="O676" s="302"/>
      <c r="P676" s="302"/>
      <c r="Q676" s="302"/>
      <c r="R676" s="302"/>
      <c r="S676" s="302"/>
      <c r="T676" s="302"/>
      <c r="U676" s="302"/>
      <c r="V676" s="302"/>
      <c r="W676" s="302"/>
      <c r="X676" s="302"/>
      <c r="Y676" s="302"/>
      <c r="Z676" s="302"/>
    </row>
    <row r="677" spans="1:26" ht="15.55">
      <c r="A677" s="302"/>
      <c r="B677" s="302"/>
      <c r="C677" s="302"/>
      <c r="D677" s="302"/>
      <c r="E677" s="302"/>
      <c r="F677" s="302"/>
      <c r="G677" s="302"/>
      <c r="H677" s="302"/>
      <c r="I677" s="302"/>
      <c r="J677" s="302"/>
      <c r="K677" s="302"/>
      <c r="L677" s="302"/>
      <c r="M677" s="302"/>
      <c r="N677" s="302"/>
      <c r="O677" s="302"/>
      <c r="P677" s="302"/>
      <c r="Q677" s="302"/>
      <c r="R677" s="302"/>
      <c r="S677" s="302"/>
      <c r="T677" s="302"/>
      <c r="U677" s="302"/>
      <c r="V677" s="302"/>
      <c r="W677" s="302"/>
      <c r="X677" s="302"/>
      <c r="Y677" s="302"/>
      <c r="Z677" s="302"/>
    </row>
    <row r="678" spans="1:26" ht="15.55">
      <c r="A678" s="302"/>
      <c r="B678" s="302"/>
      <c r="C678" s="302"/>
      <c r="D678" s="302"/>
      <c r="E678" s="302"/>
      <c r="F678" s="302"/>
      <c r="G678" s="302"/>
      <c r="H678" s="302"/>
      <c r="I678" s="302"/>
      <c r="J678" s="302"/>
      <c r="K678" s="302"/>
      <c r="L678" s="302"/>
      <c r="M678" s="302"/>
      <c r="N678" s="302"/>
      <c r="O678" s="302"/>
      <c r="P678" s="302"/>
      <c r="Q678" s="302"/>
      <c r="R678" s="302"/>
      <c r="S678" s="302"/>
      <c r="T678" s="302"/>
      <c r="U678" s="302"/>
      <c r="V678" s="302"/>
      <c r="W678" s="302"/>
      <c r="X678" s="302"/>
      <c r="Y678" s="302"/>
      <c r="Z678" s="302"/>
    </row>
    <row r="679" spans="1:26" ht="15.55">
      <c r="A679" s="302"/>
      <c r="B679" s="302"/>
      <c r="C679" s="302"/>
      <c r="D679" s="302"/>
      <c r="E679" s="302"/>
      <c r="F679" s="302"/>
      <c r="G679" s="302"/>
      <c r="H679" s="302"/>
      <c r="I679" s="302"/>
      <c r="J679" s="302"/>
      <c r="K679" s="302"/>
      <c r="L679" s="302"/>
      <c r="M679" s="302"/>
      <c r="N679" s="302"/>
      <c r="O679" s="302"/>
      <c r="P679" s="302"/>
      <c r="Q679" s="302"/>
      <c r="R679" s="302"/>
      <c r="S679" s="302"/>
      <c r="T679" s="302"/>
      <c r="U679" s="302"/>
      <c r="V679" s="302"/>
      <c r="W679" s="302"/>
      <c r="X679" s="302"/>
      <c r="Y679" s="302"/>
      <c r="Z679" s="302"/>
    </row>
    <row r="680" spans="1:26" ht="15.55">
      <c r="A680" s="302"/>
      <c r="B680" s="302"/>
      <c r="C680" s="302"/>
      <c r="D680" s="302"/>
      <c r="E680" s="302"/>
      <c r="F680" s="302"/>
      <c r="G680" s="302"/>
      <c r="H680" s="302"/>
      <c r="I680" s="302"/>
      <c r="J680" s="302"/>
      <c r="K680" s="302"/>
      <c r="L680" s="302"/>
      <c r="M680" s="302"/>
      <c r="N680" s="302"/>
      <c r="O680" s="302"/>
      <c r="P680" s="302"/>
      <c r="Q680" s="302"/>
      <c r="R680" s="302"/>
      <c r="S680" s="302"/>
      <c r="T680" s="302"/>
      <c r="U680" s="302"/>
      <c r="V680" s="302"/>
      <c r="W680" s="302"/>
      <c r="X680" s="302"/>
      <c r="Y680" s="302"/>
      <c r="Z680" s="302"/>
    </row>
    <row r="681" spans="1:26" ht="15.55">
      <c r="A681" s="302"/>
      <c r="B681" s="302"/>
      <c r="C681" s="302"/>
      <c r="D681" s="302"/>
      <c r="E681" s="302"/>
      <c r="F681" s="302"/>
      <c r="G681" s="302"/>
      <c r="H681" s="302"/>
      <c r="I681" s="302"/>
      <c r="J681" s="302"/>
      <c r="K681" s="302"/>
      <c r="L681" s="302"/>
      <c r="M681" s="302"/>
      <c r="N681" s="302"/>
      <c r="O681" s="302"/>
      <c r="P681" s="302"/>
      <c r="Q681" s="302"/>
      <c r="R681" s="302"/>
      <c r="S681" s="302"/>
      <c r="T681" s="302"/>
      <c r="U681" s="302"/>
      <c r="V681" s="302"/>
      <c r="W681" s="302"/>
      <c r="X681" s="302"/>
      <c r="Y681" s="302"/>
      <c r="Z681" s="302"/>
    </row>
    <row r="682" spans="1:26" ht="15.55">
      <c r="A682" s="302"/>
      <c r="B682" s="302"/>
      <c r="C682" s="302"/>
      <c r="D682" s="302"/>
      <c r="E682" s="302"/>
      <c r="F682" s="302"/>
      <c r="G682" s="302"/>
      <c r="H682" s="302"/>
      <c r="I682" s="302"/>
      <c r="J682" s="302"/>
      <c r="K682" s="302"/>
      <c r="L682" s="302"/>
      <c r="M682" s="302"/>
      <c r="N682" s="302"/>
      <c r="O682" s="302"/>
      <c r="P682" s="302"/>
      <c r="Q682" s="302"/>
      <c r="R682" s="302"/>
      <c r="S682" s="302"/>
      <c r="T682" s="302"/>
      <c r="U682" s="302"/>
      <c r="V682" s="302"/>
      <c r="W682" s="302"/>
      <c r="X682" s="302"/>
      <c r="Y682" s="302"/>
      <c r="Z682" s="302"/>
    </row>
    <row r="683" spans="1:26" ht="15.55">
      <c r="A683" s="302"/>
      <c r="B683" s="302"/>
      <c r="C683" s="302"/>
      <c r="D683" s="302"/>
      <c r="E683" s="302"/>
      <c r="F683" s="302"/>
      <c r="G683" s="302"/>
      <c r="H683" s="302"/>
      <c r="I683" s="302"/>
      <c r="J683" s="302"/>
      <c r="K683" s="302"/>
      <c r="L683" s="302"/>
      <c r="M683" s="302"/>
      <c r="N683" s="302"/>
      <c r="O683" s="302"/>
      <c r="P683" s="302"/>
      <c r="Q683" s="302"/>
      <c r="R683" s="302"/>
      <c r="S683" s="302"/>
      <c r="T683" s="302"/>
      <c r="U683" s="302"/>
      <c r="V683" s="302"/>
      <c r="W683" s="302"/>
      <c r="X683" s="302"/>
      <c r="Y683" s="302"/>
      <c r="Z683" s="302"/>
    </row>
    <row r="684" spans="1:26" ht="15.55">
      <c r="A684" s="302"/>
      <c r="B684" s="302"/>
      <c r="C684" s="302"/>
      <c r="D684" s="302"/>
      <c r="E684" s="302"/>
      <c r="F684" s="302"/>
      <c r="G684" s="302"/>
      <c r="H684" s="302"/>
      <c r="I684" s="302"/>
      <c r="J684" s="302"/>
      <c r="K684" s="302"/>
      <c r="L684" s="302"/>
      <c r="M684" s="302"/>
      <c r="N684" s="302"/>
      <c r="O684" s="302"/>
      <c r="P684" s="302"/>
      <c r="Q684" s="302"/>
      <c r="R684" s="302"/>
      <c r="S684" s="302"/>
      <c r="T684" s="302"/>
      <c r="U684" s="302"/>
      <c r="V684" s="302"/>
      <c r="W684" s="302"/>
      <c r="X684" s="302"/>
      <c r="Y684" s="302"/>
      <c r="Z684" s="302"/>
    </row>
    <row r="685" spans="1:26" ht="15.55">
      <c r="A685" s="302"/>
      <c r="B685" s="302"/>
      <c r="C685" s="302"/>
      <c r="D685" s="302"/>
      <c r="E685" s="302"/>
      <c r="F685" s="302"/>
      <c r="G685" s="302"/>
      <c r="H685" s="302"/>
      <c r="I685" s="302"/>
      <c r="J685" s="302"/>
      <c r="K685" s="302"/>
      <c r="L685" s="302"/>
      <c r="M685" s="302"/>
      <c r="N685" s="302"/>
      <c r="O685" s="302"/>
      <c r="P685" s="302"/>
      <c r="Q685" s="302"/>
      <c r="R685" s="302"/>
      <c r="S685" s="302"/>
      <c r="T685" s="302"/>
      <c r="U685" s="302"/>
      <c r="V685" s="302"/>
      <c r="W685" s="302"/>
      <c r="X685" s="302"/>
      <c r="Y685" s="302"/>
      <c r="Z685" s="302"/>
    </row>
    <row r="686" spans="1:26" ht="15.55">
      <c r="A686" s="302"/>
      <c r="B686" s="302"/>
      <c r="C686" s="302"/>
      <c r="D686" s="302"/>
      <c r="E686" s="302"/>
      <c r="F686" s="302"/>
      <c r="G686" s="302"/>
      <c r="H686" s="302"/>
      <c r="I686" s="302"/>
      <c r="J686" s="302"/>
      <c r="K686" s="302"/>
      <c r="L686" s="302"/>
      <c r="M686" s="302"/>
      <c r="N686" s="302"/>
      <c r="O686" s="302"/>
      <c r="P686" s="302"/>
      <c r="Q686" s="302"/>
      <c r="R686" s="302"/>
      <c r="S686" s="302"/>
      <c r="T686" s="302"/>
      <c r="U686" s="302"/>
      <c r="V686" s="302"/>
      <c r="W686" s="302"/>
      <c r="X686" s="302"/>
      <c r="Y686" s="302"/>
      <c r="Z686" s="302"/>
    </row>
    <row r="687" spans="1:26" ht="15.55">
      <c r="A687" s="302"/>
      <c r="B687" s="302"/>
      <c r="C687" s="302"/>
      <c r="D687" s="302"/>
      <c r="E687" s="302"/>
      <c r="F687" s="302"/>
      <c r="G687" s="302"/>
      <c r="H687" s="302"/>
      <c r="I687" s="302"/>
      <c r="J687" s="302"/>
      <c r="K687" s="302"/>
      <c r="L687" s="302"/>
      <c r="M687" s="302"/>
      <c r="N687" s="302"/>
      <c r="O687" s="302"/>
      <c r="P687" s="302"/>
      <c r="Q687" s="302"/>
      <c r="R687" s="302"/>
      <c r="S687" s="302"/>
      <c r="T687" s="302"/>
      <c r="U687" s="302"/>
      <c r="V687" s="302"/>
      <c r="W687" s="302"/>
      <c r="X687" s="302"/>
      <c r="Y687" s="302"/>
      <c r="Z687" s="302"/>
    </row>
    <row r="688" spans="1:26" ht="15.55">
      <c r="A688" s="302"/>
      <c r="B688" s="302"/>
      <c r="C688" s="302"/>
      <c r="D688" s="302"/>
      <c r="E688" s="302"/>
      <c r="F688" s="302"/>
      <c r="G688" s="302"/>
      <c r="H688" s="302"/>
      <c r="I688" s="302"/>
      <c r="J688" s="302"/>
      <c r="K688" s="302"/>
      <c r="L688" s="302"/>
      <c r="M688" s="302"/>
      <c r="N688" s="302"/>
      <c r="O688" s="302"/>
      <c r="P688" s="302"/>
      <c r="Q688" s="302"/>
      <c r="R688" s="302"/>
      <c r="S688" s="302"/>
      <c r="T688" s="302"/>
      <c r="U688" s="302"/>
      <c r="V688" s="302"/>
      <c r="W688" s="302"/>
      <c r="X688" s="302"/>
      <c r="Y688" s="302"/>
      <c r="Z688" s="302"/>
    </row>
    <row r="689" spans="1:26" ht="15.55">
      <c r="A689" s="302"/>
      <c r="B689" s="302"/>
      <c r="C689" s="302"/>
      <c r="D689" s="302"/>
      <c r="E689" s="302"/>
      <c r="F689" s="302"/>
      <c r="G689" s="302"/>
      <c r="H689" s="302"/>
      <c r="I689" s="302"/>
      <c r="J689" s="302"/>
      <c r="K689" s="302"/>
      <c r="L689" s="302"/>
      <c r="M689" s="302"/>
      <c r="N689" s="302"/>
      <c r="O689" s="302"/>
      <c r="P689" s="302"/>
      <c r="Q689" s="302"/>
      <c r="R689" s="302"/>
      <c r="S689" s="302"/>
      <c r="T689" s="302"/>
      <c r="U689" s="302"/>
      <c r="V689" s="302"/>
      <c r="W689" s="302"/>
      <c r="X689" s="302"/>
      <c r="Y689" s="302"/>
      <c r="Z689" s="302"/>
    </row>
    <row r="690" spans="1:26" ht="15.55">
      <c r="A690" s="302"/>
      <c r="B690" s="302"/>
      <c r="C690" s="302"/>
      <c r="D690" s="302"/>
      <c r="E690" s="302"/>
      <c r="F690" s="302"/>
      <c r="G690" s="302"/>
      <c r="H690" s="302"/>
      <c r="I690" s="302"/>
      <c r="J690" s="302"/>
      <c r="K690" s="302"/>
      <c r="L690" s="302"/>
      <c r="M690" s="302"/>
      <c r="N690" s="302"/>
      <c r="O690" s="302"/>
      <c r="P690" s="302"/>
      <c r="Q690" s="302"/>
      <c r="R690" s="302"/>
      <c r="S690" s="302"/>
      <c r="T690" s="302"/>
      <c r="U690" s="302"/>
      <c r="V690" s="302"/>
      <c r="W690" s="302"/>
      <c r="X690" s="302"/>
      <c r="Y690" s="302"/>
      <c r="Z690" s="302"/>
    </row>
    <row r="691" spans="1:26" ht="15.55">
      <c r="A691" s="302"/>
      <c r="B691" s="302"/>
      <c r="C691" s="302"/>
      <c r="D691" s="302"/>
      <c r="E691" s="302"/>
      <c r="F691" s="302"/>
      <c r="G691" s="302"/>
      <c r="H691" s="302"/>
      <c r="I691" s="302"/>
      <c r="J691" s="302"/>
      <c r="K691" s="302"/>
      <c r="L691" s="302"/>
      <c r="M691" s="302"/>
      <c r="N691" s="302"/>
      <c r="O691" s="302"/>
      <c r="P691" s="302"/>
      <c r="Q691" s="302"/>
      <c r="R691" s="302"/>
      <c r="S691" s="302"/>
      <c r="T691" s="302"/>
      <c r="U691" s="302"/>
      <c r="V691" s="302"/>
      <c r="W691" s="302"/>
      <c r="X691" s="302"/>
      <c r="Y691" s="302"/>
      <c r="Z691" s="302"/>
    </row>
    <row r="692" spans="1:26" ht="15.55">
      <c r="A692" s="302"/>
      <c r="B692" s="302"/>
      <c r="C692" s="302"/>
      <c r="D692" s="302"/>
      <c r="E692" s="302"/>
      <c r="F692" s="302"/>
      <c r="G692" s="302"/>
      <c r="H692" s="302"/>
      <c r="I692" s="302"/>
      <c r="J692" s="302"/>
      <c r="K692" s="302"/>
      <c r="L692" s="302"/>
      <c r="M692" s="302"/>
      <c r="N692" s="302"/>
      <c r="O692" s="302"/>
      <c r="P692" s="302"/>
      <c r="Q692" s="302"/>
      <c r="R692" s="302"/>
      <c r="S692" s="302"/>
      <c r="T692" s="302"/>
      <c r="U692" s="302"/>
      <c r="V692" s="302"/>
      <c r="W692" s="302"/>
      <c r="X692" s="302"/>
      <c r="Y692" s="302"/>
      <c r="Z692" s="302"/>
    </row>
    <row r="693" spans="1:26" ht="15.55">
      <c r="A693" s="302"/>
      <c r="B693" s="302"/>
      <c r="C693" s="302"/>
      <c r="D693" s="302"/>
      <c r="E693" s="302"/>
      <c r="F693" s="302"/>
      <c r="G693" s="302"/>
      <c r="H693" s="302"/>
      <c r="I693" s="302"/>
      <c r="J693" s="302"/>
      <c r="K693" s="302"/>
      <c r="L693" s="302"/>
      <c r="M693" s="302"/>
      <c r="N693" s="302"/>
      <c r="O693" s="302"/>
      <c r="P693" s="302"/>
      <c r="Q693" s="302"/>
      <c r="R693" s="302"/>
      <c r="S693" s="302"/>
      <c r="T693" s="302"/>
      <c r="U693" s="302"/>
      <c r="V693" s="302"/>
      <c r="W693" s="302"/>
      <c r="X693" s="302"/>
      <c r="Y693" s="302"/>
      <c r="Z693" s="302"/>
    </row>
    <row r="694" spans="1:26" ht="15.55">
      <c r="A694" s="302"/>
      <c r="B694" s="302"/>
      <c r="C694" s="302"/>
      <c r="D694" s="302"/>
      <c r="E694" s="302"/>
      <c r="F694" s="302"/>
      <c r="G694" s="302"/>
      <c r="H694" s="302"/>
      <c r="I694" s="302"/>
      <c r="J694" s="302"/>
      <c r="K694" s="302"/>
      <c r="L694" s="302"/>
      <c r="M694" s="302"/>
      <c r="N694" s="302"/>
      <c r="O694" s="302"/>
      <c r="P694" s="302"/>
      <c r="Q694" s="302"/>
      <c r="R694" s="302"/>
      <c r="S694" s="302"/>
      <c r="T694" s="302"/>
      <c r="U694" s="302"/>
      <c r="V694" s="302"/>
      <c r="W694" s="302"/>
      <c r="X694" s="302"/>
      <c r="Y694" s="302"/>
      <c r="Z694" s="302"/>
    </row>
    <row r="695" spans="1:26" ht="15.55">
      <c r="A695" s="302"/>
      <c r="B695" s="302"/>
      <c r="C695" s="302"/>
      <c r="D695" s="302"/>
      <c r="E695" s="302"/>
      <c r="F695" s="302"/>
      <c r="G695" s="302"/>
      <c r="H695" s="302"/>
      <c r="I695" s="302"/>
      <c r="J695" s="302"/>
      <c r="K695" s="302"/>
      <c r="L695" s="302"/>
      <c r="M695" s="302"/>
      <c r="N695" s="302"/>
      <c r="O695" s="302"/>
      <c r="P695" s="302"/>
      <c r="Q695" s="302"/>
      <c r="R695" s="302"/>
      <c r="S695" s="302"/>
      <c r="T695" s="302"/>
      <c r="U695" s="302"/>
      <c r="V695" s="302"/>
      <c r="W695" s="302"/>
      <c r="X695" s="302"/>
      <c r="Y695" s="302"/>
      <c r="Z695" s="302"/>
    </row>
    <row r="696" spans="1:26" ht="15.55">
      <c r="A696" s="302"/>
      <c r="B696" s="302"/>
      <c r="C696" s="302"/>
      <c r="D696" s="302"/>
      <c r="E696" s="302"/>
      <c r="F696" s="302"/>
      <c r="G696" s="302"/>
      <c r="H696" s="302"/>
      <c r="I696" s="302"/>
      <c r="J696" s="302"/>
      <c r="K696" s="302"/>
      <c r="L696" s="302"/>
      <c r="M696" s="302"/>
      <c r="N696" s="302"/>
      <c r="O696" s="302"/>
      <c r="P696" s="302"/>
      <c r="Q696" s="302"/>
      <c r="R696" s="302"/>
      <c r="S696" s="302"/>
      <c r="T696" s="302"/>
      <c r="U696" s="302"/>
      <c r="V696" s="302"/>
      <c r="W696" s="302"/>
      <c r="X696" s="302"/>
      <c r="Y696" s="302"/>
      <c r="Z696" s="302"/>
    </row>
    <row r="697" spans="1:26" ht="15.55">
      <c r="A697" s="302"/>
      <c r="B697" s="302"/>
      <c r="C697" s="302"/>
      <c r="D697" s="302"/>
      <c r="E697" s="302"/>
      <c r="F697" s="302"/>
      <c r="G697" s="302"/>
      <c r="H697" s="302"/>
      <c r="I697" s="302"/>
      <c r="J697" s="302"/>
      <c r="K697" s="302"/>
      <c r="L697" s="302"/>
      <c r="M697" s="302"/>
      <c r="N697" s="302"/>
      <c r="O697" s="302"/>
      <c r="P697" s="302"/>
      <c r="Q697" s="302"/>
      <c r="R697" s="302"/>
      <c r="S697" s="302"/>
      <c r="T697" s="302"/>
      <c r="U697" s="302"/>
      <c r="V697" s="302"/>
      <c r="W697" s="302"/>
      <c r="X697" s="302"/>
      <c r="Y697" s="302"/>
      <c r="Z697" s="302"/>
    </row>
    <row r="698" spans="1:26" ht="15.55">
      <c r="A698" s="302"/>
      <c r="B698" s="302"/>
      <c r="C698" s="302"/>
      <c r="D698" s="302"/>
      <c r="E698" s="302"/>
      <c r="F698" s="302"/>
      <c r="G698" s="302"/>
      <c r="H698" s="302"/>
      <c r="I698" s="302"/>
      <c r="J698" s="302"/>
      <c r="K698" s="302"/>
      <c r="L698" s="302"/>
      <c r="M698" s="302"/>
      <c r="N698" s="302"/>
      <c r="O698" s="302"/>
      <c r="P698" s="302"/>
      <c r="Q698" s="302"/>
      <c r="R698" s="302"/>
      <c r="S698" s="302"/>
      <c r="T698" s="302"/>
      <c r="U698" s="302"/>
      <c r="V698" s="302"/>
      <c r="W698" s="302"/>
      <c r="X698" s="302"/>
      <c r="Y698" s="302"/>
      <c r="Z698" s="302"/>
    </row>
    <row r="699" spans="1:26" ht="15.55">
      <c r="A699" s="302"/>
      <c r="B699" s="302"/>
      <c r="C699" s="302"/>
      <c r="D699" s="302"/>
      <c r="E699" s="302"/>
      <c r="F699" s="302"/>
      <c r="G699" s="302"/>
      <c r="H699" s="302"/>
      <c r="I699" s="302"/>
      <c r="J699" s="302"/>
      <c r="K699" s="302"/>
      <c r="L699" s="302"/>
      <c r="M699" s="302"/>
      <c r="N699" s="302"/>
      <c r="O699" s="302"/>
      <c r="P699" s="302"/>
      <c r="Q699" s="302"/>
      <c r="R699" s="302"/>
      <c r="S699" s="302"/>
      <c r="T699" s="302"/>
      <c r="U699" s="302"/>
      <c r="V699" s="302"/>
      <c r="W699" s="302"/>
      <c r="X699" s="302"/>
      <c r="Y699" s="302"/>
      <c r="Z699" s="302"/>
    </row>
    <row r="700" spans="1:26" ht="15.55">
      <c r="A700" s="302"/>
      <c r="B700" s="302"/>
      <c r="C700" s="302"/>
      <c r="D700" s="302"/>
      <c r="E700" s="302"/>
      <c r="F700" s="302"/>
      <c r="G700" s="302"/>
      <c r="H700" s="302"/>
      <c r="I700" s="302"/>
      <c r="J700" s="302"/>
      <c r="K700" s="302"/>
      <c r="L700" s="302"/>
      <c r="M700" s="302"/>
      <c r="N700" s="302"/>
      <c r="O700" s="302"/>
      <c r="P700" s="302"/>
      <c r="Q700" s="302"/>
      <c r="R700" s="302"/>
      <c r="S700" s="302"/>
      <c r="T700" s="302"/>
      <c r="U700" s="302"/>
      <c r="V700" s="302"/>
      <c r="W700" s="302"/>
      <c r="X700" s="302"/>
      <c r="Y700" s="302"/>
      <c r="Z700" s="302"/>
    </row>
    <row r="701" spans="1:26" ht="15.55">
      <c r="A701" s="302"/>
      <c r="B701" s="302"/>
      <c r="C701" s="302"/>
      <c r="D701" s="302"/>
      <c r="E701" s="302"/>
      <c r="F701" s="302"/>
      <c r="G701" s="302"/>
      <c r="H701" s="302"/>
      <c r="I701" s="302"/>
      <c r="J701" s="302"/>
      <c r="K701" s="302"/>
      <c r="L701" s="302"/>
      <c r="M701" s="302"/>
      <c r="N701" s="302"/>
      <c r="O701" s="302"/>
      <c r="P701" s="302"/>
      <c r="Q701" s="302"/>
      <c r="R701" s="302"/>
      <c r="S701" s="302"/>
      <c r="T701" s="302"/>
      <c r="U701" s="302"/>
      <c r="V701" s="302"/>
      <c r="W701" s="302"/>
      <c r="X701" s="302"/>
      <c r="Y701" s="302"/>
      <c r="Z701" s="302"/>
    </row>
    <row r="702" spans="1:26" ht="15.55">
      <c r="A702" s="302"/>
      <c r="B702" s="302"/>
      <c r="C702" s="302"/>
      <c r="D702" s="302"/>
      <c r="E702" s="302"/>
      <c r="F702" s="302"/>
      <c r="G702" s="302"/>
      <c r="H702" s="302"/>
      <c r="I702" s="302"/>
      <c r="J702" s="302"/>
      <c r="K702" s="302"/>
      <c r="L702" s="302"/>
      <c r="M702" s="302"/>
      <c r="N702" s="302"/>
      <c r="O702" s="302"/>
      <c r="P702" s="302"/>
      <c r="Q702" s="302"/>
      <c r="R702" s="302"/>
      <c r="S702" s="302"/>
      <c r="T702" s="302"/>
      <c r="U702" s="302"/>
      <c r="V702" s="302"/>
      <c r="W702" s="302"/>
      <c r="X702" s="302"/>
      <c r="Y702" s="302"/>
      <c r="Z702" s="302"/>
    </row>
    <row r="703" spans="1:26" ht="15.55">
      <c r="A703" s="302"/>
      <c r="B703" s="302"/>
      <c r="C703" s="302"/>
      <c r="D703" s="302"/>
      <c r="E703" s="302"/>
      <c r="F703" s="302"/>
      <c r="G703" s="302"/>
      <c r="H703" s="302"/>
      <c r="I703" s="302"/>
      <c r="J703" s="302"/>
      <c r="K703" s="302"/>
      <c r="L703" s="302"/>
      <c r="M703" s="302"/>
      <c r="N703" s="302"/>
      <c r="O703" s="302"/>
      <c r="P703" s="302"/>
      <c r="Q703" s="302"/>
      <c r="R703" s="302"/>
      <c r="S703" s="302"/>
      <c r="T703" s="302"/>
      <c r="U703" s="302"/>
      <c r="V703" s="302"/>
      <c r="W703" s="302"/>
      <c r="X703" s="302"/>
      <c r="Y703" s="302"/>
      <c r="Z703" s="302"/>
    </row>
    <row r="704" spans="1:26" ht="15.55">
      <c r="A704" s="302"/>
      <c r="B704" s="302"/>
      <c r="C704" s="302"/>
      <c r="D704" s="302"/>
      <c r="E704" s="302"/>
      <c r="F704" s="302"/>
      <c r="G704" s="302"/>
      <c r="H704" s="302"/>
      <c r="I704" s="302"/>
      <c r="J704" s="302"/>
      <c r="K704" s="302"/>
      <c r="L704" s="302"/>
      <c r="M704" s="302"/>
      <c r="N704" s="302"/>
      <c r="O704" s="302"/>
      <c r="P704" s="302"/>
      <c r="Q704" s="302"/>
      <c r="R704" s="302"/>
      <c r="S704" s="302"/>
      <c r="T704" s="302"/>
      <c r="U704" s="302"/>
      <c r="V704" s="302"/>
      <c r="W704" s="302"/>
      <c r="X704" s="302"/>
      <c r="Y704" s="302"/>
      <c r="Z704" s="302"/>
    </row>
    <row r="705" spans="1:26" ht="15.55">
      <c r="A705" s="302"/>
      <c r="B705" s="302"/>
      <c r="C705" s="302"/>
      <c r="D705" s="302"/>
      <c r="E705" s="302"/>
      <c r="F705" s="302"/>
      <c r="G705" s="302"/>
      <c r="H705" s="302"/>
      <c r="I705" s="302"/>
      <c r="J705" s="302"/>
      <c r="K705" s="302"/>
      <c r="L705" s="302"/>
      <c r="M705" s="302"/>
      <c r="N705" s="302"/>
      <c r="O705" s="302"/>
      <c r="P705" s="302"/>
      <c r="Q705" s="302"/>
      <c r="R705" s="302"/>
      <c r="S705" s="302"/>
      <c r="T705" s="302"/>
      <c r="U705" s="302"/>
      <c r="V705" s="302"/>
      <c r="W705" s="302"/>
      <c r="X705" s="302"/>
      <c r="Y705" s="302"/>
      <c r="Z705" s="302"/>
    </row>
    <row r="706" spans="1:26" ht="15.55">
      <c r="A706" s="302"/>
      <c r="B706" s="302"/>
      <c r="C706" s="302"/>
      <c r="D706" s="302"/>
      <c r="E706" s="302"/>
      <c r="F706" s="302"/>
      <c r="G706" s="302"/>
      <c r="H706" s="302"/>
      <c r="I706" s="302"/>
      <c r="J706" s="302"/>
      <c r="K706" s="302"/>
      <c r="L706" s="302"/>
      <c r="M706" s="302"/>
      <c r="N706" s="302"/>
      <c r="O706" s="302"/>
      <c r="P706" s="302"/>
      <c r="Q706" s="302"/>
      <c r="R706" s="302"/>
      <c r="S706" s="302"/>
      <c r="T706" s="302"/>
      <c r="U706" s="302"/>
      <c r="V706" s="302"/>
      <c r="W706" s="302"/>
      <c r="X706" s="302"/>
      <c r="Y706" s="302"/>
      <c r="Z706" s="302"/>
    </row>
    <row r="707" spans="1:26" ht="15.55">
      <c r="A707" s="302"/>
      <c r="B707" s="302"/>
      <c r="C707" s="302"/>
      <c r="D707" s="302"/>
      <c r="E707" s="302"/>
      <c r="F707" s="302"/>
      <c r="G707" s="302"/>
      <c r="H707" s="302"/>
      <c r="I707" s="302"/>
      <c r="J707" s="302"/>
      <c r="K707" s="302"/>
      <c r="L707" s="302"/>
      <c r="M707" s="302"/>
      <c r="N707" s="302"/>
      <c r="O707" s="302"/>
      <c r="P707" s="302"/>
      <c r="Q707" s="302"/>
      <c r="R707" s="302"/>
      <c r="S707" s="302"/>
      <c r="T707" s="302"/>
      <c r="U707" s="302"/>
      <c r="V707" s="302"/>
      <c r="W707" s="302"/>
      <c r="X707" s="302"/>
      <c r="Y707" s="302"/>
      <c r="Z707" s="302"/>
    </row>
    <row r="708" spans="1:26" ht="15.55">
      <c r="A708" s="302"/>
      <c r="B708" s="302"/>
      <c r="C708" s="302"/>
      <c r="D708" s="302"/>
      <c r="E708" s="302"/>
      <c r="F708" s="302"/>
      <c r="G708" s="302"/>
      <c r="H708" s="302"/>
      <c r="I708" s="302"/>
      <c r="J708" s="302"/>
      <c r="K708" s="302"/>
      <c r="L708" s="302"/>
      <c r="M708" s="302"/>
      <c r="N708" s="302"/>
      <c r="O708" s="302"/>
      <c r="P708" s="302"/>
      <c r="Q708" s="302"/>
      <c r="R708" s="302"/>
      <c r="S708" s="302"/>
      <c r="T708" s="302"/>
      <c r="U708" s="302"/>
      <c r="V708" s="302"/>
      <c r="W708" s="302"/>
      <c r="X708" s="302"/>
      <c r="Y708" s="302"/>
      <c r="Z708" s="302"/>
    </row>
    <row r="709" spans="1:26" ht="15.55">
      <c r="A709" s="302"/>
      <c r="B709" s="302"/>
      <c r="C709" s="302"/>
      <c r="D709" s="302"/>
      <c r="E709" s="302"/>
      <c r="F709" s="302"/>
      <c r="G709" s="302"/>
      <c r="H709" s="302"/>
      <c r="I709" s="302"/>
      <c r="J709" s="302"/>
      <c r="K709" s="302"/>
      <c r="L709" s="302"/>
      <c r="M709" s="302"/>
      <c r="N709" s="302"/>
      <c r="O709" s="302"/>
      <c r="P709" s="302"/>
      <c r="Q709" s="302"/>
      <c r="R709" s="302"/>
      <c r="S709" s="302"/>
      <c r="T709" s="302"/>
      <c r="U709" s="302"/>
      <c r="V709" s="302"/>
      <c r="W709" s="302"/>
      <c r="X709" s="302"/>
      <c r="Y709" s="302"/>
      <c r="Z709" s="302"/>
    </row>
    <row r="710" spans="1:26" ht="15.55">
      <c r="A710" s="302"/>
      <c r="B710" s="302"/>
      <c r="C710" s="302"/>
      <c r="D710" s="302"/>
      <c r="E710" s="302"/>
      <c r="F710" s="302"/>
      <c r="G710" s="302"/>
      <c r="H710" s="302"/>
      <c r="I710" s="302"/>
      <c r="J710" s="302"/>
      <c r="K710" s="302"/>
      <c r="L710" s="302"/>
      <c r="M710" s="302"/>
      <c r="N710" s="302"/>
      <c r="O710" s="302"/>
      <c r="P710" s="302"/>
      <c r="Q710" s="302"/>
      <c r="R710" s="302"/>
      <c r="S710" s="302"/>
      <c r="T710" s="302"/>
      <c r="U710" s="302"/>
      <c r="V710" s="302"/>
      <c r="W710" s="302"/>
      <c r="X710" s="302"/>
      <c r="Y710" s="302"/>
      <c r="Z710" s="302"/>
    </row>
    <row r="711" spans="1:26" ht="15.55">
      <c r="A711" s="302"/>
      <c r="B711" s="302"/>
      <c r="C711" s="302"/>
      <c r="D711" s="302"/>
      <c r="E711" s="302"/>
      <c r="F711" s="302"/>
      <c r="G711" s="302"/>
      <c r="H711" s="302"/>
      <c r="I711" s="302"/>
      <c r="J711" s="302"/>
      <c r="K711" s="302"/>
      <c r="L711" s="302"/>
      <c r="M711" s="302"/>
      <c r="N711" s="302"/>
      <c r="O711" s="302"/>
      <c r="P711" s="302"/>
      <c r="Q711" s="302"/>
      <c r="R711" s="302"/>
      <c r="S711" s="302"/>
      <c r="T711" s="302"/>
      <c r="U711" s="302"/>
      <c r="V711" s="302"/>
      <c r="W711" s="302"/>
      <c r="X711" s="302"/>
      <c r="Y711" s="302"/>
      <c r="Z711" s="302"/>
    </row>
    <row r="712" spans="1:26" ht="15.55">
      <c r="A712" s="302"/>
      <c r="B712" s="302"/>
      <c r="C712" s="302"/>
      <c r="D712" s="302"/>
      <c r="E712" s="302"/>
      <c r="F712" s="302"/>
      <c r="G712" s="302"/>
      <c r="H712" s="302"/>
      <c r="I712" s="302"/>
      <c r="J712" s="302"/>
      <c r="K712" s="302"/>
      <c r="L712" s="302"/>
      <c r="M712" s="302"/>
      <c r="N712" s="302"/>
      <c r="O712" s="302"/>
      <c r="P712" s="302"/>
      <c r="Q712" s="302"/>
      <c r="R712" s="302"/>
      <c r="S712" s="302"/>
      <c r="T712" s="302"/>
      <c r="U712" s="302"/>
      <c r="V712" s="302"/>
      <c r="W712" s="302"/>
      <c r="X712" s="302"/>
      <c r="Y712" s="302"/>
      <c r="Z712" s="302"/>
    </row>
    <row r="713" spans="1:26" ht="15.55">
      <c r="A713" s="302"/>
      <c r="B713" s="302"/>
      <c r="C713" s="302"/>
      <c r="D713" s="302"/>
      <c r="E713" s="302"/>
      <c r="F713" s="302"/>
      <c r="G713" s="302"/>
      <c r="H713" s="302"/>
      <c r="I713" s="302"/>
      <c r="J713" s="302"/>
      <c r="K713" s="302"/>
      <c r="L713" s="302"/>
      <c r="M713" s="302"/>
      <c r="N713" s="302"/>
      <c r="O713" s="302"/>
      <c r="P713" s="302"/>
      <c r="Q713" s="302"/>
      <c r="R713" s="302"/>
      <c r="S713" s="302"/>
      <c r="T713" s="302"/>
      <c r="U713" s="302"/>
      <c r="V713" s="302"/>
      <c r="W713" s="302"/>
      <c r="X713" s="302"/>
      <c r="Y713" s="302"/>
      <c r="Z713" s="302"/>
    </row>
    <row r="714" spans="1:26" ht="15.55">
      <c r="A714" s="302"/>
      <c r="B714" s="302"/>
      <c r="C714" s="302"/>
      <c r="D714" s="302"/>
      <c r="E714" s="302"/>
      <c r="F714" s="302"/>
      <c r="G714" s="302"/>
      <c r="H714" s="302"/>
      <c r="I714" s="302"/>
      <c r="J714" s="302"/>
      <c r="K714" s="302"/>
      <c r="L714" s="302"/>
      <c r="M714" s="302"/>
      <c r="N714" s="302"/>
      <c r="O714" s="302"/>
      <c r="P714" s="302"/>
      <c r="Q714" s="302"/>
      <c r="R714" s="302"/>
      <c r="S714" s="302"/>
      <c r="T714" s="302"/>
      <c r="U714" s="302"/>
      <c r="V714" s="302"/>
      <c r="W714" s="302"/>
      <c r="X714" s="302"/>
      <c r="Y714" s="302"/>
      <c r="Z714" s="302"/>
    </row>
    <row r="715" spans="1:26" ht="15.55">
      <c r="A715" s="302"/>
      <c r="B715" s="302"/>
      <c r="C715" s="302"/>
      <c r="D715" s="302"/>
      <c r="E715" s="302"/>
      <c r="F715" s="302"/>
      <c r="G715" s="302"/>
      <c r="H715" s="302"/>
      <c r="I715" s="302"/>
      <c r="J715" s="302"/>
      <c r="K715" s="302"/>
      <c r="L715" s="302"/>
      <c r="M715" s="302"/>
      <c r="N715" s="302"/>
      <c r="O715" s="302"/>
      <c r="P715" s="302"/>
      <c r="Q715" s="302"/>
      <c r="R715" s="302"/>
      <c r="S715" s="302"/>
      <c r="T715" s="302"/>
      <c r="U715" s="302"/>
      <c r="V715" s="302"/>
      <c r="W715" s="302"/>
      <c r="X715" s="302"/>
      <c r="Y715" s="302"/>
      <c r="Z715" s="302"/>
    </row>
    <row r="716" spans="1:26" ht="15.55">
      <c r="A716" s="302"/>
      <c r="B716" s="302"/>
      <c r="C716" s="302"/>
      <c r="D716" s="302"/>
      <c r="E716" s="302"/>
      <c r="F716" s="302"/>
      <c r="G716" s="302"/>
      <c r="H716" s="302"/>
      <c r="I716" s="302"/>
      <c r="J716" s="302"/>
      <c r="K716" s="302"/>
      <c r="L716" s="302"/>
      <c r="M716" s="302"/>
      <c r="N716" s="302"/>
      <c r="O716" s="302"/>
      <c r="P716" s="302"/>
      <c r="Q716" s="302"/>
      <c r="R716" s="302"/>
      <c r="S716" s="302"/>
      <c r="T716" s="302"/>
      <c r="U716" s="302"/>
      <c r="V716" s="302"/>
      <c r="W716" s="302"/>
      <c r="X716" s="302"/>
      <c r="Y716" s="302"/>
      <c r="Z716" s="302"/>
    </row>
    <row r="717" spans="1:26" ht="15.55">
      <c r="A717" s="302"/>
      <c r="B717" s="302"/>
      <c r="C717" s="302"/>
      <c r="D717" s="302"/>
      <c r="E717" s="302"/>
      <c r="F717" s="302"/>
      <c r="G717" s="302"/>
      <c r="H717" s="302"/>
      <c r="I717" s="302"/>
      <c r="J717" s="302"/>
      <c r="K717" s="302"/>
      <c r="L717" s="302"/>
      <c r="M717" s="302"/>
      <c r="N717" s="302"/>
      <c r="O717" s="302"/>
      <c r="P717" s="302"/>
      <c r="Q717" s="302"/>
      <c r="R717" s="302"/>
      <c r="S717" s="302"/>
      <c r="T717" s="302"/>
      <c r="U717" s="302"/>
      <c r="V717" s="302"/>
      <c r="W717" s="302"/>
      <c r="X717" s="302"/>
      <c r="Y717" s="302"/>
      <c r="Z717" s="302"/>
    </row>
    <row r="718" spans="1:26" ht="15.55">
      <c r="A718" s="302"/>
      <c r="B718" s="302"/>
      <c r="C718" s="302"/>
      <c r="D718" s="302"/>
      <c r="E718" s="302"/>
      <c r="F718" s="302"/>
      <c r="G718" s="302"/>
      <c r="H718" s="302"/>
      <c r="I718" s="302"/>
      <c r="J718" s="302"/>
      <c r="K718" s="302"/>
      <c r="L718" s="302"/>
      <c r="M718" s="302"/>
      <c r="N718" s="302"/>
      <c r="O718" s="302"/>
      <c r="P718" s="302"/>
      <c r="Q718" s="302"/>
      <c r="R718" s="302"/>
      <c r="S718" s="302"/>
      <c r="T718" s="302"/>
      <c r="U718" s="302"/>
      <c r="V718" s="302"/>
      <c r="W718" s="302"/>
      <c r="X718" s="302"/>
      <c r="Y718" s="302"/>
      <c r="Z718" s="302"/>
    </row>
    <row r="719" spans="1:26" ht="15.55">
      <c r="A719" s="302"/>
      <c r="B719" s="302"/>
      <c r="C719" s="302"/>
      <c r="D719" s="302"/>
      <c r="E719" s="302"/>
      <c r="F719" s="302"/>
      <c r="G719" s="302"/>
      <c r="H719" s="302"/>
      <c r="I719" s="302"/>
      <c r="J719" s="302"/>
      <c r="K719" s="302"/>
      <c r="L719" s="302"/>
      <c r="M719" s="302"/>
      <c r="N719" s="302"/>
      <c r="O719" s="302"/>
      <c r="P719" s="302"/>
      <c r="Q719" s="302"/>
      <c r="R719" s="302"/>
      <c r="S719" s="302"/>
      <c r="T719" s="302"/>
      <c r="U719" s="302"/>
      <c r="V719" s="302"/>
      <c r="W719" s="302"/>
      <c r="X719" s="302"/>
      <c r="Y719" s="302"/>
      <c r="Z719" s="302"/>
    </row>
    <row r="720" spans="1:26" ht="15.55">
      <c r="A720" s="302"/>
      <c r="B720" s="302"/>
      <c r="C720" s="302"/>
      <c r="D720" s="302"/>
      <c r="E720" s="302"/>
      <c r="F720" s="302"/>
      <c r="G720" s="302"/>
      <c r="H720" s="302"/>
      <c r="I720" s="302"/>
      <c r="J720" s="302"/>
      <c r="K720" s="302"/>
      <c r="L720" s="302"/>
      <c r="M720" s="302"/>
      <c r="N720" s="302"/>
      <c r="O720" s="302"/>
      <c r="P720" s="302"/>
      <c r="Q720" s="302"/>
      <c r="R720" s="302"/>
      <c r="S720" s="302"/>
      <c r="T720" s="302"/>
      <c r="U720" s="302"/>
      <c r="V720" s="302"/>
      <c r="W720" s="302"/>
      <c r="X720" s="302"/>
      <c r="Y720" s="302"/>
      <c r="Z720" s="302"/>
    </row>
    <row r="721" spans="1:26" ht="15.55">
      <c r="A721" s="302"/>
      <c r="B721" s="302"/>
      <c r="C721" s="302"/>
      <c r="D721" s="302"/>
      <c r="E721" s="302"/>
      <c r="F721" s="302"/>
      <c r="G721" s="302"/>
      <c r="H721" s="302"/>
      <c r="I721" s="302"/>
      <c r="J721" s="302"/>
      <c r="K721" s="302"/>
      <c r="L721" s="302"/>
      <c r="M721" s="302"/>
      <c r="N721" s="302"/>
      <c r="O721" s="302"/>
      <c r="P721" s="302"/>
      <c r="Q721" s="302"/>
      <c r="R721" s="302"/>
      <c r="S721" s="302"/>
      <c r="T721" s="302"/>
      <c r="U721" s="302"/>
      <c r="V721" s="302"/>
      <c r="W721" s="302"/>
      <c r="X721" s="302"/>
      <c r="Y721" s="302"/>
      <c r="Z721" s="302"/>
    </row>
    <row r="722" spans="1:26" ht="15.55">
      <c r="A722" s="302"/>
      <c r="B722" s="302"/>
      <c r="C722" s="302"/>
      <c r="D722" s="302"/>
      <c r="E722" s="302"/>
      <c r="F722" s="302"/>
      <c r="G722" s="302"/>
      <c r="H722" s="302"/>
      <c r="I722" s="302"/>
      <c r="J722" s="302"/>
      <c r="K722" s="302"/>
      <c r="L722" s="302"/>
      <c r="M722" s="302"/>
      <c r="N722" s="302"/>
      <c r="O722" s="302"/>
      <c r="P722" s="302"/>
      <c r="Q722" s="302"/>
      <c r="R722" s="302"/>
      <c r="S722" s="302"/>
      <c r="T722" s="302"/>
      <c r="U722" s="302"/>
      <c r="V722" s="302"/>
      <c r="W722" s="302"/>
      <c r="X722" s="302"/>
      <c r="Y722" s="302"/>
      <c r="Z722" s="302"/>
    </row>
    <row r="723" spans="1:26" ht="15.55">
      <c r="A723" s="302"/>
      <c r="B723" s="302"/>
      <c r="C723" s="302"/>
      <c r="D723" s="302"/>
      <c r="E723" s="302"/>
      <c r="F723" s="302"/>
      <c r="G723" s="302"/>
      <c r="H723" s="302"/>
      <c r="I723" s="302"/>
      <c r="J723" s="302"/>
      <c r="K723" s="302"/>
      <c r="L723" s="302"/>
      <c r="M723" s="302"/>
      <c r="N723" s="302"/>
      <c r="O723" s="302"/>
      <c r="P723" s="302"/>
      <c r="Q723" s="302"/>
      <c r="R723" s="302"/>
      <c r="S723" s="302"/>
      <c r="T723" s="302"/>
      <c r="U723" s="302"/>
      <c r="V723" s="302"/>
      <c r="W723" s="302"/>
      <c r="X723" s="302"/>
      <c r="Y723" s="302"/>
      <c r="Z723" s="302"/>
    </row>
    <row r="724" spans="1:26" ht="15.55">
      <c r="A724" s="302"/>
      <c r="B724" s="302"/>
      <c r="C724" s="302"/>
      <c r="D724" s="302"/>
      <c r="E724" s="302"/>
      <c r="F724" s="302"/>
      <c r="G724" s="302"/>
      <c r="H724" s="302"/>
      <c r="I724" s="302"/>
      <c r="J724" s="302"/>
      <c r="K724" s="302"/>
      <c r="L724" s="302"/>
      <c r="M724" s="302"/>
      <c r="N724" s="302"/>
      <c r="O724" s="302"/>
      <c r="P724" s="302"/>
      <c r="Q724" s="302"/>
      <c r="R724" s="302"/>
      <c r="S724" s="302"/>
      <c r="T724" s="302"/>
      <c r="U724" s="302"/>
      <c r="V724" s="302"/>
      <c r="W724" s="302"/>
      <c r="X724" s="302"/>
      <c r="Y724" s="302"/>
      <c r="Z724" s="302"/>
    </row>
    <row r="725" spans="1:26" ht="15.55">
      <c r="A725" s="302"/>
      <c r="B725" s="302"/>
      <c r="C725" s="302"/>
      <c r="D725" s="302"/>
      <c r="E725" s="302"/>
      <c r="F725" s="302"/>
      <c r="G725" s="302"/>
      <c r="H725" s="302"/>
      <c r="I725" s="302"/>
      <c r="J725" s="302"/>
      <c r="K725" s="302"/>
      <c r="L725" s="302"/>
      <c r="M725" s="302"/>
      <c r="N725" s="302"/>
      <c r="O725" s="302"/>
      <c r="P725" s="302"/>
      <c r="Q725" s="302"/>
      <c r="R725" s="302"/>
      <c r="S725" s="302"/>
      <c r="T725" s="302"/>
      <c r="U725" s="302"/>
      <c r="V725" s="302"/>
      <c r="W725" s="302"/>
      <c r="X725" s="302"/>
      <c r="Y725" s="302"/>
      <c r="Z725" s="302"/>
    </row>
    <row r="726" spans="1:26" ht="15.55">
      <c r="A726" s="302"/>
      <c r="B726" s="302"/>
      <c r="C726" s="302"/>
      <c r="D726" s="302"/>
      <c r="E726" s="302"/>
      <c r="F726" s="302"/>
      <c r="G726" s="302"/>
      <c r="H726" s="302"/>
      <c r="I726" s="302"/>
      <c r="J726" s="302"/>
      <c r="K726" s="302"/>
      <c r="L726" s="302"/>
      <c r="M726" s="302"/>
      <c r="N726" s="302"/>
      <c r="O726" s="302"/>
      <c r="P726" s="302"/>
      <c r="Q726" s="302"/>
      <c r="R726" s="302"/>
      <c r="S726" s="302"/>
      <c r="T726" s="302"/>
      <c r="U726" s="302"/>
      <c r="V726" s="302"/>
      <c r="W726" s="302"/>
      <c r="X726" s="302"/>
      <c r="Y726" s="302"/>
      <c r="Z726" s="302"/>
    </row>
    <row r="727" spans="1:26" ht="15.55">
      <c r="A727" s="302"/>
      <c r="B727" s="302"/>
      <c r="C727" s="302"/>
      <c r="D727" s="302"/>
      <c r="E727" s="302"/>
      <c r="F727" s="302"/>
      <c r="G727" s="302"/>
      <c r="H727" s="302"/>
      <c r="I727" s="302"/>
      <c r="J727" s="302"/>
      <c r="K727" s="302"/>
      <c r="L727" s="302"/>
      <c r="M727" s="302"/>
      <c r="N727" s="302"/>
      <c r="O727" s="302"/>
      <c r="P727" s="302"/>
      <c r="Q727" s="302"/>
      <c r="R727" s="302"/>
      <c r="S727" s="302"/>
      <c r="T727" s="302"/>
      <c r="U727" s="302"/>
      <c r="V727" s="302"/>
      <c r="W727" s="302"/>
      <c r="X727" s="302"/>
      <c r="Y727" s="302"/>
      <c r="Z727" s="302"/>
    </row>
    <row r="728" spans="1:26" ht="15.55">
      <c r="A728" s="302"/>
      <c r="B728" s="302"/>
      <c r="C728" s="302"/>
      <c r="D728" s="302"/>
      <c r="E728" s="302"/>
      <c r="F728" s="302"/>
      <c r="G728" s="302"/>
      <c r="H728" s="302"/>
      <c r="I728" s="302"/>
      <c r="J728" s="302"/>
      <c r="K728" s="302"/>
      <c r="L728" s="302"/>
      <c r="M728" s="302"/>
      <c r="N728" s="302"/>
      <c r="O728" s="302"/>
      <c r="P728" s="302"/>
      <c r="Q728" s="302"/>
      <c r="R728" s="302"/>
      <c r="S728" s="302"/>
      <c r="T728" s="302"/>
      <c r="U728" s="302"/>
      <c r="V728" s="302"/>
      <c r="W728" s="302"/>
      <c r="X728" s="302"/>
      <c r="Y728" s="302"/>
      <c r="Z728" s="302"/>
    </row>
    <row r="729" spans="1:26" ht="15.55">
      <c r="A729" s="302"/>
      <c r="B729" s="302"/>
      <c r="C729" s="302"/>
      <c r="D729" s="302"/>
      <c r="E729" s="302"/>
      <c r="F729" s="302"/>
      <c r="G729" s="302"/>
      <c r="H729" s="302"/>
      <c r="I729" s="302"/>
      <c r="J729" s="302"/>
      <c r="K729" s="302"/>
      <c r="L729" s="302"/>
      <c r="M729" s="302"/>
      <c r="N729" s="302"/>
      <c r="O729" s="302"/>
      <c r="P729" s="302"/>
      <c r="Q729" s="302"/>
      <c r="R729" s="302"/>
      <c r="S729" s="302"/>
      <c r="T729" s="302"/>
      <c r="U729" s="302"/>
      <c r="V729" s="302"/>
      <c r="W729" s="302"/>
      <c r="X729" s="302"/>
      <c r="Y729" s="302"/>
      <c r="Z729" s="302"/>
    </row>
    <row r="730" spans="1:26" ht="15.55">
      <c r="A730" s="302"/>
      <c r="B730" s="302"/>
      <c r="C730" s="302"/>
      <c r="D730" s="302"/>
      <c r="E730" s="302"/>
      <c r="F730" s="302"/>
      <c r="G730" s="302"/>
      <c r="H730" s="302"/>
      <c r="I730" s="302"/>
      <c r="J730" s="302"/>
      <c r="K730" s="302"/>
      <c r="L730" s="302"/>
      <c r="M730" s="302"/>
      <c r="N730" s="302"/>
      <c r="O730" s="302"/>
      <c r="P730" s="302"/>
      <c r="Q730" s="302"/>
      <c r="R730" s="302"/>
      <c r="S730" s="302"/>
      <c r="T730" s="302"/>
      <c r="U730" s="302"/>
      <c r="V730" s="302"/>
      <c r="W730" s="302"/>
      <c r="X730" s="302"/>
      <c r="Y730" s="302"/>
      <c r="Z730" s="302"/>
    </row>
    <row r="731" spans="1:26" ht="15.55">
      <c r="A731" s="302"/>
      <c r="B731" s="302"/>
      <c r="C731" s="302"/>
      <c r="D731" s="302"/>
      <c r="E731" s="302"/>
      <c r="F731" s="302"/>
      <c r="G731" s="302"/>
      <c r="H731" s="302"/>
      <c r="I731" s="302"/>
      <c r="J731" s="302"/>
      <c r="K731" s="302"/>
      <c r="L731" s="302"/>
      <c r="M731" s="302"/>
      <c r="N731" s="302"/>
      <c r="O731" s="302"/>
      <c r="P731" s="302"/>
      <c r="Q731" s="302"/>
      <c r="R731" s="302"/>
      <c r="S731" s="302"/>
      <c r="T731" s="302"/>
      <c r="U731" s="302"/>
      <c r="V731" s="302"/>
      <c r="W731" s="302"/>
      <c r="X731" s="302"/>
      <c r="Y731" s="302"/>
      <c r="Z731" s="302"/>
    </row>
    <row r="732" spans="1:26" ht="15.55">
      <c r="A732" s="302"/>
      <c r="B732" s="302"/>
      <c r="C732" s="302"/>
      <c r="D732" s="302"/>
      <c r="E732" s="302"/>
      <c r="F732" s="302"/>
      <c r="G732" s="302"/>
      <c r="H732" s="302"/>
      <c r="I732" s="302"/>
      <c r="J732" s="302"/>
      <c r="K732" s="302"/>
      <c r="L732" s="302"/>
      <c r="M732" s="302"/>
      <c r="N732" s="302"/>
      <c r="O732" s="302"/>
      <c r="P732" s="302"/>
      <c r="Q732" s="302"/>
      <c r="R732" s="302"/>
      <c r="S732" s="302"/>
      <c r="T732" s="302"/>
      <c r="U732" s="302"/>
      <c r="V732" s="302"/>
      <c r="W732" s="302"/>
      <c r="X732" s="302"/>
      <c r="Y732" s="302"/>
      <c r="Z732" s="302"/>
    </row>
    <row r="733" spans="1:26" ht="15.55">
      <c r="A733" s="302"/>
      <c r="B733" s="302"/>
      <c r="C733" s="302"/>
      <c r="D733" s="302"/>
      <c r="E733" s="302"/>
      <c r="F733" s="302"/>
      <c r="G733" s="302"/>
      <c r="H733" s="302"/>
      <c r="I733" s="302"/>
      <c r="J733" s="302"/>
      <c r="K733" s="302"/>
      <c r="L733" s="302"/>
      <c r="M733" s="302"/>
      <c r="N733" s="302"/>
      <c r="O733" s="302"/>
      <c r="P733" s="302"/>
      <c r="Q733" s="302"/>
      <c r="R733" s="302"/>
      <c r="S733" s="302"/>
      <c r="T733" s="302"/>
      <c r="U733" s="302"/>
      <c r="V733" s="302"/>
      <c r="W733" s="302"/>
      <c r="X733" s="302"/>
      <c r="Y733" s="302"/>
      <c r="Z733" s="302"/>
    </row>
    <row r="734" spans="1:26" ht="15.55">
      <c r="A734" s="302"/>
      <c r="B734" s="302"/>
      <c r="C734" s="302"/>
      <c r="D734" s="302"/>
      <c r="E734" s="302"/>
      <c r="F734" s="302"/>
      <c r="G734" s="302"/>
      <c r="H734" s="302"/>
      <c r="I734" s="302"/>
      <c r="J734" s="302"/>
      <c r="K734" s="302"/>
      <c r="L734" s="302"/>
      <c r="M734" s="302"/>
      <c r="N734" s="302"/>
      <c r="O734" s="302"/>
      <c r="P734" s="302"/>
      <c r="Q734" s="302"/>
      <c r="R734" s="302"/>
      <c r="S734" s="302"/>
      <c r="T734" s="302"/>
      <c r="U734" s="302"/>
      <c r="V734" s="302"/>
      <c r="W734" s="302"/>
      <c r="X734" s="302"/>
      <c r="Y734" s="302"/>
      <c r="Z734" s="302"/>
    </row>
    <row r="735" spans="1:26" ht="15.55">
      <c r="A735" s="302"/>
      <c r="B735" s="302"/>
      <c r="C735" s="302"/>
      <c r="D735" s="302"/>
      <c r="E735" s="302"/>
      <c r="F735" s="302"/>
      <c r="G735" s="302"/>
      <c r="H735" s="302"/>
      <c r="I735" s="302"/>
      <c r="J735" s="302"/>
      <c r="K735" s="302"/>
      <c r="L735" s="302"/>
      <c r="M735" s="302"/>
      <c r="N735" s="302"/>
      <c r="O735" s="302"/>
      <c r="P735" s="302"/>
      <c r="Q735" s="302"/>
      <c r="R735" s="302"/>
      <c r="S735" s="302"/>
      <c r="T735" s="302"/>
      <c r="U735" s="302"/>
      <c r="V735" s="302"/>
      <c r="W735" s="302"/>
      <c r="X735" s="302"/>
      <c r="Y735" s="302"/>
      <c r="Z735" s="302"/>
    </row>
    <row r="736" spans="1:26" ht="15.55">
      <c r="A736" s="302"/>
      <c r="B736" s="302"/>
      <c r="C736" s="302"/>
      <c r="D736" s="302"/>
      <c r="E736" s="302"/>
      <c r="F736" s="302"/>
      <c r="G736" s="302"/>
      <c r="H736" s="302"/>
      <c r="I736" s="302"/>
      <c r="J736" s="302"/>
      <c r="K736" s="302"/>
      <c r="L736" s="302"/>
      <c r="M736" s="302"/>
      <c r="N736" s="302"/>
      <c r="O736" s="302"/>
      <c r="P736" s="302"/>
      <c r="Q736" s="302"/>
      <c r="R736" s="302"/>
      <c r="S736" s="302"/>
      <c r="T736" s="302"/>
      <c r="U736" s="302"/>
      <c r="V736" s="302"/>
      <c r="W736" s="302"/>
      <c r="X736" s="302"/>
      <c r="Y736" s="302"/>
      <c r="Z736" s="302"/>
    </row>
    <row r="737" spans="1:26" ht="15.55">
      <c r="A737" s="302"/>
      <c r="B737" s="302"/>
      <c r="C737" s="302"/>
      <c r="D737" s="302"/>
      <c r="E737" s="302"/>
      <c r="F737" s="302"/>
      <c r="G737" s="302"/>
      <c r="H737" s="302"/>
      <c r="I737" s="302"/>
      <c r="J737" s="302"/>
      <c r="K737" s="302"/>
      <c r="L737" s="302"/>
      <c r="M737" s="302"/>
      <c r="N737" s="302"/>
      <c r="O737" s="302"/>
      <c r="P737" s="302"/>
      <c r="Q737" s="302"/>
      <c r="R737" s="302"/>
      <c r="S737" s="302"/>
      <c r="T737" s="302"/>
      <c r="U737" s="302"/>
      <c r="V737" s="302"/>
      <c r="W737" s="302"/>
      <c r="X737" s="302"/>
      <c r="Y737" s="302"/>
      <c r="Z737" s="302"/>
    </row>
    <row r="738" spans="1:26" ht="15.55">
      <c r="A738" s="302"/>
      <c r="B738" s="302"/>
      <c r="C738" s="302"/>
      <c r="D738" s="302"/>
      <c r="E738" s="302"/>
      <c r="F738" s="302"/>
      <c r="G738" s="302"/>
      <c r="H738" s="302"/>
      <c r="I738" s="302"/>
      <c r="J738" s="302"/>
      <c r="K738" s="302"/>
      <c r="L738" s="302"/>
      <c r="M738" s="302"/>
      <c r="N738" s="302"/>
      <c r="O738" s="302"/>
      <c r="P738" s="302"/>
      <c r="Q738" s="302"/>
      <c r="R738" s="302"/>
      <c r="S738" s="302"/>
      <c r="T738" s="302"/>
      <c r="U738" s="302"/>
      <c r="V738" s="302"/>
      <c r="W738" s="302"/>
      <c r="X738" s="302"/>
      <c r="Y738" s="302"/>
      <c r="Z738" s="302"/>
    </row>
    <row r="739" spans="1:26" ht="15.55">
      <c r="A739" s="302"/>
      <c r="B739" s="302"/>
      <c r="C739" s="302"/>
      <c r="D739" s="302"/>
      <c r="E739" s="302"/>
      <c r="F739" s="302"/>
      <c r="G739" s="302"/>
      <c r="H739" s="302"/>
      <c r="I739" s="302"/>
      <c r="J739" s="302"/>
      <c r="K739" s="302"/>
      <c r="L739" s="302"/>
      <c r="M739" s="302"/>
      <c r="N739" s="302"/>
      <c r="O739" s="302"/>
      <c r="P739" s="302"/>
      <c r="Q739" s="302"/>
      <c r="R739" s="302"/>
      <c r="S739" s="302"/>
      <c r="T739" s="302"/>
      <c r="U739" s="302"/>
      <c r="V739" s="302"/>
      <c r="W739" s="302"/>
      <c r="X739" s="302"/>
      <c r="Y739" s="302"/>
      <c r="Z739" s="302"/>
    </row>
    <row r="740" spans="1:26" ht="15.55">
      <c r="A740" s="302"/>
      <c r="B740" s="302"/>
      <c r="C740" s="302"/>
      <c r="D740" s="302"/>
      <c r="E740" s="302"/>
      <c r="F740" s="302"/>
      <c r="G740" s="302"/>
      <c r="H740" s="302"/>
      <c r="I740" s="302"/>
      <c r="J740" s="302"/>
      <c r="K740" s="302"/>
      <c r="L740" s="302"/>
      <c r="M740" s="302"/>
      <c r="N740" s="302"/>
      <c r="O740" s="302"/>
      <c r="P740" s="302"/>
      <c r="Q740" s="302"/>
      <c r="R740" s="302"/>
      <c r="S740" s="302"/>
      <c r="T740" s="302"/>
      <c r="U740" s="302"/>
      <c r="V740" s="302"/>
      <c r="W740" s="302"/>
      <c r="X740" s="302"/>
      <c r="Y740" s="302"/>
      <c r="Z740" s="302"/>
    </row>
    <row r="741" spans="1:26" ht="15.55">
      <c r="A741" s="302"/>
      <c r="B741" s="302"/>
      <c r="C741" s="302"/>
      <c r="D741" s="302"/>
      <c r="E741" s="302"/>
      <c r="F741" s="302"/>
      <c r="G741" s="302"/>
      <c r="H741" s="302"/>
      <c r="I741" s="302"/>
      <c r="J741" s="302"/>
      <c r="K741" s="302"/>
      <c r="L741" s="302"/>
      <c r="M741" s="302"/>
      <c r="N741" s="302"/>
      <c r="O741" s="302"/>
      <c r="P741" s="302"/>
      <c r="Q741" s="302"/>
      <c r="R741" s="302"/>
      <c r="S741" s="302"/>
      <c r="T741" s="302"/>
      <c r="U741" s="302"/>
      <c r="V741" s="302"/>
      <c r="W741" s="302"/>
      <c r="X741" s="302"/>
      <c r="Y741" s="302"/>
      <c r="Z741" s="302"/>
    </row>
    <row r="742" spans="1:26" ht="15.55">
      <c r="A742" s="302"/>
      <c r="B742" s="302"/>
      <c r="C742" s="302"/>
      <c r="D742" s="302"/>
      <c r="E742" s="302"/>
      <c r="F742" s="302"/>
      <c r="G742" s="302"/>
      <c r="H742" s="302"/>
      <c r="I742" s="302"/>
      <c r="J742" s="302"/>
      <c r="K742" s="302"/>
      <c r="L742" s="302"/>
      <c r="M742" s="302"/>
      <c r="N742" s="302"/>
      <c r="O742" s="302"/>
      <c r="P742" s="302"/>
      <c r="Q742" s="302"/>
      <c r="R742" s="302"/>
      <c r="S742" s="302"/>
      <c r="T742" s="302"/>
      <c r="U742" s="302"/>
      <c r="V742" s="302"/>
      <c r="W742" s="302"/>
      <c r="X742" s="302"/>
      <c r="Y742" s="302"/>
      <c r="Z742" s="302"/>
    </row>
    <row r="743" spans="1:26" ht="15.55">
      <c r="A743" s="302"/>
      <c r="B743" s="302"/>
      <c r="C743" s="302"/>
      <c r="D743" s="302"/>
      <c r="E743" s="302"/>
      <c r="F743" s="302"/>
      <c r="G743" s="302"/>
      <c r="H743" s="302"/>
      <c r="I743" s="302"/>
      <c r="J743" s="302"/>
      <c r="K743" s="302"/>
      <c r="L743" s="302"/>
      <c r="M743" s="302"/>
      <c r="N743" s="302"/>
      <c r="O743" s="302"/>
      <c r="P743" s="302"/>
      <c r="Q743" s="302"/>
      <c r="R743" s="302"/>
      <c r="S743" s="302"/>
      <c r="T743" s="302"/>
      <c r="U743" s="302"/>
      <c r="V743" s="302"/>
      <c r="W743" s="302"/>
      <c r="X743" s="302"/>
      <c r="Y743" s="302"/>
      <c r="Z743" s="302"/>
    </row>
    <row r="744" spans="1:26" ht="15.55">
      <c r="A744" s="302"/>
      <c r="B744" s="302"/>
      <c r="C744" s="302"/>
      <c r="D744" s="302"/>
      <c r="E744" s="302"/>
      <c r="F744" s="302"/>
      <c r="G744" s="302"/>
      <c r="H744" s="302"/>
      <c r="I744" s="302"/>
      <c r="J744" s="302"/>
      <c r="K744" s="302"/>
      <c r="L744" s="302"/>
      <c r="M744" s="302"/>
      <c r="N744" s="302"/>
      <c r="O744" s="302"/>
      <c r="P744" s="302"/>
      <c r="Q744" s="302"/>
      <c r="R744" s="302"/>
      <c r="S744" s="302"/>
      <c r="T744" s="302"/>
      <c r="U744" s="302"/>
      <c r="V744" s="302"/>
      <c r="W744" s="302"/>
      <c r="X744" s="302"/>
      <c r="Y744" s="302"/>
      <c r="Z744" s="302"/>
    </row>
    <row r="745" spans="1:26" ht="15.55">
      <c r="A745" s="302"/>
      <c r="B745" s="302"/>
      <c r="C745" s="302"/>
      <c r="D745" s="302"/>
      <c r="E745" s="302"/>
      <c r="F745" s="302"/>
      <c r="G745" s="302"/>
      <c r="H745" s="302"/>
      <c r="I745" s="302"/>
      <c r="J745" s="302"/>
      <c r="K745" s="302"/>
      <c r="L745" s="302"/>
      <c r="M745" s="302"/>
      <c r="N745" s="302"/>
      <c r="O745" s="302"/>
      <c r="P745" s="302"/>
      <c r="Q745" s="302"/>
      <c r="R745" s="302"/>
      <c r="S745" s="302"/>
      <c r="T745" s="302"/>
      <c r="U745" s="302"/>
      <c r="V745" s="302"/>
      <c r="W745" s="302"/>
      <c r="X745" s="302"/>
      <c r="Y745" s="302"/>
      <c r="Z745" s="302"/>
    </row>
    <row r="746" spans="1:26" ht="15.55">
      <c r="A746" s="302"/>
      <c r="B746" s="302"/>
      <c r="C746" s="302"/>
      <c r="D746" s="302"/>
      <c r="E746" s="302"/>
      <c r="F746" s="302"/>
      <c r="G746" s="302"/>
      <c r="H746" s="302"/>
      <c r="I746" s="302"/>
      <c r="J746" s="302"/>
      <c r="K746" s="302"/>
      <c r="L746" s="302"/>
      <c r="M746" s="302"/>
      <c r="N746" s="302"/>
      <c r="O746" s="302"/>
      <c r="P746" s="302"/>
      <c r="Q746" s="302"/>
      <c r="R746" s="302"/>
      <c r="S746" s="302"/>
      <c r="T746" s="302"/>
      <c r="U746" s="302"/>
      <c r="V746" s="302"/>
      <c r="W746" s="302"/>
      <c r="X746" s="302"/>
      <c r="Y746" s="302"/>
      <c r="Z746" s="302"/>
    </row>
    <row r="747" spans="1:26" ht="15.55">
      <c r="A747" s="302"/>
      <c r="B747" s="302"/>
      <c r="C747" s="302"/>
      <c r="D747" s="302"/>
      <c r="E747" s="302"/>
      <c r="F747" s="302"/>
      <c r="G747" s="302"/>
      <c r="H747" s="302"/>
      <c r="I747" s="302"/>
      <c r="J747" s="302"/>
      <c r="K747" s="302"/>
      <c r="L747" s="302"/>
      <c r="M747" s="302"/>
      <c r="N747" s="302"/>
      <c r="O747" s="302"/>
      <c r="P747" s="302"/>
      <c r="Q747" s="302"/>
      <c r="R747" s="302"/>
      <c r="S747" s="302"/>
      <c r="T747" s="302"/>
      <c r="U747" s="302"/>
      <c r="V747" s="302"/>
      <c r="W747" s="302"/>
      <c r="X747" s="302"/>
      <c r="Y747" s="302"/>
      <c r="Z747" s="302"/>
    </row>
    <row r="748" spans="1:26" ht="15.55">
      <c r="A748" s="302"/>
      <c r="B748" s="302"/>
      <c r="C748" s="302"/>
      <c r="D748" s="302"/>
      <c r="E748" s="302"/>
      <c r="F748" s="302"/>
      <c r="G748" s="302"/>
      <c r="H748" s="302"/>
      <c r="I748" s="302"/>
      <c r="J748" s="302"/>
      <c r="K748" s="302"/>
      <c r="L748" s="302"/>
      <c r="M748" s="302"/>
      <c r="N748" s="302"/>
      <c r="O748" s="302"/>
      <c r="P748" s="302"/>
      <c r="Q748" s="302"/>
      <c r="R748" s="302"/>
      <c r="S748" s="302"/>
      <c r="T748" s="302"/>
      <c r="U748" s="302"/>
      <c r="V748" s="302"/>
      <c r="W748" s="302"/>
      <c r="X748" s="302"/>
      <c r="Y748" s="302"/>
      <c r="Z748" s="302"/>
    </row>
    <row r="749" spans="1:26" ht="15.55">
      <c r="A749" s="302"/>
      <c r="B749" s="302"/>
      <c r="C749" s="302"/>
      <c r="D749" s="302"/>
      <c r="E749" s="302"/>
      <c r="F749" s="302"/>
      <c r="G749" s="302"/>
      <c r="H749" s="302"/>
      <c r="I749" s="302"/>
      <c r="J749" s="302"/>
      <c r="K749" s="302"/>
      <c r="L749" s="302"/>
      <c r="M749" s="302"/>
      <c r="N749" s="302"/>
      <c r="O749" s="302"/>
      <c r="P749" s="302"/>
      <c r="Q749" s="302"/>
      <c r="R749" s="302"/>
      <c r="S749" s="302"/>
      <c r="T749" s="302"/>
      <c r="U749" s="302"/>
      <c r="V749" s="302"/>
      <c r="W749" s="302"/>
      <c r="X749" s="302"/>
      <c r="Y749" s="302"/>
      <c r="Z749" s="302"/>
    </row>
    <row r="750" spans="1:26" ht="15.55">
      <c r="A750" s="302"/>
      <c r="B750" s="302"/>
      <c r="C750" s="302"/>
      <c r="D750" s="302"/>
      <c r="E750" s="302"/>
      <c r="F750" s="302"/>
      <c r="G750" s="302"/>
      <c r="H750" s="302"/>
      <c r="I750" s="302"/>
      <c r="J750" s="302"/>
      <c r="K750" s="302"/>
      <c r="L750" s="302"/>
      <c r="M750" s="302"/>
      <c r="N750" s="302"/>
      <c r="O750" s="302"/>
      <c r="P750" s="302"/>
      <c r="Q750" s="302"/>
      <c r="R750" s="302"/>
      <c r="S750" s="302"/>
      <c r="T750" s="302"/>
      <c r="U750" s="302"/>
      <c r="V750" s="302"/>
      <c r="W750" s="302"/>
      <c r="X750" s="302"/>
      <c r="Y750" s="302"/>
      <c r="Z750" s="302"/>
    </row>
    <row r="751" spans="1:26" ht="15.55">
      <c r="A751" s="302"/>
      <c r="B751" s="302"/>
      <c r="C751" s="302"/>
      <c r="D751" s="302"/>
      <c r="E751" s="302"/>
      <c r="F751" s="302"/>
      <c r="G751" s="302"/>
      <c r="H751" s="302"/>
      <c r="I751" s="302"/>
      <c r="J751" s="302"/>
      <c r="K751" s="302"/>
      <c r="L751" s="302"/>
      <c r="M751" s="302"/>
      <c r="N751" s="302"/>
      <c r="O751" s="302"/>
      <c r="P751" s="302"/>
      <c r="Q751" s="302"/>
      <c r="R751" s="302"/>
      <c r="S751" s="302"/>
      <c r="T751" s="302"/>
      <c r="U751" s="302"/>
      <c r="V751" s="302"/>
      <c r="W751" s="302"/>
      <c r="X751" s="302"/>
      <c r="Y751" s="302"/>
      <c r="Z751" s="302"/>
    </row>
    <row r="752" spans="1:26" ht="15.55">
      <c r="A752" s="302"/>
      <c r="B752" s="302"/>
      <c r="C752" s="302"/>
      <c r="D752" s="302"/>
      <c r="E752" s="302"/>
      <c r="F752" s="302"/>
      <c r="G752" s="302"/>
      <c r="H752" s="302"/>
      <c r="I752" s="302"/>
      <c r="J752" s="302"/>
      <c r="K752" s="302"/>
      <c r="L752" s="302"/>
      <c r="M752" s="302"/>
      <c r="N752" s="302"/>
      <c r="O752" s="302"/>
      <c r="P752" s="302"/>
      <c r="Q752" s="302"/>
      <c r="R752" s="302"/>
      <c r="S752" s="302"/>
      <c r="T752" s="302"/>
      <c r="U752" s="302"/>
      <c r="V752" s="302"/>
      <c r="W752" s="302"/>
      <c r="X752" s="302"/>
      <c r="Y752" s="302"/>
      <c r="Z752" s="302"/>
    </row>
    <row r="753" spans="1:26" ht="15.55">
      <c r="A753" s="302"/>
      <c r="B753" s="302"/>
      <c r="C753" s="302"/>
      <c r="D753" s="302"/>
      <c r="E753" s="302"/>
      <c r="F753" s="302"/>
      <c r="G753" s="302"/>
      <c r="H753" s="302"/>
      <c r="I753" s="302"/>
      <c r="J753" s="302"/>
      <c r="K753" s="302"/>
      <c r="L753" s="302"/>
      <c r="M753" s="302"/>
      <c r="N753" s="302"/>
      <c r="O753" s="302"/>
      <c r="P753" s="302"/>
      <c r="Q753" s="302"/>
      <c r="R753" s="302"/>
      <c r="S753" s="302"/>
      <c r="T753" s="302"/>
      <c r="U753" s="302"/>
      <c r="V753" s="302"/>
      <c r="W753" s="302"/>
      <c r="X753" s="302"/>
      <c r="Y753" s="302"/>
      <c r="Z753" s="302"/>
    </row>
    <row r="754" spans="1:26" ht="15.55">
      <c r="A754" s="302"/>
      <c r="B754" s="302"/>
      <c r="C754" s="302"/>
      <c r="D754" s="302"/>
      <c r="E754" s="302"/>
      <c r="F754" s="302"/>
      <c r="G754" s="302"/>
      <c r="H754" s="302"/>
      <c r="I754" s="302"/>
      <c r="J754" s="302"/>
      <c r="K754" s="302"/>
      <c r="L754" s="302"/>
      <c r="M754" s="302"/>
      <c r="N754" s="302"/>
      <c r="O754" s="302"/>
      <c r="P754" s="302"/>
      <c r="Q754" s="302"/>
      <c r="R754" s="302"/>
      <c r="S754" s="302"/>
      <c r="T754" s="302"/>
      <c r="U754" s="302"/>
      <c r="V754" s="302"/>
      <c r="W754" s="302"/>
      <c r="X754" s="302"/>
      <c r="Y754" s="302"/>
      <c r="Z754" s="302"/>
    </row>
    <row r="755" spans="1:26" ht="15.55">
      <c r="A755" s="302"/>
      <c r="B755" s="302"/>
      <c r="C755" s="302"/>
      <c r="D755" s="302"/>
      <c r="E755" s="302"/>
      <c r="F755" s="302"/>
      <c r="G755" s="302"/>
      <c r="H755" s="302"/>
      <c r="I755" s="302"/>
      <c r="J755" s="302"/>
      <c r="K755" s="302"/>
      <c r="L755" s="302"/>
      <c r="M755" s="302"/>
      <c r="N755" s="302"/>
      <c r="O755" s="302"/>
      <c r="P755" s="302"/>
      <c r="Q755" s="302"/>
      <c r="R755" s="302"/>
      <c r="S755" s="302"/>
      <c r="T755" s="302"/>
      <c r="U755" s="302"/>
      <c r="V755" s="302"/>
      <c r="W755" s="302"/>
      <c r="X755" s="302"/>
      <c r="Y755" s="302"/>
      <c r="Z755" s="302"/>
    </row>
    <row r="756" spans="1:26" ht="15.55">
      <c r="A756" s="302"/>
      <c r="B756" s="302"/>
      <c r="C756" s="302"/>
      <c r="D756" s="302"/>
      <c r="E756" s="302"/>
      <c r="F756" s="302"/>
      <c r="G756" s="302"/>
      <c r="H756" s="302"/>
      <c r="I756" s="302"/>
      <c r="J756" s="302"/>
      <c r="K756" s="302"/>
      <c r="L756" s="302"/>
      <c r="M756" s="302"/>
      <c r="N756" s="302"/>
      <c r="O756" s="302"/>
      <c r="P756" s="302"/>
      <c r="Q756" s="302"/>
      <c r="R756" s="302"/>
      <c r="S756" s="302"/>
      <c r="T756" s="302"/>
      <c r="U756" s="302"/>
      <c r="V756" s="302"/>
      <c r="W756" s="302"/>
      <c r="X756" s="302"/>
      <c r="Y756" s="302"/>
      <c r="Z756" s="302"/>
    </row>
    <row r="757" spans="1:26" ht="15.55">
      <c r="A757" s="302"/>
      <c r="B757" s="302"/>
      <c r="C757" s="302"/>
      <c r="D757" s="302"/>
      <c r="E757" s="302"/>
      <c r="F757" s="302"/>
      <c r="G757" s="302"/>
      <c r="H757" s="302"/>
      <c r="I757" s="302"/>
      <c r="J757" s="302"/>
      <c r="K757" s="302"/>
      <c r="L757" s="302"/>
      <c r="M757" s="302"/>
      <c r="N757" s="302"/>
      <c r="O757" s="302"/>
      <c r="P757" s="302"/>
      <c r="Q757" s="302"/>
      <c r="R757" s="302"/>
      <c r="S757" s="302"/>
      <c r="T757" s="302"/>
      <c r="U757" s="302"/>
      <c r="V757" s="302"/>
      <c r="W757" s="302"/>
      <c r="X757" s="302"/>
      <c r="Y757" s="302"/>
      <c r="Z757" s="302"/>
    </row>
    <row r="758" spans="1:26" ht="15.55">
      <c r="A758" s="302"/>
      <c r="B758" s="302"/>
      <c r="C758" s="302"/>
      <c r="D758" s="302"/>
      <c r="E758" s="302"/>
      <c r="F758" s="302"/>
      <c r="G758" s="302"/>
      <c r="H758" s="302"/>
      <c r="I758" s="302"/>
      <c r="J758" s="302"/>
      <c r="K758" s="302"/>
      <c r="L758" s="302"/>
      <c r="M758" s="302"/>
      <c r="N758" s="302"/>
      <c r="O758" s="302"/>
      <c r="P758" s="302"/>
      <c r="Q758" s="302"/>
      <c r="R758" s="302"/>
      <c r="S758" s="302"/>
      <c r="T758" s="302"/>
      <c r="U758" s="302"/>
      <c r="V758" s="302"/>
      <c r="W758" s="302"/>
      <c r="X758" s="302"/>
      <c r="Y758" s="302"/>
      <c r="Z758" s="302"/>
    </row>
    <row r="759" spans="1:26" ht="15.55">
      <c r="A759" s="302"/>
      <c r="B759" s="302"/>
      <c r="C759" s="302"/>
      <c r="D759" s="302"/>
      <c r="E759" s="302"/>
      <c r="F759" s="302"/>
      <c r="G759" s="302"/>
      <c r="H759" s="302"/>
      <c r="I759" s="302"/>
      <c r="J759" s="302"/>
      <c r="K759" s="302"/>
      <c r="L759" s="302"/>
      <c r="M759" s="302"/>
      <c r="N759" s="302"/>
      <c r="O759" s="302"/>
      <c r="P759" s="302"/>
      <c r="Q759" s="302"/>
      <c r="R759" s="302"/>
      <c r="S759" s="302"/>
      <c r="T759" s="302"/>
      <c r="U759" s="302"/>
      <c r="V759" s="302"/>
      <c r="W759" s="302"/>
      <c r="X759" s="302"/>
      <c r="Y759" s="302"/>
      <c r="Z759" s="302"/>
    </row>
    <row r="760" spans="1:26" ht="15.55">
      <c r="A760" s="302"/>
      <c r="B760" s="302"/>
      <c r="C760" s="302"/>
      <c r="D760" s="302"/>
      <c r="E760" s="302"/>
      <c r="F760" s="302"/>
      <c r="G760" s="302"/>
      <c r="H760" s="302"/>
      <c r="I760" s="302"/>
      <c r="J760" s="302"/>
      <c r="K760" s="302"/>
      <c r="L760" s="302"/>
      <c r="M760" s="302"/>
      <c r="N760" s="302"/>
      <c r="O760" s="302"/>
      <c r="P760" s="302"/>
      <c r="Q760" s="302"/>
      <c r="R760" s="302"/>
      <c r="S760" s="302"/>
      <c r="T760" s="302"/>
      <c r="U760" s="302"/>
      <c r="V760" s="302"/>
      <c r="W760" s="302"/>
      <c r="X760" s="302"/>
      <c r="Y760" s="302"/>
      <c r="Z760" s="302"/>
    </row>
    <row r="761" spans="1:26" ht="15.55">
      <c r="A761" s="302"/>
      <c r="B761" s="302"/>
      <c r="C761" s="302"/>
      <c r="D761" s="302"/>
      <c r="E761" s="302"/>
      <c r="F761" s="302"/>
      <c r="G761" s="302"/>
      <c r="H761" s="302"/>
      <c r="I761" s="302"/>
      <c r="J761" s="302"/>
      <c r="K761" s="302"/>
      <c r="L761" s="302"/>
      <c r="M761" s="302"/>
      <c r="N761" s="302"/>
      <c r="O761" s="302"/>
      <c r="P761" s="302"/>
      <c r="Q761" s="302"/>
      <c r="R761" s="302"/>
      <c r="S761" s="302"/>
      <c r="T761" s="302"/>
      <c r="U761" s="302"/>
      <c r="V761" s="302"/>
      <c r="W761" s="302"/>
      <c r="X761" s="302"/>
      <c r="Y761" s="302"/>
      <c r="Z761" s="302"/>
    </row>
    <row r="762" spans="1:26" ht="15.55">
      <c r="A762" s="302"/>
      <c r="B762" s="302"/>
      <c r="C762" s="302"/>
      <c r="D762" s="302"/>
      <c r="E762" s="302"/>
      <c r="F762" s="302"/>
      <c r="G762" s="302"/>
      <c r="H762" s="302"/>
      <c r="I762" s="302"/>
      <c r="J762" s="302"/>
      <c r="K762" s="302"/>
      <c r="L762" s="302"/>
      <c r="M762" s="302"/>
      <c r="N762" s="302"/>
      <c r="O762" s="302"/>
      <c r="P762" s="302"/>
      <c r="Q762" s="302"/>
      <c r="R762" s="302"/>
      <c r="S762" s="302"/>
      <c r="T762" s="302"/>
      <c r="U762" s="302"/>
      <c r="V762" s="302"/>
      <c r="W762" s="302"/>
      <c r="X762" s="302"/>
      <c r="Y762" s="302"/>
      <c r="Z762" s="302"/>
    </row>
    <row r="763" spans="1:26" ht="15.55">
      <c r="A763" s="302"/>
      <c r="B763" s="302"/>
      <c r="C763" s="302"/>
      <c r="D763" s="302"/>
      <c r="E763" s="302"/>
      <c r="F763" s="302"/>
      <c r="G763" s="302"/>
      <c r="H763" s="302"/>
      <c r="I763" s="302"/>
      <c r="J763" s="302"/>
      <c r="K763" s="302"/>
      <c r="L763" s="302"/>
      <c r="M763" s="302"/>
      <c r="N763" s="302"/>
      <c r="O763" s="302"/>
      <c r="P763" s="302"/>
      <c r="Q763" s="302"/>
      <c r="R763" s="302"/>
      <c r="S763" s="302"/>
      <c r="T763" s="302"/>
      <c r="U763" s="302"/>
      <c r="V763" s="302"/>
      <c r="W763" s="302"/>
      <c r="X763" s="302"/>
      <c r="Y763" s="302"/>
      <c r="Z763" s="302"/>
    </row>
    <row r="764" spans="1:26" ht="15.55">
      <c r="A764" s="302"/>
      <c r="B764" s="302"/>
      <c r="C764" s="302"/>
      <c r="D764" s="302"/>
      <c r="E764" s="302"/>
      <c r="F764" s="302"/>
      <c r="G764" s="302"/>
      <c r="H764" s="302"/>
      <c r="I764" s="302"/>
      <c r="J764" s="302"/>
      <c r="K764" s="302"/>
      <c r="L764" s="302"/>
      <c r="M764" s="302"/>
      <c r="N764" s="302"/>
      <c r="O764" s="302"/>
      <c r="P764" s="302"/>
      <c r="Q764" s="302"/>
      <c r="R764" s="302"/>
      <c r="S764" s="302"/>
      <c r="T764" s="302"/>
      <c r="U764" s="302"/>
      <c r="V764" s="302"/>
      <c r="W764" s="302"/>
      <c r="X764" s="302"/>
      <c r="Y764" s="302"/>
      <c r="Z764" s="302"/>
    </row>
    <row r="765" spans="1:26" ht="15.55">
      <c r="A765" s="302"/>
      <c r="B765" s="302"/>
      <c r="C765" s="302"/>
      <c r="D765" s="302"/>
      <c r="E765" s="302"/>
      <c r="F765" s="302"/>
      <c r="G765" s="302"/>
      <c r="H765" s="302"/>
      <c r="I765" s="302"/>
      <c r="J765" s="302"/>
      <c r="K765" s="302"/>
      <c r="L765" s="302"/>
      <c r="M765" s="302"/>
      <c r="N765" s="302"/>
      <c r="O765" s="302"/>
      <c r="P765" s="302"/>
      <c r="Q765" s="302"/>
      <c r="R765" s="302"/>
      <c r="S765" s="302"/>
      <c r="T765" s="302"/>
      <c r="U765" s="302"/>
      <c r="V765" s="302"/>
      <c r="W765" s="302"/>
      <c r="X765" s="302"/>
      <c r="Y765" s="302"/>
      <c r="Z765" s="302"/>
    </row>
    <row r="766" spans="1:26" ht="15.55">
      <c r="A766" s="302"/>
      <c r="B766" s="302"/>
      <c r="C766" s="302"/>
      <c r="D766" s="302"/>
      <c r="E766" s="302"/>
      <c r="F766" s="302"/>
      <c r="G766" s="302"/>
      <c r="H766" s="302"/>
      <c r="I766" s="302"/>
      <c r="J766" s="302"/>
      <c r="K766" s="302"/>
      <c r="L766" s="302"/>
      <c r="M766" s="302"/>
      <c r="N766" s="302"/>
      <c r="O766" s="302"/>
      <c r="P766" s="302"/>
      <c r="Q766" s="302"/>
      <c r="R766" s="302"/>
      <c r="S766" s="302"/>
      <c r="T766" s="302"/>
      <c r="U766" s="302"/>
      <c r="V766" s="302"/>
      <c r="W766" s="302"/>
      <c r="X766" s="302"/>
      <c r="Y766" s="302"/>
      <c r="Z766" s="302"/>
    </row>
    <row r="767" spans="1:26" ht="15.55">
      <c r="A767" s="302"/>
      <c r="B767" s="302"/>
      <c r="C767" s="302"/>
      <c r="D767" s="302"/>
      <c r="E767" s="302"/>
      <c r="F767" s="302"/>
      <c r="G767" s="302"/>
      <c r="H767" s="302"/>
      <c r="I767" s="302"/>
      <c r="J767" s="302"/>
      <c r="K767" s="302"/>
      <c r="L767" s="302"/>
      <c r="M767" s="302"/>
      <c r="N767" s="302"/>
      <c r="O767" s="302"/>
      <c r="P767" s="302"/>
      <c r="Q767" s="302"/>
      <c r="R767" s="302"/>
      <c r="S767" s="302"/>
      <c r="T767" s="302"/>
      <c r="U767" s="302"/>
      <c r="V767" s="302"/>
      <c r="W767" s="302"/>
      <c r="X767" s="302"/>
      <c r="Y767" s="302"/>
      <c r="Z767" s="302"/>
    </row>
    <row r="768" spans="1:26" ht="15.55">
      <c r="A768" s="302"/>
      <c r="B768" s="302"/>
      <c r="C768" s="302"/>
      <c r="D768" s="302"/>
      <c r="E768" s="302"/>
      <c r="F768" s="302"/>
      <c r="G768" s="302"/>
      <c r="H768" s="302"/>
      <c r="I768" s="302"/>
      <c r="J768" s="302"/>
      <c r="K768" s="302"/>
      <c r="L768" s="302"/>
      <c r="M768" s="302"/>
      <c r="N768" s="302"/>
      <c r="O768" s="302"/>
      <c r="P768" s="302"/>
      <c r="Q768" s="302"/>
      <c r="R768" s="302"/>
      <c r="S768" s="302"/>
      <c r="T768" s="302"/>
      <c r="U768" s="302"/>
      <c r="V768" s="302"/>
      <c r="W768" s="302"/>
      <c r="X768" s="302"/>
      <c r="Y768" s="302"/>
      <c r="Z768" s="302"/>
    </row>
    <row r="769" spans="1:26" ht="15.55">
      <c r="A769" s="302"/>
      <c r="B769" s="302"/>
      <c r="C769" s="302"/>
      <c r="D769" s="302"/>
      <c r="E769" s="302"/>
      <c r="F769" s="302"/>
      <c r="G769" s="302"/>
      <c r="H769" s="302"/>
      <c r="I769" s="302"/>
      <c r="J769" s="302"/>
      <c r="K769" s="302"/>
      <c r="L769" s="302"/>
      <c r="M769" s="302"/>
      <c r="N769" s="302"/>
      <c r="O769" s="302"/>
      <c r="P769" s="302"/>
      <c r="Q769" s="302"/>
      <c r="R769" s="302"/>
      <c r="S769" s="302"/>
      <c r="T769" s="302"/>
      <c r="U769" s="302"/>
      <c r="V769" s="302"/>
      <c r="W769" s="302"/>
      <c r="X769" s="302"/>
      <c r="Y769" s="302"/>
      <c r="Z769" s="302"/>
    </row>
    <row r="770" spans="1:26" ht="15.55">
      <c r="A770" s="302"/>
      <c r="B770" s="302"/>
      <c r="C770" s="302"/>
      <c r="D770" s="302"/>
      <c r="E770" s="302"/>
      <c r="F770" s="302"/>
      <c r="G770" s="302"/>
      <c r="H770" s="302"/>
      <c r="I770" s="302"/>
      <c r="J770" s="302"/>
      <c r="K770" s="302"/>
      <c r="L770" s="302"/>
      <c r="M770" s="302"/>
      <c r="N770" s="302"/>
      <c r="O770" s="302"/>
      <c r="P770" s="302"/>
      <c r="Q770" s="302"/>
      <c r="R770" s="302"/>
      <c r="S770" s="302"/>
      <c r="T770" s="302"/>
      <c r="U770" s="302"/>
      <c r="V770" s="302"/>
      <c r="W770" s="302"/>
      <c r="X770" s="302"/>
      <c r="Y770" s="302"/>
      <c r="Z770" s="302"/>
    </row>
    <row r="771" spans="1:26" ht="15.55">
      <c r="A771" s="302"/>
      <c r="B771" s="302"/>
      <c r="C771" s="302"/>
      <c r="D771" s="302"/>
      <c r="E771" s="302"/>
      <c r="F771" s="302"/>
      <c r="G771" s="302"/>
      <c r="H771" s="302"/>
      <c r="I771" s="302"/>
      <c r="J771" s="302"/>
      <c r="K771" s="302"/>
      <c r="L771" s="302"/>
      <c r="M771" s="302"/>
      <c r="N771" s="302"/>
      <c r="O771" s="302"/>
      <c r="P771" s="302"/>
      <c r="Q771" s="302"/>
      <c r="R771" s="302"/>
      <c r="S771" s="302"/>
      <c r="T771" s="302"/>
      <c r="U771" s="302"/>
      <c r="V771" s="302"/>
      <c r="W771" s="302"/>
      <c r="X771" s="302"/>
      <c r="Y771" s="302"/>
      <c r="Z771" s="302"/>
    </row>
    <row r="772" spans="1:26" ht="15.55">
      <c r="A772" s="302"/>
      <c r="B772" s="302"/>
      <c r="C772" s="302"/>
      <c r="D772" s="302"/>
      <c r="E772" s="302"/>
      <c r="F772" s="302"/>
      <c r="G772" s="302"/>
      <c r="H772" s="302"/>
      <c r="I772" s="302"/>
      <c r="J772" s="302"/>
      <c r="K772" s="302"/>
      <c r="L772" s="302"/>
      <c r="M772" s="302"/>
      <c r="N772" s="302"/>
      <c r="O772" s="302"/>
      <c r="P772" s="302"/>
      <c r="Q772" s="302"/>
      <c r="R772" s="302"/>
      <c r="S772" s="302"/>
      <c r="T772" s="302"/>
      <c r="U772" s="302"/>
      <c r="V772" s="302"/>
      <c r="W772" s="302"/>
      <c r="X772" s="302"/>
      <c r="Y772" s="302"/>
      <c r="Z772" s="302"/>
    </row>
    <row r="773" spans="1:26" ht="15.55">
      <c r="A773" s="302"/>
      <c r="B773" s="302"/>
      <c r="C773" s="302"/>
      <c r="D773" s="302"/>
      <c r="E773" s="302"/>
      <c r="F773" s="302"/>
      <c r="G773" s="302"/>
      <c r="H773" s="302"/>
      <c r="I773" s="302"/>
      <c r="J773" s="302"/>
      <c r="K773" s="302"/>
      <c r="L773" s="302"/>
      <c r="M773" s="302"/>
      <c r="N773" s="302"/>
      <c r="O773" s="302"/>
      <c r="P773" s="302"/>
      <c r="Q773" s="302"/>
      <c r="R773" s="302"/>
      <c r="S773" s="302"/>
      <c r="T773" s="302"/>
      <c r="U773" s="302"/>
      <c r="V773" s="302"/>
      <c r="W773" s="302"/>
      <c r="X773" s="302"/>
      <c r="Y773" s="302"/>
      <c r="Z773" s="302"/>
    </row>
    <row r="774" spans="1:26" ht="15.55">
      <c r="A774" s="302"/>
      <c r="B774" s="302"/>
      <c r="C774" s="302"/>
      <c r="D774" s="302"/>
      <c r="E774" s="302"/>
      <c r="F774" s="302"/>
      <c r="G774" s="302"/>
      <c r="H774" s="302"/>
      <c r="I774" s="302"/>
      <c r="J774" s="302"/>
      <c r="K774" s="302"/>
      <c r="L774" s="302"/>
      <c r="M774" s="302"/>
      <c r="N774" s="302"/>
      <c r="O774" s="302"/>
      <c r="P774" s="302"/>
      <c r="Q774" s="302"/>
      <c r="R774" s="302"/>
      <c r="S774" s="302"/>
      <c r="T774" s="302"/>
      <c r="U774" s="302"/>
      <c r="V774" s="302"/>
      <c r="W774" s="302"/>
      <c r="X774" s="302"/>
      <c r="Y774" s="302"/>
      <c r="Z774" s="302"/>
    </row>
    <row r="775" spans="1:26" ht="15.55">
      <c r="A775" s="302"/>
      <c r="B775" s="302"/>
      <c r="C775" s="302"/>
      <c r="D775" s="302"/>
      <c r="E775" s="302"/>
      <c r="F775" s="302"/>
      <c r="G775" s="302"/>
      <c r="H775" s="302"/>
      <c r="I775" s="302"/>
      <c r="J775" s="302"/>
      <c r="K775" s="302"/>
      <c r="L775" s="302"/>
      <c r="M775" s="302"/>
      <c r="N775" s="302"/>
      <c r="O775" s="302"/>
      <c r="P775" s="302"/>
      <c r="Q775" s="302"/>
      <c r="R775" s="302"/>
      <c r="S775" s="302"/>
      <c r="T775" s="302"/>
      <c r="U775" s="302"/>
      <c r="V775" s="302"/>
      <c r="W775" s="302"/>
      <c r="X775" s="302"/>
      <c r="Y775" s="302"/>
      <c r="Z775" s="302"/>
    </row>
    <row r="776" spans="1:26" ht="15.55">
      <c r="A776" s="302"/>
      <c r="B776" s="302"/>
      <c r="C776" s="302"/>
      <c r="D776" s="302"/>
      <c r="E776" s="302"/>
      <c r="F776" s="302"/>
      <c r="G776" s="302"/>
      <c r="H776" s="302"/>
      <c r="I776" s="302"/>
      <c r="J776" s="302"/>
      <c r="K776" s="302"/>
      <c r="L776" s="302"/>
      <c r="M776" s="302"/>
      <c r="N776" s="302"/>
      <c r="O776" s="302"/>
      <c r="P776" s="302"/>
      <c r="Q776" s="302"/>
      <c r="R776" s="302"/>
      <c r="S776" s="302"/>
      <c r="T776" s="302"/>
      <c r="U776" s="302"/>
      <c r="V776" s="302"/>
      <c r="W776" s="302"/>
      <c r="X776" s="302"/>
      <c r="Y776" s="302"/>
      <c r="Z776" s="302"/>
    </row>
    <row r="777" spans="1:26" ht="15.55">
      <c r="A777" s="302"/>
      <c r="B777" s="302"/>
      <c r="C777" s="302"/>
      <c r="D777" s="302"/>
      <c r="E777" s="302"/>
      <c r="F777" s="302"/>
      <c r="G777" s="302"/>
      <c r="H777" s="302"/>
      <c r="I777" s="302"/>
      <c r="J777" s="302"/>
      <c r="K777" s="302"/>
      <c r="L777" s="302"/>
      <c r="M777" s="302"/>
      <c r="N777" s="302"/>
      <c r="O777" s="302"/>
      <c r="P777" s="302"/>
      <c r="Q777" s="302"/>
      <c r="R777" s="302"/>
      <c r="S777" s="302"/>
      <c r="T777" s="302"/>
      <c r="U777" s="302"/>
      <c r="V777" s="302"/>
      <c r="W777" s="302"/>
      <c r="X777" s="302"/>
      <c r="Y777" s="302"/>
      <c r="Z777" s="302"/>
    </row>
    <row r="778" spans="1:26" ht="15.55">
      <c r="A778" s="302"/>
      <c r="B778" s="302"/>
      <c r="C778" s="302"/>
      <c r="D778" s="302"/>
      <c r="E778" s="302"/>
      <c r="F778" s="302"/>
      <c r="G778" s="302"/>
      <c r="H778" s="302"/>
      <c r="I778" s="302"/>
      <c r="J778" s="302"/>
      <c r="K778" s="302"/>
      <c r="L778" s="302"/>
      <c r="M778" s="302"/>
      <c r="N778" s="302"/>
      <c r="O778" s="302"/>
      <c r="P778" s="302"/>
      <c r="Q778" s="302"/>
      <c r="R778" s="302"/>
      <c r="S778" s="302"/>
      <c r="T778" s="302"/>
      <c r="U778" s="302"/>
      <c r="V778" s="302"/>
      <c r="W778" s="302"/>
      <c r="X778" s="302"/>
      <c r="Y778" s="302"/>
      <c r="Z778" s="302"/>
    </row>
    <row r="779" spans="1:26" ht="15.55">
      <c r="A779" s="302"/>
      <c r="B779" s="302"/>
      <c r="C779" s="302"/>
      <c r="D779" s="302"/>
      <c r="E779" s="302"/>
      <c r="F779" s="302"/>
      <c r="G779" s="302"/>
      <c r="H779" s="302"/>
      <c r="I779" s="302"/>
      <c r="J779" s="302"/>
      <c r="K779" s="302"/>
      <c r="L779" s="302"/>
      <c r="M779" s="302"/>
      <c r="N779" s="302"/>
      <c r="O779" s="302"/>
      <c r="P779" s="302"/>
      <c r="Q779" s="302"/>
      <c r="R779" s="302"/>
      <c r="S779" s="302"/>
      <c r="T779" s="302"/>
      <c r="U779" s="302"/>
      <c r="V779" s="302"/>
      <c r="W779" s="302"/>
      <c r="X779" s="302"/>
      <c r="Y779" s="302"/>
      <c r="Z779" s="302"/>
    </row>
    <row r="780" spans="1:26" ht="15.55">
      <c r="A780" s="302"/>
      <c r="B780" s="302"/>
      <c r="C780" s="302"/>
      <c r="D780" s="302"/>
      <c r="E780" s="302"/>
      <c r="F780" s="302"/>
      <c r="G780" s="302"/>
      <c r="H780" s="302"/>
      <c r="I780" s="302"/>
      <c r="J780" s="302"/>
      <c r="K780" s="302"/>
      <c r="L780" s="302"/>
      <c r="M780" s="302"/>
      <c r="N780" s="302"/>
      <c r="O780" s="302"/>
      <c r="P780" s="302"/>
      <c r="Q780" s="302"/>
      <c r="R780" s="302"/>
      <c r="S780" s="302"/>
      <c r="T780" s="302"/>
      <c r="U780" s="302"/>
      <c r="V780" s="302"/>
      <c r="W780" s="302"/>
      <c r="X780" s="302"/>
      <c r="Y780" s="302"/>
      <c r="Z780" s="302"/>
    </row>
    <row r="781" spans="1:26" ht="15.55">
      <c r="A781" s="302"/>
      <c r="B781" s="302"/>
      <c r="C781" s="302"/>
      <c r="D781" s="302"/>
      <c r="E781" s="302"/>
      <c r="F781" s="302"/>
      <c r="G781" s="302"/>
      <c r="H781" s="302"/>
      <c r="I781" s="302"/>
      <c r="J781" s="302"/>
      <c r="K781" s="302"/>
      <c r="L781" s="302"/>
      <c r="M781" s="302"/>
      <c r="N781" s="302"/>
      <c r="O781" s="302"/>
      <c r="P781" s="302"/>
      <c r="Q781" s="302"/>
      <c r="R781" s="302"/>
      <c r="S781" s="302"/>
      <c r="T781" s="302"/>
      <c r="U781" s="302"/>
      <c r="V781" s="302"/>
      <c r="W781" s="302"/>
      <c r="X781" s="302"/>
      <c r="Y781" s="302"/>
      <c r="Z781" s="302"/>
    </row>
    <row r="782" spans="1:26" ht="15.55">
      <c r="A782" s="302"/>
      <c r="B782" s="302"/>
      <c r="C782" s="302"/>
      <c r="D782" s="302"/>
      <c r="E782" s="302"/>
      <c r="F782" s="302"/>
      <c r="G782" s="302"/>
      <c r="H782" s="302"/>
      <c r="I782" s="302"/>
      <c r="J782" s="302"/>
      <c r="K782" s="302"/>
      <c r="L782" s="302"/>
      <c r="M782" s="302"/>
      <c r="N782" s="302"/>
      <c r="O782" s="302"/>
      <c r="P782" s="302"/>
      <c r="Q782" s="302"/>
      <c r="R782" s="302"/>
      <c r="S782" s="302"/>
      <c r="T782" s="302"/>
      <c r="U782" s="302"/>
      <c r="V782" s="302"/>
      <c r="W782" s="302"/>
      <c r="X782" s="302"/>
      <c r="Y782" s="302"/>
      <c r="Z782" s="302"/>
    </row>
    <row r="783" spans="1:26" ht="15.55">
      <c r="A783" s="302"/>
      <c r="B783" s="302"/>
      <c r="C783" s="302"/>
      <c r="D783" s="302"/>
      <c r="E783" s="302"/>
      <c r="F783" s="302"/>
      <c r="G783" s="302"/>
      <c r="H783" s="302"/>
      <c r="I783" s="302"/>
      <c r="J783" s="302"/>
      <c r="K783" s="302"/>
      <c r="L783" s="302"/>
      <c r="M783" s="302"/>
      <c r="N783" s="302"/>
      <c r="O783" s="302"/>
      <c r="P783" s="302"/>
      <c r="Q783" s="302"/>
      <c r="R783" s="302"/>
      <c r="S783" s="302"/>
      <c r="T783" s="302"/>
      <c r="U783" s="302"/>
      <c r="V783" s="302"/>
      <c r="W783" s="302"/>
      <c r="X783" s="302"/>
      <c r="Y783" s="302"/>
      <c r="Z783" s="302"/>
    </row>
    <row r="784" spans="1:26" ht="15.55">
      <c r="A784" s="302"/>
      <c r="B784" s="302"/>
      <c r="C784" s="302"/>
      <c r="D784" s="302"/>
      <c r="E784" s="302"/>
      <c r="F784" s="302"/>
      <c r="G784" s="302"/>
      <c r="H784" s="302"/>
      <c r="I784" s="302"/>
      <c r="J784" s="302"/>
      <c r="K784" s="302"/>
      <c r="L784" s="302"/>
      <c r="M784" s="302"/>
      <c r="N784" s="302"/>
      <c r="O784" s="302"/>
      <c r="P784" s="302"/>
      <c r="Q784" s="302"/>
      <c r="R784" s="302"/>
      <c r="S784" s="302"/>
      <c r="T784" s="302"/>
      <c r="U784" s="302"/>
      <c r="V784" s="302"/>
      <c r="W784" s="302"/>
      <c r="X784" s="302"/>
      <c r="Y784" s="302"/>
      <c r="Z784" s="302"/>
    </row>
    <row r="785" spans="1:26" ht="15.55">
      <c r="A785" s="302"/>
      <c r="B785" s="302"/>
      <c r="C785" s="302"/>
      <c r="D785" s="302"/>
      <c r="E785" s="302"/>
      <c r="F785" s="302"/>
      <c r="G785" s="302"/>
      <c r="H785" s="302"/>
      <c r="I785" s="302"/>
      <c r="J785" s="302"/>
      <c r="K785" s="302"/>
      <c r="L785" s="302"/>
      <c r="M785" s="302"/>
      <c r="N785" s="302"/>
      <c r="O785" s="302"/>
      <c r="P785" s="302"/>
      <c r="Q785" s="302"/>
      <c r="R785" s="302"/>
      <c r="S785" s="302"/>
      <c r="T785" s="302"/>
      <c r="U785" s="302"/>
      <c r="V785" s="302"/>
      <c r="W785" s="302"/>
      <c r="X785" s="302"/>
      <c r="Y785" s="302"/>
      <c r="Z785" s="302"/>
    </row>
    <row r="786" spans="1:26" ht="15.55">
      <c r="A786" s="302"/>
      <c r="B786" s="302"/>
      <c r="C786" s="302"/>
      <c r="D786" s="302"/>
      <c r="E786" s="302"/>
      <c r="F786" s="302"/>
      <c r="G786" s="302"/>
      <c r="H786" s="302"/>
      <c r="I786" s="302"/>
      <c r="J786" s="302"/>
      <c r="K786" s="302"/>
      <c r="L786" s="302"/>
      <c r="M786" s="302"/>
      <c r="N786" s="302"/>
      <c r="O786" s="302"/>
      <c r="P786" s="302"/>
      <c r="Q786" s="302"/>
      <c r="R786" s="302"/>
      <c r="S786" s="302"/>
      <c r="T786" s="302"/>
      <c r="U786" s="302"/>
      <c r="V786" s="302"/>
      <c r="W786" s="302"/>
      <c r="X786" s="302"/>
      <c r="Y786" s="302"/>
      <c r="Z786" s="302"/>
    </row>
    <row r="787" spans="1:26" ht="15.55">
      <c r="A787" s="302"/>
      <c r="B787" s="302"/>
      <c r="C787" s="302"/>
      <c r="D787" s="302"/>
      <c r="E787" s="302"/>
      <c r="F787" s="302"/>
      <c r="G787" s="302"/>
      <c r="H787" s="302"/>
      <c r="I787" s="302"/>
      <c r="J787" s="302"/>
      <c r="K787" s="302"/>
      <c r="L787" s="302"/>
      <c r="M787" s="302"/>
      <c r="N787" s="302"/>
      <c r="O787" s="302"/>
      <c r="P787" s="302"/>
      <c r="Q787" s="302"/>
      <c r="R787" s="302"/>
      <c r="S787" s="302"/>
      <c r="T787" s="302"/>
      <c r="U787" s="302"/>
      <c r="V787" s="302"/>
      <c r="W787" s="302"/>
      <c r="X787" s="302"/>
      <c r="Y787" s="302"/>
      <c r="Z787" s="302"/>
    </row>
    <row r="788" spans="1:26" ht="15.55">
      <c r="A788" s="302"/>
      <c r="B788" s="302"/>
      <c r="C788" s="302"/>
      <c r="D788" s="302"/>
      <c r="E788" s="302"/>
      <c r="F788" s="302"/>
      <c r="G788" s="302"/>
      <c r="H788" s="302"/>
      <c r="I788" s="302"/>
      <c r="J788" s="302"/>
      <c r="K788" s="302"/>
      <c r="L788" s="302"/>
      <c r="M788" s="302"/>
      <c r="N788" s="302"/>
      <c r="O788" s="302"/>
      <c r="P788" s="302"/>
      <c r="Q788" s="302"/>
      <c r="R788" s="302"/>
      <c r="S788" s="302"/>
      <c r="T788" s="302"/>
      <c r="U788" s="302"/>
      <c r="V788" s="302"/>
      <c r="W788" s="302"/>
      <c r="X788" s="302"/>
      <c r="Y788" s="302"/>
      <c r="Z788" s="302"/>
    </row>
    <row r="789" spans="1:26" ht="15.55">
      <c r="A789" s="302"/>
      <c r="B789" s="302"/>
      <c r="C789" s="302"/>
      <c r="D789" s="302"/>
      <c r="E789" s="302"/>
      <c r="F789" s="302"/>
      <c r="G789" s="302"/>
      <c r="H789" s="302"/>
      <c r="I789" s="302"/>
      <c r="J789" s="302"/>
      <c r="K789" s="302"/>
      <c r="L789" s="302"/>
      <c r="M789" s="302"/>
      <c r="N789" s="302"/>
      <c r="O789" s="302"/>
      <c r="P789" s="302"/>
      <c r="Q789" s="302"/>
      <c r="R789" s="302"/>
      <c r="S789" s="302"/>
      <c r="T789" s="302"/>
      <c r="U789" s="302"/>
      <c r="V789" s="302"/>
      <c r="W789" s="302"/>
      <c r="X789" s="302"/>
      <c r="Y789" s="302"/>
      <c r="Z789" s="302"/>
    </row>
    <row r="790" spans="1:26" ht="15.55">
      <c r="A790" s="302"/>
      <c r="B790" s="302"/>
      <c r="C790" s="302"/>
      <c r="D790" s="302"/>
      <c r="E790" s="302"/>
      <c r="F790" s="302"/>
      <c r="G790" s="302"/>
      <c r="H790" s="302"/>
      <c r="I790" s="302"/>
      <c r="J790" s="302"/>
      <c r="K790" s="302"/>
      <c r="L790" s="302"/>
      <c r="M790" s="302"/>
      <c r="N790" s="302"/>
      <c r="O790" s="302"/>
      <c r="P790" s="302"/>
      <c r="Q790" s="302"/>
      <c r="R790" s="302"/>
      <c r="S790" s="302"/>
      <c r="T790" s="302"/>
      <c r="U790" s="302"/>
      <c r="V790" s="302"/>
      <c r="W790" s="302"/>
      <c r="X790" s="302"/>
      <c r="Y790" s="302"/>
      <c r="Z790" s="302"/>
    </row>
    <row r="791" spans="1:26" ht="15.55">
      <c r="A791" s="302"/>
      <c r="B791" s="302"/>
      <c r="C791" s="302"/>
      <c r="D791" s="302"/>
      <c r="E791" s="302"/>
      <c r="F791" s="302"/>
      <c r="G791" s="302"/>
      <c r="H791" s="302"/>
      <c r="I791" s="302"/>
      <c r="J791" s="302"/>
      <c r="K791" s="302"/>
      <c r="L791" s="302"/>
      <c r="M791" s="302"/>
      <c r="N791" s="302"/>
      <c r="O791" s="302"/>
      <c r="P791" s="302"/>
      <c r="Q791" s="302"/>
      <c r="R791" s="302"/>
      <c r="S791" s="302"/>
      <c r="T791" s="302"/>
      <c r="U791" s="302"/>
      <c r="V791" s="302"/>
      <c r="W791" s="302"/>
      <c r="X791" s="302"/>
      <c r="Y791" s="302"/>
      <c r="Z791" s="302"/>
    </row>
    <row r="792" spans="1:26" ht="15.55">
      <c r="A792" s="302"/>
      <c r="B792" s="302"/>
      <c r="C792" s="302"/>
      <c r="D792" s="302"/>
      <c r="E792" s="302"/>
      <c r="F792" s="302"/>
      <c r="G792" s="302"/>
      <c r="H792" s="302"/>
      <c r="I792" s="302"/>
      <c r="J792" s="302"/>
      <c r="K792" s="302"/>
      <c r="L792" s="302"/>
      <c r="M792" s="302"/>
      <c r="N792" s="302"/>
      <c r="O792" s="302"/>
      <c r="P792" s="302"/>
      <c r="Q792" s="302"/>
      <c r="R792" s="302"/>
      <c r="S792" s="302"/>
      <c r="T792" s="302"/>
      <c r="U792" s="302"/>
      <c r="V792" s="302"/>
      <c r="W792" s="302"/>
      <c r="X792" s="302"/>
      <c r="Y792" s="302"/>
      <c r="Z792" s="302"/>
    </row>
    <row r="793" spans="1:26" ht="15.55">
      <c r="A793" s="302"/>
      <c r="B793" s="302"/>
      <c r="C793" s="302"/>
      <c r="D793" s="302"/>
      <c r="E793" s="302"/>
      <c r="F793" s="302"/>
      <c r="G793" s="302"/>
      <c r="H793" s="302"/>
      <c r="I793" s="302"/>
      <c r="J793" s="302"/>
      <c r="K793" s="302"/>
      <c r="L793" s="302"/>
      <c r="M793" s="302"/>
      <c r="N793" s="302"/>
      <c r="O793" s="302"/>
      <c r="P793" s="302"/>
      <c r="Q793" s="302"/>
      <c r="R793" s="302"/>
      <c r="S793" s="302"/>
      <c r="T793" s="302"/>
      <c r="U793" s="302"/>
      <c r="V793" s="302"/>
      <c r="W793" s="302"/>
      <c r="X793" s="302"/>
      <c r="Y793" s="302"/>
      <c r="Z793" s="302"/>
    </row>
    <row r="794" spans="1:26" ht="15.55">
      <c r="A794" s="302"/>
      <c r="B794" s="302"/>
      <c r="C794" s="302"/>
      <c r="D794" s="302"/>
      <c r="E794" s="302"/>
      <c r="F794" s="302"/>
      <c r="G794" s="302"/>
      <c r="H794" s="302"/>
      <c r="I794" s="302"/>
      <c r="J794" s="302"/>
      <c r="K794" s="302"/>
      <c r="L794" s="302"/>
      <c r="M794" s="302"/>
      <c r="N794" s="302"/>
      <c r="O794" s="302"/>
      <c r="P794" s="302"/>
      <c r="Q794" s="302"/>
      <c r="R794" s="302"/>
      <c r="S794" s="302"/>
      <c r="T794" s="302"/>
      <c r="U794" s="302"/>
      <c r="V794" s="302"/>
      <c r="W794" s="302"/>
      <c r="X794" s="302"/>
      <c r="Y794" s="302"/>
      <c r="Z794" s="302"/>
    </row>
    <row r="795" spans="1:26" ht="15.55">
      <c r="A795" s="302"/>
      <c r="B795" s="302"/>
      <c r="C795" s="302"/>
      <c r="D795" s="302"/>
      <c r="E795" s="302"/>
      <c r="F795" s="302"/>
      <c r="G795" s="302"/>
      <c r="H795" s="302"/>
      <c r="I795" s="302"/>
      <c r="J795" s="302"/>
      <c r="K795" s="302"/>
      <c r="L795" s="302"/>
      <c r="M795" s="302"/>
      <c r="N795" s="302"/>
      <c r="O795" s="302"/>
      <c r="P795" s="302"/>
      <c r="Q795" s="302"/>
      <c r="R795" s="302"/>
      <c r="S795" s="302"/>
      <c r="T795" s="302"/>
      <c r="U795" s="302"/>
      <c r="V795" s="302"/>
      <c r="W795" s="302"/>
      <c r="X795" s="302"/>
      <c r="Y795" s="302"/>
      <c r="Z795" s="302"/>
    </row>
    <row r="796" spans="1:26" ht="15.55">
      <c r="A796" s="302"/>
      <c r="B796" s="302"/>
      <c r="C796" s="302"/>
      <c r="D796" s="302"/>
      <c r="E796" s="302"/>
      <c r="F796" s="302"/>
      <c r="G796" s="302"/>
      <c r="H796" s="302"/>
      <c r="I796" s="302"/>
      <c r="J796" s="302"/>
      <c r="K796" s="302"/>
      <c r="L796" s="302"/>
      <c r="M796" s="302"/>
      <c r="N796" s="302"/>
      <c r="O796" s="302"/>
      <c r="P796" s="302"/>
      <c r="Q796" s="302"/>
      <c r="R796" s="302"/>
      <c r="S796" s="302"/>
      <c r="T796" s="302"/>
      <c r="U796" s="302"/>
      <c r="V796" s="302"/>
      <c r="W796" s="302"/>
      <c r="X796" s="302"/>
      <c r="Y796" s="302"/>
      <c r="Z796" s="302"/>
    </row>
    <row r="797" spans="1:26" ht="15.55">
      <c r="A797" s="302"/>
      <c r="B797" s="302"/>
      <c r="C797" s="302"/>
      <c r="D797" s="302"/>
      <c r="E797" s="302"/>
      <c r="F797" s="302"/>
      <c r="G797" s="302"/>
      <c r="H797" s="302"/>
      <c r="I797" s="302"/>
      <c r="J797" s="302"/>
      <c r="K797" s="302"/>
      <c r="L797" s="302"/>
      <c r="M797" s="302"/>
      <c r="N797" s="302"/>
      <c r="O797" s="302"/>
      <c r="P797" s="302"/>
      <c r="Q797" s="302"/>
      <c r="R797" s="302"/>
      <c r="S797" s="302"/>
      <c r="T797" s="302"/>
      <c r="U797" s="302"/>
      <c r="V797" s="302"/>
      <c r="W797" s="302"/>
      <c r="X797" s="302"/>
      <c r="Y797" s="302"/>
      <c r="Z797" s="302"/>
    </row>
    <row r="798" spans="1:26" ht="15.55">
      <c r="A798" s="302"/>
      <c r="B798" s="302"/>
      <c r="C798" s="302"/>
      <c r="D798" s="302"/>
      <c r="E798" s="302"/>
      <c r="F798" s="302"/>
      <c r="G798" s="302"/>
      <c r="H798" s="302"/>
      <c r="I798" s="302"/>
      <c r="J798" s="302"/>
      <c r="K798" s="302"/>
      <c r="L798" s="302"/>
      <c r="M798" s="302"/>
      <c r="N798" s="302"/>
      <c r="O798" s="302"/>
      <c r="P798" s="302"/>
      <c r="Q798" s="302"/>
      <c r="R798" s="302"/>
      <c r="S798" s="302"/>
      <c r="T798" s="302"/>
      <c r="U798" s="302"/>
      <c r="V798" s="302"/>
      <c r="W798" s="302"/>
      <c r="X798" s="302"/>
      <c r="Y798" s="302"/>
      <c r="Z798" s="302"/>
    </row>
    <row r="799" spans="1:26" ht="15.55">
      <c r="A799" s="302"/>
      <c r="B799" s="302"/>
      <c r="C799" s="302"/>
      <c r="D799" s="302"/>
      <c r="E799" s="302"/>
      <c r="F799" s="302"/>
      <c r="G799" s="302"/>
      <c r="H799" s="302"/>
      <c r="I799" s="302"/>
      <c r="J799" s="302"/>
      <c r="K799" s="302"/>
      <c r="L799" s="302"/>
      <c r="M799" s="302"/>
      <c r="N799" s="302"/>
      <c r="O799" s="302"/>
      <c r="P799" s="302"/>
      <c r="Q799" s="302"/>
      <c r="R799" s="302"/>
      <c r="S799" s="302"/>
      <c r="T799" s="302"/>
      <c r="U799" s="302"/>
      <c r="V799" s="302"/>
      <c r="W799" s="302"/>
      <c r="X799" s="302"/>
      <c r="Y799" s="302"/>
      <c r="Z799" s="302"/>
    </row>
    <row r="800" spans="1:26" ht="15.55">
      <c r="A800" s="302"/>
      <c r="B800" s="302"/>
      <c r="C800" s="302"/>
      <c r="D800" s="302"/>
      <c r="E800" s="302"/>
      <c r="F800" s="302"/>
      <c r="G800" s="302"/>
      <c r="H800" s="302"/>
      <c r="I800" s="302"/>
      <c r="J800" s="302"/>
      <c r="K800" s="302"/>
      <c r="L800" s="302"/>
      <c r="M800" s="302"/>
      <c r="N800" s="302"/>
      <c r="O800" s="302"/>
      <c r="P800" s="302"/>
      <c r="Q800" s="302"/>
      <c r="R800" s="302"/>
      <c r="S800" s="302"/>
      <c r="T800" s="302"/>
      <c r="U800" s="302"/>
      <c r="V800" s="302"/>
      <c r="W800" s="302"/>
      <c r="X800" s="302"/>
      <c r="Y800" s="302"/>
      <c r="Z800" s="302"/>
    </row>
    <row r="801" spans="1:26" ht="15.55">
      <c r="A801" s="302"/>
      <c r="B801" s="302"/>
      <c r="C801" s="302"/>
      <c r="D801" s="302"/>
      <c r="E801" s="302"/>
      <c r="F801" s="302"/>
      <c r="G801" s="302"/>
      <c r="H801" s="302"/>
      <c r="I801" s="302"/>
      <c r="J801" s="302"/>
      <c r="K801" s="302"/>
      <c r="L801" s="302"/>
      <c r="M801" s="302"/>
      <c r="N801" s="302"/>
      <c r="O801" s="302"/>
      <c r="P801" s="302"/>
      <c r="Q801" s="302"/>
      <c r="R801" s="302"/>
      <c r="S801" s="302"/>
      <c r="T801" s="302"/>
      <c r="U801" s="302"/>
      <c r="V801" s="302"/>
      <c r="W801" s="302"/>
      <c r="X801" s="302"/>
      <c r="Y801" s="302"/>
      <c r="Z801" s="302"/>
    </row>
    <row r="802" spans="1:26" ht="15.55">
      <c r="A802" s="302"/>
      <c r="B802" s="302"/>
      <c r="C802" s="302"/>
      <c r="D802" s="302"/>
      <c r="E802" s="302"/>
      <c r="F802" s="302"/>
      <c r="G802" s="302"/>
      <c r="H802" s="302"/>
      <c r="I802" s="302"/>
      <c r="J802" s="302"/>
      <c r="K802" s="302"/>
      <c r="L802" s="302"/>
      <c r="M802" s="302"/>
      <c r="N802" s="302"/>
      <c r="O802" s="302"/>
      <c r="P802" s="302"/>
      <c r="Q802" s="302"/>
      <c r="R802" s="302"/>
      <c r="S802" s="302"/>
      <c r="T802" s="302"/>
      <c r="U802" s="302"/>
      <c r="V802" s="302"/>
      <c r="W802" s="302"/>
      <c r="X802" s="302"/>
      <c r="Y802" s="302"/>
      <c r="Z802" s="302"/>
    </row>
    <row r="803" spans="1:26" ht="15.55">
      <c r="A803" s="302"/>
      <c r="B803" s="302"/>
      <c r="C803" s="302"/>
      <c r="D803" s="302"/>
      <c r="E803" s="302"/>
      <c r="F803" s="302"/>
      <c r="G803" s="302"/>
      <c r="H803" s="302"/>
      <c r="I803" s="302"/>
      <c r="J803" s="302"/>
      <c r="K803" s="302"/>
      <c r="L803" s="302"/>
      <c r="M803" s="302"/>
      <c r="N803" s="302"/>
      <c r="O803" s="302"/>
      <c r="P803" s="302"/>
      <c r="Q803" s="302"/>
      <c r="R803" s="302"/>
      <c r="S803" s="302"/>
      <c r="T803" s="302"/>
      <c r="U803" s="302"/>
      <c r="V803" s="302"/>
      <c r="W803" s="302"/>
      <c r="X803" s="302"/>
      <c r="Y803" s="302"/>
      <c r="Z803" s="302"/>
    </row>
    <row r="804" spans="1:26" ht="15.55">
      <c r="A804" s="302"/>
      <c r="B804" s="302"/>
      <c r="C804" s="302"/>
      <c r="D804" s="302"/>
      <c r="E804" s="302"/>
      <c r="F804" s="302"/>
      <c r="G804" s="302"/>
      <c r="H804" s="302"/>
      <c r="I804" s="302"/>
      <c r="J804" s="302"/>
      <c r="K804" s="302"/>
      <c r="L804" s="302"/>
      <c r="M804" s="302"/>
      <c r="N804" s="302"/>
      <c r="O804" s="302"/>
      <c r="P804" s="302"/>
      <c r="Q804" s="302"/>
      <c r="R804" s="302"/>
      <c r="S804" s="302"/>
      <c r="T804" s="302"/>
      <c r="U804" s="302"/>
      <c r="V804" s="302"/>
      <c r="W804" s="302"/>
      <c r="X804" s="302"/>
      <c r="Y804" s="302"/>
      <c r="Z804" s="302"/>
    </row>
    <row r="805" spans="1:26" ht="15.55">
      <c r="A805" s="302"/>
      <c r="B805" s="302"/>
      <c r="C805" s="302"/>
      <c r="D805" s="302"/>
      <c r="E805" s="302"/>
      <c r="F805" s="302"/>
      <c r="G805" s="302"/>
      <c r="H805" s="302"/>
      <c r="I805" s="302"/>
      <c r="J805" s="302"/>
      <c r="K805" s="302"/>
      <c r="L805" s="302"/>
      <c r="M805" s="302"/>
      <c r="N805" s="302"/>
      <c r="O805" s="302"/>
      <c r="P805" s="302"/>
      <c r="Q805" s="302"/>
      <c r="R805" s="302"/>
      <c r="S805" s="302"/>
      <c r="T805" s="302"/>
      <c r="U805" s="302"/>
      <c r="V805" s="302"/>
      <c r="W805" s="302"/>
      <c r="X805" s="302"/>
      <c r="Y805" s="302"/>
      <c r="Z805" s="302"/>
    </row>
    <row r="806" spans="1:26" ht="15.55">
      <c r="A806" s="302"/>
      <c r="B806" s="302"/>
      <c r="C806" s="302"/>
      <c r="D806" s="302"/>
      <c r="E806" s="302"/>
      <c r="F806" s="302"/>
      <c r="G806" s="302"/>
      <c r="H806" s="302"/>
      <c r="I806" s="302"/>
      <c r="J806" s="302"/>
      <c r="K806" s="302"/>
      <c r="L806" s="302"/>
      <c r="M806" s="302"/>
      <c r="N806" s="302"/>
      <c r="O806" s="302"/>
      <c r="P806" s="302"/>
      <c r="Q806" s="302"/>
      <c r="R806" s="302"/>
      <c r="S806" s="302"/>
      <c r="T806" s="302"/>
      <c r="U806" s="302"/>
      <c r="V806" s="302"/>
      <c r="W806" s="302"/>
      <c r="X806" s="302"/>
      <c r="Y806" s="302"/>
      <c r="Z806" s="302"/>
    </row>
    <row r="807" spans="1:26" ht="15.55">
      <c r="A807" s="302"/>
      <c r="B807" s="302"/>
      <c r="C807" s="302"/>
      <c r="D807" s="302"/>
      <c r="E807" s="302"/>
      <c r="F807" s="302"/>
      <c r="G807" s="302"/>
      <c r="H807" s="302"/>
      <c r="I807" s="302"/>
      <c r="J807" s="302"/>
      <c r="K807" s="302"/>
      <c r="L807" s="302"/>
      <c r="M807" s="302"/>
      <c r="N807" s="302"/>
      <c r="O807" s="302"/>
      <c r="P807" s="302"/>
      <c r="Q807" s="302"/>
      <c r="R807" s="302"/>
      <c r="S807" s="302"/>
      <c r="T807" s="302"/>
      <c r="U807" s="302"/>
      <c r="V807" s="302"/>
      <c r="W807" s="302"/>
      <c r="X807" s="302"/>
      <c r="Y807" s="302"/>
      <c r="Z807" s="302"/>
    </row>
    <row r="808" spans="1:26" ht="15.55">
      <c r="A808" s="302"/>
      <c r="B808" s="302"/>
      <c r="C808" s="302"/>
      <c r="D808" s="302"/>
      <c r="E808" s="302"/>
      <c r="F808" s="302"/>
      <c r="G808" s="302"/>
      <c r="H808" s="302"/>
      <c r="I808" s="302"/>
      <c r="J808" s="302"/>
      <c r="K808" s="302"/>
      <c r="L808" s="302"/>
      <c r="M808" s="302"/>
      <c r="N808" s="302"/>
      <c r="O808" s="302"/>
      <c r="P808" s="302"/>
      <c r="Q808" s="302"/>
      <c r="R808" s="302"/>
      <c r="S808" s="302"/>
      <c r="T808" s="302"/>
      <c r="U808" s="302"/>
      <c r="V808" s="302"/>
      <c r="W808" s="302"/>
      <c r="X808" s="302"/>
      <c r="Y808" s="302"/>
      <c r="Z808" s="302"/>
    </row>
    <row r="809" spans="1:26" ht="15.55">
      <c r="A809" s="302"/>
      <c r="B809" s="302"/>
      <c r="C809" s="302"/>
      <c r="D809" s="302"/>
      <c r="E809" s="302"/>
      <c r="F809" s="302"/>
      <c r="G809" s="302"/>
      <c r="H809" s="302"/>
      <c r="I809" s="302"/>
      <c r="J809" s="302"/>
      <c r="K809" s="302"/>
      <c r="L809" s="302"/>
      <c r="M809" s="302"/>
      <c r="N809" s="302"/>
      <c r="O809" s="302"/>
      <c r="P809" s="302"/>
      <c r="Q809" s="302"/>
      <c r="R809" s="302"/>
      <c r="S809" s="302"/>
      <c r="T809" s="302"/>
      <c r="U809" s="302"/>
      <c r="V809" s="302"/>
      <c r="W809" s="302"/>
      <c r="X809" s="302"/>
      <c r="Y809" s="302"/>
      <c r="Z809" s="302"/>
    </row>
    <row r="810" spans="1:26" ht="15.55">
      <c r="A810" s="302"/>
      <c r="B810" s="302"/>
      <c r="C810" s="302"/>
      <c r="D810" s="302"/>
      <c r="E810" s="302"/>
      <c r="F810" s="302"/>
      <c r="G810" s="302"/>
      <c r="H810" s="302"/>
      <c r="I810" s="302"/>
      <c r="J810" s="302"/>
      <c r="K810" s="302"/>
      <c r="L810" s="302"/>
      <c r="M810" s="302"/>
      <c r="N810" s="302"/>
      <c r="O810" s="302"/>
      <c r="P810" s="302"/>
      <c r="Q810" s="302"/>
      <c r="R810" s="302"/>
      <c r="S810" s="302"/>
      <c r="T810" s="302"/>
      <c r="U810" s="302"/>
      <c r="V810" s="302"/>
      <c r="W810" s="302"/>
      <c r="X810" s="302"/>
      <c r="Y810" s="302"/>
      <c r="Z810" s="302"/>
    </row>
    <row r="811" spans="1:26" ht="15.55">
      <c r="A811" s="302"/>
      <c r="B811" s="302"/>
      <c r="C811" s="302"/>
      <c r="D811" s="302"/>
      <c r="E811" s="302"/>
      <c r="F811" s="302"/>
      <c r="G811" s="302"/>
      <c r="H811" s="302"/>
      <c r="I811" s="302"/>
      <c r="J811" s="302"/>
      <c r="K811" s="302"/>
      <c r="L811" s="302"/>
      <c r="M811" s="302"/>
      <c r="N811" s="302"/>
      <c r="O811" s="302"/>
      <c r="P811" s="302"/>
      <c r="Q811" s="302"/>
      <c r="R811" s="302"/>
      <c r="S811" s="302"/>
      <c r="T811" s="302"/>
      <c r="U811" s="302"/>
      <c r="V811" s="302"/>
      <c r="W811" s="302"/>
      <c r="X811" s="302"/>
      <c r="Y811" s="302"/>
      <c r="Z811" s="302"/>
    </row>
    <row r="812" spans="1:26" ht="15.55">
      <c r="A812" s="302"/>
      <c r="B812" s="302"/>
      <c r="C812" s="302"/>
      <c r="D812" s="302"/>
      <c r="E812" s="302"/>
      <c r="F812" s="302"/>
      <c r="G812" s="302"/>
      <c r="H812" s="302"/>
      <c r="I812" s="302"/>
      <c r="J812" s="302"/>
      <c r="K812" s="302"/>
      <c r="L812" s="302"/>
      <c r="M812" s="302"/>
      <c r="N812" s="302"/>
      <c r="O812" s="302"/>
      <c r="P812" s="302"/>
      <c r="Q812" s="302"/>
      <c r="R812" s="302"/>
      <c r="S812" s="302"/>
      <c r="T812" s="302"/>
      <c r="U812" s="302"/>
      <c r="V812" s="302"/>
      <c r="W812" s="302"/>
      <c r="X812" s="302"/>
      <c r="Y812" s="302"/>
      <c r="Z812" s="302"/>
    </row>
    <row r="813" spans="1:26" ht="15.55">
      <c r="A813" s="302"/>
      <c r="B813" s="302"/>
      <c r="C813" s="302"/>
      <c r="D813" s="302"/>
      <c r="E813" s="302"/>
      <c r="F813" s="302"/>
      <c r="G813" s="302"/>
      <c r="H813" s="302"/>
      <c r="I813" s="302"/>
      <c r="J813" s="302"/>
      <c r="K813" s="302"/>
      <c r="L813" s="302"/>
      <c r="M813" s="302"/>
      <c r="N813" s="302"/>
      <c r="O813" s="302"/>
      <c r="P813" s="302"/>
      <c r="Q813" s="302"/>
      <c r="R813" s="302"/>
      <c r="S813" s="302"/>
      <c r="T813" s="302"/>
      <c r="U813" s="302"/>
      <c r="V813" s="302"/>
      <c r="W813" s="302"/>
      <c r="X813" s="302"/>
      <c r="Y813" s="302"/>
      <c r="Z813" s="302"/>
    </row>
    <row r="814" spans="1:26" ht="15.55">
      <c r="A814" s="302"/>
      <c r="B814" s="302"/>
      <c r="C814" s="302"/>
      <c r="D814" s="302"/>
      <c r="E814" s="302"/>
      <c r="F814" s="302"/>
      <c r="G814" s="302"/>
      <c r="H814" s="302"/>
      <c r="I814" s="302"/>
      <c r="J814" s="302"/>
      <c r="K814" s="302"/>
      <c r="L814" s="302"/>
      <c r="M814" s="302"/>
      <c r="N814" s="302"/>
      <c r="O814" s="302"/>
      <c r="P814" s="302"/>
      <c r="Q814" s="302"/>
      <c r="R814" s="302"/>
      <c r="S814" s="302"/>
      <c r="T814" s="302"/>
      <c r="U814" s="302"/>
      <c r="V814" s="302"/>
      <c r="W814" s="302"/>
      <c r="X814" s="302"/>
      <c r="Y814" s="302"/>
      <c r="Z814" s="302"/>
    </row>
    <row r="815" spans="1:26" ht="15.55">
      <c r="A815" s="302"/>
      <c r="B815" s="302"/>
      <c r="C815" s="302"/>
      <c r="D815" s="302"/>
      <c r="E815" s="302"/>
      <c r="F815" s="302"/>
      <c r="G815" s="302"/>
      <c r="H815" s="302"/>
      <c r="I815" s="302"/>
      <c r="J815" s="302"/>
      <c r="K815" s="302"/>
      <c r="L815" s="302"/>
      <c r="M815" s="302"/>
      <c r="N815" s="302"/>
      <c r="O815" s="302"/>
      <c r="P815" s="302"/>
      <c r="Q815" s="302"/>
      <c r="R815" s="302"/>
      <c r="S815" s="302"/>
      <c r="T815" s="302"/>
      <c r="U815" s="302"/>
      <c r="V815" s="302"/>
      <c r="W815" s="302"/>
      <c r="X815" s="302"/>
      <c r="Y815" s="302"/>
      <c r="Z815" s="302"/>
    </row>
    <row r="816" spans="1:26" ht="15.55">
      <c r="A816" s="302"/>
      <c r="B816" s="302"/>
      <c r="C816" s="302"/>
      <c r="D816" s="302"/>
      <c r="E816" s="302"/>
      <c r="F816" s="302"/>
      <c r="G816" s="302"/>
      <c r="H816" s="302"/>
      <c r="I816" s="302"/>
      <c r="J816" s="302"/>
      <c r="K816" s="302"/>
      <c r="L816" s="302"/>
      <c r="M816" s="302"/>
      <c r="N816" s="302"/>
      <c r="O816" s="302"/>
      <c r="P816" s="302"/>
      <c r="Q816" s="302"/>
      <c r="R816" s="302"/>
      <c r="S816" s="302"/>
      <c r="T816" s="302"/>
      <c r="U816" s="302"/>
      <c r="V816" s="302"/>
      <c r="W816" s="302"/>
      <c r="X816" s="302"/>
      <c r="Y816" s="302"/>
      <c r="Z816" s="302"/>
    </row>
    <row r="817" spans="1:26" ht="15.55">
      <c r="A817" s="302"/>
      <c r="B817" s="302"/>
      <c r="C817" s="302"/>
      <c r="D817" s="302"/>
      <c r="E817" s="302"/>
      <c r="F817" s="302"/>
      <c r="G817" s="302"/>
      <c r="H817" s="302"/>
      <c r="I817" s="302"/>
      <c r="J817" s="302"/>
      <c r="K817" s="302"/>
      <c r="L817" s="302"/>
      <c r="M817" s="302"/>
      <c r="N817" s="302"/>
      <c r="O817" s="302"/>
      <c r="P817" s="302"/>
      <c r="Q817" s="302"/>
      <c r="R817" s="302"/>
      <c r="S817" s="302"/>
      <c r="T817" s="302"/>
      <c r="U817" s="302"/>
      <c r="V817" s="302"/>
      <c r="W817" s="302"/>
      <c r="X817" s="302"/>
      <c r="Y817" s="302"/>
      <c r="Z817" s="302"/>
    </row>
    <row r="818" spans="1:26" ht="15.55">
      <c r="A818" s="302"/>
      <c r="B818" s="302"/>
      <c r="C818" s="302"/>
      <c r="D818" s="302"/>
      <c r="E818" s="302"/>
      <c r="F818" s="302"/>
      <c r="G818" s="302"/>
      <c r="H818" s="302"/>
      <c r="I818" s="302"/>
      <c r="J818" s="302"/>
      <c r="K818" s="302"/>
      <c r="L818" s="302"/>
      <c r="M818" s="302"/>
      <c r="N818" s="302"/>
      <c r="O818" s="302"/>
      <c r="P818" s="302"/>
      <c r="Q818" s="302"/>
      <c r="R818" s="302"/>
      <c r="S818" s="302"/>
      <c r="T818" s="302"/>
      <c r="U818" s="302"/>
      <c r="V818" s="302"/>
      <c r="W818" s="302"/>
      <c r="X818" s="302"/>
      <c r="Y818" s="302"/>
      <c r="Z818" s="302"/>
    </row>
    <row r="819" spans="1:26" ht="15.55">
      <c r="A819" s="302"/>
      <c r="B819" s="302"/>
      <c r="C819" s="302"/>
      <c r="D819" s="302"/>
      <c r="E819" s="302"/>
      <c r="F819" s="302"/>
      <c r="G819" s="302"/>
      <c r="H819" s="302"/>
      <c r="I819" s="302"/>
      <c r="J819" s="302"/>
      <c r="K819" s="302"/>
      <c r="L819" s="302"/>
      <c r="M819" s="302"/>
      <c r="N819" s="302"/>
      <c r="O819" s="302"/>
      <c r="P819" s="302"/>
      <c r="Q819" s="302"/>
      <c r="R819" s="302"/>
      <c r="S819" s="302"/>
      <c r="T819" s="302"/>
      <c r="U819" s="302"/>
      <c r="V819" s="302"/>
      <c r="W819" s="302"/>
      <c r="X819" s="302"/>
      <c r="Y819" s="302"/>
      <c r="Z819" s="302"/>
    </row>
    <row r="820" spans="1:26" ht="15.55">
      <c r="A820" s="302"/>
      <c r="B820" s="302"/>
      <c r="C820" s="302"/>
      <c r="D820" s="302"/>
      <c r="E820" s="302"/>
      <c r="F820" s="302"/>
      <c r="G820" s="302"/>
      <c r="H820" s="302"/>
      <c r="I820" s="302"/>
      <c r="J820" s="302"/>
      <c r="K820" s="302"/>
      <c r="L820" s="302"/>
      <c r="M820" s="302"/>
      <c r="N820" s="302"/>
      <c r="O820" s="302"/>
      <c r="P820" s="302"/>
      <c r="Q820" s="302"/>
      <c r="R820" s="302"/>
      <c r="S820" s="302"/>
      <c r="T820" s="302"/>
      <c r="U820" s="302"/>
      <c r="V820" s="302"/>
      <c r="W820" s="302"/>
      <c r="X820" s="302"/>
      <c r="Y820" s="302"/>
      <c r="Z820" s="302"/>
    </row>
    <row r="821" spans="1:26" ht="15.55">
      <c r="A821" s="302"/>
      <c r="B821" s="302"/>
      <c r="C821" s="302"/>
      <c r="D821" s="302"/>
      <c r="E821" s="302"/>
      <c r="F821" s="302"/>
      <c r="G821" s="302"/>
      <c r="H821" s="302"/>
      <c r="I821" s="302"/>
      <c r="J821" s="302"/>
      <c r="K821" s="302"/>
      <c r="L821" s="302"/>
      <c r="M821" s="302"/>
      <c r="N821" s="302"/>
      <c r="O821" s="302"/>
      <c r="P821" s="302"/>
      <c r="Q821" s="302"/>
      <c r="R821" s="302"/>
      <c r="S821" s="302"/>
      <c r="T821" s="302"/>
      <c r="U821" s="302"/>
      <c r="V821" s="302"/>
      <c r="W821" s="302"/>
      <c r="X821" s="302"/>
      <c r="Y821" s="302"/>
      <c r="Z821" s="302"/>
    </row>
    <row r="822" spans="1:26" ht="15.55">
      <c r="A822" s="302"/>
      <c r="B822" s="302"/>
      <c r="C822" s="302"/>
      <c r="D822" s="302"/>
      <c r="E822" s="302"/>
      <c r="F822" s="302"/>
      <c r="G822" s="302"/>
      <c r="H822" s="302"/>
      <c r="I822" s="302"/>
      <c r="J822" s="302"/>
      <c r="K822" s="302"/>
      <c r="L822" s="302"/>
      <c r="M822" s="302"/>
      <c r="N822" s="302"/>
      <c r="O822" s="302"/>
      <c r="P822" s="302"/>
      <c r="Q822" s="302"/>
      <c r="R822" s="302"/>
      <c r="S822" s="302"/>
      <c r="T822" s="302"/>
      <c r="U822" s="302"/>
      <c r="V822" s="302"/>
      <c r="W822" s="302"/>
      <c r="X822" s="302"/>
      <c r="Y822" s="302"/>
      <c r="Z822" s="302"/>
    </row>
    <row r="823" spans="1:26" ht="15.55">
      <c r="A823" s="302"/>
      <c r="B823" s="302"/>
      <c r="C823" s="302"/>
      <c r="D823" s="302"/>
      <c r="E823" s="302"/>
      <c r="F823" s="302"/>
      <c r="G823" s="302"/>
      <c r="H823" s="302"/>
      <c r="I823" s="302"/>
      <c r="J823" s="302"/>
      <c r="K823" s="302"/>
      <c r="L823" s="302"/>
      <c r="M823" s="302"/>
      <c r="N823" s="302"/>
      <c r="O823" s="302"/>
      <c r="P823" s="302"/>
      <c r="Q823" s="302"/>
      <c r="R823" s="302"/>
      <c r="S823" s="302"/>
      <c r="T823" s="302"/>
      <c r="U823" s="302"/>
      <c r="V823" s="302"/>
      <c r="W823" s="302"/>
      <c r="X823" s="302"/>
      <c r="Y823" s="302"/>
      <c r="Z823" s="302"/>
    </row>
    <row r="824" spans="1:26" ht="15.55">
      <c r="A824" s="302"/>
      <c r="B824" s="302"/>
      <c r="C824" s="302"/>
      <c r="D824" s="302"/>
      <c r="E824" s="302"/>
      <c r="F824" s="302"/>
      <c r="G824" s="302"/>
      <c r="H824" s="302"/>
      <c r="I824" s="302"/>
      <c r="J824" s="302"/>
      <c r="K824" s="302"/>
      <c r="L824" s="302"/>
      <c r="M824" s="302"/>
      <c r="N824" s="302"/>
      <c r="O824" s="302"/>
      <c r="P824" s="302"/>
      <c r="Q824" s="302"/>
      <c r="R824" s="302"/>
      <c r="S824" s="302"/>
      <c r="T824" s="302"/>
      <c r="U824" s="302"/>
      <c r="V824" s="302"/>
      <c r="W824" s="302"/>
      <c r="X824" s="302"/>
      <c r="Y824" s="302"/>
      <c r="Z824" s="302"/>
    </row>
    <row r="825" spans="1:26" ht="15.55">
      <c r="A825" s="302"/>
      <c r="B825" s="302"/>
      <c r="C825" s="302"/>
      <c r="D825" s="302"/>
      <c r="E825" s="302"/>
      <c r="F825" s="302"/>
      <c r="G825" s="302"/>
      <c r="H825" s="302"/>
      <c r="I825" s="302"/>
      <c r="J825" s="302"/>
      <c r="K825" s="302"/>
      <c r="L825" s="302"/>
      <c r="M825" s="302"/>
      <c r="N825" s="302"/>
      <c r="O825" s="302"/>
      <c r="P825" s="302"/>
      <c r="Q825" s="302"/>
      <c r="R825" s="302"/>
      <c r="S825" s="302"/>
      <c r="T825" s="302"/>
      <c r="U825" s="302"/>
      <c r="V825" s="302"/>
      <c r="W825" s="302"/>
      <c r="X825" s="302"/>
      <c r="Y825" s="302"/>
      <c r="Z825" s="302"/>
    </row>
    <row r="826" spans="1:26" ht="15.55">
      <c r="A826" s="302"/>
      <c r="B826" s="302"/>
      <c r="C826" s="302"/>
      <c r="D826" s="302"/>
      <c r="E826" s="302"/>
      <c r="F826" s="302"/>
      <c r="G826" s="302"/>
      <c r="H826" s="302"/>
      <c r="I826" s="302"/>
      <c r="J826" s="302"/>
      <c r="K826" s="302"/>
      <c r="L826" s="302"/>
      <c r="M826" s="302"/>
      <c r="N826" s="302"/>
      <c r="O826" s="302"/>
      <c r="P826" s="302"/>
      <c r="Q826" s="302"/>
      <c r="R826" s="302"/>
      <c r="S826" s="302"/>
      <c r="T826" s="302"/>
      <c r="U826" s="302"/>
      <c r="V826" s="302"/>
      <c r="W826" s="302"/>
      <c r="X826" s="302"/>
      <c r="Y826" s="302"/>
      <c r="Z826" s="302"/>
    </row>
    <row r="827" spans="1:26" ht="15.55">
      <c r="A827" s="302"/>
      <c r="B827" s="302"/>
      <c r="C827" s="302"/>
      <c r="D827" s="302"/>
      <c r="E827" s="302"/>
      <c r="F827" s="302"/>
      <c r="G827" s="302"/>
      <c r="H827" s="302"/>
      <c r="I827" s="302"/>
      <c r="J827" s="302"/>
      <c r="K827" s="302"/>
      <c r="L827" s="302"/>
      <c r="M827" s="302"/>
      <c r="N827" s="302"/>
      <c r="O827" s="302"/>
      <c r="P827" s="302"/>
      <c r="Q827" s="302"/>
      <c r="R827" s="302"/>
      <c r="S827" s="302"/>
      <c r="T827" s="302"/>
      <c r="U827" s="302"/>
      <c r="V827" s="302"/>
      <c r="W827" s="302"/>
      <c r="X827" s="302"/>
      <c r="Y827" s="302"/>
      <c r="Z827" s="302"/>
    </row>
    <row r="828" spans="1:26" ht="15.55">
      <c r="A828" s="302"/>
      <c r="B828" s="302"/>
      <c r="C828" s="302"/>
      <c r="D828" s="302"/>
      <c r="E828" s="302"/>
      <c r="F828" s="302"/>
      <c r="G828" s="302"/>
      <c r="H828" s="302"/>
      <c r="I828" s="302"/>
      <c r="J828" s="302"/>
      <c r="K828" s="302"/>
      <c r="L828" s="302"/>
      <c r="M828" s="302"/>
      <c r="N828" s="302"/>
      <c r="O828" s="302"/>
      <c r="P828" s="302"/>
      <c r="Q828" s="302"/>
      <c r="R828" s="302"/>
      <c r="S828" s="302"/>
      <c r="T828" s="302"/>
      <c r="U828" s="302"/>
      <c r="V828" s="302"/>
      <c r="W828" s="302"/>
      <c r="X828" s="302"/>
      <c r="Y828" s="302"/>
      <c r="Z828" s="302"/>
    </row>
    <row r="829" spans="1:26" ht="15.55">
      <c r="A829" s="302"/>
      <c r="B829" s="302"/>
      <c r="C829" s="302"/>
      <c r="D829" s="302"/>
      <c r="E829" s="302"/>
      <c r="F829" s="302"/>
      <c r="G829" s="302"/>
      <c r="H829" s="302"/>
      <c r="I829" s="302"/>
      <c r="J829" s="302"/>
      <c r="K829" s="302"/>
      <c r="L829" s="302"/>
      <c r="M829" s="302"/>
      <c r="N829" s="302"/>
      <c r="O829" s="302"/>
      <c r="P829" s="302"/>
      <c r="Q829" s="302"/>
      <c r="R829" s="302"/>
      <c r="S829" s="302"/>
      <c r="T829" s="302"/>
      <c r="U829" s="302"/>
      <c r="V829" s="302"/>
      <c r="W829" s="302"/>
      <c r="X829" s="302"/>
      <c r="Y829" s="302"/>
      <c r="Z829" s="302"/>
    </row>
    <row r="830" spans="1:26" ht="15.55">
      <c r="A830" s="302"/>
      <c r="B830" s="302"/>
      <c r="C830" s="302"/>
      <c r="D830" s="302"/>
      <c r="E830" s="302"/>
      <c r="F830" s="302"/>
      <c r="G830" s="302"/>
      <c r="H830" s="302"/>
      <c r="I830" s="302"/>
      <c r="J830" s="302"/>
      <c r="K830" s="302"/>
      <c r="L830" s="302"/>
      <c r="M830" s="302"/>
      <c r="N830" s="302"/>
      <c r="O830" s="302"/>
      <c r="P830" s="302"/>
      <c r="Q830" s="302"/>
      <c r="R830" s="302"/>
      <c r="S830" s="302"/>
      <c r="T830" s="302"/>
      <c r="U830" s="302"/>
      <c r="V830" s="302"/>
      <c r="W830" s="302"/>
      <c r="X830" s="302"/>
      <c r="Y830" s="302"/>
      <c r="Z830" s="302"/>
    </row>
    <row r="831" spans="1:26" ht="15.55">
      <c r="A831" s="302"/>
      <c r="B831" s="302"/>
      <c r="C831" s="302"/>
      <c r="D831" s="302"/>
      <c r="E831" s="302"/>
      <c r="F831" s="302"/>
      <c r="G831" s="302"/>
      <c r="H831" s="302"/>
      <c r="I831" s="302"/>
      <c r="J831" s="302"/>
      <c r="K831" s="302"/>
      <c r="L831" s="302"/>
      <c r="M831" s="302"/>
      <c r="N831" s="302"/>
      <c r="O831" s="302"/>
      <c r="P831" s="302"/>
      <c r="Q831" s="302"/>
      <c r="R831" s="302"/>
      <c r="S831" s="302"/>
      <c r="T831" s="302"/>
      <c r="U831" s="302"/>
      <c r="V831" s="302"/>
      <c r="W831" s="302"/>
      <c r="X831" s="302"/>
      <c r="Y831" s="302"/>
      <c r="Z831" s="302"/>
    </row>
    <row r="832" spans="1:26" ht="15.55">
      <c r="A832" s="302"/>
      <c r="B832" s="302"/>
      <c r="C832" s="302"/>
      <c r="D832" s="302"/>
      <c r="E832" s="302"/>
      <c r="F832" s="302"/>
      <c r="G832" s="302"/>
      <c r="H832" s="302"/>
      <c r="I832" s="302"/>
      <c r="J832" s="302"/>
      <c r="K832" s="302"/>
      <c r="L832" s="302"/>
      <c r="M832" s="302"/>
      <c r="N832" s="302"/>
      <c r="O832" s="302"/>
      <c r="P832" s="302"/>
      <c r="Q832" s="302"/>
      <c r="R832" s="302"/>
      <c r="S832" s="302"/>
      <c r="T832" s="302"/>
      <c r="U832" s="302"/>
      <c r="V832" s="302"/>
      <c r="W832" s="302"/>
      <c r="X832" s="302"/>
      <c r="Y832" s="302"/>
      <c r="Z832" s="302"/>
    </row>
    <row r="833" spans="1:26" ht="15.55">
      <c r="A833" s="302"/>
      <c r="B833" s="302"/>
      <c r="C833" s="302"/>
      <c r="D833" s="302"/>
      <c r="E833" s="302"/>
      <c r="F833" s="302"/>
      <c r="G833" s="302"/>
      <c r="H833" s="302"/>
      <c r="I833" s="302"/>
      <c r="J833" s="302"/>
      <c r="K833" s="302"/>
      <c r="L833" s="302"/>
      <c r="M833" s="302"/>
      <c r="N833" s="302"/>
      <c r="O833" s="302"/>
      <c r="P833" s="302"/>
      <c r="Q833" s="302"/>
      <c r="R833" s="302"/>
      <c r="S833" s="302"/>
      <c r="T833" s="302"/>
      <c r="U833" s="302"/>
      <c r="V833" s="302"/>
      <c r="W833" s="302"/>
      <c r="X833" s="302"/>
      <c r="Y833" s="302"/>
      <c r="Z833" s="302"/>
    </row>
    <row r="834" spans="1:26" ht="15.55">
      <c r="A834" s="302"/>
      <c r="B834" s="302"/>
      <c r="C834" s="302"/>
      <c r="D834" s="302"/>
      <c r="E834" s="302"/>
      <c r="F834" s="302"/>
      <c r="G834" s="302"/>
      <c r="H834" s="302"/>
      <c r="I834" s="302"/>
      <c r="J834" s="302"/>
      <c r="K834" s="302"/>
      <c r="L834" s="302"/>
      <c r="M834" s="302"/>
      <c r="N834" s="302"/>
      <c r="O834" s="302"/>
      <c r="P834" s="302"/>
      <c r="Q834" s="302"/>
      <c r="R834" s="302"/>
      <c r="S834" s="302"/>
      <c r="T834" s="302"/>
      <c r="U834" s="302"/>
      <c r="V834" s="302"/>
      <c r="W834" s="302"/>
      <c r="X834" s="302"/>
      <c r="Y834" s="302"/>
      <c r="Z834" s="302"/>
    </row>
    <row r="835" spans="1:26" ht="15.55">
      <c r="A835" s="302"/>
      <c r="B835" s="302"/>
      <c r="C835" s="302"/>
      <c r="D835" s="302"/>
      <c r="E835" s="302"/>
      <c r="F835" s="302"/>
      <c r="G835" s="302"/>
      <c r="H835" s="302"/>
      <c r="I835" s="302"/>
      <c r="J835" s="302"/>
      <c r="K835" s="302"/>
      <c r="L835" s="302"/>
      <c r="M835" s="302"/>
      <c r="N835" s="302"/>
      <c r="O835" s="302"/>
      <c r="P835" s="302"/>
      <c r="Q835" s="302"/>
      <c r="R835" s="302"/>
      <c r="S835" s="302"/>
      <c r="T835" s="302"/>
      <c r="U835" s="302"/>
      <c r="V835" s="302"/>
      <c r="W835" s="302"/>
      <c r="X835" s="302"/>
      <c r="Y835" s="302"/>
      <c r="Z835" s="302"/>
    </row>
    <row r="836" spans="1:26" ht="15.55">
      <c r="A836" s="302"/>
      <c r="B836" s="302"/>
      <c r="C836" s="302"/>
      <c r="D836" s="302"/>
      <c r="E836" s="302"/>
      <c r="F836" s="302"/>
      <c r="G836" s="302"/>
      <c r="H836" s="302"/>
      <c r="I836" s="302"/>
      <c r="J836" s="302"/>
      <c r="K836" s="302"/>
      <c r="L836" s="302"/>
      <c r="M836" s="302"/>
      <c r="N836" s="302"/>
      <c r="O836" s="302"/>
      <c r="P836" s="302"/>
      <c r="Q836" s="302"/>
      <c r="R836" s="302"/>
      <c r="S836" s="302"/>
      <c r="T836" s="302"/>
      <c r="U836" s="302"/>
      <c r="V836" s="302"/>
      <c r="W836" s="302"/>
      <c r="X836" s="302"/>
      <c r="Y836" s="302"/>
      <c r="Z836" s="302"/>
    </row>
    <row r="837" spans="1:26" ht="15.55">
      <c r="A837" s="302"/>
      <c r="B837" s="302"/>
      <c r="C837" s="302"/>
      <c r="D837" s="302"/>
      <c r="E837" s="302"/>
      <c r="F837" s="302"/>
      <c r="G837" s="302"/>
      <c r="H837" s="302"/>
      <c r="I837" s="302"/>
      <c r="J837" s="302"/>
      <c r="K837" s="302"/>
      <c r="L837" s="302"/>
      <c r="M837" s="302"/>
      <c r="N837" s="302"/>
      <c r="O837" s="302"/>
      <c r="P837" s="302"/>
      <c r="Q837" s="302"/>
      <c r="R837" s="302"/>
      <c r="S837" s="302"/>
      <c r="T837" s="302"/>
      <c r="U837" s="302"/>
      <c r="V837" s="302"/>
      <c r="W837" s="302"/>
      <c r="X837" s="302"/>
      <c r="Y837" s="302"/>
      <c r="Z837" s="302"/>
    </row>
    <row r="838" spans="1:26" ht="15.55">
      <c r="A838" s="302"/>
      <c r="B838" s="302"/>
      <c r="C838" s="302"/>
      <c r="D838" s="302"/>
      <c r="E838" s="302"/>
      <c r="F838" s="302"/>
      <c r="G838" s="302"/>
      <c r="H838" s="302"/>
      <c r="I838" s="302"/>
      <c r="J838" s="302"/>
      <c r="K838" s="302"/>
      <c r="L838" s="302"/>
      <c r="M838" s="302"/>
      <c r="N838" s="302"/>
      <c r="O838" s="302"/>
      <c r="P838" s="302"/>
      <c r="Q838" s="302"/>
      <c r="R838" s="302"/>
      <c r="S838" s="302"/>
      <c r="T838" s="302"/>
      <c r="U838" s="302"/>
      <c r="V838" s="302"/>
      <c r="W838" s="302"/>
      <c r="X838" s="302"/>
      <c r="Y838" s="302"/>
      <c r="Z838" s="302"/>
    </row>
    <row r="839" spans="1:26" ht="15.55">
      <c r="A839" s="302"/>
      <c r="B839" s="302"/>
      <c r="C839" s="302"/>
      <c r="D839" s="302"/>
      <c r="E839" s="302"/>
      <c r="F839" s="302"/>
      <c r="G839" s="302"/>
      <c r="H839" s="302"/>
      <c r="I839" s="302"/>
      <c r="J839" s="302"/>
      <c r="K839" s="302"/>
      <c r="L839" s="302"/>
      <c r="M839" s="302"/>
      <c r="N839" s="302"/>
      <c r="O839" s="302"/>
      <c r="P839" s="302"/>
      <c r="Q839" s="302"/>
      <c r="R839" s="302"/>
      <c r="S839" s="302"/>
      <c r="T839" s="302"/>
      <c r="U839" s="302"/>
      <c r="V839" s="302"/>
      <c r="W839" s="302"/>
      <c r="X839" s="302"/>
      <c r="Y839" s="302"/>
      <c r="Z839" s="302"/>
    </row>
    <row r="840" spans="1:26" ht="15.55">
      <c r="A840" s="302"/>
      <c r="B840" s="302"/>
      <c r="C840" s="302"/>
      <c r="D840" s="302"/>
      <c r="E840" s="302"/>
      <c r="F840" s="302"/>
      <c r="G840" s="302"/>
      <c r="H840" s="302"/>
      <c r="I840" s="302"/>
      <c r="J840" s="302"/>
      <c r="K840" s="302"/>
      <c r="L840" s="302"/>
      <c r="M840" s="302"/>
      <c r="N840" s="302"/>
      <c r="O840" s="302"/>
      <c r="P840" s="302"/>
      <c r="Q840" s="302"/>
      <c r="R840" s="302"/>
      <c r="S840" s="302"/>
      <c r="T840" s="302"/>
      <c r="U840" s="302"/>
      <c r="V840" s="302"/>
      <c r="W840" s="302"/>
      <c r="X840" s="302"/>
      <c r="Y840" s="302"/>
      <c r="Z840" s="302"/>
    </row>
    <row r="841" spans="1:26" ht="15.55">
      <c r="A841" s="302"/>
      <c r="B841" s="302"/>
      <c r="C841" s="302"/>
      <c r="D841" s="302"/>
      <c r="E841" s="302"/>
      <c r="F841" s="302"/>
      <c r="G841" s="302"/>
      <c r="H841" s="302"/>
      <c r="I841" s="302"/>
      <c r="J841" s="302"/>
      <c r="K841" s="302"/>
      <c r="L841" s="302"/>
      <c r="M841" s="302"/>
      <c r="N841" s="302"/>
      <c r="O841" s="302"/>
      <c r="P841" s="302"/>
      <c r="Q841" s="302"/>
      <c r="R841" s="302"/>
      <c r="S841" s="302"/>
      <c r="T841" s="302"/>
      <c r="U841" s="302"/>
      <c r="V841" s="302"/>
      <c r="W841" s="302"/>
      <c r="X841" s="302"/>
      <c r="Y841" s="302"/>
      <c r="Z841" s="302"/>
    </row>
    <row r="842" spans="1:26" ht="15.55">
      <c r="A842" s="302"/>
      <c r="B842" s="302"/>
      <c r="C842" s="302"/>
      <c r="D842" s="302"/>
      <c r="E842" s="302"/>
      <c r="F842" s="302"/>
      <c r="G842" s="302"/>
      <c r="H842" s="302"/>
      <c r="I842" s="302"/>
      <c r="J842" s="302"/>
      <c r="K842" s="302"/>
      <c r="L842" s="302"/>
      <c r="M842" s="302"/>
      <c r="N842" s="302"/>
      <c r="O842" s="302"/>
      <c r="P842" s="302"/>
      <c r="Q842" s="302"/>
      <c r="R842" s="302"/>
      <c r="S842" s="302"/>
      <c r="T842" s="302"/>
      <c r="U842" s="302"/>
      <c r="V842" s="302"/>
      <c r="W842" s="302"/>
      <c r="X842" s="302"/>
      <c r="Y842" s="302"/>
      <c r="Z842" s="302"/>
    </row>
    <row r="843" spans="1:26" ht="15.55">
      <c r="A843" s="302"/>
      <c r="B843" s="302"/>
      <c r="C843" s="302"/>
      <c r="D843" s="302"/>
      <c r="E843" s="302"/>
      <c r="F843" s="302"/>
      <c r="G843" s="302"/>
      <c r="H843" s="302"/>
      <c r="I843" s="302"/>
      <c r="J843" s="302"/>
      <c r="K843" s="302"/>
      <c r="L843" s="302"/>
      <c r="M843" s="302"/>
      <c r="N843" s="302"/>
      <c r="O843" s="302"/>
      <c r="P843" s="302"/>
      <c r="Q843" s="302"/>
      <c r="R843" s="302"/>
      <c r="S843" s="302"/>
      <c r="T843" s="302"/>
      <c r="U843" s="302"/>
      <c r="V843" s="302"/>
      <c r="W843" s="302"/>
      <c r="X843" s="302"/>
      <c r="Y843" s="302"/>
      <c r="Z843" s="302"/>
    </row>
    <row r="844" spans="1:26" ht="15.55">
      <c r="A844" s="302"/>
      <c r="B844" s="302"/>
      <c r="C844" s="302"/>
      <c r="D844" s="302"/>
      <c r="E844" s="302"/>
      <c r="F844" s="302"/>
      <c r="G844" s="302"/>
      <c r="H844" s="302"/>
      <c r="I844" s="302"/>
      <c r="J844" s="302"/>
      <c r="K844" s="302"/>
      <c r="L844" s="302"/>
      <c r="M844" s="302"/>
      <c r="N844" s="302"/>
      <c r="O844" s="302"/>
      <c r="P844" s="302"/>
      <c r="Q844" s="302"/>
      <c r="R844" s="302"/>
      <c r="S844" s="302"/>
      <c r="T844" s="302"/>
      <c r="U844" s="302"/>
      <c r="V844" s="302"/>
      <c r="W844" s="302"/>
      <c r="X844" s="302"/>
      <c r="Y844" s="302"/>
      <c r="Z844" s="302"/>
    </row>
    <row r="845" spans="1:26" ht="15.55">
      <c r="A845" s="302"/>
      <c r="B845" s="302"/>
      <c r="C845" s="302"/>
      <c r="D845" s="302"/>
      <c r="E845" s="302"/>
      <c r="F845" s="302"/>
      <c r="G845" s="302"/>
      <c r="H845" s="302"/>
      <c r="I845" s="302"/>
      <c r="J845" s="302"/>
      <c r="K845" s="302"/>
      <c r="L845" s="302"/>
      <c r="M845" s="302"/>
      <c r="N845" s="302"/>
      <c r="O845" s="302"/>
      <c r="P845" s="302"/>
      <c r="Q845" s="302"/>
      <c r="R845" s="302"/>
      <c r="S845" s="302"/>
      <c r="T845" s="302"/>
      <c r="U845" s="302"/>
      <c r="V845" s="302"/>
      <c r="W845" s="302"/>
      <c r="X845" s="302"/>
      <c r="Y845" s="302"/>
      <c r="Z845" s="302"/>
    </row>
    <row r="846" spans="1:26" ht="15.55">
      <c r="A846" s="302"/>
      <c r="B846" s="302"/>
      <c r="C846" s="302"/>
      <c r="D846" s="302"/>
      <c r="E846" s="302"/>
      <c r="F846" s="302"/>
      <c r="G846" s="302"/>
      <c r="H846" s="302"/>
      <c r="I846" s="302"/>
      <c r="J846" s="302"/>
      <c r="K846" s="302"/>
      <c r="L846" s="302"/>
      <c r="M846" s="302"/>
      <c r="N846" s="302"/>
      <c r="O846" s="302"/>
      <c r="P846" s="302"/>
      <c r="Q846" s="302"/>
      <c r="R846" s="302"/>
      <c r="S846" s="302"/>
      <c r="T846" s="302"/>
      <c r="U846" s="302"/>
      <c r="V846" s="302"/>
      <c r="W846" s="302"/>
      <c r="X846" s="302"/>
      <c r="Y846" s="302"/>
      <c r="Z846" s="302"/>
    </row>
    <row r="847" spans="1:26" ht="15.55">
      <c r="A847" s="302"/>
      <c r="B847" s="302"/>
      <c r="C847" s="302"/>
      <c r="D847" s="302"/>
      <c r="E847" s="302"/>
      <c r="F847" s="302"/>
      <c r="G847" s="302"/>
      <c r="H847" s="302"/>
      <c r="I847" s="302"/>
      <c r="J847" s="302"/>
      <c r="K847" s="302"/>
      <c r="L847" s="302"/>
      <c r="M847" s="302"/>
      <c r="N847" s="302"/>
      <c r="O847" s="302"/>
      <c r="P847" s="302"/>
      <c r="Q847" s="302"/>
      <c r="R847" s="302"/>
      <c r="S847" s="302"/>
      <c r="T847" s="302"/>
      <c r="U847" s="302"/>
      <c r="V847" s="302"/>
      <c r="W847" s="302"/>
      <c r="X847" s="302"/>
      <c r="Y847" s="302"/>
      <c r="Z847" s="302"/>
    </row>
    <row r="848" spans="1:26" ht="15.55">
      <c r="A848" s="302"/>
      <c r="B848" s="302"/>
      <c r="C848" s="302"/>
      <c r="D848" s="302"/>
      <c r="E848" s="302"/>
      <c r="F848" s="302"/>
      <c r="G848" s="302"/>
      <c r="H848" s="302"/>
      <c r="I848" s="302"/>
      <c r="J848" s="302"/>
      <c r="K848" s="302"/>
      <c r="L848" s="302"/>
      <c r="M848" s="302"/>
      <c r="N848" s="302"/>
      <c r="O848" s="302"/>
      <c r="P848" s="302"/>
      <c r="Q848" s="302"/>
      <c r="R848" s="302"/>
      <c r="S848" s="302"/>
      <c r="T848" s="302"/>
      <c r="U848" s="302"/>
      <c r="V848" s="302"/>
      <c r="W848" s="302"/>
      <c r="X848" s="302"/>
      <c r="Y848" s="302"/>
      <c r="Z848" s="302"/>
    </row>
    <row r="849" spans="1:26" ht="15.55">
      <c r="A849" s="302"/>
      <c r="B849" s="302"/>
      <c r="C849" s="302"/>
      <c r="D849" s="302"/>
      <c r="E849" s="302"/>
      <c r="F849" s="302"/>
      <c r="G849" s="302"/>
      <c r="H849" s="302"/>
      <c r="I849" s="302"/>
      <c r="J849" s="302"/>
      <c r="K849" s="302"/>
      <c r="L849" s="302"/>
      <c r="M849" s="302"/>
      <c r="N849" s="302"/>
      <c r="O849" s="302"/>
      <c r="P849" s="302"/>
      <c r="Q849" s="302"/>
      <c r="R849" s="302"/>
      <c r="S849" s="302"/>
      <c r="T849" s="302"/>
      <c r="U849" s="302"/>
      <c r="V849" s="302"/>
      <c r="W849" s="302"/>
      <c r="X849" s="302"/>
      <c r="Y849" s="302"/>
      <c r="Z849" s="302"/>
    </row>
    <row r="850" spans="1:26" ht="15.55">
      <c r="A850" s="302"/>
      <c r="B850" s="302"/>
      <c r="C850" s="302"/>
      <c r="D850" s="302"/>
      <c r="E850" s="302"/>
      <c r="F850" s="302"/>
      <c r="G850" s="302"/>
      <c r="H850" s="302"/>
      <c r="I850" s="302"/>
      <c r="J850" s="302"/>
      <c r="K850" s="302"/>
      <c r="L850" s="302"/>
      <c r="M850" s="302"/>
      <c r="N850" s="302"/>
      <c r="O850" s="302"/>
      <c r="P850" s="302"/>
      <c r="Q850" s="302"/>
      <c r="R850" s="302"/>
      <c r="S850" s="302"/>
      <c r="T850" s="302"/>
      <c r="U850" s="302"/>
      <c r="V850" s="302"/>
      <c r="W850" s="302"/>
      <c r="X850" s="302"/>
      <c r="Y850" s="302"/>
      <c r="Z850" s="302"/>
    </row>
    <row r="851" spans="1:26" ht="15.55">
      <c r="A851" s="302"/>
      <c r="B851" s="302"/>
      <c r="C851" s="302"/>
      <c r="D851" s="302"/>
      <c r="E851" s="302"/>
      <c r="F851" s="302"/>
      <c r="G851" s="302"/>
      <c r="H851" s="302"/>
      <c r="I851" s="302"/>
      <c r="J851" s="302"/>
      <c r="K851" s="302"/>
      <c r="L851" s="302"/>
      <c r="M851" s="302"/>
      <c r="N851" s="302"/>
      <c r="O851" s="302"/>
      <c r="P851" s="302"/>
      <c r="Q851" s="302"/>
      <c r="R851" s="302"/>
      <c r="S851" s="302"/>
      <c r="T851" s="302"/>
      <c r="U851" s="302"/>
      <c r="V851" s="302"/>
      <c r="W851" s="302"/>
      <c r="X851" s="302"/>
      <c r="Y851" s="302"/>
      <c r="Z851" s="302"/>
    </row>
    <row r="852" spans="1:26" ht="15.55">
      <c r="A852" s="302"/>
      <c r="B852" s="302"/>
      <c r="C852" s="302"/>
      <c r="D852" s="302"/>
      <c r="E852" s="302"/>
      <c r="F852" s="302"/>
      <c r="G852" s="302"/>
      <c r="H852" s="302"/>
      <c r="I852" s="302"/>
      <c r="J852" s="302"/>
      <c r="K852" s="302"/>
      <c r="L852" s="302"/>
      <c r="M852" s="302"/>
      <c r="N852" s="302"/>
      <c r="O852" s="302"/>
      <c r="P852" s="302"/>
      <c r="Q852" s="302"/>
      <c r="R852" s="302"/>
      <c r="S852" s="302"/>
      <c r="T852" s="302"/>
      <c r="U852" s="302"/>
      <c r="V852" s="302"/>
      <c r="W852" s="302"/>
      <c r="X852" s="302"/>
      <c r="Y852" s="302"/>
      <c r="Z852" s="302"/>
    </row>
    <row r="853" spans="1:26" ht="15.55">
      <c r="A853" s="302"/>
      <c r="B853" s="302"/>
      <c r="C853" s="302"/>
      <c r="D853" s="302"/>
      <c r="E853" s="302"/>
      <c r="F853" s="302"/>
      <c r="G853" s="302"/>
      <c r="H853" s="302"/>
      <c r="I853" s="302"/>
      <c r="J853" s="302"/>
      <c r="K853" s="302"/>
      <c r="L853" s="302"/>
      <c r="M853" s="302"/>
      <c r="N853" s="302"/>
      <c r="O853" s="302"/>
      <c r="P853" s="302"/>
      <c r="Q853" s="302"/>
      <c r="R853" s="302"/>
      <c r="S853" s="302"/>
      <c r="T853" s="302"/>
      <c r="U853" s="302"/>
      <c r="V853" s="302"/>
      <c r="W853" s="302"/>
      <c r="X853" s="302"/>
      <c r="Y853" s="302"/>
      <c r="Z853" s="302"/>
    </row>
    <row r="854" spans="1:26" ht="15.55">
      <c r="A854" s="302"/>
      <c r="B854" s="302"/>
      <c r="C854" s="302"/>
      <c r="D854" s="302"/>
      <c r="E854" s="302"/>
      <c r="F854" s="302"/>
      <c r="G854" s="302"/>
      <c r="H854" s="302"/>
      <c r="I854" s="302"/>
      <c r="J854" s="302"/>
      <c r="K854" s="302"/>
      <c r="L854" s="302"/>
      <c r="M854" s="302"/>
      <c r="N854" s="302"/>
      <c r="O854" s="302"/>
      <c r="P854" s="302"/>
      <c r="Q854" s="302"/>
      <c r="R854" s="302"/>
      <c r="S854" s="302"/>
      <c r="T854" s="302"/>
      <c r="U854" s="302"/>
      <c r="V854" s="302"/>
      <c r="W854" s="302"/>
      <c r="X854" s="302"/>
      <c r="Y854" s="302"/>
      <c r="Z854" s="302"/>
    </row>
    <row r="855" spans="1:26" ht="15.55">
      <c r="A855" s="302"/>
      <c r="B855" s="302"/>
      <c r="C855" s="302"/>
      <c r="D855" s="302"/>
      <c r="E855" s="302"/>
      <c r="F855" s="302"/>
      <c r="G855" s="302"/>
      <c r="H855" s="302"/>
      <c r="I855" s="302"/>
      <c r="J855" s="302"/>
      <c r="K855" s="302"/>
      <c r="L855" s="302"/>
      <c r="M855" s="302"/>
      <c r="N855" s="302"/>
      <c r="O855" s="302"/>
      <c r="P855" s="302"/>
      <c r="Q855" s="302"/>
      <c r="R855" s="302"/>
      <c r="S855" s="302"/>
      <c r="T855" s="302"/>
      <c r="U855" s="302"/>
      <c r="V855" s="302"/>
      <c r="W855" s="302"/>
      <c r="X855" s="302"/>
      <c r="Y855" s="302"/>
      <c r="Z855" s="302"/>
    </row>
    <row r="856" spans="1:26" ht="15.55">
      <c r="A856" s="302"/>
      <c r="B856" s="302"/>
      <c r="C856" s="302"/>
      <c r="D856" s="302"/>
      <c r="E856" s="302"/>
      <c r="F856" s="302"/>
      <c r="G856" s="302"/>
      <c r="H856" s="302"/>
      <c r="I856" s="302"/>
      <c r="J856" s="302"/>
      <c r="K856" s="302"/>
      <c r="L856" s="302"/>
      <c r="M856" s="302"/>
      <c r="N856" s="302"/>
      <c r="O856" s="302"/>
      <c r="P856" s="302"/>
      <c r="Q856" s="302"/>
      <c r="R856" s="302"/>
      <c r="S856" s="302"/>
      <c r="T856" s="302"/>
      <c r="U856" s="302"/>
      <c r="V856" s="302"/>
      <c r="W856" s="302"/>
      <c r="X856" s="302"/>
      <c r="Y856" s="302"/>
      <c r="Z856" s="302"/>
    </row>
    <row r="857" spans="1:26" ht="15.55">
      <c r="A857" s="302"/>
      <c r="B857" s="302"/>
      <c r="C857" s="302"/>
      <c r="D857" s="302"/>
      <c r="E857" s="302"/>
      <c r="F857" s="302"/>
      <c r="G857" s="302"/>
      <c r="H857" s="302"/>
      <c r="I857" s="302"/>
      <c r="J857" s="302"/>
      <c r="K857" s="302"/>
      <c r="L857" s="302"/>
      <c r="M857" s="302"/>
      <c r="N857" s="302"/>
      <c r="O857" s="302"/>
      <c r="P857" s="302"/>
      <c r="Q857" s="302"/>
      <c r="R857" s="302"/>
      <c r="S857" s="302"/>
      <c r="T857" s="302"/>
      <c r="U857" s="302"/>
      <c r="V857" s="302"/>
      <c r="W857" s="302"/>
      <c r="X857" s="302"/>
      <c r="Y857" s="302"/>
      <c r="Z857" s="302"/>
    </row>
    <row r="858" spans="1:26" ht="15.55">
      <c r="A858" s="302"/>
      <c r="B858" s="302"/>
      <c r="C858" s="302"/>
      <c r="D858" s="302"/>
      <c r="E858" s="302"/>
      <c r="F858" s="302"/>
      <c r="G858" s="302"/>
      <c r="H858" s="302"/>
      <c r="I858" s="302"/>
      <c r="J858" s="302"/>
      <c r="K858" s="302"/>
      <c r="L858" s="302"/>
      <c r="M858" s="302"/>
      <c r="N858" s="302"/>
      <c r="O858" s="302"/>
      <c r="P858" s="302"/>
      <c r="Q858" s="302"/>
      <c r="R858" s="302"/>
      <c r="S858" s="302"/>
      <c r="T858" s="302"/>
      <c r="U858" s="302"/>
      <c r="V858" s="302"/>
      <c r="W858" s="302"/>
      <c r="X858" s="302"/>
      <c r="Y858" s="302"/>
      <c r="Z858" s="302"/>
    </row>
    <row r="859" spans="1:26" ht="15.55">
      <c r="A859" s="302"/>
      <c r="B859" s="302"/>
      <c r="C859" s="302"/>
      <c r="D859" s="302"/>
      <c r="E859" s="302"/>
      <c r="F859" s="302"/>
      <c r="G859" s="302"/>
      <c r="H859" s="302"/>
      <c r="I859" s="302"/>
      <c r="J859" s="302"/>
      <c r="K859" s="302"/>
      <c r="L859" s="302"/>
      <c r="M859" s="302"/>
      <c r="N859" s="302"/>
      <c r="O859" s="302"/>
      <c r="P859" s="302"/>
      <c r="Q859" s="302"/>
      <c r="R859" s="302"/>
      <c r="S859" s="302"/>
      <c r="T859" s="302"/>
      <c r="U859" s="302"/>
      <c r="V859" s="302"/>
      <c r="W859" s="302"/>
      <c r="X859" s="302"/>
      <c r="Y859" s="302"/>
      <c r="Z859" s="302"/>
    </row>
    <row r="860" spans="1:26" ht="15.55">
      <c r="A860" s="302"/>
      <c r="B860" s="302"/>
      <c r="C860" s="302"/>
      <c r="D860" s="302"/>
      <c r="E860" s="302"/>
      <c r="F860" s="302"/>
      <c r="G860" s="302"/>
      <c r="H860" s="302"/>
      <c r="I860" s="302"/>
      <c r="J860" s="302"/>
      <c r="K860" s="302"/>
      <c r="L860" s="302"/>
      <c r="M860" s="302"/>
      <c r="N860" s="302"/>
      <c r="O860" s="302"/>
      <c r="P860" s="302"/>
      <c r="Q860" s="302"/>
      <c r="R860" s="302"/>
      <c r="S860" s="302"/>
      <c r="T860" s="302"/>
      <c r="U860" s="302"/>
      <c r="V860" s="302"/>
      <c r="W860" s="302"/>
      <c r="X860" s="302"/>
      <c r="Y860" s="302"/>
      <c r="Z860" s="302"/>
    </row>
    <row r="861" spans="1:26" ht="15.55">
      <c r="A861" s="302"/>
      <c r="B861" s="302"/>
      <c r="C861" s="302"/>
      <c r="D861" s="302"/>
      <c r="E861" s="302"/>
      <c r="F861" s="302"/>
      <c r="G861" s="302"/>
      <c r="H861" s="302"/>
      <c r="I861" s="302"/>
      <c r="J861" s="302"/>
      <c r="K861" s="302"/>
      <c r="L861" s="302"/>
      <c r="M861" s="302"/>
      <c r="N861" s="302"/>
      <c r="O861" s="302"/>
      <c r="P861" s="302"/>
      <c r="Q861" s="302"/>
      <c r="R861" s="302"/>
      <c r="S861" s="302"/>
      <c r="T861" s="302"/>
      <c r="U861" s="302"/>
      <c r="V861" s="302"/>
      <c r="W861" s="302"/>
      <c r="X861" s="302"/>
      <c r="Y861" s="302"/>
      <c r="Z861" s="302"/>
    </row>
    <row r="862" spans="1:26" ht="15.55">
      <c r="A862" s="302"/>
      <c r="B862" s="302"/>
      <c r="C862" s="302"/>
      <c r="D862" s="302"/>
      <c r="E862" s="302"/>
      <c r="F862" s="302"/>
      <c r="G862" s="302"/>
      <c r="H862" s="302"/>
      <c r="I862" s="302"/>
      <c r="J862" s="302"/>
      <c r="K862" s="302"/>
      <c r="L862" s="302"/>
      <c r="M862" s="302"/>
      <c r="N862" s="302"/>
      <c r="O862" s="302"/>
      <c r="P862" s="302"/>
      <c r="Q862" s="302"/>
      <c r="R862" s="302"/>
      <c r="S862" s="302"/>
      <c r="T862" s="302"/>
      <c r="U862" s="302"/>
      <c r="V862" s="302"/>
      <c r="W862" s="302"/>
      <c r="X862" s="302"/>
      <c r="Y862" s="302"/>
      <c r="Z862" s="302"/>
    </row>
    <row r="863" spans="1:26" ht="15.55">
      <c r="A863" s="302"/>
      <c r="B863" s="302"/>
      <c r="C863" s="302"/>
      <c r="D863" s="302"/>
      <c r="E863" s="302"/>
      <c r="F863" s="302"/>
      <c r="G863" s="302"/>
      <c r="H863" s="302"/>
      <c r="I863" s="302"/>
      <c r="J863" s="302"/>
      <c r="K863" s="302"/>
      <c r="L863" s="302"/>
      <c r="M863" s="302"/>
      <c r="N863" s="302"/>
      <c r="O863" s="302"/>
      <c r="P863" s="302"/>
      <c r="Q863" s="302"/>
      <c r="R863" s="302"/>
      <c r="S863" s="302"/>
      <c r="T863" s="302"/>
      <c r="U863" s="302"/>
      <c r="V863" s="302"/>
      <c r="W863" s="302"/>
      <c r="X863" s="302"/>
      <c r="Y863" s="302"/>
      <c r="Z863" s="302"/>
    </row>
    <row r="864" spans="1:26" ht="15.55">
      <c r="A864" s="302"/>
      <c r="B864" s="302"/>
      <c r="C864" s="302"/>
      <c r="D864" s="302"/>
      <c r="E864" s="302"/>
      <c r="F864" s="302"/>
      <c r="G864" s="302"/>
      <c r="H864" s="302"/>
      <c r="I864" s="302"/>
      <c r="J864" s="302"/>
      <c r="K864" s="302"/>
      <c r="L864" s="302"/>
      <c r="M864" s="302"/>
      <c r="N864" s="302"/>
      <c r="O864" s="302"/>
      <c r="P864" s="302"/>
      <c r="Q864" s="302"/>
      <c r="R864" s="302"/>
      <c r="S864" s="302"/>
      <c r="T864" s="302"/>
      <c r="U864" s="302"/>
      <c r="V864" s="302"/>
      <c r="W864" s="302"/>
      <c r="X864" s="302"/>
      <c r="Y864" s="302"/>
      <c r="Z864" s="302"/>
    </row>
    <row r="865" spans="1:26" ht="15.55">
      <c r="A865" s="302"/>
      <c r="B865" s="302"/>
      <c r="C865" s="302"/>
      <c r="D865" s="302"/>
      <c r="E865" s="302"/>
      <c r="F865" s="302"/>
      <c r="G865" s="302"/>
      <c r="H865" s="302"/>
      <c r="I865" s="302"/>
      <c r="J865" s="302"/>
      <c r="K865" s="302"/>
      <c r="L865" s="302"/>
      <c r="M865" s="302"/>
      <c r="N865" s="302"/>
      <c r="O865" s="302"/>
      <c r="P865" s="302"/>
      <c r="Q865" s="302"/>
      <c r="R865" s="302"/>
      <c r="S865" s="302"/>
      <c r="T865" s="302"/>
      <c r="U865" s="302"/>
      <c r="V865" s="302"/>
      <c r="W865" s="302"/>
      <c r="X865" s="302"/>
      <c r="Y865" s="302"/>
      <c r="Z865" s="302"/>
    </row>
    <row r="866" spans="1:26" ht="15.55">
      <c r="A866" s="302"/>
      <c r="B866" s="302"/>
      <c r="C866" s="302"/>
      <c r="D866" s="302"/>
      <c r="E866" s="302"/>
      <c r="F866" s="302"/>
      <c r="G866" s="302"/>
      <c r="H866" s="302"/>
      <c r="I866" s="302"/>
      <c r="J866" s="302"/>
      <c r="K866" s="302"/>
      <c r="L866" s="302"/>
      <c r="M866" s="302"/>
      <c r="N866" s="302"/>
      <c r="O866" s="302"/>
      <c r="P866" s="302"/>
      <c r="Q866" s="302"/>
      <c r="R866" s="302"/>
      <c r="S866" s="302"/>
      <c r="T866" s="302"/>
      <c r="U866" s="302"/>
      <c r="V866" s="302"/>
      <c r="W866" s="302"/>
      <c r="X866" s="302"/>
      <c r="Y866" s="302"/>
      <c r="Z866" s="302"/>
    </row>
    <row r="867" spans="1:26" ht="15.55">
      <c r="A867" s="302"/>
      <c r="B867" s="302"/>
      <c r="C867" s="302"/>
      <c r="D867" s="302"/>
      <c r="E867" s="302"/>
      <c r="F867" s="302"/>
      <c r="G867" s="302"/>
      <c r="H867" s="302"/>
      <c r="I867" s="302"/>
      <c r="J867" s="302"/>
      <c r="K867" s="302"/>
      <c r="L867" s="302"/>
      <c r="M867" s="302"/>
      <c r="N867" s="302"/>
      <c r="O867" s="302"/>
      <c r="P867" s="302"/>
      <c r="Q867" s="302"/>
      <c r="R867" s="302"/>
      <c r="S867" s="302"/>
      <c r="T867" s="302"/>
      <c r="U867" s="302"/>
      <c r="V867" s="302"/>
      <c r="W867" s="302"/>
      <c r="X867" s="302"/>
      <c r="Y867" s="302"/>
      <c r="Z867" s="302"/>
    </row>
    <row r="868" spans="1:26" ht="15.55">
      <c r="A868" s="302"/>
      <c r="B868" s="302"/>
      <c r="C868" s="302"/>
      <c r="D868" s="302"/>
      <c r="E868" s="302"/>
      <c r="F868" s="302"/>
      <c r="G868" s="302"/>
      <c r="H868" s="302"/>
      <c r="I868" s="302"/>
      <c r="J868" s="302"/>
      <c r="K868" s="302"/>
      <c r="L868" s="302"/>
      <c r="M868" s="302"/>
      <c r="N868" s="302"/>
      <c r="O868" s="302"/>
      <c r="P868" s="302"/>
      <c r="Q868" s="302"/>
      <c r="R868" s="302"/>
      <c r="S868" s="302"/>
      <c r="T868" s="302"/>
      <c r="U868" s="302"/>
      <c r="V868" s="302"/>
      <c r="W868" s="302"/>
      <c r="X868" s="302"/>
      <c r="Y868" s="302"/>
      <c r="Z868" s="302"/>
    </row>
    <row r="869" spans="1:26" ht="15.55">
      <c r="A869" s="302"/>
      <c r="B869" s="302"/>
      <c r="C869" s="302"/>
      <c r="D869" s="302"/>
      <c r="E869" s="302"/>
      <c r="F869" s="302"/>
      <c r="G869" s="302"/>
      <c r="H869" s="302"/>
      <c r="I869" s="302"/>
      <c r="J869" s="302"/>
      <c r="K869" s="302"/>
      <c r="L869" s="302"/>
      <c r="M869" s="302"/>
      <c r="N869" s="302"/>
      <c r="O869" s="302"/>
      <c r="P869" s="302"/>
      <c r="Q869" s="302"/>
      <c r="R869" s="302"/>
      <c r="S869" s="302"/>
      <c r="T869" s="302"/>
      <c r="U869" s="302"/>
      <c r="V869" s="302"/>
      <c r="W869" s="302"/>
      <c r="X869" s="302"/>
      <c r="Y869" s="302"/>
      <c r="Z869" s="302"/>
    </row>
    <row r="870" spans="1:26" ht="15.55">
      <c r="A870" s="302"/>
      <c r="B870" s="302"/>
      <c r="C870" s="302"/>
      <c r="D870" s="302"/>
      <c r="E870" s="302"/>
      <c r="F870" s="302"/>
      <c r="G870" s="302"/>
      <c r="H870" s="302"/>
      <c r="I870" s="302"/>
      <c r="J870" s="302"/>
      <c r="K870" s="302"/>
      <c r="L870" s="302"/>
      <c r="M870" s="302"/>
      <c r="N870" s="302"/>
      <c r="O870" s="302"/>
      <c r="P870" s="302"/>
      <c r="Q870" s="302"/>
      <c r="R870" s="302"/>
      <c r="S870" s="302"/>
      <c r="T870" s="302"/>
      <c r="U870" s="302"/>
      <c r="V870" s="302"/>
      <c r="W870" s="302"/>
      <c r="X870" s="302"/>
      <c r="Y870" s="302"/>
      <c r="Z870" s="302"/>
    </row>
    <row r="871" spans="1:26" ht="15.55">
      <c r="A871" s="302"/>
      <c r="B871" s="302"/>
      <c r="C871" s="302"/>
      <c r="D871" s="302"/>
      <c r="E871" s="302"/>
      <c r="F871" s="302"/>
      <c r="G871" s="302"/>
      <c r="H871" s="302"/>
      <c r="I871" s="302"/>
      <c r="J871" s="302"/>
      <c r="K871" s="302"/>
      <c r="L871" s="302"/>
      <c r="M871" s="302"/>
      <c r="N871" s="302"/>
      <c r="O871" s="302"/>
      <c r="P871" s="302"/>
      <c r="Q871" s="302"/>
      <c r="R871" s="302"/>
      <c r="S871" s="302"/>
      <c r="T871" s="302"/>
      <c r="U871" s="302"/>
      <c r="V871" s="302"/>
      <c r="W871" s="302"/>
      <c r="X871" s="302"/>
      <c r="Y871" s="302"/>
      <c r="Z871" s="302"/>
    </row>
    <row r="872" spans="1:26" ht="15.55">
      <c r="A872" s="302"/>
      <c r="B872" s="302"/>
      <c r="C872" s="302"/>
      <c r="D872" s="302"/>
      <c r="E872" s="302"/>
      <c r="F872" s="302"/>
      <c r="G872" s="302"/>
      <c r="H872" s="302"/>
      <c r="I872" s="302"/>
      <c r="J872" s="302"/>
      <c r="K872" s="302"/>
      <c r="L872" s="302"/>
      <c r="M872" s="302"/>
      <c r="N872" s="302"/>
      <c r="O872" s="302"/>
      <c r="P872" s="302"/>
      <c r="Q872" s="302"/>
      <c r="R872" s="302"/>
      <c r="S872" s="302"/>
      <c r="T872" s="302"/>
      <c r="U872" s="302"/>
      <c r="V872" s="302"/>
      <c r="W872" s="302"/>
      <c r="X872" s="302"/>
      <c r="Y872" s="302"/>
      <c r="Z872" s="302"/>
    </row>
    <row r="873" spans="1:26" ht="15.55">
      <c r="A873" s="302"/>
      <c r="B873" s="302"/>
      <c r="C873" s="302"/>
      <c r="D873" s="302"/>
      <c r="E873" s="302"/>
      <c r="F873" s="302"/>
      <c r="G873" s="302"/>
      <c r="H873" s="302"/>
      <c r="I873" s="302"/>
      <c r="J873" s="302"/>
      <c r="K873" s="302"/>
      <c r="L873" s="302"/>
      <c r="M873" s="302"/>
      <c r="N873" s="302"/>
      <c r="O873" s="302"/>
      <c r="P873" s="302"/>
      <c r="Q873" s="302"/>
      <c r="R873" s="302"/>
      <c r="S873" s="302"/>
      <c r="T873" s="302"/>
      <c r="U873" s="302"/>
      <c r="V873" s="302"/>
      <c r="W873" s="302"/>
      <c r="X873" s="302"/>
      <c r="Y873" s="302"/>
      <c r="Z873" s="302"/>
    </row>
    <row r="874" spans="1:26" ht="15.55">
      <c r="A874" s="302"/>
      <c r="B874" s="302"/>
      <c r="C874" s="302"/>
      <c r="D874" s="302"/>
      <c r="E874" s="302"/>
      <c r="F874" s="302"/>
      <c r="G874" s="302"/>
      <c r="H874" s="302"/>
      <c r="I874" s="302"/>
      <c r="J874" s="302"/>
      <c r="K874" s="302"/>
      <c r="L874" s="302"/>
      <c r="M874" s="302"/>
      <c r="N874" s="302"/>
      <c r="O874" s="302"/>
      <c r="P874" s="302"/>
      <c r="Q874" s="302"/>
      <c r="R874" s="302"/>
      <c r="S874" s="302"/>
      <c r="T874" s="302"/>
      <c r="U874" s="302"/>
      <c r="V874" s="302"/>
      <c r="W874" s="302"/>
      <c r="X874" s="302"/>
      <c r="Y874" s="302"/>
      <c r="Z874" s="302"/>
    </row>
    <row r="875" spans="1:26" ht="15.55">
      <c r="A875" s="302"/>
      <c r="B875" s="302"/>
      <c r="C875" s="302"/>
      <c r="D875" s="302"/>
      <c r="E875" s="302"/>
      <c r="F875" s="302"/>
      <c r="G875" s="302"/>
      <c r="H875" s="302"/>
      <c r="I875" s="302"/>
      <c r="J875" s="302"/>
      <c r="K875" s="302"/>
      <c r="L875" s="302"/>
      <c r="M875" s="302"/>
      <c r="N875" s="302"/>
      <c r="O875" s="302"/>
      <c r="P875" s="302"/>
      <c r="Q875" s="302"/>
      <c r="R875" s="302"/>
      <c r="S875" s="302"/>
      <c r="T875" s="302"/>
      <c r="U875" s="302"/>
      <c r="V875" s="302"/>
      <c r="W875" s="302"/>
      <c r="X875" s="302"/>
      <c r="Y875" s="302"/>
      <c r="Z875" s="302"/>
    </row>
    <row r="876" spans="1:26" ht="15.55">
      <c r="A876" s="302"/>
      <c r="B876" s="302"/>
      <c r="C876" s="302"/>
      <c r="D876" s="302"/>
      <c r="E876" s="302"/>
      <c r="F876" s="302"/>
      <c r="G876" s="302"/>
      <c r="H876" s="302"/>
      <c r="I876" s="302"/>
      <c r="J876" s="302"/>
      <c r="K876" s="302"/>
      <c r="L876" s="302"/>
      <c r="M876" s="302"/>
      <c r="N876" s="302"/>
      <c r="O876" s="302"/>
      <c r="P876" s="302"/>
      <c r="Q876" s="302"/>
      <c r="R876" s="302"/>
      <c r="S876" s="302"/>
      <c r="T876" s="302"/>
      <c r="U876" s="302"/>
      <c r="V876" s="302"/>
      <c r="W876" s="302"/>
      <c r="X876" s="302"/>
      <c r="Y876" s="302"/>
      <c r="Z876" s="302"/>
    </row>
    <row r="877" spans="1:26" ht="15.55">
      <c r="A877" s="302"/>
      <c r="B877" s="302"/>
      <c r="C877" s="302"/>
      <c r="D877" s="302"/>
      <c r="E877" s="302"/>
      <c r="F877" s="302"/>
      <c r="G877" s="302"/>
      <c r="H877" s="302"/>
      <c r="I877" s="302"/>
      <c r="J877" s="302"/>
      <c r="K877" s="302"/>
      <c r="L877" s="302"/>
      <c r="M877" s="302"/>
      <c r="N877" s="302"/>
      <c r="O877" s="302"/>
      <c r="P877" s="302"/>
      <c r="Q877" s="302"/>
      <c r="R877" s="302"/>
      <c r="S877" s="302"/>
      <c r="T877" s="302"/>
      <c r="U877" s="302"/>
      <c r="V877" s="302"/>
      <c r="W877" s="302"/>
      <c r="X877" s="302"/>
      <c r="Y877" s="302"/>
      <c r="Z877" s="302"/>
    </row>
    <row r="878" spans="1:26" ht="15.55">
      <c r="A878" s="302"/>
      <c r="B878" s="302"/>
      <c r="C878" s="302"/>
      <c r="D878" s="302"/>
      <c r="E878" s="302"/>
      <c r="F878" s="302"/>
      <c r="G878" s="302"/>
      <c r="H878" s="302"/>
      <c r="I878" s="302"/>
      <c r="J878" s="302"/>
      <c r="K878" s="302"/>
      <c r="L878" s="302"/>
      <c r="M878" s="302"/>
      <c r="N878" s="302"/>
      <c r="O878" s="302"/>
      <c r="P878" s="302"/>
      <c r="Q878" s="302"/>
      <c r="R878" s="302"/>
      <c r="S878" s="302"/>
      <c r="T878" s="302"/>
      <c r="U878" s="302"/>
      <c r="V878" s="302"/>
      <c r="W878" s="302"/>
      <c r="X878" s="302"/>
      <c r="Y878" s="302"/>
      <c r="Z878" s="302"/>
    </row>
    <row r="879" spans="1:26" ht="15.55">
      <c r="A879" s="302"/>
      <c r="B879" s="302"/>
      <c r="C879" s="302"/>
      <c r="D879" s="302"/>
      <c r="E879" s="302"/>
      <c r="F879" s="302"/>
      <c r="G879" s="302"/>
      <c r="H879" s="302"/>
      <c r="I879" s="302"/>
      <c r="J879" s="302"/>
      <c r="K879" s="302"/>
      <c r="L879" s="302"/>
      <c r="M879" s="302"/>
      <c r="N879" s="302"/>
      <c r="O879" s="302"/>
      <c r="P879" s="302"/>
      <c r="Q879" s="302"/>
      <c r="R879" s="302"/>
      <c r="S879" s="302"/>
      <c r="T879" s="302"/>
      <c r="U879" s="302"/>
      <c r="V879" s="302"/>
      <c r="W879" s="302"/>
      <c r="X879" s="302"/>
      <c r="Y879" s="302"/>
      <c r="Z879" s="302"/>
    </row>
    <row r="880" spans="1:26" ht="15.55">
      <c r="A880" s="302"/>
      <c r="B880" s="302"/>
      <c r="C880" s="302"/>
      <c r="D880" s="302"/>
      <c r="E880" s="302"/>
      <c r="F880" s="302"/>
      <c r="G880" s="302"/>
      <c r="H880" s="302"/>
      <c r="I880" s="302"/>
      <c r="J880" s="302"/>
      <c r="K880" s="302"/>
      <c r="L880" s="302"/>
      <c r="M880" s="302"/>
      <c r="N880" s="302"/>
      <c r="O880" s="302"/>
      <c r="P880" s="302"/>
      <c r="Q880" s="302"/>
      <c r="R880" s="302"/>
      <c r="S880" s="302"/>
      <c r="T880" s="302"/>
      <c r="U880" s="302"/>
      <c r="V880" s="302"/>
      <c r="W880" s="302"/>
      <c r="X880" s="302"/>
      <c r="Y880" s="302"/>
      <c r="Z880" s="302"/>
    </row>
    <row r="881" spans="1:26" ht="15.55">
      <c r="A881" s="302"/>
      <c r="B881" s="302"/>
      <c r="C881" s="302"/>
      <c r="D881" s="302"/>
      <c r="E881" s="302"/>
      <c r="F881" s="302"/>
      <c r="G881" s="302"/>
      <c r="H881" s="302"/>
      <c r="I881" s="302"/>
      <c r="J881" s="302"/>
      <c r="K881" s="302"/>
      <c r="L881" s="302"/>
      <c r="M881" s="302"/>
      <c r="N881" s="302"/>
      <c r="O881" s="302"/>
      <c r="P881" s="302"/>
      <c r="Q881" s="302"/>
      <c r="R881" s="302"/>
      <c r="S881" s="302"/>
      <c r="T881" s="302"/>
      <c r="U881" s="302"/>
      <c r="V881" s="302"/>
      <c r="W881" s="302"/>
      <c r="X881" s="302"/>
      <c r="Y881" s="302"/>
      <c r="Z881" s="302"/>
    </row>
    <row r="882" spans="1:26" ht="15.55">
      <c r="A882" s="302"/>
      <c r="B882" s="302"/>
      <c r="C882" s="302"/>
      <c r="D882" s="302"/>
      <c r="E882" s="302"/>
      <c r="F882" s="302"/>
      <c r="G882" s="302"/>
      <c r="H882" s="302"/>
      <c r="I882" s="302"/>
      <c r="J882" s="302"/>
      <c r="K882" s="302"/>
      <c r="L882" s="302"/>
      <c r="M882" s="302"/>
      <c r="N882" s="302"/>
      <c r="O882" s="302"/>
      <c r="P882" s="302"/>
      <c r="Q882" s="302"/>
      <c r="R882" s="302"/>
      <c r="S882" s="302"/>
      <c r="T882" s="302"/>
      <c r="U882" s="302"/>
      <c r="V882" s="302"/>
      <c r="W882" s="302"/>
      <c r="X882" s="302"/>
      <c r="Y882" s="302"/>
      <c r="Z882" s="302"/>
    </row>
    <row r="883" spans="1:26" ht="15.55">
      <c r="A883" s="302"/>
      <c r="B883" s="302"/>
      <c r="C883" s="302"/>
      <c r="D883" s="302"/>
      <c r="E883" s="302"/>
      <c r="F883" s="302"/>
      <c r="G883" s="302"/>
      <c r="H883" s="302"/>
      <c r="I883" s="302"/>
      <c r="J883" s="302"/>
      <c r="K883" s="302"/>
      <c r="L883" s="302"/>
      <c r="M883" s="302"/>
      <c r="N883" s="302"/>
      <c r="O883" s="302"/>
      <c r="P883" s="302"/>
      <c r="Q883" s="302"/>
      <c r="R883" s="302"/>
      <c r="S883" s="302"/>
      <c r="T883" s="302"/>
      <c r="U883" s="302"/>
      <c r="V883" s="302"/>
      <c r="W883" s="302"/>
      <c r="X883" s="302"/>
      <c r="Y883" s="302"/>
      <c r="Z883" s="302"/>
    </row>
    <row r="884" spans="1:26" ht="15.55">
      <c r="A884" s="302"/>
      <c r="B884" s="302"/>
      <c r="C884" s="302"/>
      <c r="D884" s="302"/>
      <c r="E884" s="302"/>
      <c r="F884" s="302"/>
      <c r="G884" s="302"/>
      <c r="H884" s="302"/>
      <c r="I884" s="302"/>
      <c r="J884" s="302"/>
      <c r="K884" s="302"/>
      <c r="L884" s="302"/>
      <c r="M884" s="302"/>
      <c r="N884" s="302"/>
      <c r="O884" s="302"/>
      <c r="P884" s="302"/>
      <c r="Q884" s="302"/>
      <c r="R884" s="302"/>
      <c r="S884" s="302"/>
      <c r="T884" s="302"/>
      <c r="U884" s="302"/>
      <c r="V884" s="302"/>
      <c r="W884" s="302"/>
      <c r="X884" s="302"/>
      <c r="Y884" s="302"/>
      <c r="Z884" s="302"/>
    </row>
    <row r="885" spans="1:26" ht="15.55">
      <c r="A885" s="302"/>
      <c r="B885" s="302"/>
      <c r="C885" s="302"/>
      <c r="D885" s="302"/>
      <c r="E885" s="302"/>
      <c r="F885" s="302"/>
      <c r="G885" s="302"/>
      <c r="H885" s="302"/>
      <c r="I885" s="302"/>
      <c r="J885" s="302"/>
      <c r="K885" s="302"/>
      <c r="L885" s="302"/>
      <c r="M885" s="302"/>
      <c r="N885" s="302"/>
      <c r="O885" s="302"/>
      <c r="P885" s="302"/>
      <c r="Q885" s="302"/>
      <c r="R885" s="302"/>
      <c r="S885" s="302"/>
      <c r="T885" s="302"/>
      <c r="U885" s="302"/>
      <c r="V885" s="302"/>
      <c r="W885" s="302"/>
      <c r="X885" s="302"/>
      <c r="Y885" s="302"/>
      <c r="Z885" s="302"/>
    </row>
    <row r="886" spans="1:26" ht="15.55">
      <c r="A886" s="302"/>
      <c r="B886" s="302"/>
      <c r="C886" s="302"/>
      <c r="D886" s="302"/>
      <c r="E886" s="302"/>
      <c r="F886" s="302"/>
      <c r="G886" s="302"/>
      <c r="H886" s="302"/>
      <c r="I886" s="302"/>
      <c r="J886" s="302"/>
      <c r="K886" s="302"/>
      <c r="L886" s="302"/>
      <c r="M886" s="302"/>
      <c r="N886" s="302"/>
      <c r="O886" s="302"/>
      <c r="P886" s="302"/>
      <c r="Q886" s="302"/>
      <c r="R886" s="302"/>
      <c r="S886" s="302"/>
      <c r="T886" s="302"/>
      <c r="U886" s="302"/>
      <c r="V886" s="302"/>
      <c r="W886" s="302"/>
      <c r="X886" s="302"/>
      <c r="Y886" s="302"/>
      <c r="Z886" s="302"/>
    </row>
    <row r="887" spans="1:26" ht="15.55">
      <c r="A887" s="302"/>
      <c r="B887" s="302"/>
      <c r="C887" s="302"/>
      <c r="D887" s="302"/>
      <c r="E887" s="302"/>
      <c r="F887" s="302"/>
      <c r="G887" s="302"/>
      <c r="H887" s="302"/>
      <c r="I887" s="302"/>
      <c r="J887" s="302"/>
      <c r="K887" s="302"/>
      <c r="L887" s="302"/>
      <c r="M887" s="302"/>
      <c r="N887" s="302"/>
      <c r="O887" s="302"/>
      <c r="P887" s="302"/>
      <c r="Q887" s="302"/>
      <c r="R887" s="302"/>
      <c r="S887" s="302"/>
      <c r="T887" s="302"/>
      <c r="U887" s="302"/>
      <c r="V887" s="302"/>
      <c r="W887" s="302"/>
      <c r="X887" s="302"/>
      <c r="Y887" s="302"/>
      <c r="Z887" s="302"/>
    </row>
    <row r="888" spans="1:26" ht="15.55">
      <c r="A888" s="302"/>
      <c r="B888" s="302"/>
      <c r="C888" s="302"/>
      <c r="D888" s="302"/>
      <c r="E888" s="302"/>
      <c r="F888" s="302"/>
      <c r="G888" s="302"/>
      <c r="H888" s="302"/>
      <c r="I888" s="302"/>
      <c r="J888" s="302"/>
      <c r="K888" s="302"/>
      <c r="L888" s="302"/>
      <c r="M888" s="302"/>
      <c r="N888" s="302"/>
      <c r="O888" s="302"/>
      <c r="P888" s="302"/>
      <c r="Q888" s="302"/>
      <c r="R888" s="302"/>
      <c r="S888" s="302"/>
      <c r="T888" s="302"/>
      <c r="U888" s="302"/>
      <c r="V888" s="302"/>
      <c r="W888" s="302"/>
      <c r="X888" s="302"/>
      <c r="Y888" s="302"/>
      <c r="Z888" s="302"/>
    </row>
    <row r="889" spans="1:26" ht="15.55">
      <c r="A889" s="302"/>
      <c r="B889" s="302"/>
      <c r="C889" s="302"/>
      <c r="D889" s="302"/>
      <c r="E889" s="302"/>
      <c r="F889" s="302"/>
      <c r="G889" s="302"/>
      <c r="H889" s="302"/>
      <c r="I889" s="302"/>
      <c r="J889" s="302"/>
      <c r="K889" s="302"/>
      <c r="L889" s="302"/>
      <c r="M889" s="302"/>
      <c r="N889" s="302"/>
      <c r="O889" s="302"/>
      <c r="P889" s="302"/>
      <c r="Q889" s="302"/>
      <c r="R889" s="302"/>
      <c r="S889" s="302"/>
      <c r="T889" s="302"/>
      <c r="U889" s="302"/>
      <c r="V889" s="302"/>
      <c r="W889" s="302"/>
      <c r="X889" s="302"/>
      <c r="Y889" s="302"/>
      <c r="Z889" s="302"/>
    </row>
    <row r="890" spans="1:26" ht="15.55">
      <c r="A890" s="302"/>
      <c r="B890" s="302"/>
      <c r="C890" s="302"/>
      <c r="D890" s="302"/>
      <c r="E890" s="302"/>
      <c r="F890" s="302"/>
      <c r="G890" s="302"/>
      <c r="H890" s="302"/>
      <c r="I890" s="302"/>
      <c r="J890" s="302"/>
      <c r="K890" s="302"/>
      <c r="L890" s="302"/>
      <c r="M890" s="302"/>
      <c r="N890" s="302"/>
      <c r="O890" s="302"/>
      <c r="P890" s="302"/>
      <c r="Q890" s="302"/>
      <c r="R890" s="302"/>
      <c r="S890" s="302"/>
      <c r="T890" s="302"/>
      <c r="U890" s="302"/>
      <c r="V890" s="302"/>
      <c r="W890" s="302"/>
      <c r="X890" s="302"/>
      <c r="Y890" s="302"/>
      <c r="Z890" s="302"/>
    </row>
    <row r="891" spans="1:26" ht="15.55">
      <c r="A891" s="302"/>
      <c r="B891" s="302"/>
      <c r="C891" s="302"/>
      <c r="D891" s="302"/>
      <c r="E891" s="302"/>
      <c r="F891" s="302"/>
      <c r="G891" s="302"/>
      <c r="H891" s="302"/>
      <c r="I891" s="302"/>
      <c r="J891" s="302"/>
      <c r="K891" s="302"/>
      <c r="L891" s="302"/>
      <c r="M891" s="302"/>
      <c r="N891" s="302"/>
      <c r="O891" s="302"/>
      <c r="P891" s="302"/>
      <c r="Q891" s="302"/>
      <c r="R891" s="302"/>
      <c r="S891" s="302"/>
      <c r="T891" s="302"/>
      <c r="U891" s="302"/>
      <c r="V891" s="302"/>
      <c r="W891" s="302"/>
      <c r="X891" s="302"/>
      <c r="Y891" s="302"/>
      <c r="Z891" s="302"/>
    </row>
    <row r="892" spans="1:26" ht="15.55">
      <c r="A892" s="302"/>
      <c r="B892" s="302"/>
      <c r="C892" s="302"/>
      <c r="D892" s="302"/>
      <c r="E892" s="302"/>
      <c r="F892" s="302"/>
      <c r="G892" s="302"/>
      <c r="H892" s="302"/>
      <c r="I892" s="302"/>
      <c r="J892" s="302"/>
      <c r="K892" s="302"/>
      <c r="L892" s="302"/>
      <c r="M892" s="302"/>
      <c r="N892" s="302"/>
      <c r="O892" s="302"/>
      <c r="P892" s="302"/>
      <c r="Q892" s="302"/>
      <c r="R892" s="302"/>
      <c r="S892" s="302"/>
      <c r="T892" s="302"/>
      <c r="U892" s="302"/>
      <c r="V892" s="302"/>
      <c r="W892" s="302"/>
      <c r="X892" s="302"/>
      <c r="Y892" s="302"/>
      <c r="Z892" s="302"/>
    </row>
    <row r="893" spans="1:26" ht="15.55">
      <c r="A893" s="302"/>
      <c r="B893" s="302"/>
      <c r="C893" s="302"/>
      <c r="D893" s="302"/>
      <c r="E893" s="302"/>
      <c r="F893" s="302"/>
      <c r="G893" s="302"/>
      <c r="H893" s="302"/>
      <c r="I893" s="302"/>
      <c r="J893" s="302"/>
      <c r="K893" s="302"/>
      <c r="L893" s="302"/>
      <c r="M893" s="302"/>
      <c r="N893" s="302"/>
      <c r="O893" s="302"/>
      <c r="P893" s="302"/>
      <c r="Q893" s="302"/>
      <c r="R893" s="302"/>
      <c r="S893" s="302"/>
      <c r="T893" s="302"/>
      <c r="U893" s="302"/>
      <c r="V893" s="302"/>
      <c r="W893" s="302"/>
      <c r="X893" s="302"/>
      <c r="Y893" s="302"/>
      <c r="Z893" s="302"/>
    </row>
    <row r="894" spans="1:26" ht="15.55">
      <c r="A894" s="302"/>
      <c r="B894" s="302"/>
      <c r="C894" s="302"/>
      <c r="D894" s="302"/>
      <c r="E894" s="302"/>
      <c r="F894" s="302"/>
      <c r="G894" s="302"/>
      <c r="H894" s="302"/>
      <c r="I894" s="302"/>
      <c r="J894" s="302"/>
      <c r="K894" s="302"/>
      <c r="L894" s="302"/>
      <c r="M894" s="302"/>
      <c r="N894" s="302"/>
      <c r="O894" s="302"/>
      <c r="P894" s="302"/>
      <c r="Q894" s="302"/>
      <c r="R894" s="302"/>
      <c r="S894" s="302"/>
      <c r="T894" s="302"/>
      <c r="U894" s="302"/>
      <c r="V894" s="302"/>
      <c r="W894" s="302"/>
      <c r="X894" s="302"/>
      <c r="Y894" s="302"/>
      <c r="Z894" s="302"/>
    </row>
    <row r="895" spans="1:26" ht="15.55">
      <c r="A895" s="302"/>
      <c r="B895" s="302"/>
      <c r="C895" s="302"/>
      <c r="D895" s="302"/>
      <c r="E895" s="302"/>
      <c r="F895" s="302"/>
      <c r="G895" s="302"/>
      <c r="H895" s="302"/>
      <c r="I895" s="302"/>
      <c r="J895" s="302"/>
      <c r="K895" s="302"/>
      <c r="L895" s="302"/>
      <c r="M895" s="302"/>
      <c r="N895" s="302"/>
      <c r="O895" s="302"/>
      <c r="P895" s="302"/>
      <c r="Q895" s="302"/>
      <c r="R895" s="302"/>
      <c r="S895" s="302"/>
      <c r="T895" s="302"/>
      <c r="U895" s="302"/>
      <c r="V895" s="302"/>
      <c r="W895" s="302"/>
      <c r="X895" s="302"/>
      <c r="Y895" s="302"/>
      <c r="Z895" s="302"/>
    </row>
    <row r="896" spans="1:26" ht="15.55">
      <c r="A896" s="302"/>
      <c r="B896" s="302"/>
      <c r="C896" s="302"/>
      <c r="D896" s="302"/>
      <c r="E896" s="302"/>
      <c r="F896" s="302"/>
      <c r="G896" s="302"/>
      <c r="H896" s="302"/>
      <c r="I896" s="302"/>
      <c r="J896" s="302"/>
      <c r="K896" s="302"/>
      <c r="L896" s="302"/>
      <c r="M896" s="302"/>
      <c r="N896" s="302"/>
      <c r="O896" s="302"/>
      <c r="P896" s="302"/>
      <c r="Q896" s="302"/>
      <c r="R896" s="302"/>
      <c r="S896" s="302"/>
      <c r="T896" s="302"/>
      <c r="U896" s="302"/>
      <c r="V896" s="302"/>
      <c r="W896" s="302"/>
      <c r="X896" s="302"/>
      <c r="Y896" s="302"/>
      <c r="Z896" s="302"/>
    </row>
    <row r="897" spans="1:26" ht="15.55">
      <c r="A897" s="302"/>
      <c r="B897" s="302"/>
      <c r="C897" s="302"/>
      <c r="D897" s="302"/>
      <c r="E897" s="302"/>
      <c r="F897" s="302"/>
      <c r="G897" s="302"/>
      <c r="H897" s="302"/>
      <c r="I897" s="302"/>
      <c r="J897" s="302"/>
      <c r="K897" s="302"/>
      <c r="L897" s="302"/>
      <c r="M897" s="302"/>
      <c r="N897" s="302"/>
      <c r="O897" s="302"/>
      <c r="P897" s="302"/>
      <c r="Q897" s="302"/>
      <c r="R897" s="302"/>
      <c r="S897" s="302"/>
      <c r="T897" s="302"/>
      <c r="U897" s="302"/>
      <c r="V897" s="302"/>
      <c r="W897" s="302"/>
      <c r="X897" s="302"/>
      <c r="Y897" s="302"/>
      <c r="Z897" s="302"/>
    </row>
    <row r="898" spans="1:26" ht="15.55">
      <c r="A898" s="302"/>
      <c r="B898" s="302"/>
      <c r="C898" s="302"/>
      <c r="D898" s="302"/>
      <c r="E898" s="302"/>
      <c r="F898" s="302"/>
      <c r="G898" s="302"/>
      <c r="H898" s="302"/>
      <c r="I898" s="302"/>
      <c r="J898" s="302"/>
      <c r="K898" s="302"/>
      <c r="L898" s="302"/>
      <c r="M898" s="302"/>
      <c r="N898" s="302"/>
      <c r="O898" s="302"/>
      <c r="P898" s="302"/>
      <c r="Q898" s="302"/>
      <c r="R898" s="302"/>
      <c r="S898" s="302"/>
      <c r="T898" s="302"/>
      <c r="U898" s="302"/>
      <c r="V898" s="302"/>
      <c r="W898" s="302"/>
      <c r="X898" s="302"/>
      <c r="Y898" s="302"/>
      <c r="Z898" s="302"/>
    </row>
    <row r="899" spans="1:26" ht="15.55">
      <c r="A899" s="302"/>
      <c r="B899" s="302"/>
      <c r="C899" s="302"/>
      <c r="D899" s="302"/>
      <c r="E899" s="302"/>
      <c r="F899" s="302"/>
      <c r="G899" s="302"/>
      <c r="H899" s="302"/>
      <c r="I899" s="302"/>
      <c r="J899" s="302"/>
      <c r="K899" s="302"/>
      <c r="L899" s="302"/>
      <c r="M899" s="302"/>
      <c r="N899" s="302"/>
      <c r="O899" s="302"/>
      <c r="P899" s="302"/>
      <c r="Q899" s="302"/>
      <c r="R899" s="302"/>
      <c r="S899" s="302"/>
      <c r="T899" s="302"/>
      <c r="U899" s="302"/>
      <c r="V899" s="302"/>
      <c r="W899" s="302"/>
      <c r="X899" s="302"/>
      <c r="Y899" s="302"/>
      <c r="Z899" s="302"/>
    </row>
    <row r="900" spans="1:26" ht="15.55">
      <c r="A900" s="302"/>
      <c r="B900" s="302"/>
      <c r="C900" s="302"/>
      <c r="D900" s="302"/>
      <c r="E900" s="302"/>
      <c r="F900" s="302"/>
      <c r="G900" s="302"/>
      <c r="H900" s="302"/>
      <c r="I900" s="302"/>
      <c r="J900" s="302"/>
      <c r="K900" s="302"/>
      <c r="L900" s="302"/>
      <c r="M900" s="302"/>
      <c r="N900" s="302"/>
      <c r="O900" s="302"/>
      <c r="P900" s="302"/>
      <c r="Q900" s="302"/>
      <c r="R900" s="302"/>
      <c r="S900" s="302"/>
      <c r="T900" s="302"/>
      <c r="U900" s="302"/>
      <c r="V900" s="302"/>
      <c r="W900" s="302"/>
      <c r="X900" s="302"/>
      <c r="Y900" s="302"/>
      <c r="Z900" s="302"/>
    </row>
    <row r="901" spans="1:26" ht="15.55">
      <c r="A901" s="302"/>
      <c r="B901" s="302"/>
      <c r="C901" s="302"/>
      <c r="D901" s="302"/>
      <c r="E901" s="302"/>
      <c r="F901" s="302"/>
      <c r="G901" s="302"/>
      <c r="H901" s="302"/>
      <c r="I901" s="302"/>
      <c r="J901" s="302"/>
      <c r="K901" s="302"/>
      <c r="L901" s="302"/>
      <c r="M901" s="302"/>
      <c r="N901" s="302"/>
      <c r="O901" s="302"/>
      <c r="P901" s="302"/>
      <c r="Q901" s="302"/>
      <c r="R901" s="302"/>
      <c r="S901" s="302"/>
      <c r="T901" s="302"/>
      <c r="U901" s="302"/>
      <c r="V901" s="302"/>
      <c r="W901" s="302"/>
      <c r="X901" s="302"/>
      <c r="Y901" s="302"/>
      <c r="Z901" s="302"/>
    </row>
    <row r="902" spans="1:26" ht="15.55">
      <c r="A902" s="302"/>
      <c r="B902" s="302"/>
      <c r="C902" s="302"/>
      <c r="D902" s="302"/>
      <c r="E902" s="302"/>
      <c r="F902" s="302"/>
      <c r="G902" s="302"/>
      <c r="H902" s="302"/>
      <c r="I902" s="302"/>
      <c r="J902" s="302"/>
      <c r="K902" s="302"/>
      <c r="L902" s="302"/>
      <c r="M902" s="302"/>
      <c r="N902" s="302"/>
      <c r="O902" s="302"/>
      <c r="P902" s="302"/>
      <c r="Q902" s="302"/>
      <c r="R902" s="302"/>
      <c r="S902" s="302"/>
      <c r="T902" s="302"/>
      <c r="U902" s="302"/>
      <c r="V902" s="302"/>
      <c r="W902" s="302"/>
      <c r="X902" s="302"/>
      <c r="Y902" s="302"/>
      <c r="Z902" s="302"/>
    </row>
    <row r="903" spans="1:26" ht="15.55">
      <c r="A903" s="302"/>
      <c r="B903" s="302"/>
      <c r="C903" s="302"/>
      <c r="D903" s="302"/>
      <c r="E903" s="302"/>
      <c r="F903" s="302"/>
      <c r="G903" s="302"/>
      <c r="H903" s="302"/>
      <c r="I903" s="302"/>
      <c r="J903" s="302"/>
      <c r="K903" s="302"/>
      <c r="L903" s="302"/>
      <c r="M903" s="302"/>
      <c r="N903" s="302"/>
      <c r="O903" s="302"/>
      <c r="P903" s="302"/>
      <c r="Q903" s="302"/>
      <c r="R903" s="302"/>
      <c r="S903" s="302"/>
      <c r="T903" s="302"/>
      <c r="U903" s="302"/>
      <c r="V903" s="302"/>
      <c r="W903" s="302"/>
      <c r="X903" s="302"/>
      <c r="Y903" s="302"/>
      <c r="Z903" s="302"/>
    </row>
    <row r="904" spans="1:26" ht="15.55">
      <c r="A904" s="302"/>
      <c r="B904" s="302"/>
      <c r="C904" s="302"/>
      <c r="D904" s="302"/>
      <c r="E904" s="302"/>
      <c r="F904" s="302"/>
      <c r="G904" s="302"/>
      <c r="H904" s="302"/>
      <c r="I904" s="302"/>
      <c r="J904" s="302"/>
      <c r="K904" s="302"/>
      <c r="L904" s="302"/>
      <c r="M904" s="302"/>
      <c r="N904" s="302"/>
      <c r="O904" s="302"/>
      <c r="P904" s="302"/>
      <c r="Q904" s="302"/>
      <c r="R904" s="302"/>
      <c r="S904" s="302"/>
      <c r="T904" s="302"/>
      <c r="U904" s="302"/>
      <c r="V904" s="302"/>
      <c r="W904" s="302"/>
      <c r="X904" s="302"/>
      <c r="Y904" s="302"/>
      <c r="Z904" s="302"/>
    </row>
    <row r="905" spans="1:26" ht="15.55">
      <c r="A905" s="302"/>
      <c r="B905" s="302"/>
      <c r="C905" s="302"/>
      <c r="D905" s="302"/>
      <c r="E905" s="302"/>
      <c r="F905" s="302"/>
      <c r="G905" s="302"/>
      <c r="H905" s="302"/>
      <c r="I905" s="302"/>
      <c r="J905" s="302"/>
      <c r="K905" s="302"/>
      <c r="L905" s="302"/>
      <c r="M905" s="302"/>
      <c r="N905" s="302"/>
      <c r="O905" s="302"/>
      <c r="P905" s="302"/>
      <c r="Q905" s="302"/>
      <c r="R905" s="302"/>
      <c r="S905" s="302"/>
      <c r="T905" s="302"/>
      <c r="U905" s="302"/>
      <c r="V905" s="302"/>
      <c r="W905" s="302"/>
      <c r="X905" s="302"/>
      <c r="Y905" s="302"/>
      <c r="Z905" s="302"/>
    </row>
    <row r="906" spans="1:26" ht="15.55">
      <c r="A906" s="302"/>
      <c r="B906" s="302"/>
      <c r="C906" s="302"/>
      <c r="D906" s="302"/>
      <c r="E906" s="302"/>
      <c r="F906" s="302"/>
      <c r="G906" s="302"/>
      <c r="H906" s="302"/>
      <c r="I906" s="302"/>
      <c r="J906" s="302"/>
      <c r="K906" s="302"/>
      <c r="L906" s="302"/>
      <c r="M906" s="302"/>
      <c r="N906" s="302"/>
      <c r="O906" s="302"/>
      <c r="P906" s="302"/>
      <c r="Q906" s="302"/>
      <c r="R906" s="302"/>
      <c r="S906" s="302"/>
      <c r="T906" s="302"/>
      <c r="U906" s="302"/>
      <c r="V906" s="302"/>
      <c r="W906" s="302"/>
      <c r="X906" s="302"/>
      <c r="Y906" s="302"/>
      <c r="Z906" s="302"/>
    </row>
    <row r="907" spans="1:26" ht="15.55">
      <c r="A907" s="302"/>
      <c r="B907" s="302"/>
      <c r="C907" s="302"/>
      <c r="D907" s="302"/>
      <c r="E907" s="302"/>
      <c r="F907" s="302"/>
      <c r="G907" s="302"/>
      <c r="H907" s="302"/>
      <c r="I907" s="302"/>
      <c r="J907" s="302"/>
      <c r="K907" s="302"/>
      <c r="L907" s="302"/>
      <c r="M907" s="302"/>
      <c r="N907" s="302"/>
      <c r="O907" s="302"/>
      <c r="P907" s="302"/>
      <c r="Q907" s="302"/>
      <c r="R907" s="302"/>
      <c r="S907" s="302"/>
      <c r="T907" s="302"/>
      <c r="U907" s="302"/>
      <c r="V907" s="302"/>
      <c r="W907" s="302"/>
      <c r="X907" s="302"/>
      <c r="Y907" s="302"/>
      <c r="Z907" s="302"/>
    </row>
    <row r="908" spans="1:26" ht="15.55">
      <c r="A908" s="302"/>
      <c r="B908" s="302"/>
      <c r="C908" s="302"/>
      <c r="D908" s="302"/>
      <c r="E908" s="302"/>
      <c r="F908" s="302"/>
      <c r="G908" s="302"/>
      <c r="H908" s="302"/>
      <c r="I908" s="302"/>
      <c r="J908" s="302"/>
      <c r="K908" s="302"/>
      <c r="L908" s="302"/>
      <c r="M908" s="302"/>
      <c r="N908" s="302"/>
      <c r="O908" s="302"/>
      <c r="P908" s="302"/>
      <c r="Q908" s="302"/>
      <c r="R908" s="302"/>
      <c r="S908" s="302"/>
      <c r="T908" s="302"/>
      <c r="U908" s="302"/>
      <c r="V908" s="302"/>
      <c r="W908" s="302"/>
      <c r="X908" s="302"/>
      <c r="Y908" s="302"/>
      <c r="Z908" s="302"/>
    </row>
    <row r="909" spans="1:26" ht="15.55">
      <c r="A909" s="302"/>
      <c r="B909" s="302"/>
      <c r="C909" s="302"/>
      <c r="D909" s="302"/>
      <c r="E909" s="302"/>
      <c r="F909" s="302"/>
      <c r="G909" s="302"/>
      <c r="H909" s="302"/>
      <c r="I909" s="302"/>
      <c r="J909" s="302"/>
      <c r="K909" s="302"/>
      <c r="L909" s="302"/>
      <c r="M909" s="302"/>
      <c r="N909" s="302"/>
      <c r="O909" s="302"/>
      <c r="P909" s="302"/>
      <c r="Q909" s="302"/>
      <c r="R909" s="302"/>
      <c r="S909" s="302"/>
      <c r="T909" s="302"/>
      <c r="U909" s="302"/>
      <c r="V909" s="302"/>
      <c r="W909" s="302"/>
      <c r="X909" s="302"/>
      <c r="Y909" s="302"/>
      <c r="Z909" s="302"/>
    </row>
    <row r="910" spans="1:26" ht="15.55">
      <c r="A910" s="302"/>
      <c r="B910" s="302"/>
      <c r="C910" s="302"/>
      <c r="D910" s="302"/>
      <c r="E910" s="302"/>
      <c r="F910" s="302"/>
      <c r="G910" s="302"/>
      <c r="H910" s="302"/>
      <c r="I910" s="302"/>
      <c r="J910" s="302"/>
      <c r="K910" s="302"/>
      <c r="L910" s="302"/>
      <c r="M910" s="302"/>
      <c r="N910" s="302"/>
      <c r="O910" s="302"/>
      <c r="P910" s="302"/>
      <c r="Q910" s="302"/>
      <c r="R910" s="302"/>
      <c r="S910" s="302"/>
      <c r="T910" s="302"/>
      <c r="U910" s="302"/>
      <c r="V910" s="302"/>
      <c r="W910" s="302"/>
      <c r="X910" s="302"/>
      <c r="Y910" s="302"/>
      <c r="Z910" s="302"/>
    </row>
    <row r="911" spans="1:26" ht="15.55">
      <c r="A911" s="302"/>
      <c r="B911" s="302"/>
      <c r="C911" s="302"/>
      <c r="D911" s="302"/>
      <c r="E911" s="302"/>
      <c r="F911" s="302"/>
      <c r="G911" s="302"/>
      <c r="H911" s="302"/>
      <c r="I911" s="302"/>
      <c r="J911" s="302"/>
      <c r="K911" s="302"/>
      <c r="L911" s="302"/>
      <c r="M911" s="302"/>
      <c r="N911" s="302"/>
      <c r="O911" s="302"/>
      <c r="P911" s="302"/>
      <c r="Q911" s="302"/>
      <c r="R911" s="302"/>
      <c r="S911" s="302"/>
      <c r="T911" s="302"/>
      <c r="U911" s="302"/>
      <c r="V911" s="302"/>
      <c r="W911" s="302"/>
      <c r="X911" s="302"/>
      <c r="Y911" s="302"/>
      <c r="Z911" s="302"/>
    </row>
    <row r="912" spans="1:26" ht="15.55">
      <c r="A912" s="302"/>
      <c r="B912" s="302"/>
      <c r="C912" s="302"/>
      <c r="D912" s="302"/>
      <c r="E912" s="302"/>
      <c r="F912" s="302"/>
      <c r="G912" s="302"/>
      <c r="H912" s="302"/>
      <c r="I912" s="302"/>
      <c r="J912" s="302"/>
      <c r="K912" s="302"/>
      <c r="L912" s="302"/>
      <c r="M912" s="302"/>
      <c r="N912" s="302"/>
      <c r="O912" s="302"/>
      <c r="P912" s="302"/>
      <c r="Q912" s="302"/>
      <c r="R912" s="302"/>
      <c r="S912" s="302"/>
      <c r="T912" s="302"/>
      <c r="U912" s="302"/>
      <c r="V912" s="302"/>
      <c r="W912" s="302"/>
      <c r="X912" s="302"/>
      <c r="Y912" s="302"/>
      <c r="Z912" s="302"/>
    </row>
    <row r="913" spans="1:26" ht="15.55">
      <c r="A913" s="302"/>
      <c r="B913" s="302"/>
      <c r="C913" s="302"/>
      <c r="D913" s="302"/>
      <c r="E913" s="302"/>
      <c r="F913" s="302"/>
      <c r="G913" s="302"/>
      <c r="H913" s="302"/>
      <c r="I913" s="302"/>
      <c r="J913" s="302"/>
      <c r="K913" s="302"/>
      <c r="L913" s="302"/>
      <c r="M913" s="302"/>
      <c r="N913" s="302"/>
      <c r="O913" s="302"/>
      <c r="P913" s="302"/>
      <c r="Q913" s="302"/>
      <c r="R913" s="302"/>
      <c r="S913" s="302"/>
      <c r="T913" s="302"/>
      <c r="U913" s="302"/>
      <c r="V913" s="302"/>
      <c r="W913" s="302"/>
      <c r="X913" s="302"/>
      <c r="Y913" s="302"/>
      <c r="Z913" s="302"/>
    </row>
    <row r="914" spans="1:26" ht="15.55">
      <c r="A914" s="302"/>
      <c r="B914" s="302"/>
      <c r="C914" s="302"/>
      <c r="D914" s="302"/>
      <c r="E914" s="302"/>
      <c r="F914" s="302"/>
      <c r="G914" s="302"/>
      <c r="H914" s="302"/>
      <c r="I914" s="302"/>
      <c r="J914" s="302"/>
      <c r="K914" s="302"/>
      <c r="L914" s="302"/>
      <c r="M914" s="302"/>
      <c r="N914" s="302"/>
      <c r="O914" s="302"/>
      <c r="P914" s="302"/>
      <c r="Q914" s="302"/>
      <c r="R914" s="302"/>
      <c r="S914" s="302"/>
      <c r="T914" s="302"/>
      <c r="U914" s="302"/>
      <c r="V914" s="302"/>
      <c r="W914" s="302"/>
      <c r="X914" s="302"/>
      <c r="Y914" s="302"/>
      <c r="Z914" s="302"/>
    </row>
    <row r="915" spans="1:26" ht="15.55">
      <c r="A915" s="302"/>
      <c r="B915" s="302"/>
      <c r="C915" s="302"/>
      <c r="D915" s="302"/>
      <c r="E915" s="302"/>
      <c r="F915" s="302"/>
      <c r="G915" s="302"/>
      <c r="H915" s="302"/>
      <c r="I915" s="302"/>
      <c r="J915" s="302"/>
      <c r="K915" s="302"/>
      <c r="L915" s="302"/>
      <c r="M915" s="302"/>
      <c r="N915" s="302"/>
      <c r="O915" s="302"/>
      <c r="P915" s="302"/>
      <c r="Q915" s="302"/>
      <c r="R915" s="302"/>
      <c r="S915" s="302"/>
      <c r="T915" s="302"/>
      <c r="U915" s="302"/>
      <c r="V915" s="302"/>
      <c r="W915" s="302"/>
      <c r="X915" s="302"/>
      <c r="Y915" s="302"/>
      <c r="Z915" s="302"/>
    </row>
    <row r="916" spans="1:26" ht="15.55">
      <c r="A916" s="302"/>
      <c r="B916" s="302"/>
      <c r="C916" s="302"/>
      <c r="D916" s="302"/>
      <c r="E916" s="302"/>
      <c r="F916" s="302"/>
      <c r="G916" s="302"/>
      <c r="H916" s="302"/>
      <c r="I916" s="302"/>
      <c r="J916" s="302"/>
      <c r="K916" s="302"/>
      <c r="L916" s="302"/>
      <c r="M916" s="302"/>
      <c r="N916" s="302"/>
      <c r="O916" s="302"/>
      <c r="P916" s="302"/>
      <c r="Q916" s="302"/>
      <c r="R916" s="302"/>
      <c r="S916" s="302"/>
      <c r="T916" s="302"/>
      <c r="U916" s="302"/>
      <c r="V916" s="302"/>
      <c r="W916" s="302"/>
      <c r="X916" s="302"/>
      <c r="Y916" s="302"/>
      <c r="Z916" s="302"/>
    </row>
    <row r="917" spans="1:26" ht="15.55">
      <c r="A917" s="302"/>
      <c r="B917" s="302"/>
      <c r="C917" s="302"/>
      <c r="D917" s="302"/>
      <c r="E917" s="302"/>
      <c r="F917" s="302"/>
      <c r="G917" s="302"/>
      <c r="H917" s="302"/>
      <c r="I917" s="302"/>
      <c r="J917" s="302"/>
      <c r="K917" s="302"/>
      <c r="L917" s="302"/>
      <c r="M917" s="302"/>
      <c r="N917" s="302"/>
      <c r="O917" s="302"/>
      <c r="P917" s="302"/>
      <c r="Q917" s="302"/>
      <c r="R917" s="302"/>
      <c r="S917" s="302"/>
      <c r="T917" s="302"/>
      <c r="U917" s="302"/>
      <c r="V917" s="302"/>
      <c r="W917" s="302"/>
      <c r="X917" s="302"/>
      <c r="Y917" s="302"/>
      <c r="Z917" s="302"/>
    </row>
    <row r="918" spans="1:26" ht="15.55">
      <c r="A918" s="302"/>
      <c r="B918" s="302"/>
      <c r="C918" s="302"/>
      <c r="D918" s="302"/>
      <c r="E918" s="302"/>
      <c r="F918" s="302"/>
      <c r="G918" s="302"/>
      <c r="H918" s="302"/>
      <c r="I918" s="302"/>
      <c r="J918" s="302"/>
      <c r="K918" s="302"/>
      <c r="L918" s="302"/>
      <c r="M918" s="302"/>
      <c r="N918" s="302"/>
      <c r="O918" s="302"/>
      <c r="P918" s="302"/>
      <c r="Q918" s="302"/>
      <c r="R918" s="302"/>
      <c r="S918" s="302"/>
      <c r="T918" s="302"/>
      <c r="U918" s="302"/>
      <c r="V918" s="302"/>
      <c r="W918" s="302"/>
      <c r="X918" s="302"/>
      <c r="Y918" s="302"/>
      <c r="Z918" s="302"/>
    </row>
    <row r="919" spans="1:26" ht="15.55">
      <c r="A919" s="302"/>
      <c r="B919" s="302"/>
      <c r="C919" s="302"/>
      <c r="D919" s="302"/>
      <c r="E919" s="302"/>
      <c r="F919" s="302"/>
      <c r="G919" s="302"/>
      <c r="H919" s="302"/>
      <c r="I919" s="302"/>
      <c r="J919" s="302"/>
      <c r="K919" s="302"/>
      <c r="L919" s="302"/>
      <c r="M919" s="302"/>
      <c r="N919" s="302"/>
      <c r="O919" s="302"/>
      <c r="P919" s="302"/>
      <c r="Q919" s="302"/>
      <c r="R919" s="302"/>
      <c r="S919" s="302"/>
      <c r="T919" s="302"/>
      <c r="U919" s="302"/>
      <c r="V919" s="302"/>
      <c r="W919" s="302"/>
      <c r="X919" s="302"/>
      <c r="Y919" s="302"/>
      <c r="Z919" s="302"/>
    </row>
    <row r="920" spans="1:26" ht="15.55">
      <c r="A920" s="302"/>
      <c r="B920" s="302"/>
      <c r="C920" s="302"/>
      <c r="D920" s="302"/>
      <c r="E920" s="302"/>
      <c r="F920" s="302"/>
      <c r="G920" s="302"/>
      <c r="H920" s="302"/>
      <c r="I920" s="302"/>
      <c r="J920" s="302"/>
      <c r="K920" s="302"/>
      <c r="L920" s="302"/>
      <c r="M920" s="302"/>
      <c r="N920" s="302"/>
      <c r="O920" s="302"/>
      <c r="P920" s="302"/>
      <c r="Q920" s="302"/>
      <c r="R920" s="302"/>
      <c r="S920" s="302"/>
      <c r="T920" s="302"/>
      <c r="U920" s="302"/>
      <c r="V920" s="302"/>
      <c r="W920" s="302"/>
      <c r="X920" s="302"/>
      <c r="Y920" s="302"/>
      <c r="Z920" s="302"/>
    </row>
    <row r="921" spans="1:26" ht="15.55">
      <c r="A921" s="302"/>
      <c r="B921" s="302"/>
      <c r="C921" s="302"/>
      <c r="D921" s="302"/>
      <c r="E921" s="302"/>
      <c r="F921" s="302"/>
      <c r="G921" s="302"/>
      <c r="H921" s="302"/>
      <c r="I921" s="302"/>
      <c r="J921" s="302"/>
      <c r="K921" s="302"/>
      <c r="L921" s="302"/>
      <c r="M921" s="302"/>
      <c r="N921" s="302"/>
      <c r="O921" s="302"/>
      <c r="P921" s="302"/>
      <c r="Q921" s="302"/>
      <c r="R921" s="302"/>
      <c r="S921" s="302"/>
      <c r="T921" s="302"/>
      <c r="U921" s="302"/>
      <c r="V921" s="302"/>
      <c r="W921" s="302"/>
      <c r="X921" s="302"/>
      <c r="Y921" s="302"/>
      <c r="Z921" s="302"/>
    </row>
    <row r="922" spans="1:26" ht="15.55">
      <c r="A922" s="302"/>
      <c r="B922" s="302"/>
      <c r="C922" s="302"/>
      <c r="D922" s="302"/>
      <c r="E922" s="302"/>
      <c r="F922" s="302"/>
      <c r="G922" s="302"/>
      <c r="H922" s="302"/>
      <c r="I922" s="302"/>
      <c r="J922" s="302"/>
      <c r="K922" s="302"/>
      <c r="L922" s="302"/>
      <c r="M922" s="302"/>
      <c r="N922" s="302"/>
      <c r="O922" s="302"/>
      <c r="P922" s="302"/>
      <c r="Q922" s="302"/>
      <c r="R922" s="302"/>
      <c r="S922" s="302"/>
      <c r="T922" s="302"/>
      <c r="U922" s="302"/>
      <c r="V922" s="302"/>
      <c r="W922" s="302"/>
      <c r="X922" s="302"/>
      <c r="Y922" s="302"/>
      <c r="Z922" s="302"/>
    </row>
    <row r="923" spans="1:26" ht="15.55">
      <c r="A923" s="302"/>
      <c r="B923" s="302"/>
      <c r="C923" s="302"/>
      <c r="D923" s="302"/>
      <c r="E923" s="302"/>
      <c r="F923" s="302"/>
      <c r="G923" s="302"/>
      <c r="H923" s="302"/>
      <c r="I923" s="302"/>
      <c r="J923" s="302"/>
      <c r="K923" s="302"/>
      <c r="L923" s="302"/>
      <c r="M923" s="302"/>
      <c r="N923" s="302"/>
      <c r="O923" s="302"/>
      <c r="P923" s="302"/>
      <c r="Q923" s="302"/>
      <c r="R923" s="302"/>
      <c r="S923" s="302"/>
      <c r="T923" s="302"/>
      <c r="U923" s="302"/>
      <c r="V923" s="302"/>
      <c r="W923" s="302"/>
      <c r="X923" s="302"/>
      <c r="Y923" s="302"/>
      <c r="Z923" s="302"/>
    </row>
    <row r="924" spans="1:26" ht="15.55">
      <c r="A924" s="302"/>
      <c r="B924" s="302"/>
      <c r="C924" s="302"/>
      <c r="D924" s="302"/>
      <c r="E924" s="302"/>
      <c r="F924" s="302"/>
      <c r="G924" s="302"/>
      <c r="H924" s="302"/>
      <c r="I924" s="302"/>
      <c r="J924" s="302"/>
      <c r="K924" s="302"/>
      <c r="L924" s="302"/>
      <c r="M924" s="302"/>
      <c r="N924" s="302"/>
      <c r="O924" s="302"/>
      <c r="P924" s="302"/>
      <c r="Q924" s="302"/>
      <c r="R924" s="302"/>
      <c r="S924" s="302"/>
      <c r="T924" s="302"/>
      <c r="U924" s="302"/>
      <c r="V924" s="302"/>
      <c r="W924" s="302"/>
      <c r="X924" s="302"/>
      <c r="Y924" s="302"/>
      <c r="Z924" s="302"/>
    </row>
    <row r="925" spans="1:26" ht="15.55">
      <c r="A925" s="302"/>
      <c r="B925" s="302"/>
      <c r="C925" s="302"/>
      <c r="D925" s="302"/>
      <c r="E925" s="302"/>
      <c r="F925" s="302"/>
      <c r="G925" s="302"/>
      <c r="H925" s="302"/>
      <c r="I925" s="302"/>
      <c r="J925" s="302"/>
      <c r="K925" s="302"/>
      <c r="L925" s="302"/>
      <c r="M925" s="302"/>
      <c r="N925" s="302"/>
      <c r="O925" s="302"/>
      <c r="P925" s="302"/>
      <c r="Q925" s="302"/>
      <c r="R925" s="302"/>
      <c r="S925" s="302"/>
      <c r="T925" s="302"/>
      <c r="U925" s="302"/>
      <c r="V925" s="302"/>
      <c r="W925" s="302"/>
      <c r="X925" s="302"/>
      <c r="Y925" s="302"/>
      <c r="Z925" s="302"/>
    </row>
    <row r="926" spans="1:26" ht="15.55">
      <c r="A926" s="302"/>
      <c r="B926" s="302"/>
      <c r="C926" s="302"/>
      <c r="D926" s="302"/>
      <c r="E926" s="302"/>
      <c r="F926" s="302"/>
      <c r="G926" s="302"/>
      <c r="H926" s="302"/>
      <c r="I926" s="302"/>
      <c r="J926" s="302"/>
      <c r="K926" s="302"/>
      <c r="L926" s="302"/>
      <c r="M926" s="302"/>
      <c r="N926" s="302"/>
      <c r="O926" s="302"/>
      <c r="P926" s="302"/>
      <c r="Q926" s="302"/>
      <c r="R926" s="302"/>
      <c r="S926" s="302"/>
      <c r="T926" s="302"/>
      <c r="U926" s="302"/>
      <c r="V926" s="302"/>
      <c r="W926" s="302"/>
      <c r="X926" s="302"/>
      <c r="Y926" s="302"/>
      <c r="Z926" s="302"/>
    </row>
    <row r="927" spans="1:26" ht="15.55">
      <c r="A927" s="302"/>
      <c r="B927" s="302"/>
      <c r="C927" s="302"/>
      <c r="D927" s="302"/>
      <c r="E927" s="302"/>
      <c r="F927" s="302"/>
      <c r="G927" s="302"/>
      <c r="H927" s="302"/>
      <c r="I927" s="302"/>
      <c r="J927" s="302"/>
      <c r="K927" s="302"/>
      <c r="L927" s="302"/>
      <c r="M927" s="302"/>
      <c r="N927" s="302"/>
      <c r="O927" s="302"/>
      <c r="P927" s="302"/>
      <c r="Q927" s="302"/>
      <c r="R927" s="302"/>
      <c r="S927" s="302"/>
      <c r="T927" s="302"/>
      <c r="U927" s="302"/>
      <c r="V927" s="302"/>
      <c r="W927" s="302"/>
      <c r="X927" s="302"/>
      <c r="Y927" s="302"/>
      <c r="Z927" s="302"/>
    </row>
    <row r="928" spans="1:26" ht="15.55">
      <c r="A928" s="302"/>
      <c r="B928" s="302"/>
      <c r="C928" s="302"/>
      <c r="D928" s="302"/>
      <c r="E928" s="302"/>
      <c r="F928" s="302"/>
      <c r="G928" s="302"/>
      <c r="H928" s="302"/>
      <c r="I928" s="302"/>
      <c r="J928" s="302"/>
      <c r="K928" s="302"/>
      <c r="L928" s="302"/>
      <c r="M928" s="302"/>
      <c r="N928" s="302"/>
      <c r="O928" s="302"/>
      <c r="P928" s="302"/>
      <c r="Q928" s="302"/>
      <c r="R928" s="302"/>
      <c r="S928" s="302"/>
      <c r="T928" s="302"/>
      <c r="U928" s="302"/>
      <c r="V928" s="302"/>
      <c r="W928" s="302"/>
      <c r="X928" s="302"/>
      <c r="Y928" s="302"/>
      <c r="Z928" s="302"/>
    </row>
    <row r="929" spans="1:26" ht="15.55">
      <c r="A929" s="302"/>
      <c r="B929" s="302"/>
      <c r="C929" s="302"/>
      <c r="D929" s="302"/>
      <c r="E929" s="302"/>
      <c r="F929" s="302"/>
      <c r="G929" s="302"/>
      <c r="H929" s="302"/>
      <c r="I929" s="302"/>
      <c r="J929" s="302"/>
      <c r="K929" s="302"/>
      <c r="L929" s="302"/>
      <c r="M929" s="302"/>
      <c r="N929" s="302"/>
      <c r="O929" s="302"/>
      <c r="P929" s="302"/>
      <c r="Q929" s="302"/>
      <c r="R929" s="302"/>
      <c r="S929" s="302"/>
      <c r="T929" s="302"/>
      <c r="U929" s="302"/>
      <c r="V929" s="302"/>
      <c r="W929" s="302"/>
      <c r="X929" s="302"/>
      <c r="Y929" s="302"/>
      <c r="Z929" s="302"/>
    </row>
    <row r="930" spans="1:26" ht="15.55">
      <c r="A930" s="302"/>
      <c r="B930" s="302"/>
      <c r="C930" s="302"/>
      <c r="D930" s="302"/>
      <c r="E930" s="302"/>
      <c r="F930" s="302"/>
      <c r="G930" s="302"/>
      <c r="H930" s="302"/>
      <c r="I930" s="302"/>
      <c r="J930" s="302"/>
      <c r="K930" s="302"/>
      <c r="L930" s="302"/>
      <c r="M930" s="302"/>
      <c r="N930" s="302"/>
      <c r="O930" s="302"/>
      <c r="P930" s="302"/>
      <c r="Q930" s="302"/>
      <c r="R930" s="302"/>
      <c r="S930" s="302"/>
      <c r="T930" s="302"/>
      <c r="U930" s="302"/>
      <c r="V930" s="302"/>
      <c r="W930" s="302"/>
      <c r="X930" s="302"/>
      <c r="Y930" s="302"/>
      <c r="Z930" s="302"/>
    </row>
    <row r="931" spans="1:26" ht="15.55">
      <c r="A931" s="302"/>
      <c r="B931" s="302"/>
      <c r="C931" s="302"/>
      <c r="D931" s="302"/>
      <c r="E931" s="302"/>
      <c r="F931" s="302"/>
      <c r="G931" s="302"/>
      <c r="H931" s="302"/>
      <c r="I931" s="302"/>
      <c r="J931" s="302"/>
      <c r="K931" s="302"/>
      <c r="L931" s="302"/>
      <c r="M931" s="302"/>
      <c r="N931" s="302"/>
      <c r="O931" s="302"/>
      <c r="P931" s="302"/>
      <c r="Q931" s="302"/>
      <c r="R931" s="302"/>
      <c r="S931" s="302"/>
      <c r="T931" s="302"/>
      <c r="U931" s="302"/>
      <c r="V931" s="302"/>
      <c r="W931" s="302"/>
      <c r="X931" s="302"/>
      <c r="Y931" s="302"/>
      <c r="Z931" s="302"/>
    </row>
    <row r="932" spans="1:26" ht="15.55">
      <c r="A932" s="302"/>
      <c r="B932" s="302"/>
      <c r="C932" s="302"/>
      <c r="D932" s="302"/>
      <c r="E932" s="302"/>
      <c r="F932" s="302"/>
      <c r="G932" s="302"/>
      <c r="H932" s="302"/>
      <c r="I932" s="302"/>
      <c r="J932" s="302"/>
      <c r="K932" s="302"/>
      <c r="L932" s="302"/>
      <c r="M932" s="302"/>
      <c r="N932" s="302"/>
      <c r="O932" s="302"/>
      <c r="P932" s="302"/>
      <c r="Q932" s="302"/>
      <c r="R932" s="302"/>
      <c r="S932" s="302"/>
      <c r="T932" s="302"/>
      <c r="U932" s="302"/>
      <c r="V932" s="302"/>
      <c r="W932" s="302"/>
      <c r="X932" s="302"/>
      <c r="Y932" s="302"/>
      <c r="Z932" s="302"/>
    </row>
    <row r="933" spans="1:26" ht="15.55">
      <c r="A933" s="302"/>
      <c r="B933" s="302"/>
      <c r="C933" s="302"/>
      <c r="D933" s="302"/>
      <c r="E933" s="302"/>
      <c r="F933" s="302"/>
      <c r="G933" s="302"/>
      <c r="H933" s="302"/>
      <c r="I933" s="302"/>
      <c r="J933" s="302"/>
      <c r="K933" s="302"/>
      <c r="L933" s="302"/>
      <c r="M933" s="302"/>
      <c r="N933" s="302"/>
      <c r="O933" s="302"/>
      <c r="P933" s="302"/>
      <c r="Q933" s="302"/>
      <c r="R933" s="302"/>
      <c r="S933" s="302"/>
      <c r="T933" s="302"/>
      <c r="U933" s="302"/>
      <c r="V933" s="302"/>
      <c r="W933" s="302"/>
      <c r="X933" s="302"/>
      <c r="Y933" s="302"/>
      <c r="Z933" s="302"/>
    </row>
    <row r="934" spans="1:26" ht="15.55">
      <c r="A934" s="302"/>
      <c r="B934" s="302"/>
      <c r="C934" s="302"/>
      <c r="D934" s="302"/>
      <c r="E934" s="302"/>
      <c r="F934" s="302"/>
      <c r="G934" s="302"/>
      <c r="H934" s="302"/>
      <c r="I934" s="302"/>
      <c r="J934" s="302"/>
      <c r="K934" s="302"/>
      <c r="L934" s="302"/>
      <c r="M934" s="302"/>
      <c r="N934" s="302"/>
      <c r="O934" s="302"/>
      <c r="P934" s="302"/>
      <c r="Q934" s="302"/>
      <c r="R934" s="302"/>
      <c r="S934" s="302"/>
      <c r="T934" s="302"/>
      <c r="U934" s="302"/>
      <c r="V934" s="302"/>
      <c r="W934" s="302"/>
      <c r="X934" s="302"/>
      <c r="Y934" s="302"/>
      <c r="Z934" s="302"/>
    </row>
    <row r="935" spans="1:26" ht="15.55">
      <c r="A935" s="302"/>
      <c r="B935" s="302"/>
      <c r="C935" s="302"/>
      <c r="D935" s="302"/>
      <c r="E935" s="302"/>
      <c r="F935" s="302"/>
      <c r="G935" s="302"/>
      <c r="H935" s="302"/>
      <c r="I935" s="302"/>
      <c r="J935" s="302"/>
      <c r="K935" s="302"/>
      <c r="L935" s="302"/>
      <c r="M935" s="302"/>
      <c r="N935" s="302"/>
      <c r="O935" s="302"/>
      <c r="P935" s="302"/>
      <c r="Q935" s="302"/>
      <c r="R935" s="302"/>
      <c r="S935" s="302"/>
      <c r="T935" s="302"/>
      <c r="U935" s="302"/>
      <c r="V935" s="302"/>
      <c r="W935" s="302"/>
      <c r="X935" s="302"/>
      <c r="Y935" s="302"/>
      <c r="Z935" s="302"/>
    </row>
    <row r="936" spans="1:26" ht="15.55">
      <c r="A936" s="302"/>
      <c r="B936" s="302"/>
      <c r="C936" s="302"/>
      <c r="D936" s="302"/>
      <c r="E936" s="302"/>
      <c r="F936" s="302"/>
      <c r="G936" s="302"/>
      <c r="H936" s="302"/>
      <c r="I936" s="302"/>
      <c r="J936" s="302"/>
      <c r="K936" s="302"/>
      <c r="L936" s="302"/>
      <c r="M936" s="302"/>
      <c r="N936" s="302"/>
      <c r="O936" s="302"/>
      <c r="P936" s="302"/>
      <c r="Q936" s="302"/>
      <c r="R936" s="302"/>
      <c r="S936" s="302"/>
      <c r="T936" s="302"/>
      <c r="U936" s="302"/>
      <c r="V936" s="302"/>
      <c r="W936" s="302"/>
      <c r="X936" s="302"/>
      <c r="Y936" s="302"/>
      <c r="Z936" s="302"/>
    </row>
    <row r="937" spans="1:26" ht="15.55">
      <c r="A937" s="302"/>
      <c r="B937" s="302"/>
      <c r="C937" s="302"/>
      <c r="D937" s="302"/>
      <c r="E937" s="302"/>
      <c r="F937" s="302"/>
      <c r="G937" s="302"/>
      <c r="H937" s="302"/>
      <c r="I937" s="302"/>
      <c r="J937" s="302"/>
      <c r="K937" s="302"/>
      <c r="L937" s="302"/>
      <c r="M937" s="302"/>
      <c r="N937" s="302"/>
      <c r="O937" s="302"/>
      <c r="P937" s="302"/>
      <c r="Q937" s="302"/>
      <c r="R937" s="302"/>
      <c r="S937" s="302"/>
      <c r="T937" s="302"/>
      <c r="U937" s="302"/>
      <c r="V937" s="302"/>
      <c r="W937" s="302"/>
      <c r="X937" s="302"/>
      <c r="Y937" s="302"/>
      <c r="Z937" s="302"/>
    </row>
    <row r="938" spans="1:26" ht="15.55">
      <c r="A938" s="302"/>
      <c r="B938" s="302"/>
      <c r="C938" s="302"/>
      <c r="D938" s="302"/>
      <c r="E938" s="302"/>
      <c r="F938" s="302"/>
      <c r="G938" s="302"/>
      <c r="H938" s="302"/>
      <c r="I938" s="302"/>
      <c r="J938" s="302"/>
      <c r="K938" s="302"/>
      <c r="L938" s="302"/>
      <c r="M938" s="302"/>
      <c r="N938" s="302"/>
      <c r="O938" s="302"/>
      <c r="P938" s="302"/>
      <c r="Q938" s="302"/>
      <c r="R938" s="302"/>
      <c r="S938" s="302"/>
      <c r="T938" s="302"/>
      <c r="U938" s="302"/>
      <c r="V938" s="302"/>
      <c r="W938" s="302"/>
      <c r="X938" s="302"/>
      <c r="Y938" s="302"/>
      <c r="Z938" s="302"/>
    </row>
    <row r="939" spans="1:26" ht="15.55">
      <c r="A939" s="302"/>
      <c r="B939" s="302"/>
      <c r="C939" s="302"/>
      <c r="D939" s="302"/>
      <c r="E939" s="302"/>
      <c r="F939" s="302"/>
      <c r="G939" s="302"/>
      <c r="H939" s="302"/>
      <c r="I939" s="302"/>
      <c r="J939" s="302"/>
      <c r="K939" s="302"/>
      <c r="L939" s="302"/>
      <c r="M939" s="302"/>
      <c r="N939" s="302"/>
      <c r="O939" s="302"/>
      <c r="P939" s="302"/>
      <c r="Q939" s="302"/>
      <c r="R939" s="302"/>
      <c r="S939" s="302"/>
      <c r="T939" s="302"/>
      <c r="U939" s="302"/>
      <c r="V939" s="302"/>
      <c r="W939" s="302"/>
      <c r="X939" s="302"/>
      <c r="Y939" s="302"/>
      <c r="Z939" s="302"/>
    </row>
    <row r="940" spans="1:26" ht="15.55">
      <c r="A940" s="302"/>
      <c r="B940" s="302"/>
      <c r="C940" s="302"/>
      <c r="D940" s="302"/>
      <c r="E940" s="302"/>
      <c r="F940" s="302"/>
      <c r="G940" s="302"/>
      <c r="H940" s="302"/>
      <c r="I940" s="302"/>
      <c r="J940" s="302"/>
      <c r="K940" s="302"/>
      <c r="L940" s="302"/>
      <c r="M940" s="302"/>
      <c r="N940" s="302"/>
      <c r="O940" s="302"/>
      <c r="P940" s="302"/>
      <c r="Q940" s="302"/>
      <c r="R940" s="302"/>
      <c r="S940" s="302"/>
      <c r="T940" s="302"/>
      <c r="U940" s="302"/>
      <c r="V940" s="302"/>
      <c r="W940" s="302"/>
      <c r="X940" s="302"/>
      <c r="Y940" s="302"/>
      <c r="Z940" s="302"/>
    </row>
    <row r="941" spans="1:26" ht="15.55">
      <c r="A941" s="302"/>
      <c r="B941" s="302"/>
      <c r="C941" s="302"/>
      <c r="D941" s="302"/>
      <c r="E941" s="302"/>
      <c r="F941" s="302"/>
      <c r="G941" s="302"/>
      <c r="H941" s="302"/>
      <c r="I941" s="302"/>
      <c r="J941" s="302"/>
      <c r="K941" s="302"/>
      <c r="L941" s="302"/>
      <c r="M941" s="302"/>
      <c r="N941" s="302"/>
      <c r="O941" s="302"/>
      <c r="P941" s="302"/>
      <c r="Q941" s="302"/>
      <c r="R941" s="302"/>
      <c r="S941" s="302"/>
      <c r="T941" s="302"/>
      <c r="U941" s="302"/>
      <c r="V941" s="302"/>
      <c r="W941" s="302"/>
      <c r="X941" s="302"/>
      <c r="Y941" s="302"/>
      <c r="Z941" s="302"/>
    </row>
    <row r="942" spans="1:26" ht="15.55">
      <c r="A942" s="302"/>
      <c r="B942" s="302"/>
      <c r="C942" s="302"/>
      <c r="D942" s="302"/>
      <c r="E942" s="302"/>
      <c r="F942" s="302"/>
      <c r="G942" s="302"/>
      <c r="H942" s="302"/>
      <c r="I942" s="302"/>
      <c r="J942" s="302"/>
      <c r="K942" s="302"/>
      <c r="L942" s="302"/>
      <c r="M942" s="302"/>
      <c r="N942" s="302"/>
      <c r="O942" s="302"/>
      <c r="P942" s="302"/>
      <c r="Q942" s="302"/>
      <c r="R942" s="302"/>
      <c r="S942" s="302"/>
      <c r="T942" s="302"/>
      <c r="U942" s="302"/>
      <c r="V942" s="302"/>
      <c r="W942" s="302"/>
      <c r="X942" s="302"/>
      <c r="Y942" s="302"/>
      <c r="Z942" s="302"/>
    </row>
    <row r="943" spans="1:26" ht="15.55">
      <c r="A943" s="302"/>
      <c r="B943" s="302"/>
      <c r="C943" s="302"/>
      <c r="D943" s="302"/>
      <c r="E943" s="302"/>
      <c r="F943" s="302"/>
      <c r="G943" s="302"/>
      <c r="H943" s="302"/>
      <c r="I943" s="302"/>
      <c r="J943" s="302"/>
      <c r="K943" s="302"/>
      <c r="L943" s="302"/>
      <c r="M943" s="302"/>
      <c r="N943" s="302"/>
      <c r="O943" s="302"/>
      <c r="P943" s="302"/>
      <c r="Q943" s="302"/>
      <c r="R943" s="302"/>
      <c r="S943" s="302"/>
      <c r="T943" s="302"/>
      <c r="U943" s="302"/>
      <c r="V943" s="302"/>
      <c r="W943" s="302"/>
      <c r="X943" s="302"/>
      <c r="Y943" s="302"/>
      <c r="Z943" s="302"/>
    </row>
    <row r="944" spans="1:26" ht="15.55">
      <c r="A944" s="302"/>
      <c r="B944" s="302"/>
      <c r="C944" s="302"/>
      <c r="D944" s="302"/>
      <c r="E944" s="302"/>
      <c r="F944" s="302"/>
      <c r="G944" s="302"/>
      <c r="H944" s="302"/>
      <c r="I944" s="302"/>
      <c r="J944" s="302"/>
      <c r="K944" s="302"/>
      <c r="L944" s="302"/>
      <c r="M944" s="302"/>
      <c r="N944" s="302"/>
      <c r="O944" s="302"/>
      <c r="P944" s="302"/>
      <c r="Q944" s="302"/>
      <c r="R944" s="302"/>
      <c r="S944" s="302"/>
      <c r="T944" s="302"/>
      <c r="U944" s="302"/>
      <c r="V944" s="302"/>
      <c r="W944" s="302"/>
      <c r="X944" s="302"/>
      <c r="Y944" s="302"/>
      <c r="Z944" s="302"/>
    </row>
    <row r="945" spans="1:26" ht="15.55">
      <c r="A945" s="302"/>
      <c r="B945" s="302"/>
      <c r="C945" s="302"/>
      <c r="D945" s="302"/>
      <c r="E945" s="302"/>
      <c r="F945" s="302"/>
      <c r="G945" s="302"/>
      <c r="H945" s="302"/>
      <c r="I945" s="302"/>
      <c r="J945" s="302"/>
      <c r="K945" s="302"/>
      <c r="L945" s="302"/>
      <c r="M945" s="302"/>
      <c r="N945" s="302"/>
      <c r="O945" s="302"/>
      <c r="P945" s="302"/>
      <c r="Q945" s="302"/>
      <c r="R945" s="302"/>
      <c r="S945" s="302"/>
      <c r="T945" s="302"/>
      <c r="U945" s="302"/>
      <c r="V945" s="302"/>
      <c r="W945" s="302"/>
      <c r="X945" s="302"/>
      <c r="Y945" s="302"/>
      <c r="Z945" s="302"/>
    </row>
    <row r="946" spans="1:26" ht="15.55">
      <c r="A946" s="302"/>
      <c r="B946" s="302"/>
      <c r="C946" s="302"/>
      <c r="D946" s="302"/>
      <c r="E946" s="302"/>
      <c r="F946" s="302"/>
      <c r="G946" s="302"/>
      <c r="H946" s="302"/>
      <c r="I946" s="302"/>
      <c r="J946" s="302"/>
      <c r="K946" s="302"/>
      <c r="L946" s="302"/>
      <c r="M946" s="302"/>
      <c r="N946" s="302"/>
      <c r="O946" s="302"/>
      <c r="P946" s="302"/>
      <c r="Q946" s="302"/>
      <c r="R946" s="302"/>
      <c r="S946" s="302"/>
      <c r="T946" s="302"/>
      <c r="U946" s="302"/>
      <c r="V946" s="302"/>
      <c r="W946" s="302"/>
      <c r="X946" s="302"/>
      <c r="Y946" s="302"/>
      <c r="Z946" s="302"/>
    </row>
    <row r="947" spans="1:26" ht="15.55">
      <c r="A947" s="302"/>
      <c r="B947" s="302"/>
      <c r="C947" s="302"/>
      <c r="D947" s="302"/>
      <c r="E947" s="302"/>
      <c r="F947" s="302"/>
      <c r="G947" s="302"/>
      <c r="H947" s="302"/>
      <c r="I947" s="302"/>
      <c r="J947" s="302"/>
      <c r="K947" s="302"/>
      <c r="L947" s="302"/>
      <c r="M947" s="302"/>
      <c r="N947" s="302"/>
      <c r="O947" s="302"/>
      <c r="P947" s="302"/>
      <c r="Q947" s="302"/>
      <c r="R947" s="302"/>
      <c r="S947" s="302"/>
      <c r="T947" s="302"/>
      <c r="U947" s="302"/>
      <c r="V947" s="302"/>
      <c r="W947" s="302"/>
      <c r="X947" s="302"/>
      <c r="Y947" s="302"/>
      <c r="Z947" s="302"/>
    </row>
    <row r="948" spans="1:26" ht="15.55">
      <c r="A948" s="302"/>
      <c r="B948" s="302"/>
      <c r="C948" s="302"/>
      <c r="D948" s="302"/>
      <c r="E948" s="302"/>
      <c r="F948" s="302"/>
      <c r="G948" s="302"/>
      <c r="H948" s="302"/>
      <c r="I948" s="302"/>
      <c r="J948" s="302"/>
      <c r="K948" s="302"/>
      <c r="L948" s="302"/>
      <c r="M948" s="302"/>
      <c r="N948" s="302"/>
      <c r="O948" s="302"/>
      <c r="P948" s="302"/>
      <c r="Q948" s="302"/>
      <c r="R948" s="302"/>
      <c r="S948" s="302"/>
      <c r="T948" s="302"/>
      <c r="U948" s="302"/>
      <c r="V948" s="302"/>
      <c r="W948" s="302"/>
      <c r="X948" s="302"/>
      <c r="Y948" s="302"/>
      <c r="Z948" s="302"/>
    </row>
    <row r="949" spans="1:26" ht="15.55">
      <c r="A949" s="302"/>
      <c r="B949" s="302"/>
      <c r="C949" s="302"/>
      <c r="D949" s="302"/>
      <c r="E949" s="302"/>
      <c r="F949" s="302"/>
      <c r="G949" s="302"/>
      <c r="H949" s="302"/>
      <c r="I949" s="302"/>
      <c r="J949" s="302"/>
      <c r="K949" s="302"/>
      <c r="L949" s="302"/>
      <c r="M949" s="302"/>
      <c r="N949" s="302"/>
      <c r="O949" s="302"/>
      <c r="P949" s="302"/>
      <c r="Q949" s="302"/>
      <c r="R949" s="302"/>
      <c r="S949" s="302"/>
      <c r="T949" s="302"/>
      <c r="U949" s="302"/>
      <c r="V949" s="302"/>
      <c r="W949" s="302"/>
      <c r="X949" s="302"/>
      <c r="Y949" s="302"/>
      <c r="Z949" s="302"/>
    </row>
    <row r="950" spans="1:26" ht="15.55">
      <c r="A950" s="302"/>
      <c r="B950" s="302"/>
      <c r="C950" s="302"/>
      <c r="D950" s="302"/>
      <c r="E950" s="302"/>
      <c r="F950" s="302"/>
      <c r="G950" s="302"/>
      <c r="H950" s="302"/>
      <c r="I950" s="302"/>
      <c r="J950" s="302"/>
      <c r="K950" s="302"/>
      <c r="L950" s="302"/>
      <c r="M950" s="302"/>
      <c r="N950" s="302"/>
      <c r="O950" s="302"/>
      <c r="P950" s="302"/>
      <c r="Q950" s="302"/>
      <c r="R950" s="302"/>
      <c r="S950" s="302"/>
      <c r="T950" s="302"/>
      <c r="U950" s="302"/>
      <c r="V950" s="302"/>
      <c r="W950" s="302"/>
      <c r="X950" s="302"/>
      <c r="Y950" s="302"/>
      <c r="Z950" s="302"/>
    </row>
    <row r="951" spans="1:26" ht="15.55">
      <c r="A951" s="302"/>
      <c r="B951" s="302"/>
      <c r="C951" s="302"/>
      <c r="D951" s="302"/>
      <c r="E951" s="302"/>
      <c r="F951" s="302"/>
      <c r="G951" s="302"/>
      <c r="H951" s="302"/>
      <c r="I951" s="302"/>
      <c r="J951" s="302"/>
      <c r="K951" s="302"/>
      <c r="L951" s="302"/>
      <c r="M951" s="302"/>
      <c r="N951" s="302"/>
      <c r="O951" s="302"/>
      <c r="P951" s="302"/>
      <c r="Q951" s="302"/>
      <c r="R951" s="302"/>
      <c r="S951" s="302"/>
      <c r="T951" s="302"/>
      <c r="U951" s="302"/>
      <c r="V951" s="302"/>
      <c r="W951" s="302"/>
      <c r="X951" s="302"/>
      <c r="Y951" s="302"/>
      <c r="Z951" s="302"/>
    </row>
    <row r="952" spans="1:26" ht="15.55">
      <c r="A952" s="302"/>
      <c r="B952" s="302"/>
      <c r="C952" s="302"/>
      <c r="D952" s="302"/>
      <c r="E952" s="302"/>
      <c r="F952" s="302"/>
      <c r="G952" s="302"/>
      <c r="H952" s="302"/>
      <c r="I952" s="302"/>
      <c r="J952" s="302"/>
      <c r="K952" s="302"/>
      <c r="L952" s="302"/>
      <c r="M952" s="302"/>
      <c r="N952" s="302"/>
      <c r="O952" s="302"/>
      <c r="P952" s="302"/>
      <c r="Q952" s="302"/>
      <c r="R952" s="302"/>
      <c r="S952" s="302"/>
      <c r="T952" s="302"/>
      <c r="U952" s="302"/>
      <c r="V952" s="302"/>
      <c r="W952" s="302"/>
      <c r="X952" s="302"/>
      <c r="Y952" s="302"/>
      <c r="Z952" s="302"/>
    </row>
    <row r="953" spans="1:26" ht="15.55">
      <c r="A953" s="302"/>
      <c r="B953" s="302"/>
      <c r="C953" s="302"/>
      <c r="D953" s="302"/>
      <c r="E953" s="302"/>
      <c r="F953" s="302"/>
      <c r="G953" s="302"/>
      <c r="H953" s="302"/>
      <c r="I953" s="302"/>
      <c r="J953" s="302"/>
      <c r="K953" s="302"/>
      <c r="L953" s="302"/>
      <c r="M953" s="302"/>
      <c r="N953" s="302"/>
      <c r="O953" s="302"/>
      <c r="P953" s="302"/>
      <c r="Q953" s="302"/>
      <c r="R953" s="302"/>
      <c r="S953" s="302"/>
      <c r="T953" s="302"/>
      <c r="U953" s="302"/>
      <c r="V953" s="302"/>
      <c r="W953" s="302"/>
      <c r="X953" s="302"/>
      <c r="Y953" s="302"/>
      <c r="Z953" s="302"/>
    </row>
    <row r="954" spans="1:26" ht="15.55">
      <c r="A954" s="302"/>
      <c r="B954" s="302"/>
      <c r="C954" s="302"/>
      <c r="D954" s="302"/>
      <c r="E954" s="302"/>
      <c r="F954" s="302"/>
      <c r="G954" s="302"/>
      <c r="H954" s="302"/>
      <c r="I954" s="302"/>
      <c r="J954" s="302"/>
      <c r="K954" s="302"/>
      <c r="L954" s="302"/>
      <c r="M954" s="302"/>
      <c r="N954" s="302"/>
      <c r="O954" s="302"/>
      <c r="P954" s="302"/>
      <c r="Q954" s="302"/>
      <c r="R954" s="302"/>
      <c r="S954" s="302"/>
      <c r="T954" s="302"/>
      <c r="U954" s="302"/>
      <c r="V954" s="302"/>
      <c r="W954" s="302"/>
      <c r="X954" s="302"/>
      <c r="Y954" s="302"/>
      <c r="Z954" s="302"/>
    </row>
    <row r="955" spans="1:26" ht="15.55">
      <c r="A955" s="302"/>
      <c r="B955" s="302"/>
      <c r="C955" s="302"/>
      <c r="D955" s="302"/>
      <c r="E955" s="302"/>
      <c r="F955" s="302"/>
      <c r="G955" s="302"/>
      <c r="H955" s="302"/>
      <c r="I955" s="302"/>
      <c r="J955" s="302"/>
      <c r="K955" s="302"/>
      <c r="L955" s="302"/>
      <c r="M955" s="302"/>
      <c r="N955" s="302"/>
      <c r="O955" s="302"/>
      <c r="P955" s="302"/>
      <c r="Q955" s="302"/>
      <c r="R955" s="302"/>
      <c r="S955" s="302"/>
      <c r="T955" s="302"/>
      <c r="U955" s="302"/>
      <c r="V955" s="302"/>
      <c r="W955" s="302"/>
      <c r="X955" s="302"/>
      <c r="Y955" s="302"/>
      <c r="Z955" s="302"/>
    </row>
    <row r="956" spans="1:26" ht="15.55">
      <c r="A956" s="302"/>
      <c r="B956" s="302"/>
      <c r="C956" s="302"/>
      <c r="D956" s="302"/>
      <c r="E956" s="302"/>
      <c r="F956" s="302"/>
      <c r="G956" s="302"/>
      <c r="H956" s="302"/>
      <c r="I956" s="302"/>
      <c r="J956" s="302"/>
      <c r="K956" s="302"/>
      <c r="L956" s="302"/>
      <c r="M956" s="302"/>
      <c r="N956" s="302"/>
      <c r="O956" s="302"/>
      <c r="P956" s="302"/>
      <c r="Q956" s="302"/>
      <c r="R956" s="302"/>
      <c r="S956" s="302"/>
      <c r="T956" s="302"/>
      <c r="U956" s="302"/>
      <c r="V956" s="302"/>
      <c r="W956" s="302"/>
      <c r="X956" s="302"/>
      <c r="Y956" s="302"/>
      <c r="Z956" s="302"/>
    </row>
    <row r="957" spans="1:26" ht="15.55">
      <c r="A957" s="302"/>
      <c r="B957" s="302"/>
      <c r="C957" s="302"/>
      <c r="D957" s="302"/>
      <c r="E957" s="302"/>
      <c r="F957" s="302"/>
      <c r="G957" s="302"/>
      <c r="H957" s="302"/>
      <c r="I957" s="302"/>
      <c r="J957" s="302"/>
      <c r="K957" s="302"/>
      <c r="L957" s="302"/>
      <c r="M957" s="302"/>
      <c r="N957" s="302"/>
      <c r="O957" s="302"/>
      <c r="P957" s="302"/>
      <c r="Q957" s="302"/>
      <c r="R957" s="302"/>
      <c r="S957" s="302"/>
      <c r="T957" s="302"/>
      <c r="U957" s="302"/>
      <c r="V957" s="302"/>
      <c r="W957" s="302"/>
      <c r="X957" s="302"/>
      <c r="Y957" s="302"/>
      <c r="Z957" s="302"/>
    </row>
    <row r="958" spans="1:26" ht="15.55">
      <c r="A958" s="302"/>
      <c r="B958" s="302"/>
      <c r="C958" s="302"/>
      <c r="D958" s="302"/>
      <c r="E958" s="302"/>
      <c r="F958" s="302"/>
      <c r="G958" s="302"/>
      <c r="H958" s="302"/>
      <c r="I958" s="302"/>
      <c r="J958" s="302"/>
      <c r="K958" s="302"/>
      <c r="L958" s="302"/>
      <c r="M958" s="302"/>
      <c r="N958" s="302"/>
      <c r="O958" s="302"/>
      <c r="P958" s="302"/>
      <c r="Q958" s="302"/>
      <c r="R958" s="302"/>
      <c r="S958" s="302"/>
      <c r="T958" s="302"/>
      <c r="U958" s="302"/>
      <c r="V958" s="302"/>
      <c r="W958" s="302"/>
      <c r="X958" s="302"/>
      <c r="Y958" s="302"/>
      <c r="Z958" s="302"/>
    </row>
    <row r="959" spans="1:26" ht="15.55">
      <c r="A959" s="302"/>
      <c r="B959" s="302"/>
      <c r="C959" s="302"/>
      <c r="D959" s="302"/>
      <c r="E959" s="302"/>
      <c r="F959" s="302"/>
      <c r="G959" s="302"/>
      <c r="H959" s="302"/>
      <c r="I959" s="302"/>
      <c r="J959" s="302"/>
      <c r="K959" s="302"/>
      <c r="L959" s="302"/>
      <c r="M959" s="302"/>
      <c r="N959" s="302"/>
      <c r="O959" s="302"/>
      <c r="P959" s="302"/>
      <c r="Q959" s="302"/>
      <c r="R959" s="302"/>
      <c r="S959" s="302"/>
      <c r="T959" s="302"/>
      <c r="U959" s="302"/>
      <c r="V959" s="302"/>
      <c r="W959" s="302"/>
      <c r="X959" s="302"/>
      <c r="Y959" s="302"/>
      <c r="Z959" s="302"/>
    </row>
    <row r="960" spans="1:26" ht="15.55">
      <c r="A960" s="302"/>
      <c r="B960" s="302"/>
      <c r="C960" s="302"/>
      <c r="D960" s="302"/>
      <c r="E960" s="302"/>
      <c r="F960" s="302"/>
      <c r="G960" s="302"/>
      <c r="H960" s="302"/>
      <c r="I960" s="302"/>
      <c r="J960" s="302"/>
      <c r="K960" s="302"/>
      <c r="L960" s="302"/>
      <c r="M960" s="302"/>
      <c r="N960" s="302"/>
      <c r="O960" s="302"/>
      <c r="P960" s="302"/>
      <c r="Q960" s="302"/>
      <c r="R960" s="302"/>
      <c r="S960" s="302"/>
      <c r="T960" s="302"/>
      <c r="U960" s="302"/>
      <c r="V960" s="302"/>
      <c r="W960" s="302"/>
      <c r="X960" s="302"/>
      <c r="Y960" s="302"/>
      <c r="Z960" s="302"/>
    </row>
    <row r="961" spans="1:26" ht="15.55">
      <c r="A961" s="302"/>
      <c r="B961" s="302"/>
      <c r="C961" s="302"/>
      <c r="D961" s="302"/>
      <c r="E961" s="302"/>
      <c r="F961" s="302"/>
      <c r="G961" s="302"/>
      <c r="H961" s="302"/>
      <c r="I961" s="302"/>
      <c r="J961" s="302"/>
      <c r="K961" s="302"/>
      <c r="L961" s="302"/>
      <c r="M961" s="302"/>
      <c r="N961" s="302"/>
      <c r="O961" s="302"/>
      <c r="P961" s="302"/>
      <c r="Q961" s="302"/>
      <c r="R961" s="302"/>
      <c r="S961" s="302"/>
      <c r="T961" s="302"/>
      <c r="U961" s="302"/>
      <c r="V961" s="302"/>
      <c r="W961" s="302"/>
      <c r="X961" s="302"/>
      <c r="Y961" s="302"/>
      <c r="Z961" s="302"/>
    </row>
    <row r="962" spans="1:26" ht="15.55">
      <c r="A962" s="302"/>
      <c r="B962" s="302"/>
      <c r="C962" s="302"/>
      <c r="D962" s="302"/>
      <c r="E962" s="302"/>
      <c r="F962" s="302"/>
      <c r="G962" s="302"/>
      <c r="H962" s="302"/>
      <c r="I962" s="302"/>
      <c r="J962" s="302"/>
      <c r="K962" s="302"/>
      <c r="L962" s="302"/>
      <c r="M962" s="302"/>
      <c r="N962" s="302"/>
      <c r="O962" s="302"/>
      <c r="P962" s="302"/>
      <c r="Q962" s="302"/>
      <c r="R962" s="302"/>
      <c r="S962" s="302"/>
      <c r="T962" s="302"/>
      <c r="U962" s="302"/>
      <c r="V962" s="302"/>
      <c r="W962" s="302"/>
      <c r="X962" s="302"/>
      <c r="Y962" s="302"/>
      <c r="Z962" s="302"/>
    </row>
    <row r="963" spans="1:26" ht="15.55">
      <c r="A963" s="302"/>
      <c r="B963" s="302"/>
      <c r="C963" s="302"/>
      <c r="D963" s="302"/>
      <c r="E963" s="302"/>
      <c r="F963" s="302"/>
      <c r="G963" s="302"/>
      <c r="H963" s="302"/>
      <c r="I963" s="302"/>
      <c r="J963" s="302"/>
      <c r="K963" s="302"/>
      <c r="L963" s="302"/>
      <c r="M963" s="302"/>
      <c r="N963" s="302"/>
      <c r="O963" s="302"/>
      <c r="P963" s="302"/>
      <c r="Q963" s="302"/>
      <c r="R963" s="302"/>
      <c r="S963" s="302"/>
      <c r="T963" s="302"/>
      <c r="U963" s="302"/>
      <c r="V963" s="302"/>
      <c r="W963" s="302"/>
      <c r="X963" s="302"/>
      <c r="Y963" s="302"/>
      <c r="Z963" s="302"/>
    </row>
    <row r="964" spans="1:26" ht="15.55">
      <c r="A964" s="302"/>
      <c r="B964" s="302"/>
      <c r="C964" s="302"/>
      <c r="D964" s="302"/>
      <c r="E964" s="302"/>
      <c r="F964" s="302"/>
      <c r="G964" s="302"/>
      <c r="H964" s="302"/>
      <c r="I964" s="302"/>
      <c r="J964" s="302"/>
      <c r="K964" s="302"/>
      <c r="L964" s="302"/>
      <c r="M964" s="302"/>
      <c r="N964" s="302"/>
      <c r="O964" s="302"/>
      <c r="P964" s="302"/>
      <c r="Q964" s="302"/>
      <c r="R964" s="302"/>
      <c r="S964" s="302"/>
      <c r="T964" s="302"/>
      <c r="U964" s="302"/>
      <c r="V964" s="302"/>
      <c r="W964" s="302"/>
      <c r="X964" s="302"/>
      <c r="Y964" s="302"/>
      <c r="Z964" s="302"/>
    </row>
    <row r="965" spans="1:26" ht="15.55">
      <c r="A965" s="302"/>
      <c r="B965" s="302"/>
      <c r="C965" s="302"/>
      <c r="D965" s="302"/>
      <c r="E965" s="302"/>
      <c r="F965" s="302"/>
      <c r="G965" s="302"/>
      <c r="H965" s="302"/>
      <c r="I965" s="302"/>
      <c r="J965" s="302"/>
      <c r="K965" s="302"/>
      <c r="L965" s="302"/>
      <c r="M965" s="302"/>
      <c r="N965" s="302"/>
      <c r="O965" s="302"/>
      <c r="P965" s="302"/>
      <c r="Q965" s="302"/>
      <c r="R965" s="302"/>
      <c r="S965" s="302"/>
      <c r="T965" s="302"/>
      <c r="U965" s="302"/>
      <c r="V965" s="302"/>
      <c r="W965" s="302"/>
      <c r="X965" s="302"/>
      <c r="Y965" s="302"/>
      <c r="Z965" s="302"/>
    </row>
    <row r="966" spans="1:26" ht="15.55">
      <c r="A966" s="302"/>
      <c r="B966" s="302"/>
      <c r="C966" s="302"/>
      <c r="D966" s="302"/>
      <c r="E966" s="302"/>
      <c r="F966" s="302"/>
      <c r="G966" s="302"/>
      <c r="H966" s="302"/>
      <c r="I966" s="302"/>
      <c r="J966" s="302"/>
      <c r="K966" s="302"/>
      <c r="L966" s="302"/>
      <c r="M966" s="302"/>
      <c r="N966" s="302"/>
      <c r="O966" s="302"/>
      <c r="P966" s="302"/>
      <c r="Q966" s="302"/>
      <c r="R966" s="302"/>
      <c r="S966" s="302"/>
      <c r="T966" s="302"/>
      <c r="U966" s="302"/>
      <c r="V966" s="302"/>
      <c r="W966" s="302"/>
      <c r="X966" s="302"/>
      <c r="Y966" s="302"/>
      <c r="Z966" s="302"/>
    </row>
    <row r="967" spans="1:26" ht="15.55">
      <c r="A967" s="302"/>
      <c r="B967" s="302"/>
      <c r="C967" s="302"/>
      <c r="D967" s="302"/>
      <c r="E967" s="302"/>
      <c r="F967" s="302"/>
      <c r="G967" s="302"/>
      <c r="H967" s="302"/>
      <c r="I967" s="302"/>
      <c r="J967" s="302"/>
      <c r="K967" s="302"/>
      <c r="L967" s="302"/>
      <c r="M967" s="302"/>
      <c r="N967" s="302"/>
      <c r="O967" s="302"/>
      <c r="P967" s="302"/>
      <c r="Q967" s="302"/>
      <c r="R967" s="302"/>
      <c r="S967" s="302"/>
      <c r="T967" s="302"/>
      <c r="U967" s="302"/>
      <c r="V967" s="302"/>
      <c r="W967" s="302"/>
      <c r="X967" s="302"/>
      <c r="Y967" s="302"/>
      <c r="Z967" s="302"/>
    </row>
    <row r="968" spans="1:26" ht="15.55">
      <c r="A968" s="302"/>
      <c r="B968" s="302"/>
      <c r="C968" s="302"/>
      <c r="D968" s="302"/>
      <c r="E968" s="302"/>
      <c r="F968" s="302"/>
      <c r="G968" s="302"/>
      <c r="H968" s="302"/>
      <c r="I968" s="302"/>
      <c r="J968" s="302"/>
      <c r="K968" s="302"/>
      <c r="L968" s="302"/>
      <c r="M968" s="302"/>
      <c r="N968" s="302"/>
      <c r="O968" s="302"/>
      <c r="P968" s="302"/>
      <c r="Q968" s="302"/>
      <c r="R968" s="302"/>
      <c r="S968" s="302"/>
      <c r="T968" s="302"/>
      <c r="U968" s="302"/>
      <c r="V968" s="302"/>
      <c r="W968" s="302"/>
      <c r="X968" s="302"/>
      <c r="Y968" s="302"/>
      <c r="Z968" s="302"/>
    </row>
    <row r="969" spans="1:26" ht="15.55">
      <c r="A969" s="302"/>
      <c r="B969" s="302"/>
      <c r="C969" s="302"/>
      <c r="D969" s="302"/>
      <c r="E969" s="302"/>
      <c r="F969" s="302"/>
      <c r="G969" s="302"/>
      <c r="H969" s="302"/>
      <c r="I969" s="302"/>
      <c r="J969" s="302"/>
      <c r="K969" s="302"/>
      <c r="L969" s="302"/>
      <c r="M969" s="302"/>
      <c r="N969" s="302"/>
      <c r="O969" s="302"/>
      <c r="P969" s="302"/>
      <c r="Q969" s="302"/>
      <c r="R969" s="302"/>
      <c r="S969" s="302"/>
      <c r="T969" s="302"/>
      <c r="U969" s="302"/>
      <c r="V969" s="302"/>
      <c r="W969" s="302"/>
      <c r="X969" s="302"/>
      <c r="Y969" s="302"/>
      <c r="Z969" s="302"/>
    </row>
    <row r="970" spans="1:26" ht="15.55">
      <c r="A970" s="302"/>
      <c r="B970" s="302"/>
      <c r="C970" s="302"/>
      <c r="D970" s="302"/>
      <c r="E970" s="302"/>
      <c r="F970" s="302"/>
      <c r="G970" s="302"/>
      <c r="H970" s="302"/>
      <c r="I970" s="302"/>
      <c r="J970" s="302"/>
      <c r="K970" s="302"/>
      <c r="L970" s="302"/>
      <c r="M970" s="302"/>
      <c r="N970" s="302"/>
      <c r="O970" s="302"/>
      <c r="P970" s="302"/>
      <c r="Q970" s="302"/>
      <c r="R970" s="302"/>
      <c r="S970" s="302"/>
      <c r="T970" s="302"/>
      <c r="U970" s="302"/>
      <c r="V970" s="302"/>
      <c r="W970" s="302"/>
      <c r="X970" s="302"/>
      <c r="Y970" s="302"/>
      <c r="Z970" s="302"/>
    </row>
    <row r="971" spans="1:26" ht="15.55">
      <c r="A971" s="302"/>
      <c r="B971" s="302"/>
      <c r="C971" s="302"/>
      <c r="D971" s="302"/>
      <c r="E971" s="302"/>
      <c r="F971" s="302"/>
      <c r="G971" s="302"/>
      <c r="H971" s="302"/>
      <c r="I971" s="302"/>
      <c r="J971" s="302"/>
      <c r="K971" s="302"/>
      <c r="L971" s="302"/>
      <c r="M971" s="302"/>
      <c r="N971" s="302"/>
      <c r="O971" s="302"/>
      <c r="P971" s="302"/>
      <c r="Q971" s="302"/>
      <c r="R971" s="302"/>
      <c r="S971" s="302"/>
      <c r="T971" s="302"/>
      <c r="U971" s="302"/>
      <c r="V971" s="302"/>
      <c r="W971" s="302"/>
      <c r="X971" s="302"/>
      <c r="Y971" s="302"/>
      <c r="Z971" s="302"/>
    </row>
    <row r="972" spans="1:26" ht="15.55">
      <c r="A972" s="302"/>
      <c r="B972" s="302"/>
      <c r="C972" s="302"/>
      <c r="D972" s="302"/>
      <c r="E972" s="302"/>
      <c r="F972" s="302"/>
      <c r="G972" s="302"/>
      <c r="H972" s="302"/>
      <c r="I972" s="302"/>
      <c r="J972" s="302"/>
      <c r="K972" s="302"/>
      <c r="L972" s="302"/>
      <c r="M972" s="302"/>
      <c r="N972" s="302"/>
      <c r="O972" s="302"/>
      <c r="P972" s="302"/>
      <c r="Q972" s="302"/>
      <c r="R972" s="302"/>
      <c r="S972" s="302"/>
      <c r="T972" s="302"/>
      <c r="U972" s="302"/>
      <c r="V972" s="302"/>
      <c r="W972" s="302"/>
      <c r="X972" s="302"/>
      <c r="Y972" s="302"/>
      <c r="Z972" s="302"/>
    </row>
    <row r="973" spans="1:26" ht="15.55">
      <c r="A973" s="302"/>
      <c r="B973" s="302"/>
      <c r="C973" s="302"/>
      <c r="D973" s="302"/>
      <c r="E973" s="302"/>
      <c r="F973" s="302"/>
      <c r="G973" s="302"/>
      <c r="H973" s="302"/>
      <c r="I973" s="302"/>
      <c r="J973" s="302"/>
      <c r="K973" s="302"/>
      <c r="L973" s="302"/>
      <c r="M973" s="302"/>
      <c r="N973" s="302"/>
      <c r="O973" s="302"/>
      <c r="P973" s="302"/>
      <c r="Q973" s="302"/>
      <c r="R973" s="302"/>
      <c r="S973" s="302"/>
      <c r="T973" s="302"/>
      <c r="U973" s="302"/>
      <c r="V973" s="302"/>
      <c r="W973" s="302"/>
      <c r="X973" s="302"/>
      <c r="Y973" s="302"/>
      <c r="Z973" s="302"/>
    </row>
    <row r="974" spans="1:26" ht="15.55">
      <c r="A974" s="302"/>
      <c r="B974" s="302"/>
      <c r="C974" s="302"/>
      <c r="D974" s="302"/>
      <c r="E974" s="302"/>
      <c r="F974" s="302"/>
      <c r="G974" s="302"/>
      <c r="H974" s="302"/>
      <c r="I974" s="302"/>
      <c r="J974" s="302"/>
      <c r="K974" s="302"/>
      <c r="L974" s="302"/>
      <c r="M974" s="302"/>
      <c r="N974" s="302"/>
      <c r="O974" s="302"/>
      <c r="P974" s="302"/>
      <c r="Q974" s="302"/>
      <c r="R974" s="302"/>
      <c r="S974" s="302"/>
      <c r="T974" s="302"/>
      <c r="U974" s="302"/>
      <c r="V974" s="302"/>
      <c r="W974" s="302"/>
      <c r="X974" s="302"/>
      <c r="Y974" s="302"/>
      <c r="Z974" s="302"/>
    </row>
    <row r="975" spans="1:26" ht="15.55">
      <c r="A975" s="302"/>
      <c r="B975" s="302"/>
      <c r="C975" s="302"/>
      <c r="D975" s="302"/>
      <c r="E975" s="302"/>
      <c r="F975" s="302"/>
      <c r="G975" s="302"/>
      <c r="H975" s="302"/>
      <c r="I975" s="302"/>
      <c r="J975" s="302"/>
      <c r="K975" s="302"/>
      <c r="L975" s="302"/>
      <c r="M975" s="302"/>
      <c r="N975" s="302"/>
      <c r="O975" s="302"/>
      <c r="P975" s="302"/>
      <c r="Q975" s="302"/>
      <c r="R975" s="302"/>
      <c r="S975" s="302"/>
      <c r="T975" s="302"/>
      <c r="U975" s="302"/>
      <c r="V975" s="302"/>
      <c r="W975" s="302"/>
      <c r="X975" s="302"/>
      <c r="Y975" s="302"/>
      <c r="Z975" s="302"/>
    </row>
    <row r="976" spans="1:26" ht="15.55">
      <c r="A976" s="302"/>
      <c r="B976" s="302"/>
      <c r="C976" s="302"/>
      <c r="D976" s="302"/>
      <c r="E976" s="302"/>
      <c r="F976" s="302"/>
      <c r="G976" s="302"/>
      <c r="H976" s="302"/>
      <c r="I976" s="302"/>
      <c r="J976" s="302"/>
      <c r="K976" s="302"/>
      <c r="L976" s="302"/>
      <c r="M976" s="302"/>
      <c r="N976" s="302"/>
      <c r="O976" s="302"/>
      <c r="P976" s="302"/>
      <c r="Q976" s="302"/>
      <c r="R976" s="302"/>
      <c r="S976" s="302"/>
      <c r="T976" s="302"/>
      <c r="U976" s="302"/>
      <c r="V976" s="302"/>
      <c r="W976" s="302"/>
      <c r="X976" s="302"/>
      <c r="Y976" s="302"/>
      <c r="Z976" s="302"/>
    </row>
    <row r="977" spans="1:26" ht="15.55">
      <c r="A977" s="302"/>
      <c r="B977" s="302"/>
      <c r="C977" s="302"/>
      <c r="D977" s="302"/>
      <c r="E977" s="302"/>
      <c r="F977" s="302"/>
      <c r="G977" s="302"/>
      <c r="H977" s="302"/>
      <c r="I977" s="302"/>
      <c r="J977" s="302"/>
      <c r="K977" s="302"/>
      <c r="L977" s="302"/>
      <c r="M977" s="302"/>
      <c r="N977" s="302"/>
      <c r="O977" s="302"/>
      <c r="P977" s="302"/>
      <c r="Q977" s="302"/>
      <c r="R977" s="302"/>
      <c r="S977" s="302"/>
      <c r="T977" s="302"/>
      <c r="U977" s="302"/>
      <c r="V977" s="302"/>
      <c r="W977" s="302"/>
      <c r="X977" s="302"/>
      <c r="Y977" s="302"/>
      <c r="Z977" s="302"/>
    </row>
    <row r="978" spans="1:26" ht="15.55">
      <c r="A978" s="302"/>
      <c r="B978" s="302"/>
      <c r="C978" s="302"/>
      <c r="D978" s="302"/>
      <c r="E978" s="302"/>
      <c r="F978" s="302"/>
      <c r="G978" s="302"/>
      <c r="H978" s="302"/>
      <c r="I978" s="302"/>
      <c r="J978" s="302"/>
      <c r="K978" s="302"/>
      <c r="L978" s="302"/>
      <c r="M978" s="302"/>
      <c r="N978" s="302"/>
      <c r="O978" s="302"/>
      <c r="P978" s="302"/>
      <c r="Q978" s="302"/>
      <c r="R978" s="302"/>
      <c r="S978" s="302"/>
      <c r="T978" s="302"/>
      <c r="U978" s="302"/>
      <c r="V978" s="302"/>
      <c r="W978" s="302"/>
      <c r="X978" s="302"/>
      <c r="Y978" s="302"/>
      <c r="Z978" s="302"/>
    </row>
    <row r="979" spans="1:26" ht="15.55">
      <c r="A979" s="302"/>
      <c r="B979" s="302"/>
      <c r="C979" s="302"/>
      <c r="D979" s="302"/>
      <c r="E979" s="302"/>
      <c r="F979" s="302"/>
      <c r="G979" s="302"/>
      <c r="H979" s="302"/>
      <c r="I979" s="302"/>
      <c r="J979" s="302"/>
      <c r="K979" s="302"/>
      <c r="L979" s="302"/>
      <c r="M979" s="302"/>
      <c r="N979" s="302"/>
      <c r="O979" s="302"/>
      <c r="P979" s="302"/>
      <c r="Q979" s="302"/>
      <c r="R979" s="302"/>
      <c r="S979" s="302"/>
      <c r="T979" s="302"/>
      <c r="U979" s="302"/>
      <c r="V979" s="302"/>
      <c r="W979" s="302"/>
      <c r="X979" s="302"/>
      <c r="Y979" s="302"/>
      <c r="Z979" s="302"/>
    </row>
    <row r="980" spans="1:26" ht="15.55">
      <c r="A980" s="302"/>
      <c r="B980" s="302"/>
      <c r="C980" s="302"/>
      <c r="D980" s="302"/>
      <c r="E980" s="302"/>
      <c r="F980" s="302"/>
      <c r="G980" s="302"/>
      <c r="H980" s="302"/>
      <c r="I980" s="302"/>
      <c r="J980" s="302"/>
      <c r="K980" s="302"/>
      <c r="L980" s="302"/>
      <c r="M980" s="302"/>
      <c r="N980" s="302"/>
      <c r="O980" s="302"/>
      <c r="P980" s="302"/>
      <c r="Q980" s="302"/>
      <c r="R980" s="302"/>
      <c r="S980" s="302"/>
      <c r="T980" s="302"/>
      <c r="U980" s="302"/>
      <c r="V980" s="302"/>
      <c r="W980" s="302"/>
      <c r="X980" s="302"/>
      <c r="Y980" s="302"/>
      <c r="Z980" s="302"/>
    </row>
    <row r="981" spans="1:26" ht="15.55">
      <c r="A981" s="302"/>
      <c r="B981" s="302"/>
      <c r="C981" s="302"/>
      <c r="D981" s="302"/>
      <c r="E981" s="302"/>
      <c r="F981" s="302"/>
      <c r="G981" s="302"/>
      <c r="H981" s="302"/>
      <c r="I981" s="302"/>
      <c r="J981" s="302"/>
      <c r="K981" s="302"/>
      <c r="L981" s="302"/>
      <c r="M981" s="302"/>
      <c r="N981" s="302"/>
      <c r="O981" s="302"/>
      <c r="P981" s="302"/>
      <c r="Q981" s="302"/>
      <c r="R981" s="302"/>
      <c r="S981" s="302"/>
      <c r="T981" s="302"/>
      <c r="U981" s="302"/>
      <c r="V981" s="302"/>
      <c r="W981" s="302"/>
      <c r="X981" s="302"/>
      <c r="Y981" s="302"/>
      <c r="Z981" s="302"/>
    </row>
    <row r="982" spans="1:26" ht="15.55">
      <c r="A982" s="302"/>
      <c r="B982" s="302"/>
      <c r="C982" s="302"/>
      <c r="D982" s="302"/>
      <c r="E982" s="302"/>
      <c r="F982" s="302"/>
      <c r="G982" s="302"/>
      <c r="H982" s="302"/>
      <c r="I982" s="302"/>
      <c r="J982" s="302"/>
      <c r="K982" s="302"/>
      <c r="L982" s="302"/>
      <c r="M982" s="302"/>
      <c r="N982" s="302"/>
      <c r="O982" s="302"/>
      <c r="P982" s="302"/>
      <c r="Q982" s="302"/>
      <c r="R982" s="302"/>
      <c r="S982" s="302"/>
      <c r="T982" s="302"/>
      <c r="U982" s="302"/>
      <c r="V982" s="302"/>
      <c r="W982" s="302"/>
      <c r="X982" s="302"/>
      <c r="Y982" s="302"/>
      <c r="Z982" s="302"/>
    </row>
    <row r="983" spans="1:26" ht="15.55">
      <c r="A983" s="302"/>
      <c r="B983" s="302"/>
      <c r="C983" s="302"/>
      <c r="D983" s="302"/>
      <c r="E983" s="302"/>
      <c r="F983" s="302"/>
      <c r="G983" s="302"/>
      <c r="H983" s="302"/>
      <c r="I983" s="302"/>
      <c r="J983" s="302"/>
      <c r="K983" s="302"/>
      <c r="L983" s="302"/>
      <c r="M983" s="302"/>
      <c r="N983" s="302"/>
      <c r="O983" s="302"/>
      <c r="P983" s="302"/>
      <c r="Q983" s="302"/>
      <c r="R983" s="302"/>
      <c r="S983" s="302"/>
      <c r="T983" s="302"/>
      <c r="U983" s="302"/>
      <c r="V983" s="302"/>
      <c r="W983" s="302"/>
      <c r="X983" s="302"/>
      <c r="Y983" s="302"/>
      <c r="Z983" s="302"/>
    </row>
    <row r="984" spans="1:26" ht="15.55">
      <c r="A984" s="302"/>
      <c r="B984" s="302"/>
      <c r="C984" s="302"/>
      <c r="D984" s="302"/>
      <c r="E984" s="302"/>
      <c r="F984" s="302"/>
      <c r="G984" s="302"/>
      <c r="H984" s="302"/>
      <c r="I984" s="302"/>
      <c r="J984" s="302"/>
      <c r="K984" s="302"/>
      <c r="L984" s="302"/>
      <c r="M984" s="302"/>
      <c r="N984" s="302"/>
      <c r="O984" s="302"/>
      <c r="P984" s="302"/>
      <c r="Q984" s="302"/>
      <c r="R984" s="302"/>
      <c r="S984" s="302"/>
      <c r="T984" s="302"/>
      <c r="U984" s="302"/>
      <c r="V984" s="302"/>
      <c r="W984" s="302"/>
      <c r="X984" s="302"/>
      <c r="Y984" s="302"/>
      <c r="Z984" s="302"/>
    </row>
    <row r="985" spans="1:26" ht="15.55">
      <c r="A985" s="302"/>
      <c r="B985" s="302"/>
      <c r="C985" s="302"/>
      <c r="D985" s="302"/>
      <c r="E985" s="302"/>
      <c r="F985" s="302"/>
      <c r="G985" s="302"/>
      <c r="H985" s="302"/>
      <c r="I985" s="302"/>
      <c r="J985" s="302"/>
      <c r="K985" s="302"/>
      <c r="L985" s="302"/>
      <c r="M985" s="302"/>
      <c r="N985" s="302"/>
      <c r="O985" s="302"/>
      <c r="P985" s="302"/>
      <c r="Q985" s="302"/>
      <c r="R985" s="302"/>
      <c r="S985" s="302"/>
      <c r="T985" s="302"/>
      <c r="U985" s="302"/>
      <c r="V985" s="302"/>
      <c r="W985" s="302"/>
      <c r="X985" s="302"/>
      <c r="Y985" s="302"/>
      <c r="Z985" s="302"/>
    </row>
    <row r="986" spans="1:26" ht="15.55">
      <c r="A986" s="302"/>
      <c r="B986" s="302"/>
      <c r="C986" s="302"/>
      <c r="D986" s="302"/>
      <c r="E986" s="302"/>
      <c r="F986" s="302"/>
      <c r="G986" s="302"/>
      <c r="H986" s="302"/>
      <c r="I986" s="302"/>
      <c r="J986" s="302"/>
      <c r="K986" s="302"/>
      <c r="L986" s="302"/>
      <c r="M986" s="302"/>
      <c r="N986" s="302"/>
      <c r="O986" s="302"/>
      <c r="P986" s="302"/>
      <c r="Q986" s="302"/>
      <c r="R986" s="302"/>
      <c r="S986" s="302"/>
      <c r="T986" s="302"/>
      <c r="U986" s="302"/>
      <c r="V986" s="302"/>
      <c r="W986" s="302"/>
      <c r="X986" s="302"/>
      <c r="Y986" s="302"/>
      <c r="Z986" s="302"/>
    </row>
    <row r="987" spans="1:26" ht="15.55">
      <c r="A987" s="302"/>
      <c r="B987" s="302"/>
      <c r="C987" s="302"/>
      <c r="D987" s="302"/>
      <c r="E987" s="302"/>
      <c r="F987" s="302"/>
      <c r="G987" s="302"/>
      <c r="H987" s="302"/>
      <c r="I987" s="302"/>
      <c r="J987" s="302"/>
      <c r="K987" s="302"/>
      <c r="L987" s="302"/>
      <c r="M987" s="302"/>
      <c r="N987" s="302"/>
      <c r="O987" s="302"/>
      <c r="P987" s="302"/>
      <c r="Q987" s="302"/>
      <c r="R987" s="302"/>
      <c r="S987" s="302"/>
      <c r="T987" s="302"/>
      <c r="U987" s="302"/>
      <c r="V987" s="302"/>
      <c r="W987" s="302"/>
      <c r="X987" s="302"/>
      <c r="Y987" s="302"/>
      <c r="Z987" s="302"/>
    </row>
    <row r="988" spans="1:26" ht="15.55">
      <c r="A988" s="302"/>
      <c r="B988" s="302"/>
      <c r="C988" s="302"/>
      <c r="D988" s="302"/>
      <c r="E988" s="302"/>
      <c r="F988" s="302"/>
      <c r="G988" s="302"/>
      <c r="H988" s="302"/>
      <c r="I988" s="302"/>
      <c r="J988" s="302"/>
      <c r="K988" s="302"/>
      <c r="L988" s="302"/>
      <c r="M988" s="302"/>
      <c r="N988" s="302"/>
      <c r="O988" s="302"/>
      <c r="P988" s="302"/>
      <c r="Q988" s="302"/>
      <c r="R988" s="302"/>
      <c r="S988" s="302"/>
      <c r="T988" s="302"/>
      <c r="U988" s="302"/>
      <c r="V988" s="302"/>
      <c r="W988" s="302"/>
      <c r="X988" s="302"/>
      <c r="Y988" s="302"/>
      <c r="Z988" s="302"/>
    </row>
    <row r="989" spans="1:26" ht="15.55">
      <c r="A989" s="302"/>
      <c r="B989" s="302"/>
      <c r="C989" s="302"/>
      <c r="D989" s="302"/>
      <c r="E989" s="302"/>
      <c r="F989" s="302"/>
      <c r="G989" s="302"/>
      <c r="H989" s="302"/>
      <c r="I989" s="302"/>
      <c r="J989" s="302"/>
      <c r="K989" s="302"/>
      <c r="L989" s="302"/>
      <c r="M989" s="302"/>
      <c r="N989" s="302"/>
      <c r="O989" s="302"/>
      <c r="P989" s="302"/>
      <c r="Q989" s="302"/>
      <c r="R989" s="302"/>
      <c r="S989" s="302"/>
      <c r="T989" s="302"/>
      <c r="U989" s="302"/>
      <c r="V989" s="302"/>
      <c r="W989" s="302"/>
      <c r="X989" s="302"/>
      <c r="Y989" s="302"/>
      <c r="Z989" s="302"/>
    </row>
    <row r="990" spans="1:26" ht="15.55">
      <c r="A990" s="302"/>
      <c r="B990" s="302"/>
      <c r="C990" s="302"/>
      <c r="D990" s="302"/>
      <c r="E990" s="302"/>
      <c r="F990" s="302"/>
      <c r="G990" s="302"/>
      <c r="H990" s="302"/>
      <c r="I990" s="302"/>
      <c r="J990" s="302"/>
      <c r="K990" s="302"/>
      <c r="L990" s="302"/>
      <c r="M990" s="302"/>
      <c r="N990" s="302"/>
      <c r="O990" s="302"/>
      <c r="P990" s="302"/>
      <c r="Q990" s="302"/>
      <c r="R990" s="302"/>
      <c r="S990" s="302"/>
      <c r="T990" s="302"/>
      <c r="U990" s="302"/>
      <c r="V990" s="302"/>
      <c r="W990" s="302"/>
      <c r="X990" s="302"/>
      <c r="Y990" s="302"/>
      <c r="Z990" s="302"/>
    </row>
    <row r="991" spans="1:26" ht="15.55">
      <c r="A991" s="302"/>
      <c r="B991" s="302"/>
      <c r="C991" s="302"/>
      <c r="D991" s="302"/>
      <c r="E991" s="302"/>
      <c r="F991" s="302"/>
      <c r="G991" s="302"/>
      <c r="H991" s="302"/>
      <c r="I991" s="302"/>
      <c r="J991" s="302"/>
      <c r="K991" s="302"/>
      <c r="L991" s="302"/>
      <c r="M991" s="302"/>
      <c r="N991" s="302"/>
      <c r="O991" s="302"/>
      <c r="P991" s="302"/>
      <c r="Q991" s="302"/>
      <c r="R991" s="302"/>
      <c r="S991" s="302"/>
      <c r="T991" s="302"/>
      <c r="U991" s="302"/>
      <c r="V991" s="302"/>
      <c r="W991" s="302"/>
      <c r="X991" s="302"/>
      <c r="Y991" s="302"/>
      <c r="Z991" s="302"/>
    </row>
    <row r="992" spans="1:26" ht="15.55">
      <c r="A992" s="302"/>
      <c r="B992" s="302"/>
      <c r="C992" s="302"/>
      <c r="D992" s="302"/>
      <c r="E992" s="302"/>
      <c r="F992" s="302"/>
      <c r="G992" s="302"/>
      <c r="H992" s="302"/>
      <c r="I992" s="302"/>
      <c r="J992" s="302"/>
      <c r="K992" s="302"/>
      <c r="L992" s="302"/>
      <c r="M992" s="302"/>
      <c r="N992" s="302"/>
      <c r="O992" s="302"/>
      <c r="P992" s="302"/>
      <c r="Q992" s="302"/>
      <c r="R992" s="302"/>
      <c r="S992" s="302"/>
      <c r="T992" s="302"/>
      <c r="U992" s="302"/>
      <c r="V992" s="302"/>
      <c r="W992" s="302"/>
      <c r="X992" s="302"/>
      <c r="Y992" s="302"/>
      <c r="Z992" s="302"/>
    </row>
    <row r="993" spans="1:26" ht="15.55">
      <c r="A993" s="302"/>
      <c r="B993" s="302"/>
      <c r="C993" s="302"/>
      <c r="D993" s="302"/>
      <c r="E993" s="302"/>
      <c r="F993" s="302"/>
      <c r="G993" s="302"/>
      <c r="H993" s="302"/>
      <c r="I993" s="302"/>
      <c r="J993" s="302"/>
      <c r="K993" s="302"/>
      <c r="L993" s="302"/>
      <c r="M993" s="302"/>
      <c r="N993" s="302"/>
      <c r="O993" s="302"/>
      <c r="P993" s="302"/>
      <c r="Q993" s="302"/>
      <c r="R993" s="302"/>
      <c r="S993" s="302"/>
      <c r="T993" s="302"/>
      <c r="U993" s="302"/>
      <c r="V993" s="302"/>
      <c r="W993" s="302"/>
      <c r="X993" s="302"/>
      <c r="Y993" s="302"/>
      <c r="Z993" s="302"/>
    </row>
    <row r="994" spans="1:26" ht="15.55">
      <c r="A994" s="302"/>
      <c r="B994" s="302"/>
      <c r="C994" s="302"/>
      <c r="D994" s="302"/>
      <c r="E994" s="302"/>
      <c r="F994" s="302"/>
      <c r="G994" s="302"/>
      <c r="H994" s="302"/>
      <c r="I994" s="302"/>
      <c r="J994" s="302"/>
      <c r="K994" s="302"/>
      <c r="L994" s="302"/>
      <c r="M994" s="302"/>
      <c r="N994" s="302"/>
      <c r="O994" s="302"/>
      <c r="P994" s="302"/>
      <c r="Q994" s="302"/>
      <c r="R994" s="302"/>
      <c r="S994" s="302"/>
      <c r="T994" s="302"/>
      <c r="U994" s="302"/>
      <c r="V994" s="302"/>
      <c r="W994" s="302"/>
      <c r="X994" s="302"/>
      <c r="Y994" s="302"/>
      <c r="Z994" s="302"/>
    </row>
    <row r="995" spans="1:26" ht="15.55">
      <c r="A995" s="302"/>
      <c r="B995" s="302"/>
      <c r="C995" s="302"/>
      <c r="D995" s="302"/>
      <c r="E995" s="302"/>
      <c r="F995" s="302"/>
      <c r="G995" s="302"/>
      <c r="H995" s="302"/>
      <c r="I995" s="302"/>
      <c r="J995" s="302"/>
      <c r="K995" s="302"/>
      <c r="L995" s="302"/>
      <c r="M995" s="302"/>
      <c r="N995" s="302"/>
      <c r="O995" s="302"/>
      <c r="P995" s="302"/>
      <c r="Q995" s="302"/>
      <c r="R995" s="302"/>
      <c r="S995" s="302"/>
      <c r="T995" s="302"/>
      <c r="U995" s="302"/>
      <c r="V995" s="302"/>
      <c r="W995" s="302"/>
      <c r="X995" s="302"/>
      <c r="Y995" s="302"/>
      <c r="Z995" s="302"/>
    </row>
    <row r="996" spans="1:26" ht="15.55">
      <c r="A996" s="302"/>
      <c r="B996" s="302"/>
      <c r="C996" s="302"/>
      <c r="D996" s="302"/>
      <c r="E996" s="302"/>
      <c r="F996" s="302"/>
      <c r="G996" s="302"/>
      <c r="H996" s="302"/>
      <c r="I996" s="302"/>
      <c r="J996" s="302"/>
      <c r="K996" s="302"/>
      <c r="L996" s="302"/>
      <c r="M996" s="302"/>
      <c r="N996" s="302"/>
      <c r="O996" s="302"/>
      <c r="P996" s="302"/>
      <c r="Q996" s="302"/>
      <c r="R996" s="302"/>
      <c r="S996" s="302"/>
      <c r="T996" s="302"/>
      <c r="U996" s="302"/>
      <c r="V996" s="302"/>
      <c r="W996" s="302"/>
      <c r="X996" s="302"/>
      <c r="Y996" s="302"/>
      <c r="Z996" s="302"/>
    </row>
    <row r="997" spans="1:26" ht="15.55">
      <c r="A997" s="302"/>
      <c r="B997" s="302"/>
      <c r="C997" s="302"/>
      <c r="D997" s="302"/>
      <c r="E997" s="302"/>
      <c r="F997" s="302"/>
      <c r="G997" s="302"/>
      <c r="H997" s="302"/>
      <c r="I997" s="302"/>
      <c r="J997" s="302"/>
      <c r="K997" s="302"/>
      <c r="L997" s="302"/>
      <c r="M997" s="302"/>
      <c r="N997" s="302"/>
      <c r="O997" s="302"/>
      <c r="P997" s="302"/>
      <c r="Q997" s="302"/>
      <c r="R997" s="302"/>
      <c r="S997" s="302"/>
      <c r="T997" s="302"/>
      <c r="U997" s="302"/>
      <c r="V997" s="302"/>
      <c r="W997" s="302"/>
      <c r="X997" s="302"/>
      <c r="Y997" s="302"/>
      <c r="Z997" s="302"/>
    </row>
    <row r="998" spans="1:26" ht="15.55">
      <c r="A998" s="302"/>
      <c r="B998" s="302"/>
      <c r="C998" s="302"/>
      <c r="D998" s="302"/>
      <c r="E998" s="302"/>
      <c r="F998" s="302"/>
      <c r="G998" s="302"/>
      <c r="H998" s="302"/>
      <c r="I998" s="302"/>
      <c r="J998" s="302"/>
      <c r="K998" s="302"/>
      <c r="L998" s="302"/>
      <c r="M998" s="302"/>
      <c r="N998" s="302"/>
      <c r="O998" s="302"/>
      <c r="P998" s="302"/>
      <c r="Q998" s="302"/>
      <c r="R998" s="302"/>
      <c r="S998" s="302"/>
      <c r="T998" s="302"/>
      <c r="U998" s="302"/>
      <c r="V998" s="302"/>
      <c r="W998" s="302"/>
      <c r="X998" s="302"/>
      <c r="Y998" s="302"/>
      <c r="Z998" s="302"/>
    </row>
    <row r="999" spans="1:26" ht="15.55">
      <c r="A999" s="302"/>
      <c r="B999" s="302"/>
      <c r="C999" s="302"/>
      <c r="D999" s="302"/>
      <c r="E999" s="302"/>
      <c r="F999" s="302"/>
      <c r="G999" s="302"/>
      <c r="H999" s="302"/>
      <c r="I999" s="302"/>
      <c r="J999" s="302"/>
      <c r="K999" s="302"/>
      <c r="L999" s="302"/>
      <c r="M999" s="302"/>
      <c r="N999" s="302"/>
      <c r="O999" s="302"/>
      <c r="P999" s="302"/>
      <c r="Q999" s="302"/>
      <c r="R999" s="302"/>
      <c r="S999" s="302"/>
      <c r="T999" s="302"/>
      <c r="U999" s="302"/>
      <c r="V999" s="302"/>
      <c r="W999" s="302"/>
      <c r="X999" s="302"/>
      <c r="Y999" s="302"/>
      <c r="Z999" s="302"/>
    </row>
    <row r="1000" spans="1:26" ht="15.55">
      <c r="A1000" s="302"/>
      <c r="B1000" s="302"/>
      <c r="C1000" s="302"/>
      <c r="D1000" s="302"/>
      <c r="E1000" s="302"/>
      <c r="F1000" s="302"/>
      <c r="G1000" s="302"/>
      <c r="H1000" s="302"/>
      <c r="I1000" s="302"/>
      <c r="J1000" s="302"/>
      <c r="K1000" s="302"/>
      <c r="L1000" s="302"/>
      <c r="M1000" s="302"/>
      <c r="N1000" s="302"/>
      <c r="O1000" s="302"/>
      <c r="P1000" s="302"/>
      <c r="Q1000" s="302"/>
      <c r="R1000" s="302"/>
      <c r="S1000" s="302"/>
      <c r="T1000" s="302"/>
      <c r="U1000" s="302"/>
      <c r="V1000" s="302"/>
      <c r="W1000" s="302"/>
      <c r="X1000" s="302"/>
      <c r="Y1000" s="302"/>
      <c r="Z1000" s="30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3"/>
  <sheetViews>
    <sheetView workbookViewId="0">
      <selection activeCell="B14" sqref="B14"/>
    </sheetView>
  </sheetViews>
  <sheetFormatPr defaultRowHeight="13.3"/>
  <cols>
    <col min="2" max="2" width="16.109375" bestFit="1" customWidth="1"/>
    <col min="3" max="3" width="16.77734375" bestFit="1" customWidth="1"/>
  </cols>
  <sheetData>
    <row r="3" spans="2:3">
      <c r="B3" t="s">
        <v>1552</v>
      </c>
      <c r="C3" t="s">
        <v>1558</v>
      </c>
    </row>
    <row r="4" spans="2:3">
      <c r="B4" t="s">
        <v>1556</v>
      </c>
      <c r="C4" t="s">
        <v>1558</v>
      </c>
    </row>
    <row r="5" spans="2:3">
      <c r="B5" t="s">
        <v>1553</v>
      </c>
      <c r="C5" t="s">
        <v>1558</v>
      </c>
    </row>
    <row r="6" spans="2:3">
      <c r="B6" s="464" t="s">
        <v>1554</v>
      </c>
      <c r="C6" t="s">
        <v>1857</v>
      </c>
    </row>
    <row r="7" spans="2:3">
      <c r="B7" t="s">
        <v>1550</v>
      </c>
      <c r="C7" s="464" t="s">
        <v>1561</v>
      </c>
    </row>
    <row r="8" spans="2:3">
      <c r="B8" t="s">
        <v>1551</v>
      </c>
      <c r="C8" t="s">
        <v>1557</v>
      </c>
    </row>
    <row r="9" spans="2:3">
      <c r="B9" t="s">
        <v>1548</v>
      </c>
      <c r="C9" t="s">
        <v>1857</v>
      </c>
    </row>
    <row r="10" spans="2:3">
      <c r="B10" t="s">
        <v>1549</v>
      </c>
      <c r="C10" t="s">
        <v>1857</v>
      </c>
    </row>
    <row r="11" spans="2:3">
      <c r="B11" s="464" t="s">
        <v>1987</v>
      </c>
      <c r="C11" t="s">
        <v>1557</v>
      </c>
    </row>
    <row r="12" spans="2:3">
      <c r="B12" s="464" t="s">
        <v>1559</v>
      </c>
      <c r="C12" s="464" t="s">
        <v>1558</v>
      </c>
    </row>
    <row r="13" spans="2:3">
      <c r="B13" s="464" t="s">
        <v>1560</v>
      </c>
      <c r="C13" s="464" t="s">
        <v>1558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3"/>
  <sheetViews>
    <sheetView workbookViewId="0"/>
  </sheetViews>
  <sheetFormatPr defaultRowHeight="13.3"/>
  <sheetData>
    <row r="1" spans="1:5">
      <c r="A1" s="234" t="s">
        <v>622</v>
      </c>
      <c r="B1" s="234" t="s">
        <v>718</v>
      </c>
      <c r="C1" s="234" t="s">
        <v>719</v>
      </c>
      <c r="D1" s="234" t="s">
        <v>720</v>
      </c>
      <c r="E1" s="234" t="s">
        <v>721</v>
      </c>
    </row>
    <row r="2" spans="1:5">
      <c r="A2" s="331" t="s">
        <v>722</v>
      </c>
      <c r="B2" s="331" t="s">
        <v>723</v>
      </c>
      <c r="C2" s="331">
        <v>208</v>
      </c>
      <c r="D2" s="331">
        <v>153</v>
      </c>
      <c r="E2" s="331" t="s">
        <v>724</v>
      </c>
    </row>
    <row r="3" spans="1:5">
      <c r="A3" s="331" t="s">
        <v>722</v>
      </c>
      <c r="B3" s="331" t="s">
        <v>725</v>
      </c>
      <c r="C3" s="331">
        <v>137</v>
      </c>
      <c r="D3" s="331">
        <v>224</v>
      </c>
      <c r="E3" s="331" t="s">
        <v>724</v>
      </c>
    </row>
    <row r="4" spans="1:5">
      <c r="A4" s="331" t="s">
        <v>726</v>
      </c>
      <c r="B4" s="331" t="s">
        <v>723</v>
      </c>
      <c r="C4" s="331">
        <v>127</v>
      </c>
      <c r="D4" s="331">
        <v>127</v>
      </c>
      <c r="E4" s="331" t="s">
        <v>724</v>
      </c>
    </row>
    <row r="5" spans="1:5">
      <c r="A5" s="331" t="s">
        <v>726</v>
      </c>
      <c r="B5" s="331" t="s">
        <v>725</v>
      </c>
      <c r="C5" s="331" t="s">
        <v>536</v>
      </c>
      <c r="D5" s="331">
        <v>170</v>
      </c>
      <c r="E5" s="331" t="s">
        <v>724</v>
      </c>
    </row>
    <row r="6" spans="1:5">
      <c r="A6" s="332">
        <v>42830</v>
      </c>
      <c r="B6" s="331" t="s">
        <v>723</v>
      </c>
      <c r="C6" s="331">
        <v>178</v>
      </c>
      <c r="D6" s="331">
        <v>127</v>
      </c>
      <c r="E6" s="331" t="s">
        <v>724</v>
      </c>
    </row>
    <row r="7" spans="1:5">
      <c r="A7" s="332">
        <v>42891</v>
      </c>
      <c r="B7" s="331" t="s">
        <v>723</v>
      </c>
      <c r="C7" s="331">
        <v>113</v>
      </c>
      <c r="D7" s="331">
        <v>117</v>
      </c>
      <c r="E7" s="331" t="s">
        <v>727</v>
      </c>
    </row>
    <row r="8" spans="1:5">
      <c r="A8" s="332">
        <v>42891</v>
      </c>
      <c r="B8" s="331" t="s">
        <v>725</v>
      </c>
      <c r="C8" s="331">
        <v>150</v>
      </c>
      <c r="D8" s="331">
        <v>196</v>
      </c>
      <c r="E8" s="331" t="s">
        <v>727</v>
      </c>
    </row>
    <row r="9" spans="1:5">
      <c r="A9" s="331"/>
      <c r="B9" s="331"/>
      <c r="C9" s="331"/>
      <c r="D9" s="331"/>
      <c r="E9" s="331"/>
    </row>
    <row r="10" spans="1:5">
      <c r="A10" s="331"/>
      <c r="B10" s="331"/>
      <c r="C10" s="331"/>
      <c r="D10" s="331"/>
      <c r="E10" s="331"/>
    </row>
    <row r="11" spans="1:5">
      <c r="A11" s="331"/>
      <c r="B11" s="331"/>
      <c r="C11" s="331"/>
      <c r="D11" s="331"/>
      <c r="E11" s="331"/>
    </row>
    <row r="12" spans="1:5">
      <c r="A12" s="331"/>
      <c r="B12" s="331"/>
      <c r="C12" s="331"/>
      <c r="D12" s="331"/>
      <c r="E12" s="331"/>
    </row>
    <row r="13" spans="1:5">
      <c r="A13" s="331"/>
      <c r="B13" s="331"/>
      <c r="C13" s="331"/>
      <c r="D13" s="331"/>
      <c r="E13" s="33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E1000"/>
  <sheetViews>
    <sheetView workbookViewId="0"/>
  </sheetViews>
  <sheetFormatPr defaultRowHeight="13.3"/>
  <sheetData>
    <row r="2" spans="1:5">
      <c r="A2" s="269" t="s">
        <v>123</v>
      </c>
      <c r="B2" s="269" t="s">
        <v>622</v>
      </c>
      <c r="C2" s="269" t="s">
        <v>728</v>
      </c>
      <c r="D2" s="90" t="s">
        <v>729</v>
      </c>
      <c r="E2" s="90" t="s">
        <v>730</v>
      </c>
    </row>
    <row r="3" spans="1:5" ht="102.5">
      <c r="A3" s="46"/>
      <c r="B3" s="46" t="s">
        <v>731</v>
      </c>
      <c r="C3" s="770" t="s">
        <v>732</v>
      </c>
      <c r="D3" s="711"/>
      <c r="E3" s="333">
        <v>2500000</v>
      </c>
    </row>
    <row r="4" spans="1:5">
      <c r="A4" s="46">
        <v>1</v>
      </c>
      <c r="B4" s="46" t="s">
        <v>733</v>
      </c>
      <c r="C4" s="46" t="s">
        <v>734</v>
      </c>
      <c r="D4" s="67">
        <v>22144.560000000001</v>
      </c>
      <c r="E4" s="74"/>
    </row>
    <row r="5" spans="1:5">
      <c r="A5" s="46"/>
      <c r="B5" s="334">
        <v>42581</v>
      </c>
      <c r="C5" s="95" t="s">
        <v>735</v>
      </c>
      <c r="D5" s="67">
        <v>29095</v>
      </c>
      <c r="E5" s="74"/>
    </row>
    <row r="6" spans="1:5">
      <c r="A6" s="46">
        <v>2</v>
      </c>
      <c r="B6" s="46" t="s">
        <v>736</v>
      </c>
      <c r="C6" s="46" t="s">
        <v>734</v>
      </c>
      <c r="D6" s="67">
        <v>21967.83</v>
      </c>
      <c r="E6" s="74"/>
    </row>
    <row r="7" spans="1:5">
      <c r="A7" s="46">
        <v>3</v>
      </c>
      <c r="B7" s="46" t="s">
        <v>737</v>
      </c>
      <c r="C7" s="46" t="s">
        <v>734</v>
      </c>
      <c r="D7" s="67">
        <v>21967.83</v>
      </c>
      <c r="E7" s="74"/>
    </row>
    <row r="8" spans="1:5">
      <c r="A8" s="46">
        <v>4</v>
      </c>
      <c r="B8" s="46" t="s">
        <v>738</v>
      </c>
      <c r="C8" s="46" t="s">
        <v>734</v>
      </c>
      <c r="D8" s="67">
        <v>21967.83</v>
      </c>
      <c r="E8" s="74"/>
    </row>
    <row r="9" spans="1:5">
      <c r="A9" s="46">
        <v>5</v>
      </c>
      <c r="B9" s="46" t="s">
        <v>739</v>
      </c>
      <c r="C9" s="46" t="s">
        <v>734</v>
      </c>
      <c r="D9" s="335">
        <v>22265.83</v>
      </c>
      <c r="E9" s="336"/>
    </row>
    <row r="10" spans="1:5" ht="115.2">
      <c r="A10" s="46"/>
      <c r="B10" s="337">
        <v>42684</v>
      </c>
      <c r="C10" s="770" t="s">
        <v>740</v>
      </c>
      <c r="D10" s="711"/>
      <c r="E10" s="333">
        <v>500000</v>
      </c>
    </row>
    <row r="11" spans="1:5">
      <c r="A11" s="46">
        <v>6</v>
      </c>
      <c r="B11" s="46" t="s">
        <v>741</v>
      </c>
      <c r="C11" s="46" t="s">
        <v>734</v>
      </c>
      <c r="D11" s="67">
        <v>17559.14</v>
      </c>
      <c r="E11" s="74"/>
    </row>
    <row r="12" spans="1:5">
      <c r="A12" s="46">
        <v>7</v>
      </c>
      <c r="B12" s="46" t="s">
        <v>742</v>
      </c>
      <c r="C12" s="46" t="s">
        <v>734</v>
      </c>
      <c r="D12" s="67">
        <v>17434.14</v>
      </c>
      <c r="E12" s="74"/>
    </row>
    <row r="13" spans="1:5">
      <c r="A13" s="46">
        <v>8</v>
      </c>
      <c r="B13" s="338">
        <v>42768</v>
      </c>
      <c r="C13" s="46" t="s">
        <v>743</v>
      </c>
      <c r="D13" s="335">
        <v>25000</v>
      </c>
      <c r="E13" s="336"/>
    </row>
    <row r="14" spans="1:5">
      <c r="A14" s="46">
        <v>9</v>
      </c>
      <c r="B14" s="338">
        <v>42795</v>
      </c>
      <c r="C14" s="46" t="s">
        <v>744</v>
      </c>
      <c r="D14" s="335">
        <v>25000</v>
      </c>
      <c r="E14" s="74"/>
    </row>
    <row r="15" spans="1:5">
      <c r="A15" s="46">
        <v>10</v>
      </c>
      <c r="B15" s="46" t="s">
        <v>745</v>
      </c>
      <c r="C15" s="46" t="s">
        <v>744</v>
      </c>
      <c r="D15" s="335">
        <v>25000</v>
      </c>
      <c r="E15" s="74"/>
    </row>
    <row r="16" spans="1:5">
      <c r="A16" s="46">
        <v>11</v>
      </c>
      <c r="B16" s="46" t="s">
        <v>746</v>
      </c>
      <c r="C16" s="46" t="s">
        <v>744</v>
      </c>
      <c r="D16" s="335">
        <v>25000</v>
      </c>
      <c r="E16" s="74"/>
    </row>
    <row r="17" spans="1:5">
      <c r="A17" s="46">
        <v>12</v>
      </c>
      <c r="B17" s="46" t="s">
        <v>747</v>
      </c>
      <c r="C17" s="46" t="s">
        <v>744</v>
      </c>
      <c r="D17" s="335">
        <v>25000</v>
      </c>
      <c r="E17" s="74"/>
    </row>
    <row r="18" spans="1:5">
      <c r="A18" s="46">
        <v>13</v>
      </c>
      <c r="B18" s="46" t="s">
        <v>748</v>
      </c>
      <c r="C18" s="46" t="s">
        <v>744</v>
      </c>
      <c r="D18" s="335">
        <v>25000</v>
      </c>
      <c r="E18" s="74"/>
    </row>
    <row r="19" spans="1:5">
      <c r="A19" s="46">
        <v>14</v>
      </c>
      <c r="B19" s="46" t="s">
        <v>749</v>
      </c>
      <c r="C19" s="46" t="s">
        <v>744</v>
      </c>
      <c r="D19" s="335">
        <v>25000</v>
      </c>
      <c r="E19" s="74"/>
    </row>
    <row r="20" spans="1:5" ht="115.2">
      <c r="A20" s="46"/>
      <c r="B20" s="337" t="s">
        <v>749</v>
      </c>
      <c r="C20" s="770" t="s">
        <v>740</v>
      </c>
      <c r="D20" s="711"/>
      <c r="E20" s="333">
        <v>500000</v>
      </c>
    </row>
    <row r="21" spans="1:5">
      <c r="A21" s="46">
        <v>15</v>
      </c>
      <c r="B21" s="46" t="s">
        <v>750</v>
      </c>
      <c r="C21" s="46" t="s">
        <v>744</v>
      </c>
      <c r="D21" s="335">
        <v>25000</v>
      </c>
      <c r="E21" s="74"/>
    </row>
    <row r="22" spans="1:5">
      <c r="A22" s="46">
        <v>16</v>
      </c>
      <c r="B22" s="46" t="s">
        <v>751</v>
      </c>
      <c r="C22" s="46" t="s">
        <v>744</v>
      </c>
      <c r="D22" s="335">
        <v>25000</v>
      </c>
      <c r="E22" s="74"/>
    </row>
    <row r="23" spans="1:5">
      <c r="A23" s="46">
        <v>17</v>
      </c>
      <c r="B23" s="46" t="s">
        <v>752</v>
      </c>
      <c r="C23" s="46" t="s">
        <v>744</v>
      </c>
      <c r="D23" s="335">
        <v>25000</v>
      </c>
      <c r="E23" s="74"/>
    </row>
    <row r="24" spans="1:5" ht="77">
      <c r="B24" s="337">
        <v>43047</v>
      </c>
      <c r="C24" s="770" t="s">
        <v>753</v>
      </c>
      <c r="D24" s="711"/>
      <c r="E24" s="333">
        <v>400000</v>
      </c>
    </row>
    <row r="25" spans="1:5">
      <c r="A25" s="46">
        <v>18</v>
      </c>
      <c r="B25" s="46" t="s">
        <v>754</v>
      </c>
      <c r="C25" s="46" t="s">
        <v>744</v>
      </c>
      <c r="D25" s="335">
        <v>25000</v>
      </c>
      <c r="E25" s="74"/>
    </row>
    <row r="26" spans="1:5">
      <c r="A26" s="46">
        <v>19</v>
      </c>
      <c r="B26" s="46" t="s">
        <v>755</v>
      </c>
      <c r="C26" s="46" t="s">
        <v>744</v>
      </c>
      <c r="D26" s="335">
        <v>25000</v>
      </c>
      <c r="E26" s="74"/>
    </row>
    <row r="27" spans="1:5">
      <c r="A27" s="46">
        <v>20</v>
      </c>
      <c r="B27" s="46" t="s">
        <v>756</v>
      </c>
      <c r="C27" s="46" t="s">
        <v>744</v>
      </c>
      <c r="D27" s="335">
        <v>25000</v>
      </c>
      <c r="E27" s="333"/>
    </row>
    <row r="28" spans="1:5">
      <c r="A28" s="46">
        <v>21</v>
      </c>
      <c r="B28" s="46" t="s">
        <v>757</v>
      </c>
      <c r="C28" s="46" t="s">
        <v>744</v>
      </c>
      <c r="D28" s="335">
        <v>25000</v>
      </c>
      <c r="E28" s="74"/>
    </row>
    <row r="29" spans="1:5">
      <c r="A29" s="46">
        <v>22</v>
      </c>
      <c r="B29" s="46" t="s">
        <v>758</v>
      </c>
      <c r="C29" s="46" t="s">
        <v>744</v>
      </c>
      <c r="D29" s="335">
        <v>25000</v>
      </c>
      <c r="E29" s="74"/>
    </row>
    <row r="30" spans="1:5">
      <c r="A30" s="46">
        <v>23</v>
      </c>
      <c r="B30" s="46" t="s">
        <v>759</v>
      </c>
      <c r="C30" s="46" t="s">
        <v>744</v>
      </c>
      <c r="D30" s="335">
        <v>25000</v>
      </c>
      <c r="E30" s="74"/>
    </row>
    <row r="31" spans="1:5">
      <c r="A31" s="46">
        <v>24</v>
      </c>
      <c r="B31" s="46" t="s">
        <v>760</v>
      </c>
      <c r="C31" s="46" t="s">
        <v>744</v>
      </c>
      <c r="D31" s="335">
        <v>25000</v>
      </c>
      <c r="E31" s="74"/>
    </row>
    <row r="32" spans="1:5">
      <c r="A32" s="46">
        <v>25</v>
      </c>
      <c r="B32" s="46" t="s">
        <v>761</v>
      </c>
      <c r="C32" s="46" t="s">
        <v>744</v>
      </c>
      <c r="D32" s="335">
        <v>25000</v>
      </c>
      <c r="E32" s="74"/>
    </row>
    <row r="33" spans="1:5">
      <c r="A33" s="46">
        <v>26</v>
      </c>
      <c r="B33" s="46" t="s">
        <v>762</v>
      </c>
      <c r="C33" s="46" t="s">
        <v>744</v>
      </c>
      <c r="D33" s="335">
        <v>25000</v>
      </c>
      <c r="E33" s="74"/>
    </row>
    <row r="34" spans="1:5">
      <c r="A34" s="46">
        <v>27</v>
      </c>
      <c r="B34" s="46" t="s">
        <v>763</v>
      </c>
      <c r="C34" s="46" t="s">
        <v>744</v>
      </c>
      <c r="D34" s="335">
        <v>25000</v>
      </c>
      <c r="E34" s="74"/>
    </row>
    <row r="35" spans="1:5">
      <c r="A35" s="46">
        <v>28</v>
      </c>
      <c r="B35" s="46" t="s">
        <v>764</v>
      </c>
      <c r="C35" s="46" t="s">
        <v>744</v>
      </c>
      <c r="D35" s="335">
        <v>25000</v>
      </c>
      <c r="E35" s="74"/>
    </row>
    <row r="36" spans="1:5">
      <c r="A36" s="46">
        <v>29</v>
      </c>
      <c r="B36" s="46" t="s">
        <v>765</v>
      </c>
      <c r="C36" s="46" t="s">
        <v>744</v>
      </c>
      <c r="D36" s="335">
        <v>25000</v>
      </c>
      <c r="E36" s="74"/>
    </row>
    <row r="37" spans="1:5">
      <c r="A37" s="46">
        <v>30</v>
      </c>
      <c r="B37" s="46" t="s">
        <v>766</v>
      </c>
      <c r="C37" s="46" t="s">
        <v>744</v>
      </c>
      <c r="D37" s="335">
        <v>25000</v>
      </c>
      <c r="E37" s="74"/>
    </row>
    <row r="38" spans="1:5" ht="77">
      <c r="B38" s="337">
        <v>43462</v>
      </c>
      <c r="C38" s="770" t="s">
        <v>753</v>
      </c>
      <c r="D38" s="711"/>
      <c r="E38" s="333">
        <v>200000</v>
      </c>
    </row>
    <row r="39" spans="1:5">
      <c r="A39" s="46">
        <v>31</v>
      </c>
      <c r="B39" s="46" t="s">
        <v>767</v>
      </c>
      <c r="C39" s="46" t="s">
        <v>744</v>
      </c>
      <c r="D39" s="335">
        <v>25000</v>
      </c>
      <c r="E39" s="74"/>
    </row>
    <row r="40" spans="1:5">
      <c r="A40" s="46">
        <v>32</v>
      </c>
      <c r="B40" s="46" t="s">
        <v>768</v>
      </c>
      <c r="C40" s="46" t="s">
        <v>744</v>
      </c>
      <c r="D40" s="335">
        <v>25000</v>
      </c>
      <c r="E40" s="74"/>
    </row>
    <row r="41" spans="1:5">
      <c r="A41" s="46">
        <v>33</v>
      </c>
      <c r="B41" s="46" t="s">
        <v>769</v>
      </c>
      <c r="C41" s="46" t="s">
        <v>744</v>
      </c>
      <c r="D41" s="335">
        <v>25000</v>
      </c>
      <c r="E41" s="74"/>
    </row>
    <row r="42" spans="1:5">
      <c r="A42" s="46">
        <v>34</v>
      </c>
      <c r="B42" s="46" t="s">
        <v>770</v>
      </c>
      <c r="C42" s="46" t="s">
        <v>744</v>
      </c>
      <c r="D42" s="335">
        <v>25000</v>
      </c>
      <c r="E42" s="74"/>
    </row>
    <row r="43" spans="1:5">
      <c r="A43" s="46">
        <v>35</v>
      </c>
      <c r="B43" s="46" t="s">
        <v>771</v>
      </c>
      <c r="C43" s="46" t="s">
        <v>744</v>
      </c>
      <c r="D43" s="335">
        <v>25000</v>
      </c>
      <c r="E43" s="74"/>
    </row>
    <row r="44" spans="1:5">
      <c r="A44" s="46">
        <v>36</v>
      </c>
      <c r="B44" s="46" t="s">
        <v>772</v>
      </c>
      <c r="C44" s="46" t="s">
        <v>744</v>
      </c>
      <c r="D44" s="335">
        <v>25000</v>
      </c>
      <c r="E44" s="74"/>
    </row>
    <row r="45" spans="1:5" ht="77">
      <c r="B45" s="337">
        <v>43631</v>
      </c>
      <c r="C45" s="770" t="s">
        <v>753</v>
      </c>
      <c r="D45" s="711"/>
      <c r="E45" s="333">
        <v>300000</v>
      </c>
    </row>
    <row r="46" spans="1:5">
      <c r="A46" s="46"/>
      <c r="B46" s="46"/>
      <c r="C46" s="46"/>
      <c r="D46" s="335"/>
      <c r="E46" s="74"/>
    </row>
    <row r="47" spans="1:5">
      <c r="A47" s="46"/>
      <c r="B47" s="46"/>
      <c r="C47" s="46"/>
      <c r="D47" s="335"/>
      <c r="E47" s="74"/>
    </row>
    <row r="48" spans="1:5">
      <c r="A48" s="46"/>
      <c r="B48" s="46"/>
      <c r="C48" s="46"/>
      <c r="D48" s="74"/>
      <c r="E48" s="74"/>
    </row>
    <row r="49" spans="1:5">
      <c r="A49" s="771" t="s">
        <v>773</v>
      </c>
      <c r="B49" s="745"/>
      <c r="C49" s="711"/>
      <c r="D49" s="339">
        <f>SUM(D4:D44)</f>
        <v>899402.16</v>
      </c>
      <c r="E49" s="340">
        <f>SUM(E4:E46)</f>
        <v>1900000</v>
      </c>
    </row>
    <row r="51" spans="1:5">
      <c r="C51" s="116" t="s">
        <v>774</v>
      </c>
      <c r="D51" s="335">
        <v>547000</v>
      </c>
    </row>
    <row r="53" spans="1:5">
      <c r="C53" s="46" t="s">
        <v>775</v>
      </c>
      <c r="D53" s="341">
        <f>E3</f>
        <v>2500000</v>
      </c>
    </row>
    <row r="54" spans="1:5">
      <c r="C54" s="46" t="s">
        <v>776</v>
      </c>
      <c r="D54" s="341">
        <f>SUM(D49,E49)</f>
        <v>2799402.16</v>
      </c>
    </row>
    <row r="55" spans="1:5">
      <c r="C55" s="46" t="s">
        <v>777</v>
      </c>
      <c r="D55" s="341">
        <f>SUM(D53-D54)</f>
        <v>-299402.16000000015</v>
      </c>
    </row>
    <row r="56" spans="1:5">
      <c r="C56" s="46" t="s">
        <v>778</v>
      </c>
      <c r="D56" s="342">
        <v>110000</v>
      </c>
    </row>
    <row r="57" spans="1:5">
      <c r="C57" s="46" t="s">
        <v>779</v>
      </c>
      <c r="D57" s="341">
        <f>SUM( (D54+D56) - D53)</f>
        <v>409402.16000000015</v>
      </c>
    </row>
    <row r="58" spans="1:5">
      <c r="C58" s="343" t="s">
        <v>780</v>
      </c>
      <c r="D58" s="85">
        <f ca="1">DAYS360(DATE(2016,5,25),NOW())/12</f>
        <v>278.08333333333331</v>
      </c>
    </row>
    <row r="59" spans="1:5">
      <c r="C59" s="10" t="s">
        <v>781</v>
      </c>
    </row>
    <row r="60" spans="1:5">
      <c r="D60" s="85">
        <f>2500000*8.5/100</f>
        <v>212500</v>
      </c>
      <c r="E60" s="85">
        <f>D60*3</f>
        <v>637500</v>
      </c>
    </row>
    <row r="61" spans="1:5">
      <c r="D61" s="85"/>
      <c r="E61" s="85"/>
    </row>
    <row r="62" spans="1:5">
      <c r="D62" s="85"/>
      <c r="E62" s="85"/>
    </row>
    <row r="63" spans="1:5">
      <c r="D63" s="85"/>
      <c r="E63" s="85"/>
    </row>
    <row r="64" spans="1:5">
      <c r="D64" s="85"/>
      <c r="E64" s="85"/>
    </row>
    <row r="65" spans="4:5">
      <c r="D65" s="85"/>
      <c r="E65" s="85"/>
    </row>
    <row r="66" spans="4:5">
      <c r="D66" s="85"/>
      <c r="E66" s="85"/>
    </row>
    <row r="67" spans="4:5">
      <c r="D67" s="85"/>
      <c r="E67" s="85"/>
    </row>
    <row r="68" spans="4:5">
      <c r="D68" s="85"/>
      <c r="E68" s="85"/>
    </row>
    <row r="69" spans="4:5">
      <c r="D69" s="85"/>
      <c r="E69" s="85"/>
    </row>
    <row r="70" spans="4:5">
      <c r="D70" s="85"/>
      <c r="E70" s="85"/>
    </row>
    <row r="71" spans="4:5">
      <c r="D71" s="85"/>
      <c r="E71" s="85"/>
    </row>
    <row r="72" spans="4:5">
      <c r="D72" s="85"/>
      <c r="E72" s="85"/>
    </row>
    <row r="73" spans="4:5">
      <c r="D73" s="85"/>
      <c r="E73" s="85"/>
    </row>
    <row r="74" spans="4:5">
      <c r="D74" s="85"/>
      <c r="E74" s="85"/>
    </row>
    <row r="75" spans="4:5">
      <c r="D75" s="85"/>
      <c r="E75" s="85"/>
    </row>
    <row r="76" spans="4:5">
      <c r="D76" s="85"/>
      <c r="E76" s="85"/>
    </row>
    <row r="77" spans="4:5">
      <c r="D77" s="85"/>
      <c r="E77" s="85"/>
    </row>
    <row r="78" spans="4:5">
      <c r="D78" s="85"/>
      <c r="E78" s="85"/>
    </row>
    <row r="79" spans="4:5">
      <c r="D79" s="85"/>
      <c r="E79" s="85"/>
    </row>
    <row r="80" spans="4:5">
      <c r="D80" s="85"/>
      <c r="E80" s="85"/>
    </row>
    <row r="81" spans="4:5">
      <c r="D81" s="85"/>
      <c r="E81" s="85"/>
    </row>
    <row r="82" spans="4:5">
      <c r="D82" s="85"/>
      <c r="E82" s="85"/>
    </row>
    <row r="83" spans="4:5">
      <c r="D83" s="85"/>
      <c r="E83" s="85"/>
    </row>
    <row r="84" spans="4:5">
      <c r="D84" s="85"/>
      <c r="E84" s="85"/>
    </row>
    <row r="85" spans="4:5">
      <c r="D85" s="85"/>
      <c r="E85" s="85"/>
    </row>
    <row r="86" spans="4:5">
      <c r="D86" s="85"/>
      <c r="E86" s="85"/>
    </row>
    <row r="87" spans="4:5">
      <c r="D87" s="85"/>
      <c r="E87" s="85"/>
    </row>
    <row r="88" spans="4:5">
      <c r="D88" s="85"/>
      <c r="E88" s="85"/>
    </row>
    <row r="89" spans="4:5">
      <c r="D89" s="85"/>
      <c r="E89" s="85"/>
    </row>
    <row r="90" spans="4:5">
      <c r="D90" s="85"/>
      <c r="E90" s="85"/>
    </row>
    <row r="91" spans="4:5">
      <c r="D91" s="85"/>
      <c r="E91" s="85"/>
    </row>
    <row r="92" spans="4:5">
      <c r="D92" s="85"/>
      <c r="E92" s="85"/>
    </row>
    <row r="93" spans="4:5">
      <c r="D93" s="85"/>
      <c r="E93" s="85"/>
    </row>
    <row r="94" spans="4:5">
      <c r="D94" s="85"/>
      <c r="E94" s="85"/>
    </row>
    <row r="95" spans="4:5">
      <c r="D95" s="85"/>
      <c r="E95" s="85"/>
    </row>
    <row r="96" spans="4:5">
      <c r="D96" s="85"/>
      <c r="E96" s="85"/>
    </row>
    <row r="97" spans="4:5">
      <c r="D97" s="85"/>
      <c r="E97" s="85"/>
    </row>
    <row r="98" spans="4:5">
      <c r="D98" s="85"/>
      <c r="E98" s="85"/>
    </row>
    <row r="99" spans="4:5">
      <c r="D99" s="85"/>
      <c r="E99" s="85"/>
    </row>
    <row r="100" spans="4:5">
      <c r="D100" s="85"/>
      <c r="E100" s="85"/>
    </row>
    <row r="101" spans="4:5">
      <c r="D101" s="85"/>
      <c r="E101" s="85"/>
    </row>
    <row r="102" spans="4:5">
      <c r="D102" s="85"/>
      <c r="E102" s="85"/>
    </row>
    <row r="103" spans="4:5">
      <c r="D103" s="85"/>
      <c r="E103" s="85"/>
    </row>
    <row r="104" spans="4:5">
      <c r="D104" s="85"/>
      <c r="E104" s="85"/>
    </row>
    <row r="105" spans="4:5">
      <c r="D105" s="85"/>
      <c r="E105" s="85"/>
    </row>
    <row r="106" spans="4:5">
      <c r="D106" s="85"/>
      <c r="E106" s="85"/>
    </row>
    <row r="107" spans="4:5">
      <c r="D107" s="85"/>
      <c r="E107" s="85"/>
    </row>
    <row r="108" spans="4:5">
      <c r="D108" s="85"/>
      <c r="E108" s="85"/>
    </row>
    <row r="109" spans="4:5">
      <c r="D109" s="85"/>
      <c r="E109" s="85"/>
    </row>
    <row r="110" spans="4:5">
      <c r="D110" s="85"/>
      <c r="E110" s="85"/>
    </row>
    <row r="111" spans="4:5">
      <c r="D111" s="85"/>
      <c r="E111" s="85"/>
    </row>
    <row r="112" spans="4:5">
      <c r="D112" s="85"/>
      <c r="E112" s="85"/>
    </row>
    <row r="113" spans="4:5">
      <c r="D113" s="85"/>
      <c r="E113" s="85"/>
    </row>
    <row r="114" spans="4:5">
      <c r="D114" s="85"/>
      <c r="E114" s="85"/>
    </row>
    <row r="115" spans="4:5">
      <c r="D115" s="85"/>
      <c r="E115" s="85"/>
    </row>
    <row r="116" spans="4:5">
      <c r="D116" s="85"/>
      <c r="E116" s="85"/>
    </row>
    <row r="117" spans="4:5">
      <c r="D117" s="85"/>
      <c r="E117" s="85"/>
    </row>
    <row r="118" spans="4:5">
      <c r="D118" s="85"/>
      <c r="E118" s="85"/>
    </row>
    <row r="119" spans="4:5">
      <c r="D119" s="85"/>
      <c r="E119" s="85"/>
    </row>
    <row r="120" spans="4:5">
      <c r="D120" s="85"/>
      <c r="E120" s="85"/>
    </row>
    <row r="121" spans="4:5">
      <c r="D121" s="85"/>
      <c r="E121" s="85"/>
    </row>
    <row r="122" spans="4:5">
      <c r="D122" s="85"/>
      <c r="E122" s="85"/>
    </row>
    <row r="123" spans="4:5">
      <c r="D123" s="85"/>
      <c r="E123" s="85"/>
    </row>
    <row r="124" spans="4:5">
      <c r="D124" s="85"/>
      <c r="E124" s="85"/>
    </row>
    <row r="125" spans="4:5">
      <c r="D125" s="85"/>
      <c r="E125" s="85"/>
    </row>
    <row r="126" spans="4:5">
      <c r="D126" s="85"/>
      <c r="E126" s="85"/>
    </row>
    <row r="127" spans="4:5">
      <c r="D127" s="85"/>
      <c r="E127" s="85"/>
    </row>
    <row r="128" spans="4:5">
      <c r="D128" s="85"/>
      <c r="E128" s="85"/>
    </row>
    <row r="129" spans="4:5">
      <c r="D129" s="85"/>
      <c r="E129" s="85"/>
    </row>
    <row r="130" spans="4:5">
      <c r="D130" s="85"/>
      <c r="E130" s="85"/>
    </row>
    <row r="131" spans="4:5">
      <c r="D131" s="85"/>
      <c r="E131" s="85"/>
    </row>
    <row r="132" spans="4:5">
      <c r="D132" s="85"/>
      <c r="E132" s="85"/>
    </row>
    <row r="133" spans="4:5">
      <c r="D133" s="85"/>
      <c r="E133" s="85"/>
    </row>
    <row r="134" spans="4:5">
      <c r="D134" s="85"/>
      <c r="E134" s="85"/>
    </row>
    <row r="135" spans="4:5">
      <c r="D135" s="85"/>
      <c r="E135" s="85"/>
    </row>
    <row r="136" spans="4:5">
      <c r="D136" s="85"/>
      <c r="E136" s="85"/>
    </row>
    <row r="137" spans="4:5">
      <c r="D137" s="85"/>
      <c r="E137" s="85"/>
    </row>
    <row r="138" spans="4:5">
      <c r="D138" s="85"/>
      <c r="E138" s="85"/>
    </row>
    <row r="139" spans="4:5">
      <c r="D139" s="85"/>
      <c r="E139" s="85"/>
    </row>
    <row r="140" spans="4:5">
      <c r="D140" s="85"/>
      <c r="E140" s="85"/>
    </row>
    <row r="141" spans="4:5">
      <c r="D141" s="85"/>
      <c r="E141" s="85"/>
    </row>
    <row r="142" spans="4:5">
      <c r="D142" s="85"/>
      <c r="E142" s="85"/>
    </row>
    <row r="143" spans="4:5">
      <c r="D143" s="85"/>
      <c r="E143" s="85"/>
    </row>
    <row r="144" spans="4:5">
      <c r="D144" s="85"/>
      <c r="E144" s="85"/>
    </row>
    <row r="145" spans="4:5">
      <c r="D145" s="85"/>
      <c r="E145" s="85"/>
    </row>
    <row r="146" spans="4:5">
      <c r="D146" s="85"/>
      <c r="E146" s="85"/>
    </row>
    <row r="147" spans="4:5">
      <c r="D147" s="85"/>
      <c r="E147" s="85"/>
    </row>
    <row r="148" spans="4:5">
      <c r="D148" s="85"/>
      <c r="E148" s="85"/>
    </row>
    <row r="149" spans="4:5">
      <c r="D149" s="85"/>
      <c r="E149" s="85"/>
    </row>
    <row r="150" spans="4:5">
      <c r="D150" s="85"/>
      <c r="E150" s="85"/>
    </row>
    <row r="151" spans="4:5">
      <c r="D151" s="85"/>
      <c r="E151" s="85"/>
    </row>
    <row r="152" spans="4:5">
      <c r="D152" s="85"/>
      <c r="E152" s="85"/>
    </row>
    <row r="153" spans="4:5">
      <c r="D153" s="85"/>
      <c r="E153" s="85"/>
    </row>
    <row r="154" spans="4:5">
      <c r="D154" s="85"/>
      <c r="E154" s="85"/>
    </row>
    <row r="155" spans="4:5">
      <c r="D155" s="85"/>
      <c r="E155" s="85"/>
    </row>
    <row r="156" spans="4:5">
      <c r="D156" s="85"/>
      <c r="E156" s="85"/>
    </row>
    <row r="157" spans="4:5">
      <c r="D157" s="85"/>
      <c r="E157" s="85"/>
    </row>
    <row r="158" spans="4:5">
      <c r="D158" s="85"/>
      <c r="E158" s="85"/>
    </row>
    <row r="159" spans="4:5">
      <c r="D159" s="85"/>
      <c r="E159" s="85"/>
    </row>
    <row r="160" spans="4:5">
      <c r="D160" s="85"/>
      <c r="E160" s="85"/>
    </row>
    <row r="161" spans="4:5">
      <c r="D161" s="85"/>
      <c r="E161" s="85"/>
    </row>
    <row r="162" spans="4:5">
      <c r="D162" s="85"/>
      <c r="E162" s="85"/>
    </row>
    <row r="163" spans="4:5">
      <c r="D163" s="85"/>
      <c r="E163" s="85"/>
    </row>
    <row r="164" spans="4:5">
      <c r="D164" s="85"/>
      <c r="E164" s="85"/>
    </row>
    <row r="165" spans="4:5">
      <c r="D165" s="85"/>
      <c r="E165" s="85"/>
    </row>
    <row r="166" spans="4:5">
      <c r="D166" s="85"/>
      <c r="E166" s="85"/>
    </row>
    <row r="167" spans="4:5">
      <c r="D167" s="85"/>
      <c r="E167" s="85"/>
    </row>
    <row r="168" spans="4:5">
      <c r="D168" s="85"/>
      <c r="E168" s="85"/>
    </row>
    <row r="169" spans="4:5">
      <c r="D169" s="85"/>
      <c r="E169" s="85"/>
    </row>
    <row r="170" spans="4:5">
      <c r="D170" s="85"/>
      <c r="E170" s="85"/>
    </row>
    <row r="171" spans="4:5">
      <c r="D171" s="85"/>
      <c r="E171" s="85"/>
    </row>
    <row r="172" spans="4:5">
      <c r="D172" s="85"/>
      <c r="E172" s="85"/>
    </row>
    <row r="173" spans="4:5">
      <c r="D173" s="85"/>
      <c r="E173" s="85"/>
    </row>
    <row r="174" spans="4:5">
      <c r="D174" s="85"/>
      <c r="E174" s="85"/>
    </row>
    <row r="175" spans="4:5">
      <c r="D175" s="85"/>
      <c r="E175" s="85"/>
    </row>
    <row r="176" spans="4:5">
      <c r="D176" s="85"/>
      <c r="E176" s="85"/>
    </row>
    <row r="177" spans="4:5">
      <c r="D177" s="85"/>
      <c r="E177" s="85"/>
    </row>
    <row r="178" spans="4:5">
      <c r="D178" s="85"/>
      <c r="E178" s="85"/>
    </row>
    <row r="179" spans="4:5">
      <c r="D179" s="85"/>
      <c r="E179" s="85"/>
    </row>
    <row r="180" spans="4:5">
      <c r="D180" s="85"/>
      <c r="E180" s="85"/>
    </row>
    <row r="181" spans="4:5">
      <c r="D181" s="85"/>
      <c r="E181" s="85"/>
    </row>
    <row r="182" spans="4:5">
      <c r="D182" s="85"/>
      <c r="E182" s="85"/>
    </row>
    <row r="183" spans="4:5">
      <c r="D183" s="85"/>
      <c r="E183" s="85"/>
    </row>
    <row r="184" spans="4:5">
      <c r="D184" s="85"/>
      <c r="E184" s="85"/>
    </row>
    <row r="185" spans="4:5">
      <c r="D185" s="85"/>
      <c r="E185" s="85"/>
    </row>
    <row r="186" spans="4:5">
      <c r="D186" s="85"/>
      <c r="E186" s="85"/>
    </row>
    <row r="187" spans="4:5">
      <c r="D187" s="85"/>
      <c r="E187" s="85"/>
    </row>
    <row r="188" spans="4:5">
      <c r="D188" s="85"/>
      <c r="E188" s="85"/>
    </row>
    <row r="189" spans="4:5">
      <c r="D189" s="85"/>
      <c r="E189" s="85"/>
    </row>
    <row r="190" spans="4:5">
      <c r="D190" s="85"/>
      <c r="E190" s="85"/>
    </row>
    <row r="191" spans="4:5">
      <c r="D191" s="85"/>
      <c r="E191" s="85"/>
    </row>
    <row r="192" spans="4:5">
      <c r="D192" s="85"/>
      <c r="E192" s="85"/>
    </row>
    <row r="193" spans="4:5">
      <c r="D193" s="85"/>
      <c r="E193" s="85"/>
    </row>
    <row r="194" spans="4:5">
      <c r="D194" s="85"/>
      <c r="E194" s="85"/>
    </row>
    <row r="195" spans="4:5">
      <c r="D195" s="85"/>
      <c r="E195" s="85"/>
    </row>
    <row r="196" spans="4:5">
      <c r="D196" s="85"/>
      <c r="E196" s="85"/>
    </row>
    <row r="197" spans="4:5">
      <c r="D197" s="85"/>
      <c r="E197" s="85"/>
    </row>
    <row r="198" spans="4:5">
      <c r="D198" s="85"/>
      <c r="E198" s="85"/>
    </row>
    <row r="199" spans="4:5">
      <c r="D199" s="85"/>
      <c r="E199" s="85"/>
    </row>
    <row r="200" spans="4:5">
      <c r="D200" s="85"/>
      <c r="E200" s="85"/>
    </row>
    <row r="201" spans="4:5">
      <c r="D201" s="85"/>
      <c r="E201" s="85"/>
    </row>
    <row r="202" spans="4:5">
      <c r="D202" s="85"/>
      <c r="E202" s="85"/>
    </row>
    <row r="203" spans="4:5">
      <c r="D203" s="85"/>
      <c r="E203" s="85"/>
    </row>
    <row r="204" spans="4:5">
      <c r="D204" s="85"/>
      <c r="E204" s="85"/>
    </row>
    <row r="205" spans="4:5">
      <c r="D205" s="85"/>
      <c r="E205" s="85"/>
    </row>
    <row r="206" spans="4:5">
      <c r="D206" s="85"/>
      <c r="E206" s="85"/>
    </row>
    <row r="207" spans="4:5">
      <c r="D207" s="85"/>
      <c r="E207" s="85"/>
    </row>
    <row r="208" spans="4:5">
      <c r="D208" s="85"/>
      <c r="E208" s="85"/>
    </row>
    <row r="209" spans="4:5">
      <c r="D209" s="85"/>
      <c r="E209" s="85"/>
    </row>
    <row r="210" spans="4:5">
      <c r="D210" s="85"/>
      <c r="E210" s="85"/>
    </row>
    <row r="211" spans="4:5">
      <c r="D211" s="85"/>
      <c r="E211" s="85"/>
    </row>
    <row r="212" spans="4:5">
      <c r="D212" s="85"/>
      <c r="E212" s="85"/>
    </row>
    <row r="213" spans="4:5">
      <c r="D213" s="85"/>
      <c r="E213" s="85"/>
    </row>
    <row r="214" spans="4:5">
      <c r="D214" s="85"/>
      <c r="E214" s="85"/>
    </row>
    <row r="215" spans="4:5">
      <c r="D215" s="85"/>
      <c r="E215" s="85"/>
    </row>
    <row r="216" spans="4:5">
      <c r="D216" s="85"/>
      <c r="E216" s="85"/>
    </row>
    <row r="217" spans="4:5">
      <c r="D217" s="85"/>
      <c r="E217" s="85"/>
    </row>
    <row r="218" spans="4:5">
      <c r="D218" s="85"/>
      <c r="E218" s="85"/>
    </row>
    <row r="219" spans="4:5">
      <c r="D219" s="85"/>
      <c r="E219" s="85"/>
    </row>
    <row r="220" spans="4:5">
      <c r="D220" s="85"/>
      <c r="E220" s="85"/>
    </row>
    <row r="221" spans="4:5">
      <c r="D221" s="85"/>
      <c r="E221" s="85"/>
    </row>
    <row r="222" spans="4:5">
      <c r="D222" s="85"/>
      <c r="E222" s="85"/>
    </row>
    <row r="223" spans="4:5">
      <c r="D223" s="85"/>
      <c r="E223" s="85"/>
    </row>
    <row r="224" spans="4:5">
      <c r="D224" s="85"/>
      <c r="E224" s="85"/>
    </row>
    <row r="225" spans="4:5">
      <c r="D225" s="85"/>
      <c r="E225" s="85"/>
    </row>
    <row r="226" spans="4:5">
      <c r="D226" s="85"/>
      <c r="E226" s="85"/>
    </row>
    <row r="227" spans="4:5">
      <c r="D227" s="85"/>
      <c r="E227" s="85"/>
    </row>
    <row r="228" spans="4:5">
      <c r="D228" s="85"/>
      <c r="E228" s="85"/>
    </row>
    <row r="229" spans="4:5">
      <c r="D229" s="85"/>
      <c r="E229" s="85"/>
    </row>
    <row r="230" spans="4:5">
      <c r="D230" s="85"/>
      <c r="E230" s="85"/>
    </row>
    <row r="231" spans="4:5">
      <c r="D231" s="85"/>
      <c r="E231" s="85"/>
    </row>
    <row r="232" spans="4:5">
      <c r="D232" s="85"/>
      <c r="E232" s="85"/>
    </row>
    <row r="233" spans="4:5">
      <c r="D233" s="85"/>
      <c r="E233" s="85"/>
    </row>
    <row r="234" spans="4:5">
      <c r="D234" s="85"/>
      <c r="E234" s="85"/>
    </row>
    <row r="235" spans="4:5">
      <c r="D235" s="85"/>
      <c r="E235" s="85"/>
    </row>
    <row r="236" spans="4:5">
      <c r="D236" s="85"/>
      <c r="E236" s="85"/>
    </row>
    <row r="237" spans="4:5">
      <c r="D237" s="85"/>
      <c r="E237" s="85"/>
    </row>
    <row r="238" spans="4:5">
      <c r="D238" s="85"/>
      <c r="E238" s="85"/>
    </row>
    <row r="239" spans="4:5">
      <c r="D239" s="85"/>
      <c r="E239" s="85"/>
    </row>
    <row r="240" spans="4:5">
      <c r="D240" s="85"/>
      <c r="E240" s="85"/>
    </row>
    <row r="241" spans="4:5">
      <c r="D241" s="85"/>
      <c r="E241" s="85"/>
    </row>
    <row r="242" spans="4:5">
      <c r="D242" s="85"/>
      <c r="E242" s="85"/>
    </row>
    <row r="243" spans="4:5">
      <c r="D243" s="85"/>
      <c r="E243" s="85"/>
    </row>
    <row r="244" spans="4:5">
      <c r="D244" s="85"/>
      <c r="E244" s="85"/>
    </row>
    <row r="245" spans="4:5">
      <c r="D245" s="85"/>
      <c r="E245" s="85"/>
    </row>
    <row r="246" spans="4:5">
      <c r="D246" s="85"/>
      <c r="E246" s="85"/>
    </row>
    <row r="247" spans="4:5">
      <c r="D247" s="85"/>
      <c r="E247" s="85"/>
    </row>
    <row r="248" spans="4:5">
      <c r="D248" s="85"/>
      <c r="E248" s="85"/>
    </row>
    <row r="249" spans="4:5">
      <c r="D249" s="85"/>
      <c r="E249" s="85"/>
    </row>
    <row r="250" spans="4:5">
      <c r="D250" s="85"/>
      <c r="E250" s="85"/>
    </row>
    <row r="251" spans="4:5">
      <c r="D251" s="85"/>
      <c r="E251" s="85"/>
    </row>
    <row r="252" spans="4:5">
      <c r="D252" s="85"/>
      <c r="E252" s="85"/>
    </row>
    <row r="253" spans="4:5">
      <c r="D253" s="85"/>
      <c r="E253" s="85"/>
    </row>
    <row r="254" spans="4:5">
      <c r="D254" s="85"/>
      <c r="E254" s="85"/>
    </row>
    <row r="255" spans="4:5">
      <c r="D255" s="85"/>
      <c r="E255" s="85"/>
    </row>
    <row r="256" spans="4:5">
      <c r="D256" s="85"/>
      <c r="E256" s="85"/>
    </row>
    <row r="257" spans="4:5">
      <c r="D257" s="85"/>
      <c r="E257" s="85"/>
    </row>
    <row r="258" spans="4:5">
      <c r="D258" s="85"/>
      <c r="E258" s="85"/>
    </row>
    <row r="259" spans="4:5">
      <c r="D259" s="85"/>
      <c r="E259" s="85"/>
    </row>
    <row r="260" spans="4:5">
      <c r="D260" s="85"/>
      <c r="E260" s="85"/>
    </row>
    <row r="261" spans="4:5">
      <c r="D261" s="85"/>
      <c r="E261" s="85"/>
    </row>
    <row r="262" spans="4:5">
      <c r="D262" s="85"/>
      <c r="E262" s="85"/>
    </row>
    <row r="263" spans="4:5">
      <c r="D263" s="85"/>
      <c r="E263" s="85"/>
    </row>
    <row r="264" spans="4:5">
      <c r="D264" s="85"/>
      <c r="E264" s="85"/>
    </row>
    <row r="265" spans="4:5">
      <c r="D265" s="85"/>
      <c r="E265" s="85"/>
    </row>
    <row r="266" spans="4:5">
      <c r="D266" s="85"/>
      <c r="E266" s="85"/>
    </row>
    <row r="267" spans="4:5">
      <c r="D267" s="85"/>
      <c r="E267" s="85"/>
    </row>
    <row r="268" spans="4:5">
      <c r="D268" s="85"/>
      <c r="E268" s="85"/>
    </row>
    <row r="269" spans="4:5">
      <c r="D269" s="85"/>
      <c r="E269" s="85"/>
    </row>
    <row r="270" spans="4:5">
      <c r="D270" s="85"/>
      <c r="E270" s="85"/>
    </row>
    <row r="271" spans="4:5">
      <c r="D271" s="85"/>
      <c r="E271" s="85"/>
    </row>
    <row r="272" spans="4:5">
      <c r="D272" s="85"/>
      <c r="E272" s="85"/>
    </row>
    <row r="273" spans="4:5">
      <c r="D273" s="85"/>
      <c r="E273" s="85"/>
    </row>
    <row r="274" spans="4:5">
      <c r="D274" s="85"/>
      <c r="E274" s="85"/>
    </row>
    <row r="275" spans="4:5">
      <c r="D275" s="85"/>
      <c r="E275" s="85"/>
    </row>
    <row r="276" spans="4:5">
      <c r="D276" s="85"/>
      <c r="E276" s="85"/>
    </row>
    <row r="277" spans="4:5">
      <c r="D277" s="85"/>
      <c r="E277" s="85"/>
    </row>
    <row r="278" spans="4:5">
      <c r="D278" s="85"/>
      <c r="E278" s="85"/>
    </row>
    <row r="279" spans="4:5">
      <c r="D279" s="85"/>
      <c r="E279" s="85"/>
    </row>
    <row r="280" spans="4:5">
      <c r="D280" s="85"/>
      <c r="E280" s="85"/>
    </row>
    <row r="281" spans="4:5">
      <c r="D281" s="85"/>
      <c r="E281" s="85"/>
    </row>
    <row r="282" spans="4:5">
      <c r="D282" s="85"/>
      <c r="E282" s="85"/>
    </row>
    <row r="283" spans="4:5">
      <c r="D283" s="85"/>
      <c r="E283" s="85"/>
    </row>
    <row r="284" spans="4:5">
      <c r="D284" s="85"/>
      <c r="E284" s="85"/>
    </row>
    <row r="285" spans="4:5">
      <c r="D285" s="85"/>
      <c r="E285" s="85"/>
    </row>
    <row r="286" spans="4:5">
      <c r="D286" s="85"/>
      <c r="E286" s="85"/>
    </row>
    <row r="287" spans="4:5">
      <c r="D287" s="85"/>
      <c r="E287" s="85"/>
    </row>
    <row r="288" spans="4:5">
      <c r="D288" s="85"/>
      <c r="E288" s="85"/>
    </row>
    <row r="289" spans="4:5">
      <c r="D289" s="85"/>
      <c r="E289" s="85"/>
    </row>
    <row r="290" spans="4:5">
      <c r="D290" s="85"/>
      <c r="E290" s="85"/>
    </row>
    <row r="291" spans="4:5">
      <c r="D291" s="85"/>
      <c r="E291" s="85"/>
    </row>
    <row r="292" spans="4:5">
      <c r="D292" s="85"/>
      <c r="E292" s="85"/>
    </row>
    <row r="293" spans="4:5">
      <c r="D293" s="85"/>
      <c r="E293" s="85"/>
    </row>
    <row r="294" spans="4:5">
      <c r="D294" s="85"/>
      <c r="E294" s="85"/>
    </row>
    <row r="295" spans="4:5">
      <c r="D295" s="85"/>
      <c r="E295" s="85"/>
    </row>
    <row r="296" spans="4:5">
      <c r="D296" s="85"/>
      <c r="E296" s="85"/>
    </row>
    <row r="297" spans="4:5">
      <c r="D297" s="85"/>
      <c r="E297" s="85"/>
    </row>
    <row r="298" spans="4:5">
      <c r="D298" s="85"/>
      <c r="E298" s="85"/>
    </row>
    <row r="299" spans="4:5">
      <c r="D299" s="85"/>
      <c r="E299" s="85"/>
    </row>
    <row r="300" spans="4:5">
      <c r="D300" s="85"/>
      <c r="E300" s="85"/>
    </row>
    <row r="301" spans="4:5">
      <c r="D301" s="85"/>
      <c r="E301" s="85"/>
    </row>
    <row r="302" spans="4:5">
      <c r="D302" s="85"/>
      <c r="E302" s="85"/>
    </row>
    <row r="303" spans="4:5">
      <c r="D303" s="85"/>
      <c r="E303" s="85"/>
    </row>
    <row r="304" spans="4:5">
      <c r="D304" s="85"/>
      <c r="E304" s="85"/>
    </row>
    <row r="305" spans="4:5">
      <c r="D305" s="85"/>
      <c r="E305" s="85"/>
    </row>
    <row r="306" spans="4:5">
      <c r="D306" s="85"/>
      <c r="E306" s="85"/>
    </row>
    <row r="307" spans="4:5">
      <c r="D307" s="85"/>
      <c r="E307" s="85"/>
    </row>
    <row r="308" spans="4:5">
      <c r="D308" s="85"/>
      <c r="E308" s="85"/>
    </row>
    <row r="309" spans="4:5">
      <c r="D309" s="85"/>
      <c r="E309" s="85"/>
    </row>
    <row r="310" spans="4:5">
      <c r="D310" s="85"/>
      <c r="E310" s="85"/>
    </row>
    <row r="311" spans="4:5">
      <c r="D311" s="85"/>
      <c r="E311" s="85"/>
    </row>
    <row r="312" spans="4:5">
      <c r="D312" s="85"/>
      <c r="E312" s="85"/>
    </row>
    <row r="313" spans="4:5">
      <c r="D313" s="85"/>
      <c r="E313" s="85"/>
    </row>
    <row r="314" spans="4:5">
      <c r="D314" s="85"/>
      <c r="E314" s="85"/>
    </row>
    <row r="315" spans="4:5">
      <c r="D315" s="85"/>
      <c r="E315" s="85"/>
    </row>
    <row r="316" spans="4:5">
      <c r="D316" s="85"/>
      <c r="E316" s="85"/>
    </row>
    <row r="317" spans="4:5">
      <c r="D317" s="85"/>
      <c r="E317" s="85"/>
    </row>
    <row r="318" spans="4:5">
      <c r="D318" s="85"/>
      <c r="E318" s="85"/>
    </row>
    <row r="319" spans="4:5">
      <c r="D319" s="85"/>
      <c r="E319" s="85"/>
    </row>
    <row r="320" spans="4:5">
      <c r="D320" s="85"/>
      <c r="E320" s="85"/>
    </row>
    <row r="321" spans="4:5">
      <c r="D321" s="85"/>
      <c r="E321" s="85"/>
    </row>
    <row r="322" spans="4:5">
      <c r="D322" s="85"/>
      <c r="E322" s="85"/>
    </row>
    <row r="323" spans="4:5">
      <c r="D323" s="85"/>
      <c r="E323" s="85"/>
    </row>
    <row r="324" spans="4:5">
      <c r="D324" s="85"/>
      <c r="E324" s="85"/>
    </row>
    <row r="325" spans="4:5">
      <c r="D325" s="85"/>
      <c r="E325" s="85"/>
    </row>
    <row r="326" spans="4:5">
      <c r="D326" s="85"/>
      <c r="E326" s="85"/>
    </row>
    <row r="327" spans="4:5">
      <c r="D327" s="85"/>
      <c r="E327" s="85"/>
    </row>
    <row r="328" spans="4:5">
      <c r="D328" s="85"/>
      <c r="E328" s="85"/>
    </row>
    <row r="329" spans="4:5">
      <c r="D329" s="85"/>
      <c r="E329" s="85"/>
    </row>
    <row r="330" spans="4:5">
      <c r="D330" s="85"/>
      <c r="E330" s="85"/>
    </row>
    <row r="331" spans="4:5">
      <c r="D331" s="85"/>
      <c r="E331" s="85"/>
    </row>
    <row r="332" spans="4:5">
      <c r="D332" s="85"/>
      <c r="E332" s="85"/>
    </row>
    <row r="333" spans="4:5">
      <c r="D333" s="85"/>
      <c r="E333" s="85"/>
    </row>
    <row r="334" spans="4:5">
      <c r="D334" s="85"/>
      <c r="E334" s="85"/>
    </row>
    <row r="335" spans="4:5">
      <c r="D335" s="85"/>
      <c r="E335" s="85"/>
    </row>
    <row r="336" spans="4:5">
      <c r="D336" s="85"/>
      <c r="E336" s="85"/>
    </row>
    <row r="337" spans="4:5">
      <c r="D337" s="85"/>
      <c r="E337" s="85"/>
    </row>
    <row r="338" spans="4:5">
      <c r="D338" s="85"/>
      <c r="E338" s="85"/>
    </row>
    <row r="339" spans="4:5">
      <c r="D339" s="85"/>
      <c r="E339" s="85"/>
    </row>
    <row r="340" spans="4:5">
      <c r="D340" s="85"/>
      <c r="E340" s="85"/>
    </row>
    <row r="341" spans="4:5">
      <c r="D341" s="85"/>
      <c r="E341" s="85"/>
    </row>
    <row r="342" spans="4:5">
      <c r="D342" s="85"/>
      <c r="E342" s="85"/>
    </row>
    <row r="343" spans="4:5">
      <c r="D343" s="85"/>
      <c r="E343" s="85"/>
    </row>
    <row r="344" spans="4:5">
      <c r="D344" s="85"/>
      <c r="E344" s="85"/>
    </row>
    <row r="345" spans="4:5">
      <c r="D345" s="85"/>
      <c r="E345" s="85"/>
    </row>
    <row r="346" spans="4:5">
      <c r="D346" s="85"/>
      <c r="E346" s="85"/>
    </row>
    <row r="347" spans="4:5">
      <c r="D347" s="85"/>
      <c r="E347" s="85"/>
    </row>
    <row r="348" spans="4:5">
      <c r="D348" s="85"/>
      <c r="E348" s="85"/>
    </row>
    <row r="349" spans="4:5">
      <c r="D349" s="85"/>
      <c r="E349" s="85"/>
    </row>
    <row r="350" spans="4:5">
      <c r="D350" s="85"/>
      <c r="E350" s="85"/>
    </row>
    <row r="351" spans="4:5">
      <c r="D351" s="85"/>
      <c r="E351" s="85"/>
    </row>
    <row r="352" spans="4:5">
      <c r="D352" s="85"/>
      <c r="E352" s="85"/>
    </row>
    <row r="353" spans="4:5">
      <c r="D353" s="85"/>
      <c r="E353" s="85"/>
    </row>
    <row r="354" spans="4:5">
      <c r="D354" s="85"/>
      <c r="E354" s="85"/>
    </row>
    <row r="355" spans="4:5">
      <c r="D355" s="85"/>
      <c r="E355" s="85"/>
    </row>
    <row r="356" spans="4:5">
      <c r="D356" s="85"/>
      <c r="E356" s="85"/>
    </row>
    <row r="357" spans="4:5">
      <c r="D357" s="85"/>
      <c r="E357" s="85"/>
    </row>
    <row r="358" spans="4:5">
      <c r="D358" s="85"/>
      <c r="E358" s="85"/>
    </row>
    <row r="359" spans="4:5">
      <c r="D359" s="85"/>
      <c r="E359" s="85"/>
    </row>
    <row r="360" spans="4:5">
      <c r="D360" s="85"/>
      <c r="E360" s="85"/>
    </row>
    <row r="361" spans="4:5">
      <c r="D361" s="85"/>
      <c r="E361" s="85"/>
    </row>
    <row r="362" spans="4:5">
      <c r="D362" s="85"/>
      <c r="E362" s="85"/>
    </row>
    <row r="363" spans="4:5">
      <c r="D363" s="85"/>
      <c r="E363" s="85"/>
    </row>
    <row r="364" spans="4:5">
      <c r="D364" s="85"/>
      <c r="E364" s="85"/>
    </row>
    <row r="365" spans="4:5">
      <c r="D365" s="85"/>
      <c r="E365" s="85"/>
    </row>
    <row r="366" spans="4:5">
      <c r="D366" s="85"/>
      <c r="E366" s="85"/>
    </row>
    <row r="367" spans="4:5">
      <c r="D367" s="85"/>
      <c r="E367" s="85"/>
    </row>
    <row r="368" spans="4:5">
      <c r="D368" s="85"/>
      <c r="E368" s="85"/>
    </row>
    <row r="369" spans="4:5">
      <c r="D369" s="85"/>
      <c r="E369" s="85"/>
    </row>
    <row r="370" spans="4:5">
      <c r="D370" s="85"/>
      <c r="E370" s="85"/>
    </row>
    <row r="371" spans="4:5">
      <c r="D371" s="85"/>
      <c r="E371" s="85"/>
    </row>
    <row r="372" spans="4:5">
      <c r="D372" s="85"/>
      <c r="E372" s="85"/>
    </row>
    <row r="373" spans="4:5">
      <c r="D373" s="85"/>
      <c r="E373" s="85"/>
    </row>
    <row r="374" spans="4:5">
      <c r="D374" s="85"/>
      <c r="E374" s="85"/>
    </row>
    <row r="375" spans="4:5">
      <c r="D375" s="85"/>
      <c r="E375" s="85"/>
    </row>
    <row r="376" spans="4:5">
      <c r="D376" s="85"/>
      <c r="E376" s="85"/>
    </row>
    <row r="377" spans="4:5">
      <c r="D377" s="85"/>
      <c r="E377" s="85"/>
    </row>
    <row r="378" spans="4:5">
      <c r="D378" s="85"/>
      <c r="E378" s="85"/>
    </row>
    <row r="379" spans="4:5">
      <c r="D379" s="85"/>
      <c r="E379" s="85"/>
    </row>
    <row r="380" spans="4:5">
      <c r="D380" s="85"/>
      <c r="E380" s="85"/>
    </row>
    <row r="381" spans="4:5">
      <c r="D381" s="85"/>
      <c r="E381" s="85"/>
    </row>
    <row r="382" spans="4:5">
      <c r="D382" s="85"/>
      <c r="E382" s="85"/>
    </row>
    <row r="383" spans="4:5">
      <c r="D383" s="85"/>
      <c r="E383" s="85"/>
    </row>
    <row r="384" spans="4:5">
      <c r="D384" s="85"/>
      <c r="E384" s="85"/>
    </row>
    <row r="385" spans="4:5">
      <c r="D385" s="85"/>
      <c r="E385" s="85"/>
    </row>
    <row r="386" spans="4:5">
      <c r="D386" s="85"/>
      <c r="E386" s="85"/>
    </row>
    <row r="387" spans="4:5">
      <c r="D387" s="85"/>
      <c r="E387" s="85"/>
    </row>
    <row r="388" spans="4:5">
      <c r="D388" s="85"/>
      <c r="E388" s="85"/>
    </row>
    <row r="389" spans="4:5">
      <c r="D389" s="85"/>
      <c r="E389" s="85"/>
    </row>
    <row r="390" spans="4:5">
      <c r="D390" s="85"/>
      <c r="E390" s="85"/>
    </row>
    <row r="391" spans="4:5">
      <c r="D391" s="85"/>
      <c r="E391" s="85"/>
    </row>
    <row r="392" spans="4:5">
      <c r="D392" s="85"/>
      <c r="E392" s="85"/>
    </row>
    <row r="393" spans="4:5">
      <c r="D393" s="85"/>
      <c r="E393" s="85"/>
    </row>
    <row r="394" spans="4:5">
      <c r="D394" s="85"/>
      <c r="E394" s="85"/>
    </row>
    <row r="395" spans="4:5">
      <c r="D395" s="85"/>
      <c r="E395" s="85"/>
    </row>
    <row r="396" spans="4:5">
      <c r="D396" s="85"/>
      <c r="E396" s="85"/>
    </row>
    <row r="397" spans="4:5">
      <c r="D397" s="85"/>
      <c r="E397" s="85"/>
    </row>
    <row r="398" spans="4:5">
      <c r="D398" s="85"/>
      <c r="E398" s="85"/>
    </row>
    <row r="399" spans="4:5">
      <c r="D399" s="85"/>
      <c r="E399" s="85"/>
    </row>
    <row r="400" spans="4:5">
      <c r="D400" s="85"/>
      <c r="E400" s="85"/>
    </row>
    <row r="401" spans="4:5">
      <c r="D401" s="85"/>
      <c r="E401" s="85"/>
    </row>
    <row r="402" spans="4:5">
      <c r="D402" s="85"/>
      <c r="E402" s="85"/>
    </row>
    <row r="403" spans="4:5">
      <c r="D403" s="85"/>
      <c r="E403" s="85"/>
    </row>
    <row r="404" spans="4:5">
      <c r="D404" s="85"/>
      <c r="E404" s="85"/>
    </row>
    <row r="405" spans="4:5">
      <c r="D405" s="85"/>
      <c r="E405" s="85"/>
    </row>
    <row r="406" spans="4:5">
      <c r="D406" s="85"/>
      <c r="E406" s="85"/>
    </row>
    <row r="407" spans="4:5">
      <c r="D407" s="85"/>
      <c r="E407" s="85"/>
    </row>
    <row r="408" spans="4:5">
      <c r="D408" s="85"/>
      <c r="E408" s="85"/>
    </row>
    <row r="409" spans="4:5">
      <c r="D409" s="85"/>
      <c r="E409" s="85"/>
    </row>
    <row r="410" spans="4:5">
      <c r="D410" s="85"/>
      <c r="E410" s="85"/>
    </row>
    <row r="411" spans="4:5">
      <c r="D411" s="85"/>
      <c r="E411" s="85"/>
    </row>
    <row r="412" spans="4:5">
      <c r="D412" s="85"/>
      <c r="E412" s="85"/>
    </row>
    <row r="413" spans="4:5">
      <c r="D413" s="85"/>
      <c r="E413" s="85"/>
    </row>
    <row r="414" spans="4:5">
      <c r="D414" s="85"/>
      <c r="E414" s="85"/>
    </row>
    <row r="415" spans="4:5">
      <c r="D415" s="85"/>
      <c r="E415" s="85"/>
    </row>
    <row r="416" spans="4:5">
      <c r="D416" s="85"/>
      <c r="E416" s="85"/>
    </row>
    <row r="417" spans="4:5">
      <c r="D417" s="85"/>
      <c r="E417" s="85"/>
    </row>
    <row r="418" spans="4:5">
      <c r="D418" s="85"/>
      <c r="E418" s="85"/>
    </row>
    <row r="419" spans="4:5">
      <c r="D419" s="85"/>
      <c r="E419" s="85"/>
    </row>
    <row r="420" spans="4:5">
      <c r="D420" s="85"/>
      <c r="E420" s="85"/>
    </row>
    <row r="421" spans="4:5">
      <c r="D421" s="85"/>
      <c r="E421" s="85"/>
    </row>
    <row r="422" spans="4:5">
      <c r="D422" s="85"/>
      <c r="E422" s="85"/>
    </row>
    <row r="423" spans="4:5">
      <c r="D423" s="85"/>
      <c r="E423" s="85"/>
    </row>
    <row r="424" spans="4:5">
      <c r="D424" s="85"/>
      <c r="E424" s="85"/>
    </row>
    <row r="425" spans="4:5">
      <c r="D425" s="85"/>
      <c r="E425" s="85"/>
    </row>
    <row r="426" spans="4:5">
      <c r="D426" s="85"/>
      <c r="E426" s="85"/>
    </row>
    <row r="427" spans="4:5">
      <c r="D427" s="85"/>
      <c r="E427" s="85"/>
    </row>
    <row r="428" spans="4:5">
      <c r="D428" s="85"/>
      <c r="E428" s="85"/>
    </row>
    <row r="429" spans="4:5">
      <c r="D429" s="85"/>
      <c r="E429" s="85"/>
    </row>
    <row r="430" spans="4:5">
      <c r="D430" s="85"/>
      <c r="E430" s="85"/>
    </row>
    <row r="431" spans="4:5">
      <c r="D431" s="85"/>
      <c r="E431" s="85"/>
    </row>
    <row r="432" spans="4:5">
      <c r="D432" s="85"/>
      <c r="E432" s="85"/>
    </row>
    <row r="433" spans="4:5">
      <c r="D433" s="85"/>
      <c r="E433" s="85"/>
    </row>
    <row r="434" spans="4:5">
      <c r="D434" s="85"/>
      <c r="E434" s="85"/>
    </row>
    <row r="435" spans="4:5">
      <c r="D435" s="85"/>
      <c r="E435" s="85"/>
    </row>
    <row r="436" spans="4:5">
      <c r="D436" s="85"/>
      <c r="E436" s="85"/>
    </row>
    <row r="437" spans="4:5">
      <c r="D437" s="85"/>
      <c r="E437" s="85"/>
    </row>
    <row r="438" spans="4:5">
      <c r="D438" s="85"/>
      <c r="E438" s="85"/>
    </row>
    <row r="439" spans="4:5">
      <c r="D439" s="85"/>
      <c r="E439" s="85"/>
    </row>
    <row r="440" spans="4:5">
      <c r="D440" s="85"/>
      <c r="E440" s="85"/>
    </row>
    <row r="441" spans="4:5">
      <c r="D441" s="85"/>
      <c r="E441" s="85"/>
    </row>
    <row r="442" spans="4:5">
      <c r="D442" s="85"/>
      <c r="E442" s="85"/>
    </row>
    <row r="443" spans="4:5">
      <c r="D443" s="85"/>
      <c r="E443" s="85"/>
    </row>
    <row r="444" spans="4:5">
      <c r="D444" s="85"/>
      <c r="E444" s="85"/>
    </row>
    <row r="445" spans="4:5">
      <c r="D445" s="85"/>
      <c r="E445" s="85"/>
    </row>
    <row r="446" spans="4:5">
      <c r="D446" s="85"/>
      <c r="E446" s="85"/>
    </row>
    <row r="447" spans="4:5">
      <c r="D447" s="85"/>
      <c r="E447" s="85"/>
    </row>
    <row r="448" spans="4:5">
      <c r="D448" s="85"/>
      <c r="E448" s="85"/>
    </row>
    <row r="449" spans="4:5">
      <c r="D449" s="85"/>
      <c r="E449" s="85"/>
    </row>
    <row r="450" spans="4:5">
      <c r="D450" s="85"/>
      <c r="E450" s="85"/>
    </row>
    <row r="451" spans="4:5">
      <c r="D451" s="85"/>
      <c r="E451" s="85"/>
    </row>
    <row r="452" spans="4:5">
      <c r="D452" s="85"/>
      <c r="E452" s="85"/>
    </row>
    <row r="453" spans="4:5">
      <c r="D453" s="85"/>
      <c r="E453" s="85"/>
    </row>
    <row r="454" spans="4:5">
      <c r="D454" s="85"/>
      <c r="E454" s="85"/>
    </row>
    <row r="455" spans="4:5">
      <c r="D455" s="85"/>
      <c r="E455" s="85"/>
    </row>
    <row r="456" spans="4:5">
      <c r="D456" s="85"/>
      <c r="E456" s="85"/>
    </row>
    <row r="457" spans="4:5">
      <c r="D457" s="85"/>
      <c r="E457" s="85"/>
    </row>
    <row r="458" spans="4:5">
      <c r="D458" s="85"/>
      <c r="E458" s="85"/>
    </row>
    <row r="459" spans="4:5">
      <c r="D459" s="85"/>
      <c r="E459" s="85"/>
    </row>
    <row r="460" spans="4:5">
      <c r="D460" s="85"/>
      <c r="E460" s="85"/>
    </row>
    <row r="461" spans="4:5">
      <c r="D461" s="85"/>
      <c r="E461" s="85"/>
    </row>
    <row r="462" spans="4:5">
      <c r="D462" s="85"/>
      <c r="E462" s="85"/>
    </row>
    <row r="463" spans="4:5">
      <c r="D463" s="85"/>
      <c r="E463" s="85"/>
    </row>
    <row r="464" spans="4:5">
      <c r="D464" s="85"/>
      <c r="E464" s="85"/>
    </row>
    <row r="465" spans="4:5">
      <c r="D465" s="85"/>
      <c r="E465" s="85"/>
    </row>
    <row r="466" spans="4:5">
      <c r="D466" s="85"/>
      <c r="E466" s="85"/>
    </row>
    <row r="467" spans="4:5">
      <c r="D467" s="85"/>
      <c r="E467" s="85"/>
    </row>
    <row r="468" spans="4:5">
      <c r="D468" s="85"/>
      <c r="E468" s="85"/>
    </row>
    <row r="469" spans="4:5">
      <c r="D469" s="85"/>
      <c r="E469" s="85"/>
    </row>
    <row r="470" spans="4:5">
      <c r="D470" s="85"/>
      <c r="E470" s="85"/>
    </row>
    <row r="471" spans="4:5">
      <c r="D471" s="85"/>
      <c r="E471" s="85"/>
    </row>
    <row r="472" spans="4:5">
      <c r="D472" s="85"/>
      <c r="E472" s="85"/>
    </row>
    <row r="473" spans="4:5">
      <c r="D473" s="85"/>
      <c r="E473" s="85"/>
    </row>
    <row r="474" spans="4:5">
      <c r="D474" s="85"/>
      <c r="E474" s="85"/>
    </row>
    <row r="475" spans="4:5">
      <c r="D475" s="85"/>
      <c r="E475" s="85"/>
    </row>
    <row r="476" spans="4:5">
      <c r="D476" s="85"/>
      <c r="E476" s="85"/>
    </row>
    <row r="477" spans="4:5">
      <c r="D477" s="85"/>
      <c r="E477" s="85"/>
    </row>
    <row r="478" spans="4:5">
      <c r="D478" s="85"/>
      <c r="E478" s="85"/>
    </row>
    <row r="479" spans="4:5">
      <c r="D479" s="85"/>
      <c r="E479" s="85"/>
    </row>
    <row r="480" spans="4:5">
      <c r="D480" s="85"/>
      <c r="E480" s="85"/>
    </row>
    <row r="481" spans="4:5">
      <c r="D481" s="85"/>
      <c r="E481" s="85"/>
    </row>
    <row r="482" spans="4:5">
      <c r="D482" s="85"/>
      <c r="E482" s="85"/>
    </row>
    <row r="483" spans="4:5">
      <c r="D483" s="85"/>
      <c r="E483" s="85"/>
    </row>
    <row r="484" spans="4:5">
      <c r="D484" s="85"/>
      <c r="E484" s="85"/>
    </row>
    <row r="485" spans="4:5">
      <c r="D485" s="85"/>
      <c r="E485" s="85"/>
    </row>
    <row r="486" spans="4:5">
      <c r="D486" s="85"/>
      <c r="E486" s="85"/>
    </row>
    <row r="487" spans="4:5">
      <c r="D487" s="85"/>
      <c r="E487" s="85"/>
    </row>
    <row r="488" spans="4:5">
      <c r="D488" s="85"/>
      <c r="E488" s="85"/>
    </row>
    <row r="489" spans="4:5">
      <c r="D489" s="85"/>
      <c r="E489" s="85"/>
    </row>
    <row r="490" spans="4:5">
      <c r="D490" s="85"/>
      <c r="E490" s="85"/>
    </row>
    <row r="491" spans="4:5">
      <c r="D491" s="85"/>
      <c r="E491" s="85"/>
    </row>
    <row r="492" spans="4:5">
      <c r="D492" s="85"/>
      <c r="E492" s="85"/>
    </row>
    <row r="493" spans="4:5">
      <c r="D493" s="85"/>
      <c r="E493" s="85"/>
    </row>
    <row r="494" spans="4:5">
      <c r="D494" s="85"/>
      <c r="E494" s="85"/>
    </row>
    <row r="495" spans="4:5">
      <c r="D495" s="85"/>
      <c r="E495" s="85"/>
    </row>
    <row r="496" spans="4:5">
      <c r="D496" s="85"/>
      <c r="E496" s="85"/>
    </row>
    <row r="497" spans="4:5">
      <c r="D497" s="85"/>
      <c r="E497" s="85"/>
    </row>
    <row r="498" spans="4:5">
      <c r="D498" s="85"/>
      <c r="E498" s="85"/>
    </row>
    <row r="499" spans="4:5">
      <c r="D499" s="85"/>
      <c r="E499" s="85"/>
    </row>
    <row r="500" spans="4:5">
      <c r="D500" s="85"/>
      <c r="E500" s="85"/>
    </row>
    <row r="501" spans="4:5">
      <c r="D501" s="85"/>
      <c r="E501" s="85"/>
    </row>
    <row r="502" spans="4:5">
      <c r="D502" s="85"/>
      <c r="E502" s="85"/>
    </row>
    <row r="503" spans="4:5">
      <c r="D503" s="85"/>
      <c r="E503" s="85"/>
    </row>
    <row r="504" spans="4:5">
      <c r="D504" s="85"/>
      <c r="E504" s="85"/>
    </row>
    <row r="505" spans="4:5">
      <c r="D505" s="85"/>
      <c r="E505" s="85"/>
    </row>
    <row r="506" spans="4:5">
      <c r="D506" s="85"/>
      <c r="E506" s="85"/>
    </row>
    <row r="507" spans="4:5">
      <c r="D507" s="85"/>
      <c r="E507" s="85"/>
    </row>
    <row r="508" spans="4:5">
      <c r="D508" s="85"/>
      <c r="E508" s="85"/>
    </row>
    <row r="509" spans="4:5">
      <c r="D509" s="85"/>
      <c r="E509" s="85"/>
    </row>
    <row r="510" spans="4:5">
      <c r="D510" s="85"/>
      <c r="E510" s="85"/>
    </row>
    <row r="511" spans="4:5">
      <c r="D511" s="85"/>
      <c r="E511" s="85"/>
    </row>
    <row r="512" spans="4:5">
      <c r="D512" s="85"/>
      <c r="E512" s="85"/>
    </row>
    <row r="513" spans="4:5">
      <c r="D513" s="85"/>
      <c r="E513" s="85"/>
    </row>
    <row r="514" spans="4:5">
      <c r="D514" s="85"/>
      <c r="E514" s="85"/>
    </row>
    <row r="515" spans="4:5">
      <c r="D515" s="85"/>
      <c r="E515" s="85"/>
    </row>
    <row r="516" spans="4:5">
      <c r="D516" s="85"/>
      <c r="E516" s="85"/>
    </row>
    <row r="517" spans="4:5">
      <c r="D517" s="85"/>
      <c r="E517" s="85"/>
    </row>
    <row r="518" spans="4:5">
      <c r="D518" s="85"/>
      <c r="E518" s="85"/>
    </row>
    <row r="519" spans="4:5">
      <c r="D519" s="85"/>
      <c r="E519" s="85"/>
    </row>
    <row r="520" spans="4:5">
      <c r="D520" s="85"/>
      <c r="E520" s="85"/>
    </row>
    <row r="521" spans="4:5">
      <c r="D521" s="85"/>
      <c r="E521" s="85"/>
    </row>
    <row r="522" spans="4:5">
      <c r="D522" s="85"/>
      <c r="E522" s="85"/>
    </row>
    <row r="523" spans="4:5">
      <c r="D523" s="85"/>
      <c r="E523" s="85"/>
    </row>
    <row r="524" spans="4:5">
      <c r="D524" s="85"/>
      <c r="E524" s="85"/>
    </row>
    <row r="525" spans="4:5">
      <c r="D525" s="85"/>
      <c r="E525" s="85"/>
    </row>
    <row r="526" spans="4:5">
      <c r="D526" s="85"/>
      <c r="E526" s="85"/>
    </row>
    <row r="527" spans="4:5">
      <c r="D527" s="85"/>
      <c r="E527" s="85"/>
    </row>
    <row r="528" spans="4:5">
      <c r="D528" s="85"/>
      <c r="E528" s="85"/>
    </row>
    <row r="529" spans="4:5">
      <c r="D529" s="85"/>
      <c r="E529" s="85"/>
    </row>
    <row r="530" spans="4:5">
      <c r="D530" s="85"/>
      <c r="E530" s="85"/>
    </row>
    <row r="531" spans="4:5">
      <c r="D531" s="85"/>
      <c r="E531" s="85"/>
    </row>
    <row r="532" spans="4:5">
      <c r="D532" s="85"/>
      <c r="E532" s="85"/>
    </row>
    <row r="533" spans="4:5">
      <c r="D533" s="85"/>
      <c r="E533" s="85"/>
    </row>
    <row r="534" spans="4:5">
      <c r="D534" s="85"/>
      <c r="E534" s="85"/>
    </row>
    <row r="535" spans="4:5">
      <c r="D535" s="85"/>
      <c r="E535" s="85"/>
    </row>
    <row r="536" spans="4:5">
      <c r="D536" s="85"/>
      <c r="E536" s="85"/>
    </row>
    <row r="537" spans="4:5">
      <c r="D537" s="85"/>
      <c r="E537" s="85"/>
    </row>
    <row r="538" spans="4:5">
      <c r="D538" s="85"/>
      <c r="E538" s="85"/>
    </row>
    <row r="539" spans="4:5">
      <c r="D539" s="85"/>
      <c r="E539" s="85"/>
    </row>
    <row r="540" spans="4:5">
      <c r="D540" s="85"/>
      <c r="E540" s="85"/>
    </row>
    <row r="541" spans="4:5">
      <c r="D541" s="85"/>
      <c r="E541" s="85"/>
    </row>
    <row r="542" spans="4:5">
      <c r="D542" s="85"/>
      <c r="E542" s="85"/>
    </row>
    <row r="543" spans="4:5">
      <c r="D543" s="85"/>
      <c r="E543" s="85"/>
    </row>
    <row r="544" spans="4:5">
      <c r="D544" s="85"/>
      <c r="E544" s="85"/>
    </row>
    <row r="545" spans="4:5">
      <c r="D545" s="85"/>
      <c r="E545" s="85"/>
    </row>
    <row r="546" spans="4:5">
      <c r="D546" s="85"/>
      <c r="E546" s="85"/>
    </row>
    <row r="547" spans="4:5">
      <c r="D547" s="85"/>
      <c r="E547" s="85"/>
    </row>
    <row r="548" spans="4:5">
      <c r="D548" s="85"/>
      <c r="E548" s="85"/>
    </row>
    <row r="549" spans="4:5">
      <c r="D549" s="85"/>
      <c r="E549" s="85"/>
    </row>
    <row r="550" spans="4:5">
      <c r="D550" s="85"/>
      <c r="E550" s="85"/>
    </row>
    <row r="551" spans="4:5">
      <c r="D551" s="85"/>
      <c r="E551" s="85"/>
    </row>
    <row r="552" spans="4:5">
      <c r="D552" s="85"/>
      <c r="E552" s="85"/>
    </row>
    <row r="553" spans="4:5">
      <c r="D553" s="85"/>
      <c r="E553" s="85"/>
    </row>
    <row r="554" spans="4:5">
      <c r="D554" s="85"/>
      <c r="E554" s="85"/>
    </row>
    <row r="555" spans="4:5">
      <c r="D555" s="85"/>
      <c r="E555" s="85"/>
    </row>
    <row r="556" spans="4:5">
      <c r="D556" s="85"/>
      <c r="E556" s="85"/>
    </row>
    <row r="557" spans="4:5">
      <c r="D557" s="85"/>
      <c r="E557" s="85"/>
    </row>
    <row r="558" spans="4:5">
      <c r="D558" s="85"/>
      <c r="E558" s="85"/>
    </row>
    <row r="559" spans="4:5">
      <c r="D559" s="85"/>
      <c r="E559" s="85"/>
    </row>
    <row r="560" spans="4:5">
      <c r="D560" s="85"/>
      <c r="E560" s="85"/>
    </row>
    <row r="561" spans="4:5">
      <c r="D561" s="85"/>
      <c r="E561" s="85"/>
    </row>
    <row r="562" spans="4:5">
      <c r="D562" s="85"/>
      <c r="E562" s="85"/>
    </row>
    <row r="563" spans="4:5">
      <c r="D563" s="85"/>
      <c r="E563" s="85"/>
    </row>
    <row r="564" spans="4:5">
      <c r="D564" s="85"/>
      <c r="E564" s="85"/>
    </row>
    <row r="565" spans="4:5">
      <c r="D565" s="85"/>
      <c r="E565" s="85"/>
    </row>
    <row r="566" spans="4:5">
      <c r="D566" s="85"/>
      <c r="E566" s="85"/>
    </row>
    <row r="567" spans="4:5">
      <c r="D567" s="85"/>
      <c r="E567" s="85"/>
    </row>
    <row r="568" spans="4:5">
      <c r="D568" s="85"/>
      <c r="E568" s="85"/>
    </row>
    <row r="569" spans="4:5">
      <c r="D569" s="85"/>
      <c r="E569" s="85"/>
    </row>
    <row r="570" spans="4:5">
      <c r="D570" s="85"/>
      <c r="E570" s="85"/>
    </row>
    <row r="571" spans="4:5">
      <c r="D571" s="85"/>
      <c r="E571" s="85"/>
    </row>
    <row r="572" spans="4:5">
      <c r="D572" s="85"/>
      <c r="E572" s="85"/>
    </row>
    <row r="573" spans="4:5">
      <c r="D573" s="85"/>
      <c r="E573" s="85"/>
    </row>
    <row r="574" spans="4:5">
      <c r="D574" s="85"/>
      <c r="E574" s="85"/>
    </row>
    <row r="575" spans="4:5">
      <c r="D575" s="85"/>
      <c r="E575" s="85"/>
    </row>
    <row r="576" spans="4:5">
      <c r="D576" s="85"/>
      <c r="E576" s="85"/>
    </row>
    <row r="577" spans="4:5">
      <c r="D577" s="85"/>
      <c r="E577" s="85"/>
    </row>
    <row r="578" spans="4:5">
      <c r="D578" s="85"/>
      <c r="E578" s="85"/>
    </row>
    <row r="579" spans="4:5">
      <c r="D579" s="85"/>
      <c r="E579" s="85"/>
    </row>
    <row r="580" spans="4:5">
      <c r="D580" s="85"/>
      <c r="E580" s="85"/>
    </row>
    <row r="581" spans="4:5">
      <c r="D581" s="85"/>
      <c r="E581" s="85"/>
    </row>
    <row r="582" spans="4:5">
      <c r="D582" s="85"/>
      <c r="E582" s="85"/>
    </row>
    <row r="583" spans="4:5">
      <c r="D583" s="85"/>
      <c r="E583" s="85"/>
    </row>
    <row r="584" spans="4:5">
      <c r="D584" s="85"/>
      <c r="E584" s="85"/>
    </row>
    <row r="585" spans="4:5">
      <c r="D585" s="85"/>
      <c r="E585" s="85"/>
    </row>
    <row r="586" spans="4:5">
      <c r="D586" s="85"/>
      <c r="E586" s="85"/>
    </row>
    <row r="587" spans="4:5">
      <c r="D587" s="85"/>
      <c r="E587" s="85"/>
    </row>
    <row r="588" spans="4:5">
      <c r="D588" s="85"/>
      <c r="E588" s="85"/>
    </row>
    <row r="589" spans="4:5">
      <c r="D589" s="85"/>
      <c r="E589" s="85"/>
    </row>
    <row r="590" spans="4:5">
      <c r="D590" s="85"/>
      <c r="E590" s="85"/>
    </row>
    <row r="591" spans="4:5">
      <c r="D591" s="85"/>
      <c r="E591" s="85"/>
    </row>
    <row r="592" spans="4:5">
      <c r="D592" s="85"/>
      <c r="E592" s="85"/>
    </row>
    <row r="593" spans="4:5">
      <c r="D593" s="85"/>
      <c r="E593" s="85"/>
    </row>
    <row r="594" spans="4:5">
      <c r="D594" s="85"/>
      <c r="E594" s="85"/>
    </row>
    <row r="595" spans="4:5">
      <c r="D595" s="85"/>
      <c r="E595" s="85"/>
    </row>
    <row r="596" spans="4:5">
      <c r="D596" s="85"/>
      <c r="E596" s="85"/>
    </row>
    <row r="597" spans="4:5">
      <c r="D597" s="85"/>
      <c r="E597" s="85"/>
    </row>
    <row r="598" spans="4:5">
      <c r="D598" s="85"/>
      <c r="E598" s="85"/>
    </row>
    <row r="599" spans="4:5">
      <c r="D599" s="85"/>
      <c r="E599" s="85"/>
    </row>
    <row r="600" spans="4:5">
      <c r="D600" s="85"/>
      <c r="E600" s="85"/>
    </row>
    <row r="601" spans="4:5">
      <c r="D601" s="85"/>
      <c r="E601" s="85"/>
    </row>
    <row r="602" spans="4:5">
      <c r="D602" s="85"/>
      <c r="E602" s="85"/>
    </row>
    <row r="603" spans="4:5">
      <c r="D603" s="85"/>
      <c r="E603" s="85"/>
    </row>
    <row r="604" spans="4:5">
      <c r="D604" s="85"/>
      <c r="E604" s="85"/>
    </row>
    <row r="605" spans="4:5">
      <c r="D605" s="85"/>
      <c r="E605" s="85"/>
    </row>
    <row r="606" spans="4:5">
      <c r="D606" s="85"/>
      <c r="E606" s="85"/>
    </row>
    <row r="607" spans="4:5">
      <c r="D607" s="85"/>
      <c r="E607" s="85"/>
    </row>
    <row r="608" spans="4:5">
      <c r="D608" s="85"/>
      <c r="E608" s="85"/>
    </row>
    <row r="609" spans="4:5">
      <c r="D609" s="85"/>
      <c r="E609" s="85"/>
    </row>
    <row r="610" spans="4:5">
      <c r="D610" s="85"/>
      <c r="E610" s="85"/>
    </row>
    <row r="611" spans="4:5">
      <c r="D611" s="85"/>
      <c r="E611" s="85"/>
    </row>
    <row r="612" spans="4:5">
      <c r="D612" s="85"/>
      <c r="E612" s="85"/>
    </row>
    <row r="613" spans="4:5">
      <c r="D613" s="85"/>
      <c r="E613" s="85"/>
    </row>
    <row r="614" spans="4:5">
      <c r="D614" s="85"/>
      <c r="E614" s="85"/>
    </row>
    <row r="615" spans="4:5">
      <c r="D615" s="85"/>
      <c r="E615" s="85"/>
    </row>
    <row r="616" spans="4:5">
      <c r="D616" s="85"/>
      <c r="E616" s="85"/>
    </row>
    <row r="617" spans="4:5">
      <c r="D617" s="85"/>
      <c r="E617" s="85"/>
    </row>
    <row r="618" spans="4:5">
      <c r="D618" s="85"/>
      <c r="E618" s="85"/>
    </row>
    <row r="619" spans="4:5">
      <c r="D619" s="85"/>
      <c r="E619" s="85"/>
    </row>
    <row r="620" spans="4:5">
      <c r="D620" s="85"/>
      <c r="E620" s="85"/>
    </row>
    <row r="621" spans="4:5">
      <c r="D621" s="85"/>
      <c r="E621" s="85"/>
    </row>
    <row r="622" spans="4:5">
      <c r="D622" s="85"/>
      <c r="E622" s="85"/>
    </row>
    <row r="623" spans="4:5">
      <c r="D623" s="85"/>
      <c r="E623" s="85"/>
    </row>
    <row r="624" spans="4:5">
      <c r="D624" s="85"/>
      <c r="E624" s="85"/>
    </row>
    <row r="625" spans="4:5">
      <c r="D625" s="85"/>
      <c r="E625" s="85"/>
    </row>
    <row r="626" spans="4:5">
      <c r="D626" s="85"/>
      <c r="E626" s="85"/>
    </row>
    <row r="627" spans="4:5">
      <c r="D627" s="85"/>
      <c r="E627" s="85"/>
    </row>
    <row r="628" spans="4:5">
      <c r="D628" s="85"/>
      <c r="E628" s="85"/>
    </row>
    <row r="629" spans="4:5">
      <c r="D629" s="85"/>
      <c r="E629" s="85"/>
    </row>
    <row r="630" spans="4:5">
      <c r="D630" s="85"/>
      <c r="E630" s="85"/>
    </row>
    <row r="631" spans="4:5">
      <c r="D631" s="85"/>
      <c r="E631" s="85"/>
    </row>
    <row r="632" spans="4:5">
      <c r="D632" s="85"/>
      <c r="E632" s="85"/>
    </row>
    <row r="633" spans="4:5">
      <c r="D633" s="85"/>
      <c r="E633" s="85"/>
    </row>
    <row r="634" spans="4:5">
      <c r="D634" s="85"/>
      <c r="E634" s="85"/>
    </row>
    <row r="635" spans="4:5">
      <c r="D635" s="85"/>
      <c r="E635" s="85"/>
    </row>
    <row r="636" spans="4:5">
      <c r="D636" s="85"/>
      <c r="E636" s="85"/>
    </row>
    <row r="637" spans="4:5">
      <c r="D637" s="85"/>
      <c r="E637" s="85"/>
    </row>
    <row r="638" spans="4:5">
      <c r="D638" s="85"/>
      <c r="E638" s="85"/>
    </row>
    <row r="639" spans="4:5">
      <c r="D639" s="85"/>
      <c r="E639" s="85"/>
    </row>
    <row r="640" spans="4:5">
      <c r="D640" s="85"/>
      <c r="E640" s="85"/>
    </row>
    <row r="641" spans="4:5">
      <c r="D641" s="85"/>
      <c r="E641" s="85"/>
    </row>
    <row r="642" spans="4:5">
      <c r="D642" s="85"/>
      <c r="E642" s="85"/>
    </row>
    <row r="643" spans="4:5">
      <c r="D643" s="85"/>
      <c r="E643" s="85"/>
    </row>
    <row r="644" spans="4:5">
      <c r="D644" s="85"/>
      <c r="E644" s="85"/>
    </row>
    <row r="645" spans="4:5">
      <c r="D645" s="85"/>
      <c r="E645" s="85"/>
    </row>
    <row r="646" spans="4:5">
      <c r="D646" s="85"/>
      <c r="E646" s="85"/>
    </row>
    <row r="647" spans="4:5">
      <c r="D647" s="85"/>
      <c r="E647" s="85"/>
    </row>
    <row r="648" spans="4:5">
      <c r="D648" s="85"/>
      <c r="E648" s="85"/>
    </row>
    <row r="649" spans="4:5">
      <c r="D649" s="85"/>
      <c r="E649" s="85"/>
    </row>
    <row r="650" spans="4:5">
      <c r="D650" s="85"/>
      <c r="E650" s="85"/>
    </row>
    <row r="651" spans="4:5">
      <c r="D651" s="85"/>
      <c r="E651" s="85"/>
    </row>
    <row r="652" spans="4:5">
      <c r="D652" s="85"/>
      <c r="E652" s="85"/>
    </row>
    <row r="653" spans="4:5">
      <c r="D653" s="85"/>
      <c r="E653" s="85"/>
    </row>
    <row r="654" spans="4:5">
      <c r="D654" s="85"/>
      <c r="E654" s="85"/>
    </row>
    <row r="655" spans="4:5">
      <c r="D655" s="85"/>
      <c r="E655" s="85"/>
    </row>
    <row r="656" spans="4:5">
      <c r="D656" s="85"/>
      <c r="E656" s="85"/>
    </row>
    <row r="657" spans="4:5">
      <c r="D657" s="85"/>
      <c r="E657" s="85"/>
    </row>
    <row r="658" spans="4:5">
      <c r="D658" s="85"/>
      <c r="E658" s="85"/>
    </row>
    <row r="659" spans="4:5">
      <c r="D659" s="85"/>
      <c r="E659" s="85"/>
    </row>
    <row r="660" spans="4:5">
      <c r="D660" s="85"/>
      <c r="E660" s="85"/>
    </row>
    <row r="661" spans="4:5">
      <c r="D661" s="85"/>
      <c r="E661" s="85"/>
    </row>
    <row r="662" spans="4:5">
      <c r="D662" s="85"/>
      <c r="E662" s="85"/>
    </row>
    <row r="663" spans="4:5">
      <c r="D663" s="85"/>
      <c r="E663" s="85"/>
    </row>
    <row r="664" spans="4:5">
      <c r="D664" s="85"/>
      <c r="E664" s="85"/>
    </row>
    <row r="665" spans="4:5">
      <c r="D665" s="85"/>
      <c r="E665" s="85"/>
    </row>
    <row r="666" spans="4:5">
      <c r="D666" s="85"/>
      <c r="E666" s="85"/>
    </row>
    <row r="667" spans="4:5">
      <c r="D667" s="85"/>
      <c r="E667" s="85"/>
    </row>
    <row r="668" spans="4:5">
      <c r="D668" s="85"/>
      <c r="E668" s="85"/>
    </row>
    <row r="669" spans="4:5">
      <c r="D669" s="85"/>
      <c r="E669" s="85"/>
    </row>
    <row r="670" spans="4:5">
      <c r="D670" s="85"/>
      <c r="E670" s="85"/>
    </row>
    <row r="671" spans="4:5">
      <c r="D671" s="85"/>
      <c r="E671" s="85"/>
    </row>
    <row r="672" spans="4:5">
      <c r="D672" s="85"/>
      <c r="E672" s="85"/>
    </row>
    <row r="673" spans="4:5">
      <c r="D673" s="85"/>
      <c r="E673" s="85"/>
    </row>
    <row r="674" spans="4:5">
      <c r="D674" s="85"/>
      <c r="E674" s="85"/>
    </row>
    <row r="675" spans="4:5">
      <c r="D675" s="85"/>
      <c r="E675" s="85"/>
    </row>
    <row r="676" spans="4:5">
      <c r="D676" s="85"/>
      <c r="E676" s="85"/>
    </row>
    <row r="677" spans="4:5">
      <c r="D677" s="85"/>
      <c r="E677" s="85"/>
    </row>
    <row r="678" spans="4:5">
      <c r="D678" s="85"/>
      <c r="E678" s="85"/>
    </row>
    <row r="679" spans="4:5">
      <c r="D679" s="85"/>
      <c r="E679" s="85"/>
    </row>
    <row r="680" spans="4:5">
      <c r="D680" s="85"/>
      <c r="E680" s="85"/>
    </row>
    <row r="681" spans="4:5">
      <c r="D681" s="85"/>
      <c r="E681" s="85"/>
    </row>
    <row r="682" spans="4:5">
      <c r="D682" s="85"/>
      <c r="E682" s="85"/>
    </row>
    <row r="683" spans="4:5">
      <c r="D683" s="85"/>
      <c r="E683" s="85"/>
    </row>
    <row r="684" spans="4:5">
      <c r="D684" s="85"/>
      <c r="E684" s="85"/>
    </row>
    <row r="685" spans="4:5">
      <c r="D685" s="85"/>
      <c r="E685" s="85"/>
    </row>
    <row r="686" spans="4:5">
      <c r="D686" s="85"/>
      <c r="E686" s="85"/>
    </row>
    <row r="687" spans="4:5">
      <c r="D687" s="85"/>
      <c r="E687" s="85"/>
    </row>
    <row r="688" spans="4:5">
      <c r="D688" s="85"/>
      <c r="E688" s="85"/>
    </row>
    <row r="689" spans="4:5">
      <c r="D689" s="85"/>
      <c r="E689" s="85"/>
    </row>
    <row r="690" spans="4:5">
      <c r="D690" s="85"/>
      <c r="E690" s="85"/>
    </row>
    <row r="691" spans="4:5">
      <c r="D691" s="85"/>
      <c r="E691" s="85"/>
    </row>
    <row r="692" spans="4:5">
      <c r="D692" s="85"/>
      <c r="E692" s="85"/>
    </row>
    <row r="693" spans="4:5">
      <c r="D693" s="85"/>
      <c r="E693" s="85"/>
    </row>
    <row r="694" spans="4:5">
      <c r="D694" s="85"/>
      <c r="E694" s="85"/>
    </row>
    <row r="695" spans="4:5">
      <c r="D695" s="85"/>
      <c r="E695" s="85"/>
    </row>
    <row r="696" spans="4:5">
      <c r="D696" s="85"/>
      <c r="E696" s="85"/>
    </row>
    <row r="697" spans="4:5">
      <c r="D697" s="85"/>
      <c r="E697" s="85"/>
    </row>
    <row r="698" spans="4:5">
      <c r="D698" s="85"/>
      <c r="E698" s="85"/>
    </row>
    <row r="699" spans="4:5">
      <c r="D699" s="85"/>
      <c r="E699" s="85"/>
    </row>
    <row r="700" spans="4:5">
      <c r="D700" s="85"/>
      <c r="E700" s="85"/>
    </row>
    <row r="701" spans="4:5">
      <c r="D701" s="85"/>
      <c r="E701" s="85"/>
    </row>
    <row r="702" spans="4:5">
      <c r="D702" s="85"/>
      <c r="E702" s="85"/>
    </row>
    <row r="703" spans="4:5">
      <c r="D703" s="85"/>
      <c r="E703" s="85"/>
    </row>
    <row r="704" spans="4:5">
      <c r="D704" s="85"/>
      <c r="E704" s="85"/>
    </row>
    <row r="705" spans="4:5">
      <c r="D705" s="85"/>
      <c r="E705" s="85"/>
    </row>
    <row r="706" spans="4:5">
      <c r="D706" s="85"/>
      <c r="E706" s="85"/>
    </row>
    <row r="707" spans="4:5">
      <c r="D707" s="85"/>
      <c r="E707" s="85"/>
    </row>
    <row r="708" spans="4:5">
      <c r="D708" s="85"/>
      <c r="E708" s="85"/>
    </row>
    <row r="709" spans="4:5">
      <c r="D709" s="85"/>
      <c r="E709" s="85"/>
    </row>
    <row r="710" spans="4:5">
      <c r="D710" s="85"/>
      <c r="E710" s="85"/>
    </row>
    <row r="711" spans="4:5">
      <c r="D711" s="85"/>
      <c r="E711" s="85"/>
    </row>
    <row r="712" spans="4:5">
      <c r="D712" s="85"/>
      <c r="E712" s="85"/>
    </row>
    <row r="713" spans="4:5">
      <c r="D713" s="85"/>
      <c r="E713" s="85"/>
    </row>
    <row r="714" spans="4:5">
      <c r="D714" s="85"/>
      <c r="E714" s="85"/>
    </row>
    <row r="715" spans="4:5">
      <c r="D715" s="85"/>
      <c r="E715" s="85"/>
    </row>
    <row r="716" spans="4:5">
      <c r="D716" s="85"/>
      <c r="E716" s="85"/>
    </row>
    <row r="717" spans="4:5">
      <c r="D717" s="85"/>
      <c r="E717" s="85"/>
    </row>
    <row r="718" spans="4:5">
      <c r="D718" s="85"/>
      <c r="E718" s="85"/>
    </row>
    <row r="719" spans="4:5">
      <c r="D719" s="85"/>
      <c r="E719" s="85"/>
    </row>
    <row r="720" spans="4:5">
      <c r="D720" s="85"/>
      <c r="E720" s="85"/>
    </row>
    <row r="721" spans="4:5">
      <c r="D721" s="85"/>
      <c r="E721" s="85"/>
    </row>
    <row r="722" spans="4:5">
      <c r="D722" s="85"/>
      <c r="E722" s="85"/>
    </row>
    <row r="723" spans="4:5">
      <c r="D723" s="85"/>
      <c r="E723" s="85"/>
    </row>
    <row r="724" spans="4:5">
      <c r="D724" s="85"/>
      <c r="E724" s="85"/>
    </row>
    <row r="725" spans="4:5">
      <c r="D725" s="85"/>
      <c r="E725" s="85"/>
    </row>
    <row r="726" spans="4:5">
      <c r="D726" s="85"/>
      <c r="E726" s="85"/>
    </row>
    <row r="727" spans="4:5">
      <c r="D727" s="85"/>
      <c r="E727" s="85"/>
    </row>
    <row r="728" spans="4:5">
      <c r="D728" s="85"/>
      <c r="E728" s="85"/>
    </row>
    <row r="729" spans="4:5">
      <c r="D729" s="85"/>
      <c r="E729" s="85"/>
    </row>
    <row r="730" spans="4:5">
      <c r="D730" s="85"/>
      <c r="E730" s="85"/>
    </row>
    <row r="731" spans="4:5">
      <c r="D731" s="85"/>
      <c r="E731" s="85"/>
    </row>
    <row r="732" spans="4:5">
      <c r="D732" s="85"/>
      <c r="E732" s="85"/>
    </row>
    <row r="733" spans="4:5">
      <c r="D733" s="85"/>
      <c r="E733" s="85"/>
    </row>
    <row r="734" spans="4:5">
      <c r="D734" s="85"/>
      <c r="E734" s="85"/>
    </row>
    <row r="735" spans="4:5">
      <c r="D735" s="85"/>
      <c r="E735" s="85"/>
    </row>
    <row r="736" spans="4:5">
      <c r="D736" s="85"/>
      <c r="E736" s="85"/>
    </row>
    <row r="737" spans="4:5">
      <c r="D737" s="85"/>
      <c r="E737" s="85"/>
    </row>
    <row r="738" spans="4:5">
      <c r="D738" s="85"/>
      <c r="E738" s="85"/>
    </row>
    <row r="739" spans="4:5">
      <c r="D739" s="85"/>
      <c r="E739" s="85"/>
    </row>
    <row r="740" spans="4:5">
      <c r="D740" s="85"/>
      <c r="E740" s="85"/>
    </row>
    <row r="741" spans="4:5">
      <c r="D741" s="85"/>
      <c r="E741" s="85"/>
    </row>
    <row r="742" spans="4:5">
      <c r="D742" s="85"/>
      <c r="E742" s="85"/>
    </row>
    <row r="743" spans="4:5">
      <c r="D743" s="85"/>
      <c r="E743" s="85"/>
    </row>
    <row r="744" spans="4:5">
      <c r="D744" s="85"/>
      <c r="E744" s="85"/>
    </row>
    <row r="745" spans="4:5">
      <c r="D745" s="85"/>
      <c r="E745" s="85"/>
    </row>
    <row r="746" spans="4:5">
      <c r="D746" s="85"/>
      <c r="E746" s="85"/>
    </row>
    <row r="747" spans="4:5">
      <c r="D747" s="85"/>
      <c r="E747" s="85"/>
    </row>
    <row r="748" spans="4:5">
      <c r="D748" s="85"/>
      <c r="E748" s="85"/>
    </row>
    <row r="749" spans="4:5">
      <c r="D749" s="85"/>
      <c r="E749" s="85"/>
    </row>
    <row r="750" spans="4:5">
      <c r="D750" s="85"/>
      <c r="E750" s="85"/>
    </row>
    <row r="751" spans="4:5">
      <c r="D751" s="85"/>
      <c r="E751" s="85"/>
    </row>
    <row r="752" spans="4:5">
      <c r="D752" s="85"/>
      <c r="E752" s="85"/>
    </row>
    <row r="753" spans="4:5">
      <c r="D753" s="85"/>
      <c r="E753" s="85"/>
    </row>
    <row r="754" spans="4:5">
      <c r="D754" s="85"/>
      <c r="E754" s="85"/>
    </row>
    <row r="755" spans="4:5">
      <c r="D755" s="85"/>
      <c r="E755" s="85"/>
    </row>
    <row r="756" spans="4:5">
      <c r="D756" s="85"/>
      <c r="E756" s="85"/>
    </row>
    <row r="757" spans="4:5">
      <c r="D757" s="85"/>
      <c r="E757" s="85"/>
    </row>
    <row r="758" spans="4:5">
      <c r="D758" s="85"/>
      <c r="E758" s="85"/>
    </row>
    <row r="759" spans="4:5">
      <c r="D759" s="85"/>
      <c r="E759" s="85"/>
    </row>
    <row r="760" spans="4:5">
      <c r="D760" s="85"/>
      <c r="E760" s="85"/>
    </row>
    <row r="761" spans="4:5">
      <c r="D761" s="85"/>
      <c r="E761" s="85"/>
    </row>
    <row r="762" spans="4:5">
      <c r="D762" s="85"/>
      <c r="E762" s="85"/>
    </row>
    <row r="763" spans="4:5">
      <c r="D763" s="85"/>
      <c r="E763" s="85"/>
    </row>
    <row r="764" spans="4:5">
      <c r="D764" s="85"/>
      <c r="E764" s="85"/>
    </row>
    <row r="765" spans="4:5">
      <c r="D765" s="85"/>
      <c r="E765" s="85"/>
    </row>
    <row r="766" spans="4:5">
      <c r="D766" s="85"/>
      <c r="E766" s="85"/>
    </row>
    <row r="767" spans="4:5">
      <c r="D767" s="85"/>
      <c r="E767" s="85"/>
    </row>
    <row r="768" spans="4:5">
      <c r="D768" s="85"/>
      <c r="E768" s="85"/>
    </row>
    <row r="769" spans="4:5">
      <c r="D769" s="85"/>
      <c r="E769" s="85"/>
    </row>
    <row r="770" spans="4:5">
      <c r="D770" s="85"/>
      <c r="E770" s="85"/>
    </row>
    <row r="771" spans="4:5">
      <c r="D771" s="85"/>
      <c r="E771" s="85"/>
    </row>
    <row r="772" spans="4:5">
      <c r="D772" s="85"/>
      <c r="E772" s="85"/>
    </row>
    <row r="773" spans="4:5">
      <c r="D773" s="85"/>
      <c r="E773" s="85"/>
    </row>
    <row r="774" spans="4:5">
      <c r="D774" s="85"/>
      <c r="E774" s="85"/>
    </row>
    <row r="775" spans="4:5">
      <c r="D775" s="85"/>
      <c r="E775" s="85"/>
    </row>
    <row r="776" spans="4:5">
      <c r="D776" s="85"/>
      <c r="E776" s="85"/>
    </row>
    <row r="777" spans="4:5">
      <c r="D777" s="85"/>
      <c r="E777" s="85"/>
    </row>
    <row r="778" spans="4:5">
      <c r="D778" s="85"/>
      <c r="E778" s="85"/>
    </row>
    <row r="779" spans="4:5">
      <c r="D779" s="85"/>
      <c r="E779" s="85"/>
    </row>
    <row r="780" spans="4:5">
      <c r="D780" s="85"/>
      <c r="E780" s="85"/>
    </row>
    <row r="781" spans="4:5">
      <c r="D781" s="85"/>
      <c r="E781" s="85"/>
    </row>
    <row r="782" spans="4:5">
      <c r="D782" s="85"/>
      <c r="E782" s="85"/>
    </row>
    <row r="783" spans="4:5">
      <c r="D783" s="85"/>
      <c r="E783" s="85"/>
    </row>
    <row r="784" spans="4:5">
      <c r="D784" s="85"/>
      <c r="E784" s="85"/>
    </row>
    <row r="785" spans="4:5">
      <c r="D785" s="85"/>
      <c r="E785" s="85"/>
    </row>
    <row r="786" spans="4:5">
      <c r="D786" s="85"/>
      <c r="E786" s="85"/>
    </row>
    <row r="787" spans="4:5">
      <c r="D787" s="85"/>
      <c r="E787" s="85"/>
    </row>
    <row r="788" spans="4:5">
      <c r="D788" s="85"/>
      <c r="E788" s="85"/>
    </row>
    <row r="789" spans="4:5">
      <c r="D789" s="85"/>
      <c r="E789" s="85"/>
    </row>
    <row r="790" spans="4:5">
      <c r="D790" s="85"/>
      <c r="E790" s="85"/>
    </row>
    <row r="791" spans="4:5">
      <c r="D791" s="85"/>
      <c r="E791" s="85"/>
    </row>
    <row r="792" spans="4:5">
      <c r="D792" s="85"/>
      <c r="E792" s="85"/>
    </row>
    <row r="793" spans="4:5">
      <c r="D793" s="85"/>
      <c r="E793" s="85"/>
    </row>
    <row r="794" spans="4:5">
      <c r="D794" s="85"/>
      <c r="E794" s="85"/>
    </row>
    <row r="795" spans="4:5">
      <c r="D795" s="85"/>
      <c r="E795" s="85"/>
    </row>
    <row r="796" spans="4:5">
      <c r="D796" s="85"/>
      <c r="E796" s="85"/>
    </row>
    <row r="797" spans="4:5">
      <c r="D797" s="85"/>
      <c r="E797" s="85"/>
    </row>
    <row r="798" spans="4:5">
      <c r="D798" s="85"/>
      <c r="E798" s="85"/>
    </row>
    <row r="799" spans="4:5">
      <c r="D799" s="85"/>
      <c r="E799" s="85"/>
    </row>
    <row r="800" spans="4:5">
      <c r="D800" s="85"/>
      <c r="E800" s="85"/>
    </row>
    <row r="801" spans="4:5">
      <c r="D801" s="85"/>
      <c r="E801" s="85"/>
    </row>
    <row r="802" spans="4:5">
      <c r="D802" s="85"/>
      <c r="E802" s="85"/>
    </row>
    <row r="803" spans="4:5">
      <c r="D803" s="85"/>
      <c r="E803" s="85"/>
    </row>
    <row r="804" spans="4:5">
      <c r="D804" s="85"/>
      <c r="E804" s="85"/>
    </row>
    <row r="805" spans="4:5">
      <c r="D805" s="85"/>
      <c r="E805" s="85"/>
    </row>
    <row r="806" spans="4:5">
      <c r="D806" s="85"/>
      <c r="E806" s="85"/>
    </row>
    <row r="807" spans="4:5">
      <c r="D807" s="85"/>
      <c r="E807" s="85"/>
    </row>
    <row r="808" spans="4:5">
      <c r="D808" s="85"/>
      <c r="E808" s="85"/>
    </row>
    <row r="809" spans="4:5">
      <c r="D809" s="85"/>
      <c r="E809" s="85"/>
    </row>
    <row r="810" spans="4:5">
      <c r="D810" s="85"/>
      <c r="E810" s="85"/>
    </row>
    <row r="811" spans="4:5">
      <c r="D811" s="85"/>
      <c r="E811" s="85"/>
    </row>
    <row r="812" spans="4:5">
      <c r="D812" s="85"/>
      <c r="E812" s="85"/>
    </row>
    <row r="813" spans="4:5">
      <c r="D813" s="85"/>
      <c r="E813" s="85"/>
    </row>
    <row r="814" spans="4:5">
      <c r="D814" s="85"/>
      <c r="E814" s="85"/>
    </row>
    <row r="815" spans="4:5">
      <c r="D815" s="85"/>
      <c r="E815" s="85"/>
    </row>
    <row r="816" spans="4:5">
      <c r="D816" s="85"/>
      <c r="E816" s="85"/>
    </row>
    <row r="817" spans="4:5">
      <c r="D817" s="85"/>
      <c r="E817" s="85"/>
    </row>
    <row r="818" spans="4:5">
      <c r="D818" s="85"/>
      <c r="E818" s="85"/>
    </row>
    <row r="819" spans="4:5">
      <c r="D819" s="85"/>
      <c r="E819" s="85"/>
    </row>
    <row r="820" spans="4:5">
      <c r="D820" s="85"/>
      <c r="E820" s="85"/>
    </row>
    <row r="821" spans="4:5">
      <c r="D821" s="85"/>
      <c r="E821" s="85"/>
    </row>
    <row r="822" spans="4:5">
      <c r="D822" s="85"/>
      <c r="E822" s="85"/>
    </row>
    <row r="823" spans="4:5">
      <c r="D823" s="85"/>
      <c r="E823" s="85"/>
    </row>
    <row r="824" spans="4:5">
      <c r="D824" s="85"/>
      <c r="E824" s="85"/>
    </row>
    <row r="825" spans="4:5">
      <c r="D825" s="85"/>
      <c r="E825" s="85"/>
    </row>
    <row r="826" spans="4:5">
      <c r="D826" s="85"/>
      <c r="E826" s="85"/>
    </row>
    <row r="827" spans="4:5">
      <c r="D827" s="85"/>
      <c r="E827" s="85"/>
    </row>
    <row r="828" spans="4:5">
      <c r="D828" s="85"/>
      <c r="E828" s="85"/>
    </row>
    <row r="829" spans="4:5">
      <c r="D829" s="85"/>
      <c r="E829" s="85"/>
    </row>
    <row r="830" spans="4:5">
      <c r="D830" s="85"/>
      <c r="E830" s="85"/>
    </row>
    <row r="831" spans="4:5">
      <c r="D831" s="85"/>
      <c r="E831" s="85"/>
    </row>
    <row r="832" spans="4:5">
      <c r="D832" s="85"/>
      <c r="E832" s="85"/>
    </row>
    <row r="833" spans="4:5">
      <c r="D833" s="85"/>
      <c r="E833" s="85"/>
    </row>
    <row r="834" spans="4:5">
      <c r="D834" s="85"/>
      <c r="E834" s="85"/>
    </row>
    <row r="835" spans="4:5">
      <c r="D835" s="85"/>
      <c r="E835" s="85"/>
    </row>
    <row r="836" spans="4:5">
      <c r="D836" s="85"/>
      <c r="E836" s="85"/>
    </row>
    <row r="837" spans="4:5">
      <c r="D837" s="85"/>
      <c r="E837" s="85"/>
    </row>
    <row r="838" spans="4:5">
      <c r="D838" s="85"/>
      <c r="E838" s="85"/>
    </row>
    <row r="839" spans="4:5">
      <c r="D839" s="85"/>
      <c r="E839" s="85"/>
    </row>
    <row r="840" spans="4:5">
      <c r="D840" s="85"/>
      <c r="E840" s="85"/>
    </row>
    <row r="841" spans="4:5">
      <c r="D841" s="85"/>
      <c r="E841" s="85"/>
    </row>
    <row r="842" spans="4:5">
      <c r="D842" s="85"/>
      <c r="E842" s="85"/>
    </row>
    <row r="843" spans="4:5">
      <c r="D843" s="85"/>
      <c r="E843" s="85"/>
    </row>
    <row r="844" spans="4:5">
      <c r="D844" s="85"/>
      <c r="E844" s="85"/>
    </row>
    <row r="845" spans="4:5">
      <c r="D845" s="85"/>
      <c r="E845" s="85"/>
    </row>
    <row r="846" spans="4:5">
      <c r="D846" s="85"/>
      <c r="E846" s="85"/>
    </row>
    <row r="847" spans="4:5">
      <c r="D847" s="85"/>
      <c r="E847" s="85"/>
    </row>
    <row r="848" spans="4:5">
      <c r="D848" s="85"/>
      <c r="E848" s="85"/>
    </row>
    <row r="849" spans="4:5">
      <c r="D849" s="85"/>
      <c r="E849" s="85"/>
    </row>
    <row r="850" spans="4:5">
      <c r="D850" s="85"/>
      <c r="E850" s="85"/>
    </row>
    <row r="851" spans="4:5">
      <c r="D851" s="85"/>
      <c r="E851" s="85"/>
    </row>
    <row r="852" spans="4:5">
      <c r="D852" s="85"/>
      <c r="E852" s="85"/>
    </row>
    <row r="853" spans="4:5">
      <c r="D853" s="85"/>
      <c r="E853" s="85"/>
    </row>
    <row r="854" spans="4:5">
      <c r="D854" s="85"/>
      <c r="E854" s="85"/>
    </row>
    <row r="855" spans="4:5">
      <c r="D855" s="85"/>
      <c r="E855" s="85"/>
    </row>
    <row r="856" spans="4:5">
      <c r="D856" s="85"/>
      <c r="E856" s="85"/>
    </row>
    <row r="857" spans="4:5">
      <c r="D857" s="85"/>
      <c r="E857" s="85"/>
    </row>
    <row r="858" spans="4:5">
      <c r="D858" s="85"/>
      <c r="E858" s="85"/>
    </row>
    <row r="859" spans="4:5">
      <c r="D859" s="85"/>
      <c r="E859" s="85"/>
    </row>
    <row r="860" spans="4:5">
      <c r="D860" s="85"/>
      <c r="E860" s="85"/>
    </row>
    <row r="861" spans="4:5">
      <c r="D861" s="85"/>
      <c r="E861" s="85"/>
    </row>
    <row r="862" spans="4:5">
      <c r="D862" s="85"/>
      <c r="E862" s="85"/>
    </row>
    <row r="863" spans="4:5">
      <c r="D863" s="85"/>
      <c r="E863" s="85"/>
    </row>
    <row r="864" spans="4:5">
      <c r="D864" s="85"/>
      <c r="E864" s="85"/>
    </row>
    <row r="865" spans="4:5">
      <c r="D865" s="85"/>
      <c r="E865" s="85"/>
    </row>
    <row r="866" spans="4:5">
      <c r="D866" s="85"/>
      <c r="E866" s="85"/>
    </row>
    <row r="867" spans="4:5">
      <c r="D867" s="85"/>
      <c r="E867" s="85"/>
    </row>
    <row r="868" spans="4:5">
      <c r="D868" s="85"/>
      <c r="E868" s="85"/>
    </row>
    <row r="869" spans="4:5">
      <c r="D869" s="85"/>
      <c r="E869" s="85"/>
    </row>
    <row r="870" spans="4:5">
      <c r="D870" s="85"/>
      <c r="E870" s="85"/>
    </row>
    <row r="871" spans="4:5">
      <c r="D871" s="85"/>
      <c r="E871" s="85"/>
    </row>
    <row r="872" spans="4:5">
      <c r="D872" s="85"/>
      <c r="E872" s="85"/>
    </row>
    <row r="873" spans="4:5">
      <c r="D873" s="85"/>
      <c r="E873" s="85"/>
    </row>
    <row r="874" spans="4:5">
      <c r="D874" s="85"/>
      <c r="E874" s="85"/>
    </row>
    <row r="875" spans="4:5">
      <c r="D875" s="85"/>
      <c r="E875" s="85"/>
    </row>
    <row r="876" spans="4:5">
      <c r="D876" s="85"/>
      <c r="E876" s="85"/>
    </row>
    <row r="877" spans="4:5">
      <c r="D877" s="85"/>
      <c r="E877" s="85"/>
    </row>
    <row r="878" spans="4:5">
      <c r="D878" s="85"/>
      <c r="E878" s="85"/>
    </row>
    <row r="879" spans="4:5">
      <c r="D879" s="85"/>
      <c r="E879" s="85"/>
    </row>
    <row r="880" spans="4:5">
      <c r="D880" s="85"/>
      <c r="E880" s="85"/>
    </row>
    <row r="881" spans="4:5">
      <c r="D881" s="85"/>
      <c r="E881" s="85"/>
    </row>
    <row r="882" spans="4:5">
      <c r="D882" s="85"/>
      <c r="E882" s="85"/>
    </row>
    <row r="883" spans="4:5">
      <c r="D883" s="85"/>
      <c r="E883" s="85"/>
    </row>
    <row r="884" spans="4:5">
      <c r="D884" s="85"/>
      <c r="E884" s="85"/>
    </row>
    <row r="885" spans="4:5">
      <c r="D885" s="85"/>
      <c r="E885" s="85"/>
    </row>
    <row r="886" spans="4:5">
      <c r="D886" s="85"/>
      <c r="E886" s="85"/>
    </row>
    <row r="887" spans="4:5">
      <c r="D887" s="85"/>
      <c r="E887" s="85"/>
    </row>
    <row r="888" spans="4:5">
      <c r="D888" s="85"/>
      <c r="E888" s="85"/>
    </row>
    <row r="889" spans="4:5">
      <c r="D889" s="85"/>
      <c r="E889" s="85"/>
    </row>
    <row r="890" spans="4:5">
      <c r="D890" s="85"/>
      <c r="E890" s="85"/>
    </row>
    <row r="891" spans="4:5">
      <c r="D891" s="85"/>
      <c r="E891" s="85"/>
    </row>
    <row r="892" spans="4:5">
      <c r="D892" s="85"/>
      <c r="E892" s="85"/>
    </row>
    <row r="893" spans="4:5">
      <c r="D893" s="85"/>
      <c r="E893" s="85"/>
    </row>
    <row r="894" spans="4:5">
      <c r="D894" s="85"/>
      <c r="E894" s="85"/>
    </row>
    <row r="895" spans="4:5">
      <c r="D895" s="85"/>
      <c r="E895" s="85"/>
    </row>
    <row r="896" spans="4:5">
      <c r="D896" s="85"/>
      <c r="E896" s="85"/>
    </row>
    <row r="897" spans="4:5">
      <c r="D897" s="85"/>
      <c r="E897" s="85"/>
    </row>
    <row r="898" spans="4:5">
      <c r="D898" s="85"/>
      <c r="E898" s="85"/>
    </row>
    <row r="899" spans="4:5">
      <c r="D899" s="85"/>
      <c r="E899" s="85"/>
    </row>
    <row r="900" spans="4:5">
      <c r="D900" s="85"/>
      <c r="E900" s="85"/>
    </row>
    <row r="901" spans="4:5">
      <c r="D901" s="85"/>
      <c r="E901" s="85"/>
    </row>
    <row r="902" spans="4:5">
      <c r="D902" s="85"/>
      <c r="E902" s="85"/>
    </row>
    <row r="903" spans="4:5">
      <c r="D903" s="85"/>
      <c r="E903" s="85"/>
    </row>
    <row r="904" spans="4:5">
      <c r="D904" s="85"/>
      <c r="E904" s="85"/>
    </row>
    <row r="905" spans="4:5">
      <c r="D905" s="85"/>
      <c r="E905" s="85"/>
    </row>
    <row r="906" spans="4:5">
      <c r="D906" s="85"/>
      <c r="E906" s="85"/>
    </row>
    <row r="907" spans="4:5">
      <c r="D907" s="85"/>
      <c r="E907" s="85"/>
    </row>
    <row r="908" spans="4:5">
      <c r="D908" s="85"/>
      <c r="E908" s="85"/>
    </row>
    <row r="909" spans="4:5">
      <c r="D909" s="85"/>
      <c r="E909" s="85"/>
    </row>
    <row r="910" spans="4:5">
      <c r="D910" s="85"/>
      <c r="E910" s="85"/>
    </row>
    <row r="911" spans="4:5">
      <c r="D911" s="85"/>
      <c r="E911" s="85"/>
    </row>
    <row r="912" spans="4:5">
      <c r="D912" s="85"/>
      <c r="E912" s="85"/>
    </row>
    <row r="913" spans="4:5">
      <c r="D913" s="85"/>
      <c r="E913" s="85"/>
    </row>
    <row r="914" spans="4:5">
      <c r="D914" s="85"/>
      <c r="E914" s="85"/>
    </row>
    <row r="915" spans="4:5">
      <c r="D915" s="85"/>
      <c r="E915" s="85"/>
    </row>
    <row r="916" spans="4:5">
      <c r="D916" s="85"/>
      <c r="E916" s="85"/>
    </row>
    <row r="917" spans="4:5">
      <c r="D917" s="85"/>
      <c r="E917" s="85"/>
    </row>
    <row r="918" spans="4:5">
      <c r="D918" s="85"/>
      <c r="E918" s="85"/>
    </row>
    <row r="919" spans="4:5">
      <c r="D919" s="85"/>
      <c r="E919" s="85"/>
    </row>
    <row r="920" spans="4:5">
      <c r="D920" s="85"/>
      <c r="E920" s="85"/>
    </row>
    <row r="921" spans="4:5">
      <c r="D921" s="85"/>
      <c r="E921" s="85"/>
    </row>
    <row r="922" spans="4:5">
      <c r="D922" s="85"/>
      <c r="E922" s="85"/>
    </row>
    <row r="923" spans="4:5">
      <c r="D923" s="85"/>
      <c r="E923" s="85"/>
    </row>
    <row r="924" spans="4:5">
      <c r="D924" s="85"/>
      <c r="E924" s="85"/>
    </row>
    <row r="925" spans="4:5">
      <c r="D925" s="85"/>
      <c r="E925" s="85"/>
    </row>
    <row r="926" spans="4:5">
      <c r="D926" s="85"/>
      <c r="E926" s="85"/>
    </row>
    <row r="927" spans="4:5">
      <c r="D927" s="85"/>
      <c r="E927" s="85"/>
    </row>
    <row r="928" spans="4:5">
      <c r="D928" s="85"/>
      <c r="E928" s="85"/>
    </row>
    <row r="929" spans="4:5">
      <c r="D929" s="85"/>
      <c r="E929" s="85"/>
    </row>
    <row r="930" spans="4:5">
      <c r="D930" s="85"/>
      <c r="E930" s="85"/>
    </row>
    <row r="931" spans="4:5">
      <c r="D931" s="85"/>
      <c r="E931" s="85"/>
    </row>
    <row r="932" spans="4:5">
      <c r="D932" s="85"/>
      <c r="E932" s="85"/>
    </row>
    <row r="933" spans="4:5">
      <c r="D933" s="85"/>
      <c r="E933" s="85"/>
    </row>
    <row r="934" spans="4:5">
      <c r="D934" s="85"/>
      <c r="E934" s="85"/>
    </row>
    <row r="935" spans="4:5">
      <c r="D935" s="85"/>
      <c r="E935" s="85"/>
    </row>
    <row r="936" spans="4:5">
      <c r="D936" s="85"/>
      <c r="E936" s="85"/>
    </row>
    <row r="937" spans="4:5">
      <c r="D937" s="85"/>
      <c r="E937" s="85"/>
    </row>
    <row r="938" spans="4:5">
      <c r="D938" s="85"/>
      <c r="E938" s="85"/>
    </row>
    <row r="939" spans="4:5">
      <c r="D939" s="85"/>
      <c r="E939" s="85"/>
    </row>
    <row r="940" spans="4:5">
      <c r="D940" s="85"/>
      <c r="E940" s="85"/>
    </row>
    <row r="941" spans="4:5">
      <c r="D941" s="85"/>
      <c r="E941" s="85"/>
    </row>
    <row r="942" spans="4:5">
      <c r="D942" s="85"/>
      <c r="E942" s="85"/>
    </row>
    <row r="943" spans="4:5">
      <c r="D943" s="85"/>
      <c r="E943" s="85"/>
    </row>
    <row r="944" spans="4:5">
      <c r="D944" s="85"/>
      <c r="E944" s="85"/>
    </row>
    <row r="945" spans="4:5">
      <c r="D945" s="85"/>
      <c r="E945" s="85"/>
    </row>
    <row r="946" spans="4:5">
      <c r="D946" s="85"/>
      <c r="E946" s="85"/>
    </row>
    <row r="947" spans="4:5">
      <c r="D947" s="85"/>
      <c r="E947" s="85"/>
    </row>
    <row r="948" spans="4:5">
      <c r="D948" s="85"/>
      <c r="E948" s="85"/>
    </row>
    <row r="949" spans="4:5">
      <c r="D949" s="85"/>
      <c r="E949" s="85"/>
    </row>
    <row r="950" spans="4:5">
      <c r="D950" s="85"/>
      <c r="E950" s="85"/>
    </row>
    <row r="951" spans="4:5">
      <c r="D951" s="85"/>
      <c r="E951" s="85"/>
    </row>
    <row r="952" spans="4:5">
      <c r="D952" s="85"/>
      <c r="E952" s="85"/>
    </row>
    <row r="953" spans="4:5">
      <c r="D953" s="85"/>
      <c r="E953" s="85"/>
    </row>
    <row r="954" spans="4:5">
      <c r="D954" s="85"/>
      <c r="E954" s="85"/>
    </row>
    <row r="955" spans="4:5">
      <c r="D955" s="85"/>
      <c r="E955" s="85"/>
    </row>
    <row r="956" spans="4:5">
      <c r="D956" s="85"/>
      <c r="E956" s="85"/>
    </row>
    <row r="957" spans="4:5">
      <c r="D957" s="85"/>
      <c r="E957" s="85"/>
    </row>
    <row r="958" spans="4:5">
      <c r="D958" s="85"/>
      <c r="E958" s="85"/>
    </row>
    <row r="959" spans="4:5">
      <c r="D959" s="85"/>
      <c r="E959" s="85"/>
    </row>
    <row r="960" spans="4:5">
      <c r="D960" s="85"/>
      <c r="E960" s="85"/>
    </row>
    <row r="961" spans="4:5">
      <c r="D961" s="85"/>
      <c r="E961" s="85"/>
    </row>
    <row r="962" spans="4:5">
      <c r="D962" s="85"/>
      <c r="E962" s="85"/>
    </row>
    <row r="963" spans="4:5">
      <c r="D963" s="85"/>
      <c r="E963" s="85"/>
    </row>
    <row r="964" spans="4:5">
      <c r="D964" s="85"/>
      <c r="E964" s="85"/>
    </row>
    <row r="965" spans="4:5">
      <c r="D965" s="85"/>
      <c r="E965" s="85"/>
    </row>
    <row r="966" spans="4:5">
      <c r="D966" s="85"/>
      <c r="E966" s="85"/>
    </row>
    <row r="967" spans="4:5">
      <c r="D967" s="85"/>
      <c r="E967" s="85"/>
    </row>
    <row r="968" spans="4:5">
      <c r="D968" s="85"/>
      <c r="E968" s="85"/>
    </row>
    <row r="969" spans="4:5">
      <c r="D969" s="85"/>
      <c r="E969" s="85"/>
    </row>
    <row r="970" spans="4:5">
      <c r="D970" s="85"/>
      <c r="E970" s="85"/>
    </row>
    <row r="971" spans="4:5">
      <c r="D971" s="85"/>
      <c r="E971" s="85"/>
    </row>
    <row r="972" spans="4:5">
      <c r="D972" s="85"/>
      <c r="E972" s="85"/>
    </row>
    <row r="973" spans="4:5">
      <c r="D973" s="85"/>
      <c r="E973" s="85"/>
    </row>
    <row r="974" spans="4:5">
      <c r="D974" s="85"/>
      <c r="E974" s="85"/>
    </row>
    <row r="975" spans="4:5">
      <c r="D975" s="85"/>
      <c r="E975" s="85"/>
    </row>
    <row r="976" spans="4:5">
      <c r="D976" s="85"/>
      <c r="E976" s="85"/>
    </row>
    <row r="977" spans="4:5">
      <c r="D977" s="85"/>
      <c r="E977" s="85"/>
    </row>
    <row r="978" spans="4:5">
      <c r="D978" s="85"/>
      <c r="E978" s="85"/>
    </row>
    <row r="979" spans="4:5">
      <c r="D979" s="85"/>
      <c r="E979" s="85"/>
    </row>
    <row r="980" spans="4:5">
      <c r="D980" s="85"/>
      <c r="E980" s="85"/>
    </row>
    <row r="981" spans="4:5">
      <c r="D981" s="85"/>
      <c r="E981" s="85"/>
    </row>
    <row r="982" spans="4:5">
      <c r="D982" s="85"/>
      <c r="E982" s="85"/>
    </row>
    <row r="983" spans="4:5">
      <c r="D983" s="85"/>
      <c r="E983" s="85"/>
    </row>
    <row r="984" spans="4:5">
      <c r="D984" s="85"/>
      <c r="E984" s="85"/>
    </row>
    <row r="985" spans="4:5">
      <c r="D985" s="85"/>
      <c r="E985" s="85"/>
    </row>
    <row r="986" spans="4:5">
      <c r="D986" s="85"/>
      <c r="E986" s="85"/>
    </row>
    <row r="987" spans="4:5">
      <c r="D987" s="85"/>
      <c r="E987" s="85"/>
    </row>
    <row r="988" spans="4:5">
      <c r="D988" s="85"/>
      <c r="E988" s="85"/>
    </row>
    <row r="989" spans="4:5">
      <c r="D989" s="85"/>
      <c r="E989" s="85"/>
    </row>
    <row r="990" spans="4:5">
      <c r="D990" s="85"/>
      <c r="E990" s="85"/>
    </row>
    <row r="991" spans="4:5">
      <c r="D991" s="85"/>
      <c r="E991" s="85"/>
    </row>
    <row r="992" spans="4:5">
      <c r="D992" s="85"/>
      <c r="E992" s="85"/>
    </row>
    <row r="993" spans="4:5">
      <c r="D993" s="85"/>
      <c r="E993" s="85"/>
    </row>
    <row r="994" spans="4:5">
      <c r="D994" s="85"/>
      <c r="E994" s="85"/>
    </row>
    <row r="995" spans="4:5">
      <c r="D995" s="85"/>
      <c r="E995" s="85"/>
    </row>
    <row r="996" spans="4:5">
      <c r="D996" s="85"/>
      <c r="E996" s="85"/>
    </row>
    <row r="997" spans="4:5">
      <c r="D997" s="85"/>
      <c r="E997" s="85"/>
    </row>
    <row r="998" spans="4:5">
      <c r="D998" s="85"/>
      <c r="E998" s="85"/>
    </row>
    <row r="999" spans="4:5">
      <c r="D999" s="85"/>
      <c r="E999" s="85"/>
    </row>
    <row r="1000" spans="4:5">
      <c r="D1000" s="85"/>
      <c r="E1000" s="8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340"/>
  <sheetViews>
    <sheetView topLeftCell="A97" workbookViewId="0"/>
  </sheetViews>
  <sheetFormatPr defaultRowHeight="13.3"/>
  <sheetData>
    <row r="1" spans="1:14" ht="20.5">
      <c r="A1" s="410" t="s">
        <v>782</v>
      </c>
      <c r="B1" s="411"/>
      <c r="C1" s="412" t="s">
        <v>783</v>
      </c>
      <c r="D1" s="411"/>
      <c r="G1" s="10" t="s">
        <v>784</v>
      </c>
      <c r="M1" s="116" t="s">
        <v>785</v>
      </c>
    </row>
    <row r="3" spans="1:14" ht="17.75">
      <c r="A3" s="258" t="s">
        <v>786</v>
      </c>
      <c r="M3" s="116" t="s">
        <v>787</v>
      </c>
      <c r="N3" s="10">
        <v>7206000</v>
      </c>
    </row>
    <row r="4" spans="1:14" ht="14.4">
      <c r="A4" s="116" t="s">
        <v>788</v>
      </c>
      <c r="B4" s="85">
        <v>1</v>
      </c>
      <c r="G4" s="413" t="s">
        <v>789</v>
      </c>
      <c r="H4" s="413">
        <v>13.11</v>
      </c>
      <c r="I4" s="413">
        <v>18.7</v>
      </c>
      <c r="J4" s="413">
        <v>245.15700000000001</v>
      </c>
    </row>
    <row r="5" spans="1:14" ht="14.4">
      <c r="A5" s="116" t="s">
        <v>790</v>
      </c>
      <c r="B5" s="85">
        <v>4</v>
      </c>
      <c r="C5" s="10">
        <f>SUM(6000*4)</f>
        <v>24000</v>
      </c>
      <c r="G5" s="413"/>
      <c r="H5" s="413"/>
      <c r="I5" s="413"/>
      <c r="J5" s="413"/>
    </row>
    <row r="6" spans="1:14" ht="14.4">
      <c r="A6" s="116" t="s">
        <v>791</v>
      </c>
      <c r="B6" s="85"/>
      <c r="C6" s="10">
        <v>1500</v>
      </c>
      <c r="G6" s="413"/>
      <c r="H6" s="413"/>
      <c r="I6" s="413"/>
      <c r="J6" s="413"/>
    </row>
    <row r="7" spans="1:14" ht="14.4">
      <c r="A7" s="116" t="s">
        <v>381</v>
      </c>
      <c r="B7" s="85"/>
      <c r="C7" s="10">
        <v>19000</v>
      </c>
      <c r="G7" s="413"/>
      <c r="H7" s="413"/>
      <c r="I7" s="413"/>
      <c r="J7" s="413"/>
    </row>
    <row r="8" spans="1:14" ht="14.4">
      <c r="B8" s="304" t="s">
        <v>32</v>
      </c>
      <c r="C8" s="304"/>
      <c r="D8" s="304">
        <f>SUM(C4:C7)</f>
        <v>44500</v>
      </c>
      <c r="G8" s="413" t="s">
        <v>789</v>
      </c>
      <c r="H8" s="413">
        <v>14.1</v>
      </c>
      <c r="I8" s="413">
        <v>14</v>
      </c>
      <c r="J8" s="413">
        <v>197.4</v>
      </c>
    </row>
    <row r="9" spans="1:14" ht="17.75">
      <c r="A9" s="258" t="s">
        <v>513</v>
      </c>
      <c r="B9" s="85"/>
      <c r="G9" s="413" t="s">
        <v>792</v>
      </c>
      <c r="H9" s="413">
        <v>13.11</v>
      </c>
      <c r="I9" s="413">
        <v>13</v>
      </c>
      <c r="J9" s="413">
        <v>170.43</v>
      </c>
    </row>
    <row r="10" spans="1:14" ht="14.4">
      <c r="A10" s="116" t="s">
        <v>793</v>
      </c>
      <c r="B10" s="85">
        <v>2</v>
      </c>
      <c r="C10" s="10">
        <f>SUM(1250*2)</f>
        <v>2500</v>
      </c>
      <c r="G10" s="413" t="s">
        <v>794</v>
      </c>
      <c r="H10" s="413">
        <v>17.5</v>
      </c>
      <c r="I10" s="413">
        <v>10.1</v>
      </c>
      <c r="J10" s="413">
        <v>176.75</v>
      </c>
    </row>
    <row r="11" spans="1:14" ht="14.4">
      <c r="A11" s="116" t="s">
        <v>795</v>
      </c>
      <c r="B11" s="85">
        <v>1</v>
      </c>
      <c r="C11" s="10">
        <v>2400</v>
      </c>
      <c r="G11" s="413" t="s">
        <v>796</v>
      </c>
      <c r="H11" s="413">
        <v>11.8</v>
      </c>
      <c r="I11" s="413">
        <v>9.6</v>
      </c>
      <c r="J11" s="413">
        <v>113.28</v>
      </c>
    </row>
    <row r="12" spans="1:14" ht="14.4">
      <c r="A12" s="116" t="s">
        <v>797</v>
      </c>
      <c r="B12" s="85">
        <v>1</v>
      </c>
      <c r="C12" s="10">
        <v>1346</v>
      </c>
      <c r="G12" s="413"/>
      <c r="H12" s="413"/>
      <c r="I12" s="413"/>
      <c r="J12" s="413"/>
    </row>
    <row r="13" spans="1:14" ht="14.4">
      <c r="A13" s="116" t="s">
        <v>798</v>
      </c>
      <c r="B13" s="85">
        <v>2</v>
      </c>
      <c r="C13" s="10">
        <f>SUM(1200*2)</f>
        <v>2400</v>
      </c>
      <c r="G13" s="413" t="s">
        <v>799</v>
      </c>
      <c r="H13" s="413">
        <v>8.8000000000000007</v>
      </c>
      <c r="I13" s="413">
        <v>6</v>
      </c>
      <c r="J13" s="413">
        <v>52.8</v>
      </c>
    </row>
    <row r="14" spans="1:14" ht="14.4">
      <c r="A14" s="116" t="s">
        <v>800</v>
      </c>
      <c r="B14" s="85">
        <v>3</v>
      </c>
      <c r="C14" s="10">
        <f>SUM(825*3)</f>
        <v>2475</v>
      </c>
      <c r="G14" s="413"/>
      <c r="H14" s="413"/>
      <c r="I14" s="413"/>
      <c r="J14" s="413"/>
    </row>
    <row r="15" spans="1:14" ht="14.4">
      <c r="B15" s="304" t="s">
        <v>32</v>
      </c>
      <c r="C15" s="304"/>
      <c r="D15" s="304">
        <f>SUM(C10:C14)</f>
        <v>11121</v>
      </c>
      <c r="G15" s="413" t="s">
        <v>801</v>
      </c>
      <c r="H15" s="413">
        <v>7.5</v>
      </c>
      <c r="I15" s="413">
        <v>10.6</v>
      </c>
      <c r="J15" s="413">
        <v>79.5</v>
      </c>
    </row>
    <row r="16" spans="1:14" ht="17.75">
      <c r="A16" s="258" t="s">
        <v>526</v>
      </c>
      <c r="B16" s="85"/>
      <c r="G16" s="413" t="s">
        <v>801</v>
      </c>
      <c r="H16" s="413">
        <v>10</v>
      </c>
      <c r="I16" s="413">
        <v>6.5</v>
      </c>
      <c r="J16" s="413">
        <v>65</v>
      </c>
    </row>
    <row r="17" spans="1:11" ht="14.4">
      <c r="A17" s="116" t="s">
        <v>802</v>
      </c>
      <c r="B17" s="85">
        <v>3</v>
      </c>
      <c r="C17" s="116">
        <v>3000</v>
      </c>
      <c r="G17" s="413" t="s">
        <v>801</v>
      </c>
      <c r="H17" s="413">
        <v>6</v>
      </c>
      <c r="I17" s="413">
        <v>8</v>
      </c>
      <c r="J17" s="413">
        <v>48</v>
      </c>
    </row>
    <row r="18" spans="1:11" ht="14.4">
      <c r="A18" s="116" t="s">
        <v>803</v>
      </c>
      <c r="B18" s="85">
        <v>1</v>
      </c>
      <c r="C18" s="116">
        <v>1000</v>
      </c>
      <c r="G18" s="413"/>
      <c r="H18" s="413"/>
      <c r="I18" s="413"/>
      <c r="J18" s="413"/>
    </row>
    <row r="19" spans="1:11" ht="14.4">
      <c r="A19" s="116"/>
      <c r="B19" s="304" t="s">
        <v>32</v>
      </c>
      <c r="C19" s="304"/>
      <c r="D19" s="304">
        <f>SUM(C17:C18)</f>
        <v>4000</v>
      </c>
      <c r="G19" s="413"/>
      <c r="H19" s="413"/>
      <c r="I19" s="413"/>
      <c r="J19" s="413"/>
    </row>
    <row r="20" spans="1:11" ht="17.75">
      <c r="A20" s="258" t="s">
        <v>532</v>
      </c>
      <c r="B20" s="85"/>
      <c r="G20" s="413" t="s">
        <v>804</v>
      </c>
      <c r="H20" s="413">
        <v>4</v>
      </c>
      <c r="I20" s="413">
        <v>9.6</v>
      </c>
      <c r="J20" s="413">
        <v>38.4</v>
      </c>
    </row>
    <row r="21" spans="1:11" ht="14.4">
      <c r="A21" s="116" t="s">
        <v>805</v>
      </c>
      <c r="B21" s="85">
        <v>5</v>
      </c>
      <c r="C21" s="116">
        <f>SUM(97*5)</f>
        <v>485</v>
      </c>
      <c r="G21" s="413"/>
      <c r="H21" s="413"/>
      <c r="I21" s="413"/>
      <c r="J21" s="413"/>
    </row>
    <row r="22" spans="1:11" ht="14.4">
      <c r="A22" s="116" t="s">
        <v>806</v>
      </c>
      <c r="B22" s="85">
        <v>8</v>
      </c>
      <c r="C22" s="116">
        <f>SUM(84*8)</f>
        <v>672</v>
      </c>
      <c r="G22" s="413"/>
      <c r="H22" s="413"/>
      <c r="I22" s="413"/>
      <c r="J22" s="413"/>
    </row>
    <row r="23" spans="1:11" ht="14.4">
      <c r="A23" s="116" t="s">
        <v>534</v>
      </c>
      <c r="B23" s="85">
        <v>2</v>
      </c>
      <c r="C23" s="116">
        <f>SUM(500*2)</f>
        <v>1000</v>
      </c>
      <c r="G23" s="413"/>
      <c r="H23" s="413"/>
      <c r="I23" s="413"/>
      <c r="J23" s="413"/>
    </row>
    <row r="24" spans="1:11" ht="14.4">
      <c r="A24" s="116" t="s">
        <v>537</v>
      </c>
      <c r="B24" s="85">
        <v>4</v>
      </c>
      <c r="C24" s="116">
        <f>SUM(280*4)</f>
        <v>1120</v>
      </c>
      <c r="G24" s="413"/>
      <c r="H24" s="413"/>
      <c r="I24" s="413"/>
      <c r="J24" s="413"/>
    </row>
    <row r="25" spans="1:11" ht="14.4">
      <c r="A25" s="116" t="s">
        <v>807</v>
      </c>
      <c r="B25" s="85"/>
      <c r="C25" s="116">
        <f>SUM(825*2)</f>
        <v>1650</v>
      </c>
      <c r="G25" s="413"/>
      <c r="H25" s="413"/>
      <c r="I25" s="413"/>
      <c r="J25" s="413"/>
    </row>
    <row r="26" spans="1:11" ht="14.4">
      <c r="A26" s="116" t="s">
        <v>539</v>
      </c>
      <c r="B26" s="85" t="s">
        <v>540</v>
      </c>
      <c r="C26" s="10">
        <v>225</v>
      </c>
      <c r="G26" s="413" t="s">
        <v>808</v>
      </c>
      <c r="H26" s="413">
        <v>4.5999999999999996</v>
      </c>
      <c r="I26" s="413">
        <v>8.8000000000000007</v>
      </c>
      <c r="J26" s="413">
        <v>40.479999999999997</v>
      </c>
    </row>
    <row r="27" spans="1:11">
      <c r="A27" s="116" t="s">
        <v>542</v>
      </c>
      <c r="B27" s="85" t="s">
        <v>809</v>
      </c>
      <c r="C27" s="10">
        <f>SUM(300*4)</f>
        <v>1200</v>
      </c>
    </row>
    <row r="28" spans="1:11" ht="14.4">
      <c r="A28" s="116" t="s">
        <v>544</v>
      </c>
      <c r="B28" s="85" t="s">
        <v>545</v>
      </c>
      <c r="C28" s="116">
        <v>1500</v>
      </c>
      <c r="E28" s="116"/>
      <c r="G28" s="413" t="s">
        <v>810</v>
      </c>
      <c r="H28" s="413"/>
      <c r="I28" s="413"/>
      <c r="J28" s="413">
        <v>1471.0340000000001</v>
      </c>
      <c r="K28" s="414" t="s">
        <v>811</v>
      </c>
    </row>
    <row r="29" spans="1:11" ht="14.4">
      <c r="A29" s="116" t="s">
        <v>812</v>
      </c>
      <c r="B29" s="85" t="s">
        <v>547</v>
      </c>
      <c r="C29" s="10">
        <f>SUM(150*3)</f>
        <v>450</v>
      </c>
      <c r="G29" s="413" t="s">
        <v>813</v>
      </c>
      <c r="H29" s="413"/>
      <c r="I29" s="413"/>
      <c r="J29" s="413">
        <v>2227</v>
      </c>
      <c r="K29" s="413"/>
    </row>
    <row r="30" spans="1:11" ht="14.4">
      <c r="A30" s="116" t="s">
        <v>395</v>
      </c>
      <c r="B30" s="85" t="s">
        <v>549</v>
      </c>
      <c r="C30" s="10">
        <v>1200</v>
      </c>
      <c r="G30" s="413" t="s">
        <v>814</v>
      </c>
      <c r="H30" s="413"/>
      <c r="I30" s="413"/>
      <c r="J30" s="414">
        <v>0.34</v>
      </c>
      <c r="K30" s="413"/>
    </row>
    <row r="31" spans="1:11" ht="14.4">
      <c r="A31" s="116" t="s">
        <v>815</v>
      </c>
      <c r="B31" s="85">
        <v>5</v>
      </c>
      <c r="C31" s="10">
        <f>SUM(540*5)</f>
        <v>2700</v>
      </c>
      <c r="G31" s="413"/>
      <c r="H31" s="413"/>
      <c r="I31" s="413"/>
      <c r="J31" s="414"/>
      <c r="K31" s="413"/>
    </row>
    <row r="32" spans="1:11" ht="14.4">
      <c r="A32" s="116" t="s">
        <v>553</v>
      </c>
      <c r="B32" s="85" t="s">
        <v>816</v>
      </c>
      <c r="C32" s="10">
        <v>900</v>
      </c>
      <c r="E32" s="116"/>
      <c r="G32" s="413" t="s">
        <v>817</v>
      </c>
      <c r="H32" s="413"/>
      <c r="I32" s="413"/>
      <c r="J32" s="413">
        <v>1740</v>
      </c>
      <c r="K32" s="414" t="s">
        <v>818</v>
      </c>
    </row>
    <row r="33" spans="1:13">
      <c r="A33" s="116" t="s">
        <v>819</v>
      </c>
      <c r="B33" s="85">
        <v>2</v>
      </c>
      <c r="C33" s="10">
        <f>SUM(350*2)</f>
        <v>700</v>
      </c>
    </row>
    <row r="34" spans="1:13">
      <c r="A34" s="116" t="s">
        <v>820</v>
      </c>
      <c r="B34" s="85">
        <v>1</v>
      </c>
      <c r="C34" s="10">
        <v>625</v>
      </c>
    </row>
    <row r="35" spans="1:13">
      <c r="A35" s="116" t="s">
        <v>821</v>
      </c>
      <c r="B35" s="85">
        <v>3</v>
      </c>
      <c r="C35" s="10">
        <f>SUM(325*3)+75</f>
        <v>1050</v>
      </c>
    </row>
    <row r="36" spans="1:13">
      <c r="A36" s="116" t="s">
        <v>559</v>
      </c>
      <c r="B36" s="85" t="s">
        <v>560</v>
      </c>
      <c r="C36" s="10">
        <v>65</v>
      </c>
    </row>
    <row r="37" spans="1:13">
      <c r="A37" s="116" t="s">
        <v>561</v>
      </c>
      <c r="B37" s="85">
        <v>2</v>
      </c>
      <c r="C37" s="116">
        <v>200</v>
      </c>
    </row>
    <row r="38" spans="1:13">
      <c r="A38" s="116" t="s">
        <v>822</v>
      </c>
      <c r="B38" s="85"/>
      <c r="C38" s="10">
        <v>800</v>
      </c>
    </row>
    <row r="39" spans="1:13">
      <c r="A39" s="116" t="s">
        <v>823</v>
      </c>
      <c r="B39" s="85">
        <v>1</v>
      </c>
      <c r="C39" s="10">
        <v>950</v>
      </c>
    </row>
    <row r="40" spans="1:13">
      <c r="A40" s="116" t="s">
        <v>824</v>
      </c>
      <c r="B40" s="85">
        <v>2</v>
      </c>
      <c r="C40" s="10">
        <v>1100</v>
      </c>
    </row>
    <row r="41" spans="1:13">
      <c r="B41" s="344" t="s">
        <v>32</v>
      </c>
      <c r="C41" s="304"/>
      <c r="D41" s="304">
        <f>SUM(C21:C40)</f>
        <v>18592</v>
      </c>
      <c r="E41" s="11"/>
      <c r="G41" s="255"/>
      <c r="H41" s="255"/>
      <c r="J41" s="411" t="s">
        <v>825</v>
      </c>
      <c r="K41" s="411">
        <v>7206000</v>
      </c>
    </row>
    <row r="42" spans="1:13" ht="17.75">
      <c r="A42" s="258" t="s">
        <v>826</v>
      </c>
      <c r="F42" s="255"/>
      <c r="G42" s="255"/>
      <c r="H42" s="255"/>
      <c r="J42" s="411" t="s">
        <v>827</v>
      </c>
      <c r="K42" s="412">
        <v>1440000</v>
      </c>
    </row>
    <row r="43" spans="1:13">
      <c r="A43" s="116" t="s">
        <v>828</v>
      </c>
      <c r="B43" s="85"/>
      <c r="C43" s="116">
        <v>1700</v>
      </c>
      <c r="F43" s="255"/>
      <c r="G43" s="255"/>
      <c r="H43" s="255"/>
      <c r="J43" s="411" t="s">
        <v>829</v>
      </c>
      <c r="K43" s="411">
        <v>668000</v>
      </c>
    </row>
    <row r="44" spans="1:13">
      <c r="A44" s="116" t="s">
        <v>830</v>
      </c>
      <c r="C44" s="116">
        <v>370</v>
      </c>
      <c r="E44" s="255"/>
      <c r="F44" s="11"/>
      <c r="G44" s="255"/>
      <c r="H44" s="255"/>
      <c r="J44" s="411" t="s">
        <v>506</v>
      </c>
      <c r="K44" s="412">
        <f>SUM(K41-K43)</f>
        <v>6538000</v>
      </c>
      <c r="M44" s="10">
        <v>6538000</v>
      </c>
    </row>
    <row r="45" spans="1:13">
      <c r="B45" s="344" t="s">
        <v>32</v>
      </c>
      <c r="C45" s="304"/>
      <c r="D45" s="304">
        <f>SUM(C43:C44)</f>
        <v>2070</v>
      </c>
      <c r="E45" s="255"/>
      <c r="F45" s="255"/>
      <c r="G45" s="255"/>
      <c r="H45" s="255"/>
      <c r="J45" s="412" t="s">
        <v>831</v>
      </c>
      <c r="K45" s="411"/>
      <c r="M45" s="10">
        <v>84800</v>
      </c>
    </row>
    <row r="46" spans="1:13">
      <c r="E46" s="255"/>
      <c r="F46" s="255"/>
      <c r="G46" s="255"/>
      <c r="H46" s="255"/>
      <c r="J46" s="412"/>
      <c r="K46" s="411"/>
    </row>
    <row r="47" spans="1:13" ht="17.75">
      <c r="A47" s="258" t="s">
        <v>832</v>
      </c>
      <c r="E47" s="255"/>
      <c r="F47" s="255"/>
      <c r="G47" s="255"/>
      <c r="H47" s="255"/>
      <c r="J47" s="412"/>
      <c r="K47" s="411"/>
    </row>
    <row r="48" spans="1:13">
      <c r="A48" s="116" t="s">
        <v>833</v>
      </c>
      <c r="C48" s="10">
        <v>3000</v>
      </c>
      <c r="E48" s="255"/>
      <c r="F48" s="255"/>
      <c r="G48" s="255"/>
      <c r="H48" s="255"/>
      <c r="J48" s="412"/>
      <c r="K48" s="411"/>
    </row>
    <row r="49" spans="1:11">
      <c r="B49" s="344" t="s">
        <v>32</v>
      </c>
      <c r="C49" s="304"/>
      <c r="D49" s="304">
        <f>SUM(C48)</f>
        <v>3000</v>
      </c>
      <c r="E49" s="255"/>
      <c r="F49" s="255"/>
      <c r="G49" s="255"/>
      <c r="H49" s="255"/>
      <c r="J49" s="412"/>
      <c r="K49" s="411"/>
    </row>
    <row r="50" spans="1:11">
      <c r="E50" s="255"/>
      <c r="F50" s="255"/>
      <c r="G50" s="255"/>
      <c r="H50" s="255"/>
      <c r="J50" s="412"/>
      <c r="K50" s="411"/>
    </row>
    <row r="51" spans="1:11" ht="17.75">
      <c r="A51" s="258" t="s">
        <v>834</v>
      </c>
      <c r="E51" s="255"/>
      <c r="F51" s="255"/>
      <c r="G51" s="255"/>
      <c r="H51" s="255"/>
      <c r="J51" s="412"/>
      <c r="K51" s="411"/>
    </row>
    <row r="52" spans="1:11">
      <c r="A52" s="116" t="s">
        <v>835</v>
      </c>
      <c r="C52" s="10">
        <v>6600</v>
      </c>
      <c r="E52" s="255"/>
      <c r="F52" s="255"/>
      <c r="G52" s="255"/>
      <c r="H52" s="255"/>
      <c r="J52" s="412"/>
      <c r="K52" s="411"/>
    </row>
    <row r="53" spans="1:11">
      <c r="A53" s="116" t="s">
        <v>836</v>
      </c>
      <c r="C53" s="10">
        <v>4400</v>
      </c>
      <c r="E53" s="255"/>
      <c r="F53" s="255"/>
      <c r="G53" s="255"/>
      <c r="H53" s="255"/>
      <c r="J53" s="412"/>
      <c r="K53" s="411"/>
    </row>
    <row r="54" spans="1:11">
      <c r="A54" s="116"/>
      <c r="B54" s="344" t="s">
        <v>32</v>
      </c>
      <c r="C54" s="304"/>
      <c r="D54" s="304">
        <f>SUM(C52:C53)</f>
        <v>11000</v>
      </c>
      <c r="E54" s="255"/>
      <c r="F54" s="255"/>
      <c r="G54" s="255"/>
      <c r="H54" s="255"/>
      <c r="J54" s="412"/>
      <c r="K54" s="411"/>
    </row>
    <row r="55" spans="1:11">
      <c r="E55" s="255"/>
      <c r="F55" s="255"/>
      <c r="G55" s="255"/>
      <c r="H55" s="255"/>
      <c r="J55" s="412"/>
      <c r="K55" s="411"/>
    </row>
    <row r="56" spans="1:11" ht="20.5">
      <c r="A56" s="410" t="s">
        <v>837</v>
      </c>
      <c r="B56" s="412" t="s">
        <v>838</v>
      </c>
      <c r="C56" s="412"/>
      <c r="D56" s="412">
        <f>SUM(D4:D55)</f>
        <v>94283</v>
      </c>
      <c r="E56" s="255"/>
      <c r="F56" s="255"/>
      <c r="G56" s="255"/>
      <c r="H56" s="255"/>
      <c r="J56" s="412"/>
      <c r="K56" s="411"/>
    </row>
    <row r="57" spans="1:11" ht="22.75">
      <c r="A57" s="415"/>
      <c r="B57" s="11"/>
      <c r="C57" s="11"/>
      <c r="E57" s="255"/>
      <c r="F57" s="255"/>
      <c r="G57" s="255"/>
      <c r="H57" s="255"/>
      <c r="J57" s="412"/>
      <c r="K57" s="411"/>
    </row>
    <row r="58" spans="1:11" ht="22.75">
      <c r="A58" s="416" t="s">
        <v>839</v>
      </c>
      <c r="B58" s="417"/>
      <c r="C58" s="417"/>
      <c r="D58" s="417"/>
      <c r="E58" s="255"/>
      <c r="F58" s="255"/>
      <c r="G58" s="255"/>
      <c r="H58" s="255"/>
      <c r="J58" s="412"/>
      <c r="K58" s="411"/>
    </row>
    <row r="59" spans="1:11">
      <c r="E59" s="255"/>
      <c r="F59" s="255"/>
      <c r="G59" s="255"/>
      <c r="H59" s="255"/>
      <c r="J59" s="412"/>
      <c r="K59" s="411"/>
    </row>
    <row r="60" spans="1:11" ht="17.75">
      <c r="A60" s="258" t="s">
        <v>840</v>
      </c>
      <c r="B60" s="85"/>
      <c r="E60" s="255"/>
      <c r="F60" s="255"/>
      <c r="G60" s="255"/>
      <c r="H60" s="255"/>
      <c r="J60" s="412"/>
      <c r="K60" s="411"/>
    </row>
    <row r="61" spans="1:11">
      <c r="A61" s="10" t="s">
        <v>841</v>
      </c>
      <c r="B61" s="85"/>
      <c r="C61" s="10">
        <v>17000</v>
      </c>
      <c r="E61" s="255"/>
      <c r="F61" s="255"/>
      <c r="G61" s="255"/>
      <c r="H61" s="255"/>
      <c r="J61" s="412"/>
      <c r="K61" s="411"/>
    </row>
    <row r="62" spans="1:11">
      <c r="A62" s="10" t="s">
        <v>842</v>
      </c>
      <c r="B62" s="85"/>
      <c r="C62" s="10">
        <v>4750</v>
      </c>
      <c r="E62" s="255"/>
      <c r="F62" s="255"/>
      <c r="G62" s="255"/>
      <c r="H62" s="255"/>
      <c r="J62" s="412"/>
      <c r="K62" s="411"/>
    </row>
    <row r="63" spans="1:11">
      <c r="A63" s="116" t="s">
        <v>843</v>
      </c>
      <c r="B63" s="85"/>
      <c r="C63" s="10">
        <v>3200</v>
      </c>
      <c r="E63" s="255"/>
      <c r="F63" s="255"/>
      <c r="G63" s="255"/>
      <c r="H63" s="255"/>
      <c r="J63" s="412"/>
      <c r="K63" s="411"/>
    </row>
    <row r="64" spans="1:11">
      <c r="B64" s="344" t="s">
        <v>32</v>
      </c>
      <c r="C64" s="304"/>
      <c r="D64" s="304">
        <f>SUM(C61:C63)</f>
        <v>24950</v>
      </c>
      <c r="E64" s="255"/>
      <c r="F64" s="255"/>
      <c r="G64" s="255"/>
      <c r="H64" s="255"/>
      <c r="J64" s="412"/>
      <c r="K64" s="411"/>
    </row>
    <row r="65" spans="1:13" ht="17.75">
      <c r="A65" s="258" t="s">
        <v>844</v>
      </c>
      <c r="E65" s="255"/>
      <c r="F65" s="255"/>
      <c r="G65" s="255"/>
      <c r="H65" s="255"/>
      <c r="J65" s="412"/>
      <c r="K65" s="411"/>
    </row>
    <row r="66" spans="1:13">
      <c r="A66" s="10" t="s">
        <v>845</v>
      </c>
      <c r="C66" s="10">
        <v>11000</v>
      </c>
      <c r="E66" s="255"/>
      <c r="F66" s="255"/>
      <c r="G66" s="255"/>
      <c r="H66" s="255"/>
      <c r="J66" s="412"/>
      <c r="K66" s="411"/>
    </row>
    <row r="67" spans="1:13">
      <c r="A67" s="116" t="s">
        <v>846</v>
      </c>
      <c r="C67" s="10">
        <v>38000</v>
      </c>
      <c r="E67" s="255"/>
      <c r="F67" s="255"/>
      <c r="G67" s="255"/>
      <c r="H67" s="255"/>
      <c r="J67" s="412"/>
      <c r="K67" s="411"/>
    </row>
    <row r="68" spans="1:13">
      <c r="A68" s="10" t="s">
        <v>847</v>
      </c>
      <c r="C68" s="10">
        <v>36000</v>
      </c>
      <c r="E68" s="255"/>
      <c r="F68" s="255"/>
      <c r="G68" s="255"/>
      <c r="H68" s="255"/>
      <c r="J68" s="412"/>
      <c r="K68" s="411"/>
    </row>
    <row r="69" spans="1:13">
      <c r="B69" s="344" t="s">
        <v>32</v>
      </c>
      <c r="C69" s="304"/>
      <c r="D69" s="304">
        <f>SUM(C66:C68)</f>
        <v>85000</v>
      </c>
      <c r="E69" s="255"/>
      <c r="F69" s="255"/>
      <c r="G69" s="255"/>
      <c r="H69" s="255"/>
      <c r="J69" s="412"/>
      <c r="K69" s="411"/>
    </row>
    <row r="70" spans="1:13" ht="17.75">
      <c r="A70" s="258" t="s">
        <v>848</v>
      </c>
      <c r="B70" s="85"/>
      <c r="C70" s="11"/>
      <c r="G70" s="255"/>
      <c r="H70" s="255"/>
      <c r="J70" s="411" t="s">
        <v>849</v>
      </c>
      <c r="K70" s="411">
        <v>75000</v>
      </c>
      <c r="M70" s="10">
        <v>400000</v>
      </c>
    </row>
    <row r="71" spans="1:13">
      <c r="A71" s="116" t="s">
        <v>850</v>
      </c>
      <c r="C71" s="10">
        <v>29000</v>
      </c>
      <c r="G71" s="255"/>
      <c r="H71" s="255"/>
      <c r="J71" s="411"/>
      <c r="K71" s="411"/>
    </row>
    <row r="72" spans="1:13">
      <c r="A72" s="116" t="s">
        <v>851</v>
      </c>
      <c r="C72" s="10">
        <v>56500</v>
      </c>
      <c r="G72" s="255"/>
      <c r="H72" s="255"/>
      <c r="J72" s="411"/>
      <c r="K72" s="411"/>
    </row>
    <row r="73" spans="1:13">
      <c r="A73" s="116" t="s">
        <v>852</v>
      </c>
      <c r="C73" s="10">
        <v>9500</v>
      </c>
      <c r="G73" s="255"/>
      <c r="H73" s="255"/>
      <c r="J73" s="411"/>
      <c r="K73" s="411"/>
    </row>
    <row r="74" spans="1:13">
      <c r="A74" s="116" t="s">
        <v>853</v>
      </c>
      <c r="C74" s="10">
        <v>18000</v>
      </c>
      <c r="G74" s="255"/>
      <c r="H74" s="255"/>
      <c r="J74" s="411"/>
      <c r="K74" s="411"/>
    </row>
    <row r="75" spans="1:13">
      <c r="A75" s="116" t="s">
        <v>854</v>
      </c>
      <c r="C75" s="10">
        <v>22000</v>
      </c>
      <c r="G75" s="255"/>
      <c r="H75" s="255"/>
      <c r="J75" s="411"/>
      <c r="K75" s="411"/>
    </row>
    <row r="76" spans="1:13">
      <c r="B76" s="344" t="s">
        <v>32</v>
      </c>
      <c r="C76" s="304"/>
      <c r="D76" s="304">
        <f>SUM(C71:C75)</f>
        <v>135000</v>
      </c>
      <c r="E76" s="116"/>
      <c r="F76" s="418"/>
      <c r="G76" s="255"/>
      <c r="H76" s="255"/>
      <c r="J76" s="411" t="s">
        <v>855</v>
      </c>
      <c r="K76" s="411">
        <v>400000</v>
      </c>
      <c r="M76" s="11">
        <f>SUM(M44:M70)</f>
        <v>7022800</v>
      </c>
    </row>
    <row r="77" spans="1:13">
      <c r="E77" s="116"/>
      <c r="F77" s="418"/>
      <c r="G77" s="255"/>
      <c r="H77" s="255"/>
      <c r="J77" s="411"/>
      <c r="K77" s="411"/>
      <c r="M77" s="11"/>
    </row>
    <row r="78" spans="1:13" ht="17.75">
      <c r="A78" s="258" t="s">
        <v>856</v>
      </c>
      <c r="E78" s="116"/>
      <c r="F78" s="418"/>
      <c r="G78" s="255"/>
      <c r="H78" s="255"/>
      <c r="J78" s="411"/>
      <c r="K78" s="411"/>
    </row>
    <row r="79" spans="1:13">
      <c r="A79" s="116" t="s">
        <v>857</v>
      </c>
      <c r="C79" s="10">
        <v>3500</v>
      </c>
      <c r="E79" s="116"/>
      <c r="F79" s="418"/>
      <c r="G79" s="255"/>
      <c r="H79" s="255"/>
      <c r="J79" s="411"/>
      <c r="K79" s="411"/>
    </row>
    <row r="80" spans="1:13">
      <c r="A80" s="116" t="s">
        <v>858</v>
      </c>
      <c r="C80" s="10">
        <v>3500</v>
      </c>
      <c r="E80" s="116"/>
      <c r="F80" s="418"/>
      <c r="G80" s="255"/>
      <c r="H80" s="255"/>
      <c r="J80" s="411"/>
      <c r="K80" s="411"/>
    </row>
    <row r="81" spans="1:13">
      <c r="A81" s="116"/>
      <c r="B81" s="344" t="s">
        <v>32</v>
      </c>
      <c r="C81" s="304"/>
      <c r="D81" s="304">
        <f>SUM(C79:C80)</f>
        <v>7000</v>
      </c>
      <c r="E81" s="116"/>
      <c r="F81" s="418"/>
      <c r="G81" s="255"/>
      <c r="H81" s="255"/>
      <c r="J81" s="411"/>
      <c r="K81" s="411"/>
    </row>
    <row r="82" spans="1:13">
      <c r="E82" s="116"/>
      <c r="F82" s="418"/>
      <c r="G82" s="255"/>
      <c r="H82" s="255"/>
      <c r="J82" s="411"/>
      <c r="K82" s="411"/>
    </row>
    <row r="83" spans="1:13" ht="17.75">
      <c r="A83" s="258" t="s">
        <v>859</v>
      </c>
      <c r="E83" s="116"/>
      <c r="F83" s="418"/>
      <c r="G83" s="255"/>
      <c r="H83" s="255"/>
      <c r="J83" s="411"/>
      <c r="K83" s="411"/>
    </row>
    <row r="84" spans="1:13">
      <c r="A84" s="10" t="s">
        <v>860</v>
      </c>
      <c r="C84" s="10">
        <v>8500</v>
      </c>
      <c r="E84" s="116"/>
      <c r="F84" s="418"/>
      <c r="G84" s="255"/>
      <c r="H84" s="255"/>
      <c r="J84" s="411"/>
      <c r="K84" s="411"/>
    </row>
    <row r="85" spans="1:13">
      <c r="B85" s="344" t="s">
        <v>32</v>
      </c>
      <c r="C85" s="304"/>
      <c r="D85" s="304">
        <f>SUM(C83:C84)</f>
        <v>8500</v>
      </c>
      <c r="E85" s="116"/>
      <c r="F85" s="418"/>
      <c r="G85" s="255"/>
      <c r="H85" s="255"/>
      <c r="J85" s="411"/>
      <c r="K85" s="411"/>
    </row>
    <row r="86" spans="1:13">
      <c r="E86" s="116"/>
      <c r="F86" s="418"/>
      <c r="G86" s="255"/>
      <c r="H86" s="255"/>
      <c r="J86" s="411"/>
      <c r="K86" s="411"/>
    </row>
    <row r="87" spans="1:13" ht="17.75">
      <c r="A87" s="258" t="s">
        <v>861</v>
      </c>
      <c r="E87" s="116"/>
      <c r="F87" s="418"/>
      <c r="G87" s="255"/>
      <c r="H87" s="255"/>
      <c r="J87" s="411"/>
      <c r="K87" s="411"/>
    </row>
    <row r="88" spans="1:13">
      <c r="A88" s="10" t="s">
        <v>861</v>
      </c>
      <c r="C88" s="10">
        <v>16300</v>
      </c>
      <c r="E88" s="116"/>
      <c r="F88" s="418"/>
      <c r="G88" s="255"/>
      <c r="H88" s="255"/>
      <c r="J88" s="411"/>
      <c r="K88" s="411"/>
    </row>
    <row r="89" spans="1:13">
      <c r="B89" s="344" t="s">
        <v>32</v>
      </c>
      <c r="C89" s="304"/>
      <c r="D89" s="304">
        <f>SUM(C88)</f>
        <v>16300</v>
      </c>
      <c r="E89" s="116"/>
      <c r="F89" s="418"/>
      <c r="G89" s="255"/>
      <c r="H89" s="255"/>
      <c r="J89" s="411"/>
      <c r="K89" s="411"/>
    </row>
    <row r="90" spans="1:13" ht="17.75">
      <c r="A90" s="258" t="s">
        <v>862</v>
      </c>
      <c r="E90" s="116"/>
      <c r="F90" s="418"/>
      <c r="G90" s="255"/>
      <c r="H90" s="255"/>
      <c r="J90" s="411"/>
      <c r="K90" s="411"/>
    </row>
    <row r="91" spans="1:13">
      <c r="A91" s="116" t="s">
        <v>863</v>
      </c>
      <c r="C91" s="10">
        <v>13500</v>
      </c>
      <c r="E91" s="116"/>
      <c r="F91" s="418"/>
      <c r="G91" s="255"/>
      <c r="H91" s="255"/>
      <c r="J91" s="411"/>
      <c r="K91" s="411"/>
    </row>
    <row r="92" spans="1:13">
      <c r="A92" s="116"/>
      <c r="B92" s="344" t="s">
        <v>32</v>
      </c>
      <c r="C92" s="304"/>
      <c r="D92" s="304">
        <f>SUM(C91)</f>
        <v>13500</v>
      </c>
      <c r="E92" s="116"/>
      <c r="F92" s="418"/>
      <c r="G92" s="255"/>
      <c r="H92" s="255"/>
      <c r="J92" s="411"/>
      <c r="K92" s="411"/>
    </row>
    <row r="93" spans="1:13">
      <c r="E93" s="116"/>
      <c r="F93" s="418"/>
      <c r="G93" s="255"/>
      <c r="H93" s="255"/>
      <c r="J93" s="411"/>
      <c r="K93" s="411"/>
    </row>
    <row r="94" spans="1:13" ht="20.5">
      <c r="A94" s="416" t="s">
        <v>837</v>
      </c>
      <c r="B94" s="419"/>
      <c r="C94" s="419"/>
      <c r="D94" s="419">
        <f>SUM(D60:D93)</f>
        <v>290250</v>
      </c>
      <c r="E94" s="116"/>
      <c r="F94" s="116"/>
      <c r="G94" s="255"/>
      <c r="H94" s="255"/>
      <c r="J94" s="411"/>
      <c r="K94" s="411"/>
      <c r="M94" s="255">
        <v>2333241</v>
      </c>
    </row>
    <row r="95" spans="1:13">
      <c r="E95" s="116"/>
      <c r="F95" s="116"/>
      <c r="G95" s="255"/>
      <c r="H95" s="255"/>
      <c r="J95" s="411"/>
      <c r="K95" s="411"/>
      <c r="M95" s="255"/>
    </row>
    <row r="96" spans="1:13">
      <c r="A96" s="116"/>
      <c r="E96" s="116"/>
      <c r="F96" s="116"/>
      <c r="G96" s="255"/>
      <c r="H96" s="255"/>
      <c r="J96" s="411"/>
      <c r="K96" s="411"/>
      <c r="M96" s="255"/>
    </row>
    <row r="97" spans="1:13">
      <c r="A97" s="116"/>
      <c r="E97" s="116"/>
      <c r="F97" s="116"/>
      <c r="G97" s="255"/>
      <c r="H97" s="255"/>
      <c r="J97" s="411"/>
      <c r="K97" s="411"/>
      <c r="M97" s="255"/>
    </row>
    <row r="98" spans="1:13">
      <c r="G98" s="255"/>
      <c r="H98" s="255"/>
      <c r="J98" s="411"/>
      <c r="K98" s="411"/>
      <c r="M98" s="255">
        <v>2177146</v>
      </c>
    </row>
    <row r="99" spans="1:13">
      <c r="E99" s="116"/>
      <c r="F99" s="412"/>
      <c r="G99" s="255"/>
      <c r="H99" s="255"/>
      <c r="J99" s="411"/>
      <c r="K99" s="411"/>
      <c r="M99" s="255">
        <v>48419</v>
      </c>
    </row>
    <row r="100" spans="1:13">
      <c r="E100" s="116"/>
      <c r="G100" s="255"/>
      <c r="H100" s="420"/>
      <c r="J100" s="411"/>
      <c r="K100" s="411"/>
      <c r="M100" s="116">
        <v>2500000</v>
      </c>
    </row>
    <row r="101" spans="1:13">
      <c r="E101" s="116"/>
      <c r="G101" s="255"/>
      <c r="H101" s="255"/>
      <c r="J101" s="411"/>
      <c r="K101" s="411"/>
    </row>
    <row r="102" spans="1:13">
      <c r="F102" s="11"/>
      <c r="G102" s="255"/>
      <c r="H102" s="255"/>
      <c r="J102" s="411"/>
      <c r="K102" s="411"/>
      <c r="M102" s="10">
        <f>SUM(M94:M100)</f>
        <v>7058806</v>
      </c>
    </row>
    <row r="103" spans="1:13">
      <c r="G103" s="421"/>
      <c r="H103" s="421"/>
      <c r="J103" s="422" t="s">
        <v>864</v>
      </c>
      <c r="K103" s="423">
        <f>SUM(K44:K76)</f>
        <v>7013000</v>
      </c>
    </row>
    <row r="106" spans="1:13" ht="20.5">
      <c r="A106" s="424" t="s">
        <v>865</v>
      </c>
    </row>
    <row r="107" spans="1:13">
      <c r="A107" s="425" t="s">
        <v>520</v>
      </c>
      <c r="B107" s="425" t="s">
        <v>866</v>
      </c>
      <c r="C107" s="425" t="s">
        <v>867</v>
      </c>
      <c r="D107" s="425" t="s">
        <v>868</v>
      </c>
      <c r="E107" s="425" t="s">
        <v>869</v>
      </c>
    </row>
    <row r="108" spans="1:13">
      <c r="A108" s="426"/>
      <c r="B108" s="426"/>
      <c r="C108" s="426"/>
      <c r="D108" s="426"/>
      <c r="E108" s="426"/>
      <c r="G108" s="116" t="s">
        <v>870</v>
      </c>
      <c r="H108" s="10">
        <v>6</v>
      </c>
    </row>
    <row r="109" spans="1:13">
      <c r="A109" s="427">
        <v>668100</v>
      </c>
      <c r="B109" s="427">
        <v>242022</v>
      </c>
      <c r="C109" s="427" t="s">
        <v>871</v>
      </c>
      <c r="D109" s="427" t="s">
        <v>872</v>
      </c>
      <c r="E109" s="428">
        <v>42405</v>
      </c>
      <c r="G109" s="116" t="s">
        <v>873</v>
      </c>
      <c r="H109" s="10">
        <v>6</v>
      </c>
    </row>
    <row r="110" spans="1:13">
      <c r="A110" s="46"/>
      <c r="B110" s="46"/>
      <c r="C110" s="46"/>
      <c r="D110" s="46"/>
      <c r="E110" s="46"/>
      <c r="G110" s="116" t="s">
        <v>874</v>
      </c>
      <c r="H110" s="10">
        <v>6</v>
      </c>
    </row>
    <row r="111" spans="1:13" ht="89.2">
      <c r="A111" s="234">
        <v>76198</v>
      </c>
      <c r="B111" s="345" t="s">
        <v>875</v>
      </c>
      <c r="C111" s="234" t="s">
        <v>876</v>
      </c>
      <c r="D111" s="234" t="s">
        <v>877</v>
      </c>
      <c r="E111" s="234"/>
      <c r="G111" s="116" t="s">
        <v>878</v>
      </c>
      <c r="H111" s="10">
        <v>6</v>
      </c>
    </row>
    <row r="112" spans="1:13">
      <c r="A112" s="234"/>
      <c r="B112" s="234" t="s">
        <v>879</v>
      </c>
      <c r="C112" s="234"/>
      <c r="D112" s="234"/>
      <c r="E112" s="234"/>
      <c r="G112" s="116" t="s">
        <v>880</v>
      </c>
      <c r="H112" s="10">
        <v>6</v>
      </c>
    </row>
    <row r="113" spans="1:8">
      <c r="A113" s="234"/>
      <c r="B113" s="234" t="s">
        <v>881</v>
      </c>
      <c r="C113" s="234"/>
      <c r="D113" s="234"/>
      <c r="E113" s="234"/>
      <c r="G113" s="116" t="s">
        <v>882</v>
      </c>
      <c r="H113" s="10">
        <v>6</v>
      </c>
    </row>
    <row r="114" spans="1:8">
      <c r="A114" s="234"/>
      <c r="B114" s="234" t="s">
        <v>883</v>
      </c>
      <c r="C114" s="234"/>
      <c r="D114" s="234"/>
      <c r="E114" s="234"/>
      <c r="G114" s="116" t="s">
        <v>884</v>
      </c>
      <c r="H114" s="10">
        <v>6</v>
      </c>
    </row>
    <row r="115" spans="1:8">
      <c r="A115" s="46"/>
      <c r="B115" s="46"/>
      <c r="C115" s="46"/>
      <c r="D115" s="46"/>
      <c r="E115" s="46"/>
    </row>
    <row r="116" spans="1:8">
      <c r="A116" s="429">
        <v>7800</v>
      </c>
      <c r="B116" s="429" t="s">
        <v>885</v>
      </c>
      <c r="C116" s="429" t="s">
        <v>876</v>
      </c>
      <c r="D116" s="429" t="s">
        <v>877</v>
      </c>
      <c r="E116" s="429"/>
    </row>
    <row r="117" spans="1:8">
      <c r="A117" s="429"/>
      <c r="B117" s="429" t="s">
        <v>886</v>
      </c>
      <c r="C117" s="429"/>
      <c r="D117" s="429"/>
      <c r="E117" s="429"/>
    </row>
    <row r="118" spans="1:8">
      <c r="E118" s="430"/>
    </row>
    <row r="119" spans="1:8">
      <c r="A119" s="431">
        <v>72069</v>
      </c>
      <c r="B119" s="431" t="s">
        <v>887</v>
      </c>
      <c r="C119" s="431" t="s">
        <v>731</v>
      </c>
      <c r="D119" s="431" t="s">
        <v>877</v>
      </c>
      <c r="E119" s="431"/>
    </row>
    <row r="120" spans="1:8">
      <c r="A120" s="431"/>
      <c r="B120" s="431" t="s">
        <v>888</v>
      </c>
      <c r="C120" s="431"/>
      <c r="D120" s="431"/>
      <c r="E120" s="431"/>
    </row>
    <row r="121" spans="1:8">
      <c r="A121" s="772"/>
      <c r="B121" s="745"/>
      <c r="C121" s="745"/>
      <c r="D121" s="745"/>
      <c r="E121" s="711"/>
    </row>
    <row r="122" spans="1:8" ht="89.75">
      <c r="A122" s="432">
        <v>6466691</v>
      </c>
      <c r="B122" s="346" t="s">
        <v>889</v>
      </c>
      <c r="C122" s="432" t="s">
        <v>731</v>
      </c>
      <c r="D122" s="432" t="s">
        <v>877</v>
      </c>
      <c r="E122" s="432"/>
    </row>
    <row r="123" spans="1:8">
      <c r="A123" s="432"/>
      <c r="B123" s="432"/>
      <c r="C123" s="432"/>
      <c r="D123" s="432"/>
      <c r="E123" s="432"/>
    </row>
    <row r="125" spans="1:8">
      <c r="A125" s="433">
        <v>360350</v>
      </c>
      <c r="B125" s="433" t="s">
        <v>887</v>
      </c>
      <c r="C125" s="433" t="s">
        <v>890</v>
      </c>
      <c r="D125" s="433" t="s">
        <v>877</v>
      </c>
      <c r="E125" s="433"/>
    </row>
    <row r="126" spans="1:8" ht="166.15">
      <c r="A126" s="433"/>
      <c r="B126" s="347" t="s">
        <v>891</v>
      </c>
      <c r="C126" s="433"/>
      <c r="D126" s="433"/>
      <c r="E126" s="433"/>
    </row>
    <row r="128" spans="1:8">
      <c r="A128" s="11">
        <f>SUM(A125,A122,A119,A116,A111,A109)</f>
        <v>7651208</v>
      </c>
      <c r="B128" s="348"/>
    </row>
    <row r="129" spans="1:2">
      <c r="B129" s="348"/>
    </row>
    <row r="130" spans="1:2">
      <c r="B130" s="348"/>
    </row>
    <row r="131" spans="1:2">
      <c r="B131" s="348"/>
    </row>
    <row r="133" spans="1:2">
      <c r="A133" s="349" t="s">
        <v>892</v>
      </c>
      <c r="B133" s="350"/>
    </row>
    <row r="134" spans="1:2">
      <c r="A134" s="351" t="s">
        <v>893</v>
      </c>
      <c r="B134" s="352">
        <v>668100</v>
      </c>
    </row>
    <row r="135" spans="1:2">
      <c r="A135" s="351" t="s">
        <v>894</v>
      </c>
      <c r="B135" s="352">
        <v>6466691</v>
      </c>
    </row>
    <row r="136" spans="1:2">
      <c r="A136" s="351" t="s">
        <v>895</v>
      </c>
      <c r="B136" s="352">
        <v>72069</v>
      </c>
    </row>
    <row r="137" spans="1:2">
      <c r="A137" s="351"/>
      <c r="B137" s="353">
        <f>SUM(B134:B136)</f>
        <v>7206860</v>
      </c>
    </row>
    <row r="138" spans="1:2">
      <c r="A138" s="349" t="s">
        <v>896</v>
      </c>
      <c r="B138" s="354"/>
    </row>
    <row r="139" spans="1:2">
      <c r="A139" s="351" t="s">
        <v>897</v>
      </c>
      <c r="B139" s="352">
        <v>7800</v>
      </c>
    </row>
    <row r="140" spans="1:2">
      <c r="A140" s="351" t="s">
        <v>898</v>
      </c>
      <c r="B140" s="352">
        <v>15000</v>
      </c>
    </row>
    <row r="141" spans="1:2">
      <c r="A141" s="434"/>
      <c r="B141" s="355">
        <f>SUM(B139:B140)</f>
        <v>22800</v>
      </c>
    </row>
    <row r="142" spans="1:2">
      <c r="A142" s="349" t="s">
        <v>899</v>
      </c>
      <c r="B142" s="354"/>
    </row>
    <row r="143" spans="1:2">
      <c r="A143" s="351" t="s">
        <v>900</v>
      </c>
      <c r="B143" s="352">
        <v>16000</v>
      </c>
    </row>
    <row r="144" spans="1:2">
      <c r="A144" s="351" t="s">
        <v>901</v>
      </c>
      <c r="B144" s="352">
        <v>610</v>
      </c>
    </row>
    <row r="145" spans="1:4">
      <c r="A145" s="351" t="s">
        <v>902</v>
      </c>
      <c r="B145" s="352">
        <v>400</v>
      </c>
    </row>
    <row r="146" spans="1:4">
      <c r="A146" s="351" t="s">
        <v>903</v>
      </c>
      <c r="B146" s="352">
        <v>10000</v>
      </c>
    </row>
    <row r="147" spans="1:4">
      <c r="A147" s="351" t="s">
        <v>904</v>
      </c>
      <c r="B147" s="352">
        <v>30000</v>
      </c>
    </row>
    <row r="148" spans="1:4">
      <c r="A148" s="434"/>
      <c r="B148" s="355">
        <f>SUM(B143:B147)</f>
        <v>57010</v>
      </c>
    </row>
    <row r="149" spans="1:4">
      <c r="A149" s="349" t="s">
        <v>905</v>
      </c>
      <c r="B149" s="354"/>
    </row>
    <row r="150" spans="1:4">
      <c r="A150" s="351" t="s">
        <v>906</v>
      </c>
      <c r="B150" s="352">
        <v>20200</v>
      </c>
    </row>
    <row r="151" spans="1:4">
      <c r="A151" s="351" t="s">
        <v>907</v>
      </c>
      <c r="B151" s="352">
        <v>360350</v>
      </c>
    </row>
    <row r="152" spans="1:4">
      <c r="A152" s="351"/>
      <c r="B152" s="353">
        <f>SUM(B150:B151)</f>
        <v>380550</v>
      </c>
    </row>
    <row r="153" spans="1:4">
      <c r="A153" s="356" t="s">
        <v>908</v>
      </c>
      <c r="B153" s="357">
        <f>SUM(B137,B141,B148,B152)</f>
        <v>7667220</v>
      </c>
    </row>
    <row r="155" spans="1:4">
      <c r="B155" s="94"/>
    </row>
    <row r="156" spans="1:4" ht="15.55">
      <c r="A156" s="358" t="s">
        <v>909</v>
      </c>
      <c r="B156" s="359"/>
    </row>
    <row r="157" spans="1:4">
      <c r="A157" s="360" t="s">
        <v>910</v>
      </c>
      <c r="B157" s="361">
        <v>1000</v>
      </c>
      <c r="D157" s="11" t="s">
        <v>911</v>
      </c>
    </row>
    <row r="158" spans="1:4">
      <c r="A158" s="362"/>
      <c r="B158" s="363"/>
      <c r="D158" s="10" t="s">
        <v>912</v>
      </c>
    </row>
    <row r="159" spans="1:4">
      <c r="A159" s="435" t="s">
        <v>913</v>
      </c>
      <c r="B159" s="436"/>
      <c r="D159" s="10" t="s">
        <v>914</v>
      </c>
    </row>
    <row r="160" spans="1:4">
      <c r="A160" s="437" t="s">
        <v>915</v>
      </c>
      <c r="B160" s="438">
        <f>SUM(32*66*10)</f>
        <v>21120</v>
      </c>
      <c r="D160" s="10" t="s">
        <v>916</v>
      </c>
    </row>
    <row r="161" spans="1:5">
      <c r="A161" s="437" t="s">
        <v>917</v>
      </c>
      <c r="B161" s="438">
        <f>32*70</f>
        <v>2240</v>
      </c>
      <c r="D161" s="116" t="s">
        <v>918</v>
      </c>
      <c r="E161" s="10">
        <v>3</v>
      </c>
    </row>
    <row r="162" spans="1:5">
      <c r="A162" s="437" t="s">
        <v>919</v>
      </c>
      <c r="B162" s="438">
        <f>SUM(32*66*4)</f>
        <v>8448</v>
      </c>
      <c r="D162" s="116" t="s">
        <v>920</v>
      </c>
      <c r="E162" s="10">
        <v>3</v>
      </c>
    </row>
    <row r="163" spans="1:5">
      <c r="A163" s="437" t="s">
        <v>921</v>
      </c>
      <c r="B163" s="438">
        <v>2240</v>
      </c>
      <c r="D163" s="116" t="s">
        <v>922</v>
      </c>
      <c r="E163" s="10">
        <v>3</v>
      </c>
    </row>
    <row r="164" spans="1:5">
      <c r="A164" s="437" t="s">
        <v>923</v>
      </c>
      <c r="B164" s="438">
        <f>SUM(32*31*6)</f>
        <v>5952</v>
      </c>
      <c r="D164" s="116" t="s">
        <v>924</v>
      </c>
      <c r="E164" s="10">
        <v>3</v>
      </c>
    </row>
    <row r="165" spans="1:5">
      <c r="A165" s="437" t="s">
        <v>925</v>
      </c>
      <c r="B165" s="438">
        <v>1152</v>
      </c>
      <c r="D165" s="116" t="s">
        <v>926</v>
      </c>
    </row>
    <row r="166" spans="1:5">
      <c r="A166" s="437" t="s">
        <v>927</v>
      </c>
      <c r="B166" s="438">
        <f>SUM(455*25)</f>
        <v>11375</v>
      </c>
      <c r="D166" s="116" t="s">
        <v>928</v>
      </c>
    </row>
    <row r="167" spans="1:5">
      <c r="A167" s="437" t="s">
        <v>929</v>
      </c>
      <c r="B167" s="438">
        <v>450</v>
      </c>
      <c r="D167" s="116" t="s">
        <v>930</v>
      </c>
    </row>
    <row r="168" spans="1:5">
      <c r="A168" s="437" t="s">
        <v>931</v>
      </c>
      <c r="B168" s="438">
        <f>SUM(1200*4)</f>
        <v>4800</v>
      </c>
      <c r="D168" s="116" t="s">
        <v>932</v>
      </c>
    </row>
    <row r="169" spans="1:5">
      <c r="A169" s="439" t="s">
        <v>933</v>
      </c>
      <c r="B169" s="440">
        <f>SUM(B160:B168)</f>
        <v>57777</v>
      </c>
      <c r="D169" s="116" t="s">
        <v>934</v>
      </c>
    </row>
    <row r="170" spans="1:5">
      <c r="A170" s="435" t="s">
        <v>935</v>
      </c>
      <c r="B170" s="441"/>
      <c r="D170" s="116" t="s">
        <v>936</v>
      </c>
    </row>
    <row r="171" spans="1:5">
      <c r="A171" s="437" t="s">
        <v>937</v>
      </c>
      <c r="B171" s="438">
        <v>3200</v>
      </c>
      <c r="D171" s="11" t="s">
        <v>938</v>
      </c>
    </row>
    <row r="172" spans="1:5">
      <c r="A172" s="437" t="s">
        <v>939</v>
      </c>
      <c r="B172" s="438">
        <v>260</v>
      </c>
      <c r="D172" s="116" t="s">
        <v>940</v>
      </c>
    </row>
    <row r="173" spans="1:5">
      <c r="A173" s="437" t="s">
        <v>941</v>
      </c>
      <c r="B173" s="438">
        <v>720</v>
      </c>
      <c r="D173" s="116" t="s">
        <v>942</v>
      </c>
    </row>
    <row r="174" spans="1:5">
      <c r="A174" s="437" t="s">
        <v>943</v>
      </c>
      <c r="B174" s="438">
        <v>200</v>
      </c>
      <c r="D174" s="116" t="s">
        <v>944</v>
      </c>
    </row>
    <row r="175" spans="1:5">
      <c r="A175" s="437" t="s">
        <v>945</v>
      </c>
      <c r="B175" s="438">
        <v>240</v>
      </c>
      <c r="D175" s="116" t="s">
        <v>946</v>
      </c>
    </row>
    <row r="176" spans="1:5">
      <c r="A176" s="437" t="s">
        <v>947</v>
      </c>
      <c r="B176" s="438">
        <v>1000</v>
      </c>
      <c r="D176" s="116" t="s">
        <v>948</v>
      </c>
    </row>
    <row r="177" spans="1:5">
      <c r="A177" s="437" t="s">
        <v>949</v>
      </c>
      <c r="B177" s="438">
        <v>260</v>
      </c>
      <c r="D177" s="116" t="s">
        <v>950</v>
      </c>
    </row>
    <row r="178" spans="1:5">
      <c r="A178" s="437" t="s">
        <v>951</v>
      </c>
      <c r="B178" s="438">
        <v>20</v>
      </c>
    </row>
    <row r="179" spans="1:5">
      <c r="A179" s="439" t="s">
        <v>952</v>
      </c>
      <c r="B179" s="440">
        <f>SUM(B171:B178)</f>
        <v>5900</v>
      </c>
    </row>
    <row r="180" spans="1:5">
      <c r="A180" s="442" t="s">
        <v>953</v>
      </c>
      <c r="B180" s="443"/>
    </row>
    <row r="181" spans="1:5">
      <c r="A181" s="437" t="s">
        <v>954</v>
      </c>
      <c r="B181" s="438">
        <v>300</v>
      </c>
    </row>
    <row r="182" spans="1:5">
      <c r="A182" s="437" t="s">
        <v>955</v>
      </c>
      <c r="B182" s="438">
        <f>SUM(380*11)</f>
        <v>4180</v>
      </c>
    </row>
    <row r="183" spans="1:5">
      <c r="A183" s="437" t="s">
        <v>956</v>
      </c>
      <c r="B183" s="438">
        <f>SUM(65*16)</f>
        <v>1040</v>
      </c>
    </row>
    <row r="184" spans="1:5">
      <c r="A184" s="437" t="s">
        <v>957</v>
      </c>
      <c r="B184" s="438">
        <f>SUM(68*10)</f>
        <v>680</v>
      </c>
    </row>
    <row r="185" spans="1:5">
      <c r="A185" s="437" t="s">
        <v>958</v>
      </c>
      <c r="B185" s="438">
        <f>SUM(480*2)</f>
        <v>960</v>
      </c>
    </row>
    <row r="186" spans="1:5">
      <c r="A186" s="437" t="s">
        <v>959</v>
      </c>
      <c r="B186" s="438">
        <v>25</v>
      </c>
    </row>
    <row r="187" spans="1:5">
      <c r="A187" s="437" t="s">
        <v>960</v>
      </c>
      <c r="B187" s="438">
        <f>SUM(260*3)</f>
        <v>780</v>
      </c>
    </row>
    <row r="188" spans="1:5">
      <c r="A188" s="437" t="s">
        <v>961</v>
      </c>
      <c r="B188" s="438">
        <v>25</v>
      </c>
    </row>
    <row r="189" spans="1:5">
      <c r="A189" s="116" t="s">
        <v>962</v>
      </c>
      <c r="B189" s="444">
        <f>SUM(55*21)</f>
        <v>1155</v>
      </c>
    </row>
    <row r="190" spans="1:5">
      <c r="A190" s="116" t="s">
        <v>963</v>
      </c>
      <c r="B190" s="444">
        <f>SUM(95*10)</f>
        <v>950</v>
      </c>
    </row>
    <row r="191" spans="1:5">
      <c r="A191" s="439" t="s">
        <v>964</v>
      </c>
      <c r="B191" s="440">
        <f>SUM(B181:B190)</f>
        <v>10095</v>
      </c>
    </row>
    <row r="192" spans="1:5">
      <c r="A192" s="442" t="s">
        <v>965</v>
      </c>
      <c r="B192" s="443"/>
      <c r="C192" s="116"/>
      <c r="D192" s="116"/>
      <c r="E192" s="116"/>
    </row>
    <row r="193" spans="1:6">
      <c r="A193" s="116" t="s">
        <v>966</v>
      </c>
      <c r="B193" s="444">
        <v>400</v>
      </c>
    </row>
    <row r="194" spans="1:6">
      <c r="A194" s="116" t="s">
        <v>967</v>
      </c>
      <c r="B194" s="444">
        <f>SUM(26*60)</f>
        <v>1560</v>
      </c>
    </row>
    <row r="195" spans="1:6">
      <c r="A195" s="116" t="s">
        <v>968</v>
      </c>
      <c r="B195" s="444">
        <f>SUM(26*40)</f>
        <v>1040</v>
      </c>
    </row>
    <row r="196" spans="1:6">
      <c r="A196" s="439" t="s">
        <v>969</v>
      </c>
      <c r="B196" s="440">
        <f>SUM(B193:B195)</f>
        <v>3000</v>
      </c>
    </row>
    <row r="197" spans="1:6">
      <c r="A197" s="442" t="s">
        <v>970</v>
      </c>
      <c r="B197" s="443"/>
    </row>
    <row r="198" spans="1:6">
      <c r="A198" s="442" t="s">
        <v>971</v>
      </c>
      <c r="B198" s="443"/>
      <c r="F198" s="116"/>
    </row>
    <row r="199" spans="1:6">
      <c r="A199" s="437" t="s">
        <v>972</v>
      </c>
      <c r="B199" s="438">
        <v>1170</v>
      </c>
      <c r="D199" s="23"/>
    </row>
    <row r="200" spans="1:6">
      <c r="A200" s="437" t="s">
        <v>973</v>
      </c>
      <c r="B200" s="438">
        <v>735</v>
      </c>
    </row>
    <row r="201" spans="1:6">
      <c r="A201" s="437" t="s">
        <v>974</v>
      </c>
      <c r="B201" s="438">
        <v>653</v>
      </c>
    </row>
    <row r="202" spans="1:6">
      <c r="A202" s="437" t="s">
        <v>975</v>
      </c>
      <c r="B202" s="438">
        <v>540</v>
      </c>
    </row>
    <row r="203" spans="1:6">
      <c r="A203" s="437" t="s">
        <v>976</v>
      </c>
      <c r="B203" s="438">
        <v>2295</v>
      </c>
    </row>
    <row r="204" spans="1:6">
      <c r="A204" s="437" t="s">
        <v>977</v>
      </c>
      <c r="B204" s="438">
        <v>1032</v>
      </c>
    </row>
    <row r="205" spans="1:6">
      <c r="A205" s="437" t="s">
        <v>978</v>
      </c>
      <c r="B205" s="438">
        <v>1935</v>
      </c>
    </row>
    <row r="206" spans="1:6">
      <c r="A206" s="437" t="s">
        <v>979</v>
      </c>
      <c r="B206" s="438">
        <v>1100</v>
      </c>
    </row>
    <row r="207" spans="1:6">
      <c r="A207" s="437" t="s">
        <v>980</v>
      </c>
      <c r="B207" s="438">
        <v>708</v>
      </c>
    </row>
    <row r="208" spans="1:6">
      <c r="A208" s="437" t="s">
        <v>981</v>
      </c>
      <c r="B208" s="438">
        <v>979</v>
      </c>
    </row>
    <row r="209" spans="1:2">
      <c r="A209" s="437" t="s">
        <v>982</v>
      </c>
      <c r="B209" s="438">
        <v>266</v>
      </c>
    </row>
    <row r="210" spans="1:2">
      <c r="A210" s="439" t="s">
        <v>983</v>
      </c>
      <c r="B210" s="440">
        <f>SUM(B199:B209)</f>
        <v>11413</v>
      </c>
    </row>
    <row r="211" spans="1:2">
      <c r="A211" s="435" t="s">
        <v>984</v>
      </c>
      <c r="B211" s="436">
        <v>3100</v>
      </c>
    </row>
    <row r="212" spans="1:2">
      <c r="A212" s="445" t="s">
        <v>985</v>
      </c>
      <c r="B212" s="436">
        <f>SUM(230*112)</f>
        <v>25760</v>
      </c>
    </row>
    <row r="213" spans="1:2" ht="15.55">
      <c r="A213" s="446" t="s">
        <v>986</v>
      </c>
      <c r="B213" s="447">
        <f>SUM(B157,B169,B179,B191,B196,B210,B211,B212)</f>
        <v>118045</v>
      </c>
    </row>
    <row r="214" spans="1:2">
      <c r="A214" s="116"/>
    </row>
    <row r="215" spans="1:2" ht="15.55">
      <c r="A215" s="358" t="s">
        <v>987</v>
      </c>
      <c r="B215" s="359"/>
    </row>
    <row r="216" spans="1:2">
      <c r="A216" s="437" t="s">
        <v>988</v>
      </c>
      <c r="B216" s="438">
        <f>SUM(32*44*3)</f>
        <v>4224</v>
      </c>
    </row>
    <row r="217" spans="1:2">
      <c r="A217" s="437" t="s">
        <v>989</v>
      </c>
      <c r="B217" s="438">
        <f>SUM(32*49*2)</f>
        <v>3136</v>
      </c>
    </row>
    <row r="218" spans="1:2">
      <c r="A218" s="437" t="s">
        <v>990</v>
      </c>
      <c r="B218" s="438">
        <f>SUM(32*19.5*1)</f>
        <v>624</v>
      </c>
    </row>
    <row r="219" spans="1:2">
      <c r="A219" s="437" t="s">
        <v>991</v>
      </c>
      <c r="B219" s="438">
        <f>SUM(465*9)</f>
        <v>4185</v>
      </c>
    </row>
    <row r="220" spans="1:2">
      <c r="A220" s="437" t="s">
        <v>992</v>
      </c>
      <c r="B220" s="438">
        <f>SUM(1250*3)</f>
        <v>3750</v>
      </c>
    </row>
    <row r="221" spans="1:2">
      <c r="A221" s="437" t="s">
        <v>993</v>
      </c>
      <c r="B221" s="438">
        <v>260</v>
      </c>
    </row>
    <row r="222" spans="1:2">
      <c r="A222" s="437" t="s">
        <v>994</v>
      </c>
      <c r="B222" s="438">
        <v>300</v>
      </c>
    </row>
    <row r="223" spans="1:2">
      <c r="A223" s="439" t="s">
        <v>122</v>
      </c>
      <c r="B223" s="440">
        <f>SUM(B216:B222)</f>
        <v>16479</v>
      </c>
    </row>
    <row r="224" spans="1:2">
      <c r="A224" s="437"/>
      <c r="B224" s="438"/>
    </row>
    <row r="225" spans="1:2">
      <c r="A225" s="442" t="s">
        <v>995</v>
      </c>
      <c r="B225" s="438"/>
    </row>
    <row r="226" spans="1:2">
      <c r="A226" s="437" t="s">
        <v>996</v>
      </c>
      <c r="B226" s="438">
        <f>SUM(420*2)</f>
        <v>840</v>
      </c>
    </row>
    <row r="227" spans="1:2">
      <c r="A227" s="437" t="s">
        <v>997</v>
      </c>
      <c r="B227" s="438">
        <f>SUM(95*5)</f>
        <v>475</v>
      </c>
    </row>
    <row r="228" spans="1:2">
      <c r="A228" s="437" t="s">
        <v>998</v>
      </c>
      <c r="B228" s="438">
        <v>1680</v>
      </c>
    </row>
    <row r="229" spans="1:2">
      <c r="A229" s="10" t="s">
        <v>999</v>
      </c>
      <c r="B229" s="444">
        <v>370</v>
      </c>
    </row>
    <row r="230" spans="1:2">
      <c r="A230" s="10" t="s">
        <v>1000</v>
      </c>
      <c r="B230" s="444">
        <v>610</v>
      </c>
    </row>
    <row r="231" spans="1:2">
      <c r="A231" s="10" t="s">
        <v>1001</v>
      </c>
      <c r="B231" s="444">
        <v>250</v>
      </c>
    </row>
    <row r="232" spans="1:2">
      <c r="A232" s="10" t="s">
        <v>1002</v>
      </c>
      <c r="B232" s="444">
        <v>100</v>
      </c>
    </row>
    <row r="233" spans="1:2">
      <c r="A233" s="10" t="s">
        <v>1003</v>
      </c>
      <c r="B233" s="444">
        <v>110</v>
      </c>
    </row>
    <row r="234" spans="1:2">
      <c r="A234" s="10" t="s">
        <v>1004</v>
      </c>
      <c r="B234" s="444">
        <f>SUM(210*3)</f>
        <v>630</v>
      </c>
    </row>
    <row r="235" spans="1:2">
      <c r="A235" s="10" t="s">
        <v>1005</v>
      </c>
      <c r="B235" s="444">
        <f>SUM(150*3)</f>
        <v>450</v>
      </c>
    </row>
    <row r="236" spans="1:2">
      <c r="A236" s="439" t="s">
        <v>122</v>
      </c>
      <c r="B236" s="440">
        <f>SUM(B226:B235)</f>
        <v>5515</v>
      </c>
    </row>
    <row r="237" spans="1:2">
      <c r="A237" s="445" t="s">
        <v>1006</v>
      </c>
      <c r="B237" s="436">
        <f>SUM(200*46)</f>
        <v>9200</v>
      </c>
    </row>
    <row r="238" spans="1:2" ht="15.55">
      <c r="A238" s="446" t="s">
        <v>1007</v>
      </c>
      <c r="B238" s="447">
        <f>SUM(B223,B236,B237)</f>
        <v>31194</v>
      </c>
    </row>
    <row r="240" spans="1:2" ht="15.55">
      <c r="A240" s="358" t="s">
        <v>1008</v>
      </c>
      <c r="B240" s="359"/>
    </row>
    <row r="241" spans="1:4">
      <c r="A241" s="364" t="s">
        <v>1009</v>
      </c>
      <c r="B241" s="365"/>
    </row>
    <row r="242" spans="1:4">
      <c r="A242" s="437" t="s">
        <v>1010</v>
      </c>
      <c r="B242" s="438">
        <f>SUM(32*56*10)</f>
        <v>17920</v>
      </c>
    </row>
    <row r="243" spans="1:4">
      <c r="A243" s="437" t="s">
        <v>1011</v>
      </c>
      <c r="B243" s="438">
        <f>SUM(32*28.5*4)</f>
        <v>3648</v>
      </c>
    </row>
    <row r="244" spans="1:4">
      <c r="A244" s="437" t="s">
        <v>1012</v>
      </c>
      <c r="B244" s="438">
        <f>SUM(400*19)</f>
        <v>7600</v>
      </c>
    </row>
    <row r="245" spans="1:4">
      <c r="A245" s="437" t="s">
        <v>1013</v>
      </c>
      <c r="B245" s="438">
        <f>SUM(1600*2)</f>
        <v>3200</v>
      </c>
    </row>
    <row r="246" spans="1:4">
      <c r="A246" s="437" t="s">
        <v>1014</v>
      </c>
      <c r="B246" s="438">
        <f>SUM(1000*4)</f>
        <v>4000</v>
      </c>
    </row>
    <row r="247" spans="1:4">
      <c r="A247" s="10" t="s">
        <v>1015</v>
      </c>
      <c r="B247" s="438">
        <f>SUM(150*3)</f>
        <v>450</v>
      </c>
    </row>
    <row r="248" spans="1:4">
      <c r="A248" s="116" t="s">
        <v>1016</v>
      </c>
      <c r="B248" s="438">
        <v>790</v>
      </c>
    </row>
    <row r="249" spans="1:4">
      <c r="A249" s="437"/>
      <c r="B249" s="438"/>
      <c r="D249" s="116"/>
    </row>
    <row r="250" spans="1:4">
      <c r="A250" s="442" t="s">
        <v>1017</v>
      </c>
      <c r="B250" s="443"/>
    </row>
    <row r="251" spans="1:4">
      <c r="A251" s="437" t="s">
        <v>1018</v>
      </c>
      <c r="B251" s="438">
        <v>1600</v>
      </c>
    </row>
    <row r="252" spans="1:4">
      <c r="A252" s="437" t="s">
        <v>1019</v>
      </c>
      <c r="B252" s="438">
        <v>880</v>
      </c>
    </row>
    <row r="253" spans="1:4">
      <c r="A253" s="437" t="s">
        <v>1020</v>
      </c>
      <c r="B253" s="438">
        <v>370</v>
      </c>
    </row>
    <row r="254" spans="1:4">
      <c r="A254" s="437" t="s">
        <v>1021</v>
      </c>
      <c r="B254" s="438">
        <f>SUM(30*2)</f>
        <v>60</v>
      </c>
    </row>
    <row r="255" spans="1:4">
      <c r="A255" s="437" t="s">
        <v>1022</v>
      </c>
      <c r="B255" s="438">
        <v>80</v>
      </c>
    </row>
    <row r="256" spans="1:4">
      <c r="A256" s="437" t="s">
        <v>1023</v>
      </c>
      <c r="B256" s="438">
        <v>113</v>
      </c>
    </row>
    <row r="257" spans="1:2">
      <c r="A257" s="437" t="s">
        <v>1024</v>
      </c>
      <c r="B257" s="438">
        <v>36</v>
      </c>
    </row>
    <row r="258" spans="1:2">
      <c r="A258" s="437" t="s">
        <v>945</v>
      </c>
      <c r="B258" s="438">
        <v>100</v>
      </c>
    </row>
    <row r="259" spans="1:2">
      <c r="A259" s="437" t="s">
        <v>1025</v>
      </c>
      <c r="B259" s="438">
        <v>200</v>
      </c>
    </row>
    <row r="260" spans="1:2">
      <c r="A260" s="437" t="s">
        <v>1026</v>
      </c>
      <c r="B260" s="438">
        <f>SUM(330*3)</f>
        <v>990</v>
      </c>
    </row>
    <row r="261" spans="1:2">
      <c r="A261" s="437" t="s">
        <v>1027</v>
      </c>
      <c r="B261" s="438">
        <f>SUM(320*2)</f>
        <v>640</v>
      </c>
    </row>
    <row r="262" spans="1:2">
      <c r="A262" s="437" t="s">
        <v>1028</v>
      </c>
      <c r="B262" s="438">
        <f>SUM(95*2)</f>
        <v>190</v>
      </c>
    </row>
    <row r="263" spans="1:2">
      <c r="A263" s="437" t="s">
        <v>1029</v>
      </c>
      <c r="B263" s="438">
        <f>SUM(85*6)</f>
        <v>510</v>
      </c>
    </row>
    <row r="264" spans="1:2">
      <c r="A264" s="437" t="s">
        <v>1030</v>
      </c>
      <c r="B264" s="438">
        <f>SUM(125*4)</f>
        <v>500</v>
      </c>
    </row>
    <row r="265" spans="1:2">
      <c r="A265" s="437" t="s">
        <v>1031</v>
      </c>
      <c r="B265" s="438">
        <f>SUM(80*13)</f>
        <v>1040</v>
      </c>
    </row>
    <row r="266" spans="1:2">
      <c r="A266" s="437" t="s">
        <v>1032</v>
      </c>
      <c r="B266" s="438">
        <f>SUM(25*6)</f>
        <v>150</v>
      </c>
    </row>
    <row r="267" spans="1:2">
      <c r="A267" s="437" t="s">
        <v>1033</v>
      </c>
      <c r="B267" s="438">
        <f>SUM(3*12)</f>
        <v>36</v>
      </c>
    </row>
    <row r="268" spans="1:2">
      <c r="A268" s="437" t="s">
        <v>1034</v>
      </c>
      <c r="B268" s="438">
        <f>SUM(5*16)</f>
        <v>80</v>
      </c>
    </row>
    <row r="269" spans="1:2">
      <c r="A269" s="437" t="s">
        <v>1035</v>
      </c>
      <c r="B269" s="438">
        <v>20</v>
      </c>
    </row>
    <row r="270" spans="1:2">
      <c r="A270" s="437" t="s">
        <v>1036</v>
      </c>
      <c r="B270" s="438">
        <v>120</v>
      </c>
    </row>
    <row r="271" spans="1:2">
      <c r="A271" s="437" t="s">
        <v>1037</v>
      </c>
      <c r="B271" s="438">
        <v>38</v>
      </c>
    </row>
    <row r="272" spans="1:2">
      <c r="A272" s="437" t="s">
        <v>1038</v>
      </c>
      <c r="B272" s="438">
        <v>35</v>
      </c>
    </row>
    <row r="273" spans="1:2">
      <c r="A273" s="437" t="s">
        <v>1039</v>
      </c>
      <c r="B273" s="438">
        <v>130</v>
      </c>
    </row>
    <row r="274" spans="1:2">
      <c r="A274" s="437" t="s">
        <v>1040</v>
      </c>
      <c r="B274" s="438">
        <v>55</v>
      </c>
    </row>
    <row r="275" spans="1:2">
      <c r="A275" s="437" t="s">
        <v>1041</v>
      </c>
      <c r="B275" s="438">
        <v>100</v>
      </c>
    </row>
    <row r="276" spans="1:2">
      <c r="A276" s="437" t="s">
        <v>1042</v>
      </c>
      <c r="B276" s="438">
        <v>90</v>
      </c>
    </row>
    <row r="277" spans="1:2">
      <c r="A277" s="437" t="s">
        <v>1043</v>
      </c>
      <c r="B277" s="438">
        <v>390</v>
      </c>
    </row>
    <row r="278" spans="1:2">
      <c r="A278" s="437" t="s">
        <v>1044</v>
      </c>
      <c r="B278" s="438">
        <v>750</v>
      </c>
    </row>
    <row r="279" spans="1:2">
      <c r="A279" s="437" t="s">
        <v>1045</v>
      </c>
      <c r="B279" s="438">
        <v>260</v>
      </c>
    </row>
    <row r="280" spans="1:2">
      <c r="A280" s="437" t="s">
        <v>1046</v>
      </c>
      <c r="B280" s="438">
        <v>320</v>
      </c>
    </row>
    <row r="281" spans="1:2">
      <c r="A281" s="437" t="s">
        <v>1047</v>
      </c>
      <c r="B281" s="438">
        <v>430</v>
      </c>
    </row>
    <row r="282" spans="1:2">
      <c r="A282" s="439" t="s">
        <v>122</v>
      </c>
      <c r="B282" s="440">
        <f>SUM(B242:B281)</f>
        <v>47921</v>
      </c>
    </row>
    <row r="283" spans="1:2">
      <c r="A283" s="445" t="s">
        <v>1048</v>
      </c>
      <c r="B283" s="436">
        <f>SUM(200*88)</f>
        <v>17600</v>
      </c>
    </row>
    <row r="284" spans="1:2" ht="15.55">
      <c r="A284" s="446" t="s">
        <v>1049</v>
      </c>
      <c r="B284" s="447">
        <f>SUM(B282,B283)</f>
        <v>65521</v>
      </c>
    </row>
    <row r="286" spans="1:2" ht="15.55">
      <c r="A286" s="358" t="s">
        <v>1050</v>
      </c>
      <c r="B286" s="448"/>
    </row>
    <row r="287" spans="1:2">
      <c r="A287" s="442" t="s">
        <v>995</v>
      </c>
      <c r="B287" s="438"/>
    </row>
    <row r="288" spans="1:2">
      <c r="A288" s="437" t="s">
        <v>1051</v>
      </c>
      <c r="B288" s="438">
        <f>SUM(360*2)</f>
        <v>720</v>
      </c>
    </row>
    <row r="289" spans="1:26">
      <c r="A289" s="437" t="s">
        <v>1052</v>
      </c>
      <c r="B289" s="438">
        <v>300</v>
      </c>
    </row>
    <row r="290" spans="1:26">
      <c r="A290" s="116" t="s">
        <v>1053</v>
      </c>
      <c r="B290" s="444">
        <f>SUM(25*20)</f>
        <v>500</v>
      </c>
    </row>
    <row r="291" spans="1:26">
      <c r="A291" s="10" t="s">
        <v>1054</v>
      </c>
      <c r="B291" s="444">
        <v>600</v>
      </c>
    </row>
    <row r="292" spans="1:26">
      <c r="A292" s="10" t="s">
        <v>1055</v>
      </c>
      <c r="B292" s="444">
        <v>300</v>
      </c>
    </row>
    <row r="293" spans="1:26">
      <c r="A293" s="116" t="s">
        <v>1056</v>
      </c>
      <c r="B293" s="116">
        <f>SUM(52*5)</f>
        <v>260</v>
      </c>
    </row>
    <row r="294" spans="1:26">
      <c r="A294" s="116" t="s">
        <v>1057</v>
      </c>
      <c r="B294" s="116">
        <v>95</v>
      </c>
    </row>
    <row r="295" spans="1:26">
      <c r="A295" s="439" t="s">
        <v>122</v>
      </c>
      <c r="B295" s="440">
        <f>SUM(B288:B294)</f>
        <v>2775</v>
      </c>
    </row>
    <row r="296" spans="1:26">
      <c r="A296" s="437" t="s">
        <v>1058</v>
      </c>
      <c r="B296" s="438">
        <f>SUM(200*15)</f>
        <v>3000</v>
      </c>
    </row>
    <row r="297" spans="1:26" ht="15.55">
      <c r="A297" s="446" t="s">
        <v>1059</v>
      </c>
      <c r="B297" s="447">
        <f>SUM(B285,B295:B296)</f>
        <v>5775</v>
      </c>
    </row>
    <row r="299" spans="1:26" ht="15.55">
      <c r="A299" s="358" t="s">
        <v>1060</v>
      </c>
      <c r="B299" s="448"/>
    </row>
    <row r="300" spans="1:26">
      <c r="A300" s="449" t="s">
        <v>1061</v>
      </c>
      <c r="B300" s="450">
        <v>105000</v>
      </c>
      <c r="C300" s="276"/>
      <c r="D300" s="276"/>
      <c r="E300" s="276"/>
      <c r="F300" s="276"/>
      <c r="G300" s="276"/>
      <c r="H300" s="276"/>
      <c r="I300" s="276"/>
      <c r="J300" s="276"/>
      <c r="K300" s="276"/>
      <c r="L300" s="276"/>
      <c r="M300" s="276"/>
      <c r="N300" s="276"/>
      <c r="O300" s="276"/>
      <c r="P300" s="276"/>
      <c r="Q300" s="276"/>
      <c r="R300" s="276"/>
      <c r="S300" s="276"/>
      <c r="T300" s="276"/>
      <c r="U300" s="276"/>
      <c r="V300" s="276"/>
      <c r="W300" s="276"/>
      <c r="X300" s="276"/>
      <c r="Y300" s="276"/>
      <c r="Z300" s="276"/>
    </row>
    <row r="301" spans="1:26">
      <c r="A301" s="449" t="s">
        <v>1062</v>
      </c>
      <c r="B301" s="438">
        <v>10000</v>
      </c>
    </row>
    <row r="302" spans="1:26" ht="15.55">
      <c r="A302" s="446" t="s">
        <v>1063</v>
      </c>
      <c r="B302" s="447">
        <f>SUM(B300:B301)</f>
        <v>115000</v>
      </c>
    </row>
    <row r="304" spans="1:26" ht="15.55">
      <c r="A304" s="358" t="s">
        <v>1064</v>
      </c>
      <c r="B304" s="448"/>
    </row>
    <row r="305" spans="1:2">
      <c r="A305" s="449" t="s">
        <v>1065</v>
      </c>
      <c r="B305" s="450">
        <v>3860</v>
      </c>
    </row>
    <row r="306" spans="1:2">
      <c r="A306" s="449" t="s">
        <v>1066</v>
      </c>
      <c r="B306" s="438">
        <v>5954</v>
      </c>
    </row>
    <row r="307" spans="1:2">
      <c r="A307" s="437" t="s">
        <v>1067</v>
      </c>
      <c r="B307" s="438">
        <v>4560</v>
      </c>
    </row>
    <row r="308" spans="1:2">
      <c r="A308" s="116" t="s">
        <v>1068</v>
      </c>
      <c r="B308" s="116">
        <v>1100</v>
      </c>
    </row>
    <row r="309" spans="1:2">
      <c r="A309" s="449" t="s">
        <v>1069</v>
      </c>
      <c r="B309" s="116">
        <v>5250</v>
      </c>
    </row>
    <row r="310" spans="1:2">
      <c r="A310" s="449" t="s">
        <v>1070</v>
      </c>
      <c r="B310" s="116">
        <v>3000</v>
      </c>
    </row>
    <row r="311" spans="1:2">
      <c r="A311" s="449" t="s">
        <v>1071</v>
      </c>
      <c r="B311" s="116">
        <v>1500</v>
      </c>
    </row>
    <row r="312" spans="1:2">
      <c r="A312" s="276" t="s">
        <v>1072</v>
      </c>
      <c r="B312" s="116">
        <v>900</v>
      </c>
    </row>
    <row r="313" spans="1:2">
      <c r="A313" s="10" t="s">
        <v>1073</v>
      </c>
      <c r="B313" s="444">
        <v>10000</v>
      </c>
    </row>
    <row r="314" spans="1:2" ht="15.55">
      <c r="A314" s="446" t="s">
        <v>1063</v>
      </c>
      <c r="B314" s="447">
        <f>SUM(B305:B313)</f>
        <v>36124</v>
      </c>
    </row>
    <row r="316" spans="1:2" ht="15.55">
      <c r="A316" s="459" t="s">
        <v>1388</v>
      </c>
      <c r="B316" s="455"/>
    </row>
    <row r="317" spans="1:2">
      <c r="A317" s="460" t="s">
        <v>1389</v>
      </c>
      <c r="B317" s="456">
        <v>22000</v>
      </c>
    </row>
    <row r="318" spans="1:2">
      <c r="A318" s="457"/>
      <c r="B318" s="457"/>
    </row>
    <row r="319" spans="1:2" ht="15.55">
      <c r="A319" s="458" t="s">
        <v>1063</v>
      </c>
      <c r="B319" s="458">
        <f>SUM(B317)</f>
        <v>22000</v>
      </c>
    </row>
    <row r="327" spans="1:2" ht="17.75">
      <c r="A327" s="451" t="s">
        <v>1074</v>
      </c>
      <c r="B327" s="451">
        <f>SUM(B213,B238,B284,B297)</f>
        <v>220535</v>
      </c>
    </row>
    <row r="328" spans="1:2">
      <c r="A328" s="116"/>
    </row>
    <row r="329" spans="1:2" ht="17.75">
      <c r="A329" s="451" t="s">
        <v>1075</v>
      </c>
      <c r="B329" s="451">
        <f>SUM(D56)</f>
        <v>94283</v>
      </c>
    </row>
    <row r="330" spans="1:2">
      <c r="A330" s="116"/>
    </row>
    <row r="331" spans="1:2" ht="17.75">
      <c r="A331" s="451" t="s">
        <v>1076</v>
      </c>
      <c r="B331" s="451">
        <f>SUM(D94)</f>
        <v>290250</v>
      </c>
    </row>
    <row r="332" spans="1:2" ht="17.75">
      <c r="A332" s="452"/>
      <c r="B332" s="452"/>
    </row>
    <row r="333" spans="1:2" ht="17.75">
      <c r="A333" s="451" t="s">
        <v>1077</v>
      </c>
      <c r="B333" s="451">
        <f>B302</f>
        <v>115000</v>
      </c>
    </row>
    <row r="334" spans="1:2" ht="17.75">
      <c r="A334" s="452"/>
      <c r="B334" s="452"/>
    </row>
    <row r="335" spans="1:2" ht="17.75">
      <c r="A335" s="454" t="s">
        <v>1078</v>
      </c>
      <c r="B335" s="451">
        <f>B314</f>
        <v>36124</v>
      </c>
    </row>
    <row r="336" spans="1:2">
      <c r="A336" s="11"/>
      <c r="B336" s="11"/>
    </row>
    <row r="337" spans="1:2" ht="17.75">
      <c r="A337" s="454" t="s">
        <v>1387</v>
      </c>
      <c r="B337" s="451">
        <f>B319</f>
        <v>22000</v>
      </c>
    </row>
    <row r="338" spans="1:2">
      <c r="A338" s="11"/>
      <c r="B338" s="11"/>
    </row>
    <row r="339" spans="1:2">
      <c r="A339" s="11"/>
      <c r="B339" s="11"/>
    </row>
    <row r="340" spans="1:2" ht="295.2">
      <c r="A340" s="366" t="s">
        <v>1079</v>
      </c>
      <c r="B340" s="453">
        <f>SUM(B153,B327,B329,B331,B333,B335, B337)</f>
        <v>8445412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D1:L22"/>
  <sheetViews>
    <sheetView workbookViewId="0"/>
  </sheetViews>
  <sheetFormatPr defaultRowHeight="13.3"/>
  <sheetData>
    <row r="1" spans="4:12">
      <c r="K1" t="s">
        <v>1689</v>
      </c>
      <c r="L1">
        <v>2500</v>
      </c>
    </row>
    <row r="2" spans="4:12">
      <c r="D2" s="463"/>
      <c r="K2" t="s">
        <v>1699</v>
      </c>
      <c r="L2">
        <v>8500</v>
      </c>
    </row>
    <row r="3" spans="4:12">
      <c r="D3" s="464"/>
      <c r="K3" t="s">
        <v>1697</v>
      </c>
      <c r="L3">
        <v>200</v>
      </c>
    </row>
    <row r="4" spans="4:12">
      <c r="F4" s="463"/>
      <c r="K4" t="s">
        <v>1698</v>
      </c>
      <c r="L4">
        <v>1850</v>
      </c>
    </row>
    <row r="5" spans="4:12">
      <c r="D5" s="463"/>
      <c r="K5" t="s">
        <v>1700</v>
      </c>
      <c r="L5">
        <v>1195</v>
      </c>
    </row>
    <row r="6" spans="4:12">
      <c r="D6" s="464"/>
      <c r="K6" t="s">
        <v>1701</v>
      </c>
      <c r="L6">
        <v>130</v>
      </c>
    </row>
    <row r="7" spans="4:12">
      <c r="D7" s="464"/>
      <c r="K7" t="s">
        <v>1688</v>
      </c>
      <c r="L7">
        <v>4320</v>
      </c>
    </row>
    <row r="8" spans="4:12">
      <c r="F8" s="463"/>
      <c r="K8" t="s">
        <v>1702</v>
      </c>
      <c r="L8">
        <f>660+385</f>
        <v>1045</v>
      </c>
    </row>
    <row r="9" spans="4:12">
      <c r="D9" s="463"/>
      <c r="E9" s="464"/>
      <c r="K9" t="s">
        <v>1703</v>
      </c>
      <c r="L9">
        <v>75</v>
      </c>
    </row>
    <row r="10" spans="4:12">
      <c r="D10" s="464"/>
      <c r="I10" s="463"/>
      <c r="K10" t="s">
        <v>1704</v>
      </c>
      <c r="L10">
        <v>3000</v>
      </c>
    </row>
    <row r="11" spans="4:12">
      <c r="D11" s="464"/>
      <c r="K11" t="s">
        <v>1705</v>
      </c>
      <c r="L11">
        <v>250</v>
      </c>
    </row>
    <row r="12" spans="4:12">
      <c r="F12" s="463"/>
      <c r="I12" s="463"/>
    </row>
    <row r="13" spans="4:12">
      <c r="D13" s="463"/>
      <c r="K13" t="s">
        <v>1706</v>
      </c>
      <c r="L13">
        <v>14200</v>
      </c>
    </row>
    <row r="14" spans="4:12">
      <c r="D14" s="464"/>
      <c r="K14" t="s">
        <v>1707</v>
      </c>
      <c r="L14">
        <v>4400</v>
      </c>
    </row>
    <row r="15" spans="4:12">
      <c r="D15" s="464"/>
      <c r="K15" t="s">
        <v>1708</v>
      </c>
      <c r="L15">
        <v>500</v>
      </c>
    </row>
    <row r="16" spans="4:12">
      <c r="F16" s="463"/>
      <c r="K16" t="s">
        <v>1709</v>
      </c>
      <c r="L16">
        <v>8000</v>
      </c>
    </row>
    <row r="17" spans="4:12">
      <c r="D17" s="463"/>
      <c r="F17" s="463"/>
      <c r="K17" t="s">
        <v>1710</v>
      </c>
      <c r="L17">
        <v>3000</v>
      </c>
    </row>
    <row r="18" spans="4:12">
      <c r="D18" s="463"/>
      <c r="E18" s="464"/>
      <c r="F18" s="463"/>
      <c r="K18" t="s">
        <v>1711</v>
      </c>
      <c r="L18">
        <v>3500</v>
      </c>
    </row>
    <row r="20" spans="4:12">
      <c r="D20" s="464"/>
      <c r="F20" s="463"/>
    </row>
    <row r="21" spans="4:12">
      <c r="L21" s="463">
        <f>SUM(L1:L18)</f>
        <v>56665</v>
      </c>
    </row>
    <row r="22" spans="4:12">
      <c r="D22" s="464"/>
      <c r="F22" s="46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E2:P32"/>
  <sheetViews>
    <sheetView workbookViewId="0"/>
  </sheetViews>
  <sheetFormatPr defaultRowHeight="13.3"/>
  <sheetData>
    <row r="2" spans="5:16">
      <c r="E2" s="10" t="s">
        <v>1080</v>
      </c>
      <c r="G2" s="10" t="s">
        <v>1081</v>
      </c>
    </row>
    <row r="3" spans="5:16">
      <c r="G3" s="10" t="s">
        <v>1082</v>
      </c>
    </row>
    <row r="6" spans="5:16">
      <c r="E6" s="10">
        <v>1</v>
      </c>
      <c r="F6" s="10" t="s">
        <v>1083</v>
      </c>
      <c r="G6" s="10">
        <v>4</v>
      </c>
      <c r="H6" s="10">
        <f>SUM(24*60*4)</f>
        <v>5760</v>
      </c>
    </row>
    <row r="7" spans="5:16">
      <c r="E7" s="10">
        <v>2</v>
      </c>
      <c r="F7" s="10" t="s">
        <v>1084</v>
      </c>
      <c r="G7" s="10">
        <v>2</v>
      </c>
      <c r="H7" s="10">
        <f>SUM(18*50*2)</f>
        <v>1800</v>
      </c>
    </row>
    <row r="8" spans="5:16">
      <c r="E8" s="10">
        <v>3</v>
      </c>
      <c r="F8" s="10" t="s">
        <v>1085</v>
      </c>
      <c r="G8" s="10">
        <v>2</v>
      </c>
      <c r="H8" s="10">
        <f>SUM(18*45*2)</f>
        <v>1620</v>
      </c>
      <c r="M8" s="367">
        <v>17531</v>
      </c>
      <c r="N8" s="348"/>
      <c r="O8" s="348"/>
      <c r="P8" s="348"/>
    </row>
    <row r="9" spans="5:16" ht="25.5">
      <c r="E9" s="10">
        <v>4</v>
      </c>
      <c r="F9" s="10" t="s">
        <v>1086</v>
      </c>
      <c r="G9" s="10">
        <v>8</v>
      </c>
      <c r="H9" s="10">
        <v>500</v>
      </c>
      <c r="M9" s="368">
        <v>530101345280477</v>
      </c>
      <c r="N9" s="368" t="s">
        <v>1087</v>
      </c>
      <c r="O9" s="368" t="s">
        <v>1088</v>
      </c>
      <c r="P9" s="367">
        <v>27026</v>
      </c>
    </row>
    <row r="10" spans="5:16" ht="25.5">
      <c r="E10" s="10">
        <v>5</v>
      </c>
      <c r="F10" s="10" t="s">
        <v>1089</v>
      </c>
      <c r="G10" s="10">
        <v>2</v>
      </c>
      <c r="H10" s="10">
        <v>3000</v>
      </c>
      <c r="M10" s="368">
        <v>530401039982398</v>
      </c>
      <c r="N10" s="368" t="s">
        <v>1087</v>
      </c>
      <c r="O10" s="368" t="s">
        <v>1088</v>
      </c>
      <c r="P10" s="367">
        <v>23021</v>
      </c>
    </row>
    <row r="11" spans="5:16" ht="25.5">
      <c r="E11" s="10">
        <v>6</v>
      </c>
      <c r="F11" s="10" t="s">
        <v>1090</v>
      </c>
      <c r="G11" s="94">
        <v>1</v>
      </c>
      <c r="H11" s="10">
        <v>100</v>
      </c>
      <c r="M11" s="368">
        <v>530401036371485</v>
      </c>
      <c r="N11" s="368" t="s">
        <v>1087</v>
      </c>
      <c r="O11" s="368" t="s">
        <v>1088</v>
      </c>
      <c r="P11" s="367">
        <v>30619</v>
      </c>
    </row>
    <row r="12" spans="5:16" ht="25.5">
      <c r="E12" s="10">
        <v>7</v>
      </c>
      <c r="F12" s="10" t="s">
        <v>1091</v>
      </c>
      <c r="G12" s="10">
        <v>4</v>
      </c>
      <c r="H12" s="10">
        <v>500</v>
      </c>
      <c r="M12" s="368">
        <v>530401043803993</v>
      </c>
      <c r="N12" s="368" t="s">
        <v>1087</v>
      </c>
      <c r="O12" s="368" t="s">
        <v>1088</v>
      </c>
      <c r="P12" s="367">
        <v>2685</v>
      </c>
    </row>
    <row r="13" spans="5:16" ht="25.5">
      <c r="E13" s="10">
        <v>8</v>
      </c>
      <c r="F13" s="10" t="s">
        <v>1092</v>
      </c>
      <c r="G13" s="94" t="s">
        <v>1093</v>
      </c>
      <c r="H13" s="10">
        <v>1000</v>
      </c>
      <c r="M13" s="368">
        <v>530401040641840</v>
      </c>
      <c r="N13" s="368" t="s">
        <v>1087</v>
      </c>
      <c r="O13" s="368" t="s">
        <v>1088</v>
      </c>
      <c r="P13" s="367">
        <v>9126</v>
      </c>
    </row>
    <row r="14" spans="5:16" ht="25.5">
      <c r="E14" s="10">
        <v>9</v>
      </c>
      <c r="F14" s="10" t="s">
        <v>1094</v>
      </c>
      <c r="G14" s="10">
        <v>2</v>
      </c>
      <c r="H14" s="10">
        <v>500</v>
      </c>
      <c r="M14" s="368">
        <v>530401042758423</v>
      </c>
      <c r="N14" s="368" t="s">
        <v>1087</v>
      </c>
      <c r="O14" s="368" t="s">
        <v>1088</v>
      </c>
      <c r="P14" s="367">
        <v>3908</v>
      </c>
    </row>
    <row r="15" spans="5:16" ht="25.5">
      <c r="E15" s="10">
        <v>10</v>
      </c>
      <c r="F15" s="10" t="s">
        <v>1095</v>
      </c>
      <c r="G15" s="10">
        <v>4</v>
      </c>
      <c r="H15" s="10">
        <v>50</v>
      </c>
      <c r="M15" s="368">
        <v>530401041925642</v>
      </c>
      <c r="N15" s="368" t="s">
        <v>1087</v>
      </c>
      <c r="O15" s="368" t="s">
        <v>1088</v>
      </c>
      <c r="P15" s="367">
        <v>2906</v>
      </c>
    </row>
    <row r="16" spans="5:16">
      <c r="E16" s="10">
        <v>11</v>
      </c>
      <c r="F16" s="10" t="s">
        <v>1096</v>
      </c>
      <c r="G16" s="10">
        <v>4</v>
      </c>
      <c r="H16" s="10">
        <v>100</v>
      </c>
    </row>
    <row r="17" spans="5:16">
      <c r="E17" s="10">
        <v>12</v>
      </c>
      <c r="F17" s="10" t="s">
        <v>1097</v>
      </c>
      <c r="G17" s="94" t="s">
        <v>1098</v>
      </c>
      <c r="H17" s="10">
        <v>100</v>
      </c>
      <c r="P17" s="1">
        <f>SUM(P9:P15)</f>
        <v>99291</v>
      </c>
    </row>
    <row r="18" spans="5:16">
      <c r="E18" s="10">
        <v>13</v>
      </c>
      <c r="F18" s="10" t="s">
        <v>1099</v>
      </c>
      <c r="G18" s="94" t="s">
        <v>1100</v>
      </c>
      <c r="H18" s="10">
        <v>50</v>
      </c>
    </row>
    <row r="19" spans="5:16">
      <c r="E19" s="10">
        <v>14</v>
      </c>
      <c r="F19" s="10" t="s">
        <v>1101</v>
      </c>
      <c r="G19" s="94" t="s">
        <v>1100</v>
      </c>
      <c r="H19" s="10">
        <v>50</v>
      </c>
    </row>
    <row r="20" spans="5:16">
      <c r="H20" s="11">
        <f>SUM(H6:H19)</f>
        <v>15130</v>
      </c>
    </row>
    <row r="21" spans="5:16">
      <c r="N21" s="11"/>
    </row>
    <row r="24" spans="5:16">
      <c r="F24" s="229" t="s">
        <v>1102</v>
      </c>
    </row>
    <row r="30" spans="5:16">
      <c r="G30" s="10" t="s">
        <v>1103</v>
      </c>
    </row>
    <row r="32" spans="5:16">
      <c r="E32" s="10">
        <v>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00"/>
  <sheetViews>
    <sheetView workbookViewId="0"/>
  </sheetViews>
  <sheetFormatPr defaultRowHeight="13.3"/>
  <sheetData>
    <row r="1" spans="1:7">
      <c r="A1" s="773" t="s">
        <v>1104</v>
      </c>
    </row>
    <row r="3" spans="1:7">
      <c r="A3" s="369" t="s">
        <v>123</v>
      </c>
      <c r="B3" s="369" t="s">
        <v>1105</v>
      </c>
      <c r="C3" s="369" t="s">
        <v>622</v>
      </c>
    </row>
    <row r="4" spans="1:7">
      <c r="A4" s="85"/>
      <c r="B4" s="10" t="s">
        <v>1106</v>
      </c>
      <c r="C4" s="85" t="s">
        <v>1107</v>
      </c>
    </row>
    <row r="5" spans="1:7">
      <c r="B5" s="10" t="s">
        <v>1108</v>
      </c>
      <c r="C5" s="85" t="s">
        <v>1107</v>
      </c>
    </row>
    <row r="6" spans="1:7">
      <c r="B6" s="10" t="s">
        <v>1109</v>
      </c>
      <c r="C6" s="370">
        <v>39608</v>
      </c>
    </row>
    <row r="7" spans="1:7">
      <c r="B7" s="10" t="s">
        <v>1110</v>
      </c>
      <c r="C7" s="370">
        <v>39608</v>
      </c>
      <c r="G7" s="138"/>
    </row>
    <row r="8" spans="1:7">
      <c r="B8" s="10" t="s">
        <v>1111</v>
      </c>
      <c r="C8" s="370">
        <v>39608</v>
      </c>
      <c r="G8" s="138"/>
    </row>
    <row r="9" spans="1:7">
      <c r="B9" s="10" t="s">
        <v>1112</v>
      </c>
      <c r="C9" s="370" t="s">
        <v>1113</v>
      </c>
      <c r="G9" s="138"/>
    </row>
    <row r="10" spans="1:7">
      <c r="G10" s="138"/>
    </row>
    <row r="11" spans="1:7">
      <c r="C11" s="85"/>
      <c r="G11" s="138"/>
    </row>
    <row r="12" spans="1:7">
      <c r="C12" s="85"/>
    </row>
    <row r="13" spans="1:7">
      <c r="C13" s="85"/>
      <c r="G13" s="178"/>
    </row>
    <row r="14" spans="1:7">
      <c r="C14" s="85"/>
    </row>
    <row r="15" spans="1:7">
      <c r="C15" s="85"/>
      <c r="G15" s="156"/>
    </row>
    <row r="16" spans="1:7">
      <c r="C16" s="85"/>
      <c r="G16" s="158"/>
    </row>
    <row r="17" spans="3:7">
      <c r="C17" s="85"/>
      <c r="G17" s="156"/>
    </row>
    <row r="18" spans="3:7">
      <c r="G18" s="371"/>
    </row>
    <row r="19" spans="3:7">
      <c r="G19" s="371"/>
    </row>
    <row r="20" spans="3:7">
      <c r="G20" s="371"/>
    </row>
    <row r="21" spans="3:7">
      <c r="G21" s="371"/>
    </row>
    <row r="22" spans="3:7">
      <c r="G22" s="371"/>
    </row>
    <row r="23" spans="3:7">
      <c r="G23" s="371"/>
    </row>
    <row r="24" spans="3:7">
      <c r="G24" s="371"/>
    </row>
    <row r="25" spans="3:7">
      <c r="G25" s="371"/>
    </row>
    <row r="26" spans="3:7">
      <c r="G26" s="371"/>
    </row>
    <row r="27" spans="3:7">
      <c r="G27" s="371"/>
    </row>
    <row r="28" spans="3:7">
      <c r="G28" s="371"/>
    </row>
    <row r="29" spans="3:7">
      <c r="G29" s="371"/>
    </row>
    <row r="30" spans="3:7">
      <c r="G30" s="371"/>
    </row>
    <row r="31" spans="3:7">
      <c r="G31" s="371"/>
    </row>
    <row r="32" spans="3:7">
      <c r="G32" s="371"/>
    </row>
    <row r="33" spans="7:7">
      <c r="G33" s="371"/>
    </row>
    <row r="34" spans="7:7">
      <c r="G34" s="371"/>
    </row>
    <row r="35" spans="7:7">
      <c r="G35" s="371"/>
    </row>
    <row r="36" spans="7:7">
      <c r="G36" s="371"/>
    </row>
    <row r="37" spans="7:7">
      <c r="G37" s="371"/>
    </row>
    <row r="38" spans="7:7">
      <c r="G38" s="371"/>
    </row>
    <row r="39" spans="7:7">
      <c r="G39" s="371"/>
    </row>
    <row r="40" spans="7:7">
      <c r="G40" s="371"/>
    </row>
    <row r="41" spans="7:7">
      <c r="G41" s="371"/>
    </row>
    <row r="42" spans="7:7">
      <c r="G42" s="371"/>
    </row>
    <row r="43" spans="7:7">
      <c r="G43" s="371"/>
    </row>
    <row r="44" spans="7:7">
      <c r="G44" s="371"/>
    </row>
    <row r="45" spans="7:7">
      <c r="G45" s="371"/>
    </row>
    <row r="46" spans="7:7">
      <c r="G46" s="371"/>
    </row>
    <row r="47" spans="7:7">
      <c r="G47" s="371"/>
    </row>
    <row r="48" spans="7:7">
      <c r="G48" s="371"/>
    </row>
    <row r="49" spans="7:7">
      <c r="G49" s="371"/>
    </row>
    <row r="50" spans="7:7">
      <c r="G50" s="371"/>
    </row>
    <row r="51" spans="7:7">
      <c r="G51" s="371"/>
    </row>
    <row r="52" spans="7:7">
      <c r="G52" s="371"/>
    </row>
    <row r="53" spans="7:7">
      <c r="G53" s="371"/>
    </row>
    <row r="54" spans="7:7">
      <c r="G54" s="371"/>
    </row>
    <row r="55" spans="7:7">
      <c r="G55" s="371"/>
    </row>
    <row r="56" spans="7:7">
      <c r="G56" s="371"/>
    </row>
    <row r="57" spans="7:7">
      <c r="G57" s="371"/>
    </row>
    <row r="58" spans="7:7">
      <c r="G58" s="371"/>
    </row>
    <row r="59" spans="7:7">
      <c r="G59" s="371"/>
    </row>
    <row r="60" spans="7:7">
      <c r="G60" s="371"/>
    </row>
    <row r="61" spans="7:7">
      <c r="G61" s="371"/>
    </row>
    <row r="62" spans="7:7">
      <c r="G62" s="371"/>
    </row>
    <row r="63" spans="7:7">
      <c r="G63" s="371"/>
    </row>
    <row r="64" spans="7:7">
      <c r="G64" s="371"/>
    </row>
    <row r="65" spans="7:7">
      <c r="G65" s="371"/>
    </row>
    <row r="66" spans="7:7">
      <c r="G66" s="371"/>
    </row>
    <row r="67" spans="7:7">
      <c r="G67" s="371"/>
    </row>
    <row r="68" spans="7:7">
      <c r="G68" s="371"/>
    </row>
    <row r="69" spans="7:7">
      <c r="G69" s="371"/>
    </row>
    <row r="70" spans="7:7">
      <c r="G70" s="371"/>
    </row>
    <row r="71" spans="7:7">
      <c r="G71" s="371"/>
    </row>
    <row r="72" spans="7:7">
      <c r="G72" s="371"/>
    </row>
    <row r="73" spans="7:7">
      <c r="G73" s="371"/>
    </row>
    <row r="74" spans="7:7">
      <c r="G74" s="371"/>
    </row>
    <row r="75" spans="7:7">
      <c r="G75" s="371"/>
    </row>
    <row r="76" spans="7:7">
      <c r="G76" s="371"/>
    </row>
    <row r="77" spans="7:7">
      <c r="G77" s="371"/>
    </row>
    <row r="78" spans="7:7">
      <c r="G78" s="371"/>
    </row>
    <row r="79" spans="7:7">
      <c r="G79" s="371"/>
    </row>
    <row r="80" spans="7:7">
      <c r="G80" s="371"/>
    </row>
    <row r="81" spans="7:7">
      <c r="G81" s="371"/>
    </row>
    <row r="82" spans="7:7">
      <c r="G82" s="371"/>
    </row>
    <row r="83" spans="7:7">
      <c r="G83" s="371"/>
    </row>
    <row r="84" spans="7:7">
      <c r="G84" s="371"/>
    </row>
    <row r="85" spans="7:7">
      <c r="G85" s="371"/>
    </row>
    <row r="86" spans="7:7">
      <c r="G86" s="371"/>
    </row>
    <row r="87" spans="7:7">
      <c r="G87" s="371"/>
    </row>
    <row r="88" spans="7:7">
      <c r="G88" s="371"/>
    </row>
    <row r="89" spans="7:7">
      <c r="G89" s="371"/>
    </row>
    <row r="90" spans="7:7">
      <c r="G90" s="371"/>
    </row>
    <row r="91" spans="7:7">
      <c r="G91" s="371"/>
    </row>
    <row r="92" spans="7:7">
      <c r="G92" s="371"/>
    </row>
    <row r="93" spans="7:7">
      <c r="G93" s="371"/>
    </row>
    <row r="94" spans="7:7">
      <c r="G94" s="371"/>
    </row>
    <row r="95" spans="7:7">
      <c r="G95" s="371"/>
    </row>
    <row r="96" spans="7:7">
      <c r="G96" s="371"/>
    </row>
    <row r="97" spans="7:7">
      <c r="G97" s="371"/>
    </row>
    <row r="98" spans="7:7">
      <c r="G98" s="371"/>
    </row>
    <row r="99" spans="7:7">
      <c r="G99" s="371"/>
    </row>
    <row r="100" spans="7:7">
      <c r="G100" s="371"/>
    </row>
    <row r="101" spans="7:7">
      <c r="G101" s="371"/>
    </row>
    <row r="102" spans="7:7">
      <c r="G102" s="371"/>
    </row>
    <row r="103" spans="7:7">
      <c r="G103" s="371"/>
    </row>
    <row r="104" spans="7:7">
      <c r="G104" s="371"/>
    </row>
    <row r="105" spans="7:7">
      <c r="G105" s="371"/>
    </row>
    <row r="106" spans="7:7">
      <c r="G106" s="371"/>
    </row>
    <row r="107" spans="7:7">
      <c r="G107" s="371"/>
    </row>
    <row r="108" spans="7:7">
      <c r="G108" s="371"/>
    </row>
    <row r="109" spans="7:7">
      <c r="G109" s="371"/>
    </row>
    <row r="110" spans="7:7">
      <c r="G110" s="371"/>
    </row>
    <row r="111" spans="7:7">
      <c r="G111" s="371"/>
    </row>
    <row r="112" spans="7:7">
      <c r="G112" s="371"/>
    </row>
    <row r="113" spans="7:7">
      <c r="G113" s="371"/>
    </row>
    <row r="114" spans="7:7">
      <c r="G114" s="371"/>
    </row>
    <row r="115" spans="7:7">
      <c r="G115" s="371"/>
    </row>
    <row r="116" spans="7:7">
      <c r="G116" s="371"/>
    </row>
    <row r="117" spans="7:7">
      <c r="G117" s="371"/>
    </row>
    <row r="118" spans="7:7">
      <c r="G118" s="371"/>
    </row>
    <row r="119" spans="7:7">
      <c r="G119" s="371"/>
    </row>
    <row r="120" spans="7:7">
      <c r="G120" s="371"/>
    </row>
    <row r="121" spans="7:7">
      <c r="G121" s="371"/>
    </row>
    <row r="122" spans="7:7">
      <c r="G122" s="371"/>
    </row>
    <row r="123" spans="7:7">
      <c r="G123" s="371"/>
    </row>
    <row r="124" spans="7:7">
      <c r="G124" s="371"/>
    </row>
    <row r="125" spans="7:7">
      <c r="G125" s="371"/>
    </row>
    <row r="126" spans="7:7">
      <c r="G126" s="371"/>
    </row>
    <row r="127" spans="7:7">
      <c r="G127" s="371"/>
    </row>
    <row r="128" spans="7:7">
      <c r="G128" s="371"/>
    </row>
    <row r="129" spans="7:7">
      <c r="G129" s="371"/>
    </row>
    <row r="130" spans="7:7">
      <c r="G130" s="371"/>
    </row>
    <row r="131" spans="7:7">
      <c r="G131" s="371"/>
    </row>
    <row r="132" spans="7:7">
      <c r="G132" s="371"/>
    </row>
    <row r="133" spans="7:7">
      <c r="G133" s="371"/>
    </row>
    <row r="134" spans="7:7">
      <c r="G134" s="371"/>
    </row>
    <row r="135" spans="7:7">
      <c r="G135" s="371"/>
    </row>
    <row r="136" spans="7:7">
      <c r="G136" s="371"/>
    </row>
    <row r="137" spans="7:7">
      <c r="G137" s="371"/>
    </row>
    <row r="138" spans="7:7">
      <c r="G138" s="371"/>
    </row>
    <row r="139" spans="7:7">
      <c r="G139" s="371"/>
    </row>
    <row r="140" spans="7:7">
      <c r="G140" s="371"/>
    </row>
    <row r="141" spans="7:7">
      <c r="G141" s="371"/>
    </row>
    <row r="142" spans="7:7">
      <c r="G142" s="371"/>
    </row>
    <row r="143" spans="7:7">
      <c r="G143" s="371"/>
    </row>
    <row r="144" spans="7:7">
      <c r="G144" s="371"/>
    </row>
    <row r="145" spans="7:7">
      <c r="G145" s="371"/>
    </row>
    <row r="146" spans="7:7">
      <c r="G146" s="371"/>
    </row>
    <row r="147" spans="7:7">
      <c r="G147" s="371"/>
    </row>
    <row r="148" spans="7:7">
      <c r="G148" s="371"/>
    </row>
    <row r="149" spans="7:7">
      <c r="G149" s="371"/>
    </row>
    <row r="150" spans="7:7">
      <c r="G150" s="371"/>
    </row>
    <row r="151" spans="7:7">
      <c r="G151" s="371"/>
    </row>
    <row r="152" spans="7:7">
      <c r="G152" s="371"/>
    </row>
    <row r="153" spans="7:7">
      <c r="G153" s="371"/>
    </row>
    <row r="154" spans="7:7">
      <c r="G154" s="371"/>
    </row>
    <row r="155" spans="7:7">
      <c r="G155" s="371"/>
    </row>
    <row r="156" spans="7:7">
      <c r="G156" s="371"/>
    </row>
    <row r="157" spans="7:7">
      <c r="G157" s="371"/>
    </row>
    <row r="158" spans="7:7">
      <c r="G158" s="371"/>
    </row>
    <row r="159" spans="7:7">
      <c r="G159" s="371"/>
    </row>
    <row r="160" spans="7:7">
      <c r="G160" s="371"/>
    </row>
    <row r="161" spans="7:7">
      <c r="G161" s="371"/>
    </row>
    <row r="162" spans="7:7">
      <c r="G162" s="371"/>
    </row>
    <row r="163" spans="7:7">
      <c r="G163" s="371"/>
    </row>
    <row r="164" spans="7:7">
      <c r="G164" s="371"/>
    </row>
    <row r="165" spans="7:7">
      <c r="G165" s="371"/>
    </row>
    <row r="166" spans="7:7">
      <c r="G166" s="371"/>
    </row>
    <row r="167" spans="7:7">
      <c r="G167" s="371"/>
    </row>
    <row r="168" spans="7:7">
      <c r="G168" s="371"/>
    </row>
    <row r="169" spans="7:7">
      <c r="G169" s="371"/>
    </row>
    <row r="170" spans="7:7">
      <c r="G170" s="371"/>
    </row>
    <row r="171" spans="7:7">
      <c r="G171" s="371"/>
    </row>
    <row r="172" spans="7:7">
      <c r="G172" s="371"/>
    </row>
    <row r="173" spans="7:7">
      <c r="G173" s="371"/>
    </row>
    <row r="174" spans="7:7">
      <c r="G174" s="371"/>
    </row>
    <row r="175" spans="7:7">
      <c r="G175" s="371"/>
    </row>
    <row r="176" spans="7:7">
      <c r="G176" s="371"/>
    </row>
    <row r="177" spans="7:7">
      <c r="G177" s="371"/>
    </row>
    <row r="178" spans="7:7">
      <c r="G178" s="371"/>
    </row>
    <row r="179" spans="7:7">
      <c r="G179" s="371"/>
    </row>
    <row r="180" spans="7:7">
      <c r="G180" s="371"/>
    </row>
    <row r="181" spans="7:7">
      <c r="G181" s="371"/>
    </row>
    <row r="182" spans="7:7">
      <c r="G182" s="371"/>
    </row>
    <row r="183" spans="7:7">
      <c r="G183" s="371"/>
    </row>
    <row r="184" spans="7:7">
      <c r="G184" s="371"/>
    </row>
    <row r="185" spans="7:7">
      <c r="G185" s="371"/>
    </row>
    <row r="186" spans="7:7">
      <c r="G186" s="371"/>
    </row>
    <row r="187" spans="7:7">
      <c r="G187" s="371"/>
    </row>
    <row r="188" spans="7:7">
      <c r="G188" s="371"/>
    </row>
    <row r="189" spans="7:7">
      <c r="G189" s="371"/>
    </row>
    <row r="190" spans="7:7">
      <c r="G190" s="371"/>
    </row>
    <row r="191" spans="7:7">
      <c r="G191" s="371"/>
    </row>
    <row r="192" spans="7:7">
      <c r="G192" s="371"/>
    </row>
    <row r="193" spans="7:7">
      <c r="G193" s="371"/>
    </row>
    <row r="194" spans="7:7">
      <c r="G194" s="371"/>
    </row>
    <row r="195" spans="7:7">
      <c r="G195" s="371"/>
    </row>
    <row r="196" spans="7:7">
      <c r="G196" s="371"/>
    </row>
    <row r="197" spans="7:7">
      <c r="G197" s="371"/>
    </row>
    <row r="198" spans="7:7">
      <c r="G198" s="371"/>
    </row>
    <row r="199" spans="7:7">
      <c r="G199" s="371"/>
    </row>
    <row r="200" spans="7:7">
      <c r="G200" s="371"/>
    </row>
    <row r="201" spans="7:7">
      <c r="G201" s="371"/>
    </row>
    <row r="202" spans="7:7">
      <c r="G202" s="371"/>
    </row>
    <row r="203" spans="7:7">
      <c r="G203" s="371"/>
    </row>
    <row r="204" spans="7:7">
      <c r="G204" s="371"/>
    </row>
    <row r="205" spans="7:7">
      <c r="G205" s="371"/>
    </row>
    <row r="206" spans="7:7">
      <c r="G206" s="371"/>
    </row>
    <row r="207" spans="7:7">
      <c r="G207" s="371"/>
    </row>
    <row r="208" spans="7:7">
      <c r="G208" s="371"/>
    </row>
    <row r="209" spans="7:7">
      <c r="G209" s="371"/>
    </row>
    <row r="210" spans="7:7">
      <c r="G210" s="371"/>
    </row>
    <row r="211" spans="7:7">
      <c r="G211" s="371"/>
    </row>
    <row r="212" spans="7:7">
      <c r="G212" s="371"/>
    </row>
    <row r="213" spans="7:7">
      <c r="G213" s="371"/>
    </row>
    <row r="214" spans="7:7">
      <c r="G214" s="371"/>
    </row>
    <row r="215" spans="7:7">
      <c r="G215" s="371"/>
    </row>
    <row r="216" spans="7:7">
      <c r="G216" s="371"/>
    </row>
    <row r="217" spans="7:7">
      <c r="G217" s="371"/>
    </row>
    <row r="218" spans="7:7">
      <c r="G218" s="371"/>
    </row>
    <row r="219" spans="7:7">
      <c r="G219" s="371"/>
    </row>
    <row r="220" spans="7:7">
      <c r="G220" s="371"/>
    </row>
    <row r="221" spans="7:7">
      <c r="G221" s="371"/>
    </row>
    <row r="222" spans="7:7">
      <c r="G222" s="371"/>
    </row>
    <row r="223" spans="7:7">
      <c r="G223" s="371"/>
    </row>
    <row r="224" spans="7:7">
      <c r="G224" s="371"/>
    </row>
    <row r="225" spans="7:7">
      <c r="G225" s="371"/>
    </row>
    <row r="226" spans="7:7">
      <c r="G226" s="371"/>
    </row>
    <row r="227" spans="7:7">
      <c r="G227" s="371"/>
    </row>
    <row r="228" spans="7:7">
      <c r="G228" s="371"/>
    </row>
    <row r="229" spans="7:7">
      <c r="G229" s="371"/>
    </row>
    <row r="230" spans="7:7">
      <c r="G230" s="371"/>
    </row>
    <row r="231" spans="7:7">
      <c r="G231" s="371"/>
    </row>
    <row r="232" spans="7:7">
      <c r="G232" s="371"/>
    </row>
    <row r="233" spans="7:7">
      <c r="G233" s="371"/>
    </row>
    <row r="234" spans="7:7">
      <c r="G234" s="371"/>
    </row>
    <row r="235" spans="7:7">
      <c r="G235" s="371"/>
    </row>
    <row r="236" spans="7:7">
      <c r="G236" s="371"/>
    </row>
    <row r="237" spans="7:7">
      <c r="G237" s="371"/>
    </row>
    <row r="238" spans="7:7">
      <c r="G238" s="371"/>
    </row>
    <row r="239" spans="7:7">
      <c r="G239" s="371"/>
    </row>
    <row r="240" spans="7:7">
      <c r="G240" s="371"/>
    </row>
    <row r="241" spans="7:7">
      <c r="G241" s="371"/>
    </row>
    <row r="242" spans="7:7">
      <c r="G242" s="371"/>
    </row>
    <row r="243" spans="7:7">
      <c r="G243" s="371"/>
    </row>
    <row r="244" spans="7:7">
      <c r="G244" s="371"/>
    </row>
    <row r="245" spans="7:7">
      <c r="G245" s="371"/>
    </row>
    <row r="246" spans="7:7">
      <c r="G246" s="371"/>
    </row>
    <row r="247" spans="7:7">
      <c r="G247" s="371"/>
    </row>
    <row r="248" spans="7:7">
      <c r="G248" s="371"/>
    </row>
    <row r="249" spans="7:7">
      <c r="G249" s="371"/>
    </row>
    <row r="250" spans="7:7">
      <c r="G250" s="371"/>
    </row>
    <row r="251" spans="7:7">
      <c r="G251" s="371"/>
    </row>
    <row r="252" spans="7:7">
      <c r="G252" s="371"/>
    </row>
    <row r="253" spans="7:7">
      <c r="G253" s="371"/>
    </row>
    <row r="254" spans="7:7">
      <c r="G254" s="371"/>
    </row>
    <row r="255" spans="7:7">
      <c r="G255" s="371"/>
    </row>
    <row r="256" spans="7:7">
      <c r="G256" s="371"/>
    </row>
    <row r="257" spans="7:7">
      <c r="G257" s="371"/>
    </row>
    <row r="258" spans="7:7">
      <c r="G258" s="371"/>
    </row>
    <row r="259" spans="7:7">
      <c r="G259" s="371"/>
    </row>
    <row r="260" spans="7:7">
      <c r="G260" s="371"/>
    </row>
    <row r="261" spans="7:7">
      <c r="G261" s="371"/>
    </row>
    <row r="262" spans="7:7">
      <c r="G262" s="371"/>
    </row>
    <row r="263" spans="7:7">
      <c r="G263" s="371"/>
    </row>
    <row r="264" spans="7:7">
      <c r="G264" s="371"/>
    </row>
    <row r="265" spans="7:7">
      <c r="G265" s="371"/>
    </row>
    <row r="266" spans="7:7">
      <c r="G266" s="371"/>
    </row>
    <row r="267" spans="7:7">
      <c r="G267" s="371"/>
    </row>
    <row r="268" spans="7:7">
      <c r="G268" s="371"/>
    </row>
    <row r="269" spans="7:7">
      <c r="G269" s="371"/>
    </row>
    <row r="270" spans="7:7">
      <c r="G270" s="371"/>
    </row>
    <row r="271" spans="7:7">
      <c r="G271" s="371"/>
    </row>
    <row r="272" spans="7:7">
      <c r="G272" s="371"/>
    </row>
    <row r="273" spans="7:7">
      <c r="G273" s="371"/>
    </row>
    <row r="274" spans="7:7">
      <c r="G274" s="371"/>
    </row>
    <row r="275" spans="7:7">
      <c r="G275" s="371"/>
    </row>
    <row r="276" spans="7:7">
      <c r="G276" s="371"/>
    </row>
    <row r="277" spans="7:7">
      <c r="G277" s="371"/>
    </row>
    <row r="278" spans="7:7">
      <c r="G278" s="371"/>
    </row>
    <row r="279" spans="7:7">
      <c r="G279" s="371"/>
    </row>
    <row r="280" spans="7:7">
      <c r="G280" s="371"/>
    </row>
    <row r="281" spans="7:7">
      <c r="G281" s="371"/>
    </row>
    <row r="282" spans="7:7">
      <c r="G282" s="371"/>
    </row>
    <row r="283" spans="7:7">
      <c r="G283" s="371"/>
    </row>
    <row r="284" spans="7:7">
      <c r="G284" s="371"/>
    </row>
    <row r="285" spans="7:7">
      <c r="G285" s="371"/>
    </row>
    <row r="286" spans="7:7">
      <c r="G286" s="371"/>
    </row>
    <row r="287" spans="7:7">
      <c r="G287" s="371"/>
    </row>
    <row r="288" spans="7:7">
      <c r="G288" s="371"/>
    </row>
    <row r="289" spans="7:7">
      <c r="G289" s="371"/>
    </row>
    <row r="290" spans="7:7">
      <c r="G290" s="371"/>
    </row>
    <row r="291" spans="7:7">
      <c r="G291" s="371"/>
    </row>
    <row r="292" spans="7:7">
      <c r="G292" s="371"/>
    </row>
    <row r="293" spans="7:7">
      <c r="G293" s="371"/>
    </row>
    <row r="294" spans="7:7">
      <c r="G294" s="371"/>
    </row>
    <row r="295" spans="7:7">
      <c r="G295" s="371"/>
    </row>
    <row r="296" spans="7:7">
      <c r="G296" s="371"/>
    </row>
    <row r="297" spans="7:7">
      <c r="G297" s="371"/>
    </row>
    <row r="298" spans="7:7">
      <c r="G298" s="371"/>
    </row>
    <row r="299" spans="7:7">
      <c r="G299" s="371"/>
    </row>
    <row r="300" spans="7:7">
      <c r="G300" s="371"/>
    </row>
    <row r="301" spans="7:7">
      <c r="G301" s="371"/>
    </row>
    <row r="302" spans="7:7">
      <c r="G302" s="371"/>
    </row>
    <row r="303" spans="7:7">
      <c r="G303" s="371"/>
    </row>
    <row r="304" spans="7:7">
      <c r="G304" s="371"/>
    </row>
    <row r="305" spans="7:7">
      <c r="G305" s="371"/>
    </row>
    <row r="306" spans="7:7">
      <c r="G306" s="371"/>
    </row>
    <row r="307" spans="7:7">
      <c r="G307" s="371"/>
    </row>
    <row r="308" spans="7:7">
      <c r="G308" s="371"/>
    </row>
    <row r="309" spans="7:7">
      <c r="G309" s="371"/>
    </row>
    <row r="310" spans="7:7">
      <c r="G310" s="371"/>
    </row>
    <row r="311" spans="7:7">
      <c r="G311" s="371"/>
    </row>
    <row r="312" spans="7:7">
      <c r="G312" s="371"/>
    </row>
    <row r="313" spans="7:7">
      <c r="G313" s="371"/>
    </row>
    <row r="314" spans="7:7">
      <c r="G314" s="371"/>
    </row>
    <row r="315" spans="7:7">
      <c r="G315" s="371"/>
    </row>
    <row r="316" spans="7:7">
      <c r="G316" s="371"/>
    </row>
    <row r="317" spans="7:7">
      <c r="G317" s="371"/>
    </row>
    <row r="318" spans="7:7">
      <c r="G318" s="371"/>
    </row>
    <row r="319" spans="7:7">
      <c r="G319" s="371"/>
    </row>
    <row r="320" spans="7:7">
      <c r="G320" s="371"/>
    </row>
    <row r="321" spans="7:7">
      <c r="G321" s="371"/>
    </row>
    <row r="322" spans="7:7">
      <c r="G322" s="371"/>
    </row>
    <row r="323" spans="7:7">
      <c r="G323" s="371"/>
    </row>
    <row r="324" spans="7:7">
      <c r="G324" s="371"/>
    </row>
    <row r="325" spans="7:7">
      <c r="G325" s="371"/>
    </row>
    <row r="326" spans="7:7">
      <c r="G326" s="371"/>
    </row>
    <row r="327" spans="7:7">
      <c r="G327" s="371"/>
    </row>
    <row r="328" spans="7:7">
      <c r="G328" s="371"/>
    </row>
    <row r="329" spans="7:7">
      <c r="G329" s="371"/>
    </row>
    <row r="330" spans="7:7">
      <c r="G330" s="371"/>
    </row>
    <row r="331" spans="7:7">
      <c r="G331" s="371"/>
    </row>
    <row r="332" spans="7:7">
      <c r="G332" s="371"/>
    </row>
    <row r="333" spans="7:7">
      <c r="G333" s="371"/>
    </row>
    <row r="334" spans="7:7">
      <c r="G334" s="371"/>
    </row>
    <row r="335" spans="7:7">
      <c r="G335" s="371"/>
    </row>
    <row r="336" spans="7:7">
      <c r="G336" s="371"/>
    </row>
    <row r="337" spans="7:7">
      <c r="G337" s="371"/>
    </row>
    <row r="338" spans="7:7">
      <c r="G338" s="371"/>
    </row>
    <row r="339" spans="7:7">
      <c r="G339" s="371"/>
    </row>
    <row r="340" spans="7:7">
      <c r="G340" s="371"/>
    </row>
    <row r="341" spans="7:7">
      <c r="G341" s="371"/>
    </row>
    <row r="342" spans="7:7">
      <c r="G342" s="371"/>
    </row>
    <row r="343" spans="7:7">
      <c r="G343" s="371"/>
    </row>
    <row r="344" spans="7:7">
      <c r="G344" s="371"/>
    </row>
    <row r="345" spans="7:7">
      <c r="G345" s="371"/>
    </row>
    <row r="346" spans="7:7">
      <c r="G346" s="371"/>
    </row>
    <row r="347" spans="7:7">
      <c r="G347" s="371"/>
    </row>
    <row r="348" spans="7:7">
      <c r="G348" s="371"/>
    </row>
    <row r="349" spans="7:7">
      <c r="G349" s="371"/>
    </row>
    <row r="350" spans="7:7">
      <c r="G350" s="371"/>
    </row>
    <row r="351" spans="7:7">
      <c r="G351" s="371"/>
    </row>
    <row r="352" spans="7:7">
      <c r="G352" s="371"/>
    </row>
    <row r="353" spans="7:7">
      <c r="G353" s="371"/>
    </row>
    <row r="354" spans="7:7">
      <c r="G354" s="371"/>
    </row>
    <row r="355" spans="7:7">
      <c r="G355" s="371"/>
    </row>
    <row r="356" spans="7:7">
      <c r="G356" s="371"/>
    </row>
    <row r="357" spans="7:7">
      <c r="G357" s="371"/>
    </row>
    <row r="358" spans="7:7">
      <c r="G358" s="371"/>
    </row>
    <row r="359" spans="7:7">
      <c r="G359" s="371"/>
    </row>
    <row r="360" spans="7:7">
      <c r="G360" s="371"/>
    </row>
    <row r="361" spans="7:7">
      <c r="G361" s="371"/>
    </row>
    <row r="362" spans="7:7">
      <c r="G362" s="371"/>
    </row>
    <row r="363" spans="7:7">
      <c r="G363" s="371"/>
    </row>
    <row r="364" spans="7:7">
      <c r="G364" s="371"/>
    </row>
    <row r="365" spans="7:7">
      <c r="G365" s="371"/>
    </row>
    <row r="366" spans="7:7">
      <c r="G366" s="371"/>
    </row>
    <row r="367" spans="7:7">
      <c r="G367" s="371"/>
    </row>
    <row r="368" spans="7:7">
      <c r="G368" s="371"/>
    </row>
    <row r="369" spans="7:7">
      <c r="G369" s="371"/>
    </row>
    <row r="370" spans="7:7">
      <c r="G370" s="371"/>
    </row>
    <row r="371" spans="7:7">
      <c r="G371" s="371"/>
    </row>
    <row r="372" spans="7:7">
      <c r="G372" s="371"/>
    </row>
    <row r="373" spans="7:7">
      <c r="G373" s="371"/>
    </row>
    <row r="374" spans="7:7">
      <c r="G374" s="371"/>
    </row>
    <row r="375" spans="7:7">
      <c r="G375" s="371"/>
    </row>
    <row r="376" spans="7:7">
      <c r="G376" s="371"/>
    </row>
    <row r="377" spans="7:7">
      <c r="G377" s="371"/>
    </row>
    <row r="378" spans="7:7">
      <c r="G378" s="371"/>
    </row>
    <row r="379" spans="7:7">
      <c r="G379" s="371"/>
    </row>
    <row r="380" spans="7:7">
      <c r="G380" s="371"/>
    </row>
    <row r="381" spans="7:7">
      <c r="G381" s="371"/>
    </row>
    <row r="382" spans="7:7">
      <c r="G382" s="371"/>
    </row>
    <row r="383" spans="7:7">
      <c r="G383" s="371"/>
    </row>
    <row r="384" spans="7:7">
      <c r="G384" s="371"/>
    </row>
    <row r="385" spans="7:7">
      <c r="G385" s="371"/>
    </row>
    <row r="386" spans="7:7">
      <c r="G386" s="371"/>
    </row>
    <row r="387" spans="7:7">
      <c r="G387" s="371"/>
    </row>
    <row r="388" spans="7:7">
      <c r="G388" s="371"/>
    </row>
    <row r="389" spans="7:7">
      <c r="G389" s="371"/>
    </row>
    <row r="390" spans="7:7">
      <c r="G390" s="371"/>
    </row>
    <row r="391" spans="7:7">
      <c r="G391" s="371"/>
    </row>
    <row r="392" spans="7:7">
      <c r="G392" s="371"/>
    </row>
    <row r="393" spans="7:7">
      <c r="G393" s="371"/>
    </row>
    <row r="394" spans="7:7">
      <c r="G394" s="371"/>
    </row>
    <row r="395" spans="7:7">
      <c r="G395" s="371"/>
    </row>
    <row r="396" spans="7:7">
      <c r="G396" s="371"/>
    </row>
    <row r="397" spans="7:7">
      <c r="G397" s="371"/>
    </row>
    <row r="398" spans="7:7">
      <c r="G398" s="371"/>
    </row>
    <row r="399" spans="7:7">
      <c r="G399" s="371"/>
    </row>
    <row r="400" spans="7:7">
      <c r="G400" s="371"/>
    </row>
    <row r="401" spans="7:7">
      <c r="G401" s="371"/>
    </row>
    <row r="402" spans="7:7">
      <c r="G402" s="371"/>
    </row>
    <row r="403" spans="7:7">
      <c r="G403" s="371"/>
    </row>
    <row r="404" spans="7:7">
      <c r="G404" s="371"/>
    </row>
    <row r="405" spans="7:7">
      <c r="G405" s="371"/>
    </row>
    <row r="406" spans="7:7">
      <c r="G406" s="371"/>
    </row>
    <row r="407" spans="7:7">
      <c r="G407" s="371"/>
    </row>
    <row r="408" spans="7:7">
      <c r="G408" s="371"/>
    </row>
    <row r="409" spans="7:7">
      <c r="G409" s="371"/>
    </row>
    <row r="410" spans="7:7">
      <c r="G410" s="371"/>
    </row>
    <row r="411" spans="7:7">
      <c r="G411" s="371"/>
    </row>
    <row r="412" spans="7:7">
      <c r="G412" s="371"/>
    </row>
    <row r="413" spans="7:7">
      <c r="G413" s="371"/>
    </row>
    <row r="414" spans="7:7">
      <c r="G414" s="371"/>
    </row>
    <row r="415" spans="7:7">
      <c r="G415" s="371"/>
    </row>
    <row r="416" spans="7:7">
      <c r="G416" s="371"/>
    </row>
    <row r="417" spans="7:7">
      <c r="G417" s="371"/>
    </row>
    <row r="418" spans="7:7">
      <c r="G418" s="371"/>
    </row>
    <row r="419" spans="7:7">
      <c r="G419" s="371"/>
    </row>
    <row r="420" spans="7:7">
      <c r="G420" s="371"/>
    </row>
    <row r="421" spans="7:7">
      <c r="G421" s="371"/>
    </row>
    <row r="422" spans="7:7">
      <c r="G422" s="371"/>
    </row>
    <row r="423" spans="7:7">
      <c r="G423" s="371"/>
    </row>
    <row r="424" spans="7:7">
      <c r="G424" s="371"/>
    </row>
    <row r="425" spans="7:7">
      <c r="G425" s="371"/>
    </row>
    <row r="426" spans="7:7">
      <c r="G426" s="371"/>
    </row>
    <row r="427" spans="7:7">
      <c r="G427" s="371"/>
    </row>
    <row r="428" spans="7:7">
      <c r="G428" s="371"/>
    </row>
    <row r="429" spans="7:7">
      <c r="G429" s="371"/>
    </row>
    <row r="430" spans="7:7">
      <c r="G430" s="371"/>
    </row>
    <row r="431" spans="7:7">
      <c r="G431" s="371"/>
    </row>
    <row r="432" spans="7:7">
      <c r="G432" s="371"/>
    </row>
    <row r="433" spans="7:7">
      <c r="G433" s="371"/>
    </row>
    <row r="434" spans="7:7">
      <c r="G434" s="371"/>
    </row>
    <row r="435" spans="7:7">
      <c r="G435" s="371"/>
    </row>
    <row r="436" spans="7:7">
      <c r="G436" s="371"/>
    </row>
    <row r="437" spans="7:7">
      <c r="G437" s="371"/>
    </row>
    <row r="438" spans="7:7">
      <c r="G438" s="371"/>
    </row>
    <row r="439" spans="7:7">
      <c r="G439" s="371"/>
    </row>
    <row r="440" spans="7:7">
      <c r="G440" s="371"/>
    </row>
    <row r="441" spans="7:7">
      <c r="G441" s="371"/>
    </row>
    <row r="442" spans="7:7">
      <c r="G442" s="371"/>
    </row>
    <row r="443" spans="7:7">
      <c r="G443" s="371"/>
    </row>
    <row r="444" spans="7:7">
      <c r="G444" s="371"/>
    </row>
    <row r="445" spans="7:7">
      <c r="G445" s="371"/>
    </row>
    <row r="446" spans="7:7">
      <c r="G446" s="371"/>
    </row>
    <row r="447" spans="7:7">
      <c r="G447" s="371"/>
    </row>
    <row r="448" spans="7:7">
      <c r="G448" s="371"/>
    </row>
    <row r="449" spans="7:7">
      <c r="G449" s="371"/>
    </row>
    <row r="450" spans="7:7">
      <c r="G450" s="371"/>
    </row>
    <row r="451" spans="7:7">
      <c r="G451" s="371"/>
    </row>
    <row r="452" spans="7:7">
      <c r="G452" s="371"/>
    </row>
    <row r="453" spans="7:7">
      <c r="G453" s="371"/>
    </row>
    <row r="454" spans="7:7">
      <c r="G454" s="371"/>
    </row>
    <row r="455" spans="7:7">
      <c r="G455" s="371"/>
    </row>
    <row r="456" spans="7:7">
      <c r="G456" s="371"/>
    </row>
    <row r="457" spans="7:7">
      <c r="G457" s="371"/>
    </row>
    <row r="458" spans="7:7">
      <c r="G458" s="371"/>
    </row>
    <row r="459" spans="7:7">
      <c r="G459" s="371"/>
    </row>
    <row r="460" spans="7:7">
      <c r="G460" s="371"/>
    </row>
    <row r="461" spans="7:7">
      <c r="G461" s="371"/>
    </row>
    <row r="462" spans="7:7">
      <c r="G462" s="371"/>
    </row>
    <row r="463" spans="7:7">
      <c r="G463" s="371"/>
    </row>
    <row r="464" spans="7:7">
      <c r="G464" s="371"/>
    </row>
    <row r="465" spans="7:7">
      <c r="G465" s="371"/>
    </row>
    <row r="466" spans="7:7">
      <c r="G466" s="371"/>
    </row>
    <row r="467" spans="7:7">
      <c r="G467" s="371"/>
    </row>
    <row r="468" spans="7:7">
      <c r="G468" s="371"/>
    </row>
    <row r="469" spans="7:7">
      <c r="G469" s="371"/>
    </row>
    <row r="470" spans="7:7">
      <c r="G470" s="371"/>
    </row>
    <row r="471" spans="7:7">
      <c r="G471" s="371"/>
    </row>
    <row r="472" spans="7:7">
      <c r="G472" s="371"/>
    </row>
    <row r="473" spans="7:7">
      <c r="G473" s="371"/>
    </row>
    <row r="474" spans="7:7">
      <c r="G474" s="371"/>
    </row>
    <row r="475" spans="7:7">
      <c r="G475" s="371"/>
    </row>
    <row r="476" spans="7:7">
      <c r="G476" s="371"/>
    </row>
    <row r="477" spans="7:7">
      <c r="G477" s="371"/>
    </row>
    <row r="478" spans="7:7">
      <c r="G478" s="371"/>
    </row>
    <row r="479" spans="7:7">
      <c r="G479" s="371"/>
    </row>
    <row r="480" spans="7:7">
      <c r="G480" s="371"/>
    </row>
    <row r="481" spans="7:7">
      <c r="G481" s="371"/>
    </row>
    <row r="482" spans="7:7">
      <c r="G482" s="371"/>
    </row>
    <row r="483" spans="7:7">
      <c r="G483" s="371"/>
    </row>
    <row r="484" spans="7:7">
      <c r="G484" s="371"/>
    </row>
    <row r="485" spans="7:7">
      <c r="G485" s="371"/>
    </row>
    <row r="486" spans="7:7">
      <c r="G486" s="371"/>
    </row>
    <row r="487" spans="7:7">
      <c r="G487" s="371"/>
    </row>
    <row r="488" spans="7:7">
      <c r="G488" s="371"/>
    </row>
    <row r="489" spans="7:7">
      <c r="G489" s="371"/>
    </row>
    <row r="490" spans="7:7">
      <c r="G490" s="371"/>
    </row>
    <row r="491" spans="7:7">
      <c r="G491" s="371"/>
    </row>
    <row r="492" spans="7:7">
      <c r="G492" s="371"/>
    </row>
    <row r="493" spans="7:7">
      <c r="G493" s="371"/>
    </row>
    <row r="494" spans="7:7">
      <c r="G494" s="371"/>
    </row>
    <row r="495" spans="7:7">
      <c r="G495" s="371"/>
    </row>
    <row r="496" spans="7:7">
      <c r="G496" s="371"/>
    </row>
    <row r="497" spans="7:7">
      <c r="G497" s="371"/>
    </row>
    <row r="498" spans="7:7">
      <c r="G498" s="371"/>
    </row>
    <row r="499" spans="7:7">
      <c r="G499" s="371"/>
    </row>
    <row r="500" spans="7:7">
      <c r="G500" s="371"/>
    </row>
    <row r="501" spans="7:7">
      <c r="G501" s="371"/>
    </row>
    <row r="502" spans="7:7">
      <c r="G502" s="371"/>
    </row>
    <row r="503" spans="7:7">
      <c r="G503" s="371"/>
    </row>
    <row r="504" spans="7:7">
      <c r="G504" s="371"/>
    </row>
    <row r="505" spans="7:7">
      <c r="G505" s="371"/>
    </row>
    <row r="506" spans="7:7">
      <c r="G506" s="371"/>
    </row>
    <row r="507" spans="7:7">
      <c r="G507" s="371"/>
    </row>
    <row r="508" spans="7:7">
      <c r="G508" s="371"/>
    </row>
    <row r="509" spans="7:7">
      <c r="G509" s="371"/>
    </row>
    <row r="510" spans="7:7">
      <c r="G510" s="371"/>
    </row>
    <row r="511" spans="7:7">
      <c r="G511" s="371"/>
    </row>
    <row r="512" spans="7:7">
      <c r="G512" s="371"/>
    </row>
    <row r="513" spans="7:7">
      <c r="G513" s="371"/>
    </row>
    <row r="514" spans="7:7">
      <c r="G514" s="371"/>
    </row>
    <row r="515" spans="7:7">
      <c r="G515" s="371"/>
    </row>
    <row r="516" spans="7:7">
      <c r="G516" s="371"/>
    </row>
    <row r="517" spans="7:7">
      <c r="G517" s="371"/>
    </row>
    <row r="518" spans="7:7">
      <c r="G518" s="371"/>
    </row>
    <row r="519" spans="7:7">
      <c r="G519" s="371"/>
    </row>
    <row r="520" spans="7:7">
      <c r="G520" s="371"/>
    </row>
    <row r="521" spans="7:7">
      <c r="G521" s="371"/>
    </row>
    <row r="522" spans="7:7">
      <c r="G522" s="371"/>
    </row>
    <row r="523" spans="7:7">
      <c r="G523" s="371"/>
    </row>
    <row r="524" spans="7:7">
      <c r="G524" s="371"/>
    </row>
    <row r="525" spans="7:7">
      <c r="G525" s="371"/>
    </row>
    <row r="526" spans="7:7">
      <c r="G526" s="371"/>
    </row>
    <row r="527" spans="7:7">
      <c r="G527" s="371"/>
    </row>
    <row r="528" spans="7:7">
      <c r="G528" s="371"/>
    </row>
    <row r="529" spans="7:7">
      <c r="G529" s="371"/>
    </row>
    <row r="530" spans="7:7">
      <c r="G530" s="371"/>
    </row>
    <row r="531" spans="7:7">
      <c r="G531" s="371"/>
    </row>
    <row r="532" spans="7:7">
      <c r="G532" s="371"/>
    </row>
    <row r="533" spans="7:7">
      <c r="G533" s="371"/>
    </row>
    <row r="534" spans="7:7">
      <c r="G534" s="371"/>
    </row>
    <row r="535" spans="7:7">
      <c r="G535" s="371"/>
    </row>
    <row r="536" spans="7:7">
      <c r="G536" s="371"/>
    </row>
    <row r="537" spans="7:7">
      <c r="G537" s="371"/>
    </row>
    <row r="538" spans="7:7">
      <c r="G538" s="371"/>
    </row>
    <row r="539" spans="7:7">
      <c r="G539" s="371"/>
    </row>
    <row r="540" spans="7:7">
      <c r="G540" s="371"/>
    </row>
    <row r="541" spans="7:7">
      <c r="G541" s="371"/>
    </row>
    <row r="542" spans="7:7">
      <c r="G542" s="371"/>
    </row>
    <row r="543" spans="7:7">
      <c r="G543" s="371"/>
    </row>
    <row r="544" spans="7:7">
      <c r="G544" s="371"/>
    </row>
    <row r="545" spans="7:7">
      <c r="G545" s="371"/>
    </row>
    <row r="546" spans="7:7">
      <c r="G546" s="371"/>
    </row>
    <row r="547" spans="7:7">
      <c r="G547" s="371"/>
    </row>
    <row r="548" spans="7:7">
      <c r="G548" s="371"/>
    </row>
    <row r="549" spans="7:7">
      <c r="G549" s="371"/>
    </row>
    <row r="550" spans="7:7">
      <c r="G550" s="371"/>
    </row>
    <row r="551" spans="7:7">
      <c r="G551" s="371"/>
    </row>
    <row r="552" spans="7:7">
      <c r="G552" s="371"/>
    </row>
    <row r="553" spans="7:7">
      <c r="G553" s="371"/>
    </row>
    <row r="554" spans="7:7">
      <c r="G554" s="371"/>
    </row>
    <row r="555" spans="7:7">
      <c r="G555" s="371"/>
    </row>
    <row r="556" spans="7:7">
      <c r="G556" s="371"/>
    </row>
    <row r="557" spans="7:7">
      <c r="G557" s="371"/>
    </row>
    <row r="558" spans="7:7">
      <c r="G558" s="371"/>
    </row>
    <row r="559" spans="7:7">
      <c r="G559" s="371"/>
    </row>
    <row r="560" spans="7:7">
      <c r="G560" s="371"/>
    </row>
    <row r="561" spans="7:7">
      <c r="G561" s="371"/>
    </row>
    <row r="562" spans="7:7">
      <c r="G562" s="371"/>
    </row>
    <row r="563" spans="7:7">
      <c r="G563" s="371"/>
    </row>
    <row r="564" spans="7:7">
      <c r="G564" s="371"/>
    </row>
    <row r="565" spans="7:7">
      <c r="G565" s="371"/>
    </row>
    <row r="566" spans="7:7">
      <c r="G566" s="371"/>
    </row>
    <row r="567" spans="7:7">
      <c r="G567" s="371"/>
    </row>
    <row r="568" spans="7:7">
      <c r="G568" s="371"/>
    </row>
    <row r="569" spans="7:7">
      <c r="G569" s="371"/>
    </row>
    <row r="570" spans="7:7">
      <c r="G570" s="371"/>
    </row>
    <row r="571" spans="7:7">
      <c r="G571" s="371"/>
    </row>
    <row r="572" spans="7:7">
      <c r="G572" s="371"/>
    </row>
    <row r="573" spans="7:7">
      <c r="G573" s="371"/>
    </row>
    <row r="574" spans="7:7">
      <c r="G574" s="371"/>
    </row>
    <row r="575" spans="7:7">
      <c r="G575" s="371"/>
    </row>
    <row r="576" spans="7:7">
      <c r="G576" s="371"/>
    </row>
    <row r="577" spans="7:7">
      <c r="G577" s="371"/>
    </row>
    <row r="578" spans="7:7">
      <c r="G578" s="371"/>
    </row>
    <row r="579" spans="7:7">
      <c r="G579" s="371"/>
    </row>
    <row r="580" spans="7:7">
      <c r="G580" s="371"/>
    </row>
    <row r="581" spans="7:7">
      <c r="G581" s="371"/>
    </row>
    <row r="582" spans="7:7">
      <c r="G582" s="371"/>
    </row>
    <row r="583" spans="7:7">
      <c r="G583" s="371"/>
    </row>
    <row r="584" spans="7:7">
      <c r="G584" s="371"/>
    </row>
    <row r="585" spans="7:7">
      <c r="G585" s="371"/>
    </row>
    <row r="586" spans="7:7">
      <c r="G586" s="371"/>
    </row>
    <row r="587" spans="7:7">
      <c r="G587" s="371"/>
    </row>
    <row r="588" spans="7:7">
      <c r="G588" s="371"/>
    </row>
    <row r="589" spans="7:7">
      <c r="G589" s="371"/>
    </row>
    <row r="590" spans="7:7">
      <c r="G590" s="371"/>
    </row>
    <row r="591" spans="7:7">
      <c r="G591" s="371"/>
    </row>
    <row r="592" spans="7:7">
      <c r="G592" s="371"/>
    </row>
    <row r="593" spans="7:7">
      <c r="G593" s="371"/>
    </row>
    <row r="594" spans="7:7">
      <c r="G594" s="371"/>
    </row>
    <row r="595" spans="7:7">
      <c r="G595" s="371"/>
    </row>
    <row r="596" spans="7:7">
      <c r="G596" s="371"/>
    </row>
    <row r="597" spans="7:7">
      <c r="G597" s="371"/>
    </row>
    <row r="598" spans="7:7">
      <c r="G598" s="371"/>
    </row>
    <row r="599" spans="7:7">
      <c r="G599" s="371"/>
    </row>
    <row r="600" spans="7:7">
      <c r="G600" s="371"/>
    </row>
    <row r="601" spans="7:7">
      <c r="G601" s="371"/>
    </row>
    <row r="602" spans="7:7">
      <c r="G602" s="371"/>
    </row>
    <row r="603" spans="7:7">
      <c r="G603" s="371"/>
    </row>
    <row r="604" spans="7:7">
      <c r="G604" s="371"/>
    </row>
    <row r="605" spans="7:7">
      <c r="G605" s="371"/>
    </row>
    <row r="606" spans="7:7">
      <c r="G606" s="371"/>
    </row>
    <row r="607" spans="7:7">
      <c r="G607" s="371"/>
    </row>
    <row r="608" spans="7:7">
      <c r="G608" s="371"/>
    </row>
    <row r="609" spans="7:7">
      <c r="G609" s="371"/>
    </row>
    <row r="610" spans="7:7">
      <c r="G610" s="371"/>
    </row>
    <row r="611" spans="7:7">
      <c r="G611" s="371"/>
    </row>
    <row r="612" spans="7:7">
      <c r="G612" s="371"/>
    </row>
    <row r="613" spans="7:7">
      <c r="G613" s="371"/>
    </row>
    <row r="614" spans="7:7">
      <c r="G614" s="371"/>
    </row>
    <row r="615" spans="7:7">
      <c r="G615" s="371"/>
    </row>
    <row r="616" spans="7:7">
      <c r="G616" s="371"/>
    </row>
    <row r="617" spans="7:7">
      <c r="G617" s="371"/>
    </row>
    <row r="618" spans="7:7">
      <c r="G618" s="371"/>
    </row>
    <row r="619" spans="7:7">
      <c r="G619" s="371"/>
    </row>
    <row r="620" spans="7:7">
      <c r="G620" s="371"/>
    </row>
    <row r="621" spans="7:7">
      <c r="G621" s="371"/>
    </row>
    <row r="622" spans="7:7">
      <c r="G622" s="371"/>
    </row>
    <row r="623" spans="7:7">
      <c r="G623" s="371"/>
    </row>
    <row r="624" spans="7:7">
      <c r="G624" s="371"/>
    </row>
    <row r="625" spans="7:7">
      <c r="G625" s="371"/>
    </row>
    <row r="626" spans="7:7">
      <c r="G626" s="371"/>
    </row>
    <row r="627" spans="7:7">
      <c r="G627" s="371"/>
    </row>
    <row r="628" spans="7:7">
      <c r="G628" s="371"/>
    </row>
    <row r="629" spans="7:7">
      <c r="G629" s="371"/>
    </row>
    <row r="630" spans="7:7">
      <c r="G630" s="371"/>
    </row>
    <row r="631" spans="7:7">
      <c r="G631" s="371"/>
    </row>
    <row r="632" spans="7:7">
      <c r="G632" s="371"/>
    </row>
    <row r="633" spans="7:7">
      <c r="G633" s="371"/>
    </row>
    <row r="634" spans="7:7">
      <c r="G634" s="371"/>
    </row>
    <row r="635" spans="7:7">
      <c r="G635" s="371"/>
    </row>
    <row r="636" spans="7:7">
      <c r="G636" s="371"/>
    </row>
    <row r="637" spans="7:7">
      <c r="G637" s="371"/>
    </row>
    <row r="638" spans="7:7">
      <c r="G638" s="371"/>
    </row>
    <row r="639" spans="7:7">
      <c r="G639" s="371"/>
    </row>
    <row r="640" spans="7:7">
      <c r="G640" s="371"/>
    </row>
    <row r="641" spans="7:7">
      <c r="G641" s="371"/>
    </row>
    <row r="642" spans="7:7">
      <c r="G642" s="371"/>
    </row>
    <row r="643" spans="7:7">
      <c r="G643" s="371"/>
    </row>
    <row r="644" spans="7:7">
      <c r="G644" s="371"/>
    </row>
    <row r="645" spans="7:7">
      <c r="G645" s="371"/>
    </row>
    <row r="646" spans="7:7">
      <c r="G646" s="371"/>
    </row>
    <row r="647" spans="7:7">
      <c r="G647" s="371"/>
    </row>
    <row r="648" spans="7:7">
      <c r="G648" s="371"/>
    </row>
    <row r="649" spans="7:7">
      <c r="G649" s="371"/>
    </row>
    <row r="650" spans="7:7">
      <c r="G650" s="371"/>
    </row>
    <row r="651" spans="7:7">
      <c r="G651" s="371"/>
    </row>
    <row r="652" spans="7:7">
      <c r="G652" s="371"/>
    </row>
    <row r="653" spans="7:7">
      <c r="G653" s="371"/>
    </row>
    <row r="654" spans="7:7">
      <c r="G654" s="371"/>
    </row>
    <row r="655" spans="7:7">
      <c r="G655" s="371"/>
    </row>
    <row r="656" spans="7:7">
      <c r="G656" s="371"/>
    </row>
    <row r="657" spans="7:7">
      <c r="G657" s="371"/>
    </row>
    <row r="658" spans="7:7">
      <c r="G658" s="371"/>
    </row>
    <row r="659" spans="7:7">
      <c r="G659" s="371"/>
    </row>
    <row r="660" spans="7:7">
      <c r="G660" s="371"/>
    </row>
    <row r="661" spans="7:7">
      <c r="G661" s="371"/>
    </row>
    <row r="662" spans="7:7">
      <c r="G662" s="371"/>
    </row>
    <row r="663" spans="7:7">
      <c r="G663" s="371"/>
    </row>
    <row r="664" spans="7:7">
      <c r="G664" s="371"/>
    </row>
    <row r="665" spans="7:7">
      <c r="G665" s="371"/>
    </row>
    <row r="666" spans="7:7">
      <c r="G666" s="371"/>
    </row>
    <row r="667" spans="7:7">
      <c r="G667" s="371"/>
    </row>
    <row r="668" spans="7:7">
      <c r="G668" s="371"/>
    </row>
    <row r="669" spans="7:7">
      <c r="G669" s="371"/>
    </row>
    <row r="670" spans="7:7">
      <c r="G670" s="371"/>
    </row>
    <row r="671" spans="7:7">
      <c r="G671" s="371"/>
    </row>
    <row r="672" spans="7:7">
      <c r="G672" s="371"/>
    </row>
    <row r="673" spans="7:7">
      <c r="G673" s="371"/>
    </row>
    <row r="674" spans="7:7">
      <c r="G674" s="371"/>
    </row>
    <row r="675" spans="7:7">
      <c r="G675" s="371"/>
    </row>
    <row r="676" spans="7:7">
      <c r="G676" s="371"/>
    </row>
    <row r="677" spans="7:7">
      <c r="G677" s="371"/>
    </row>
    <row r="678" spans="7:7">
      <c r="G678" s="371"/>
    </row>
    <row r="679" spans="7:7">
      <c r="G679" s="371"/>
    </row>
    <row r="680" spans="7:7">
      <c r="G680" s="371"/>
    </row>
    <row r="681" spans="7:7">
      <c r="G681" s="371"/>
    </row>
    <row r="682" spans="7:7">
      <c r="G682" s="371"/>
    </row>
    <row r="683" spans="7:7">
      <c r="G683" s="371"/>
    </row>
    <row r="684" spans="7:7">
      <c r="G684" s="371"/>
    </row>
    <row r="685" spans="7:7">
      <c r="G685" s="371"/>
    </row>
    <row r="686" spans="7:7">
      <c r="G686" s="371"/>
    </row>
    <row r="687" spans="7:7">
      <c r="G687" s="371"/>
    </row>
    <row r="688" spans="7:7">
      <c r="G688" s="371"/>
    </row>
    <row r="689" spans="7:7">
      <c r="G689" s="371"/>
    </row>
    <row r="690" spans="7:7">
      <c r="G690" s="371"/>
    </row>
    <row r="691" spans="7:7">
      <c r="G691" s="371"/>
    </row>
    <row r="692" spans="7:7">
      <c r="G692" s="371"/>
    </row>
    <row r="693" spans="7:7">
      <c r="G693" s="371"/>
    </row>
    <row r="694" spans="7:7">
      <c r="G694" s="371"/>
    </row>
    <row r="695" spans="7:7">
      <c r="G695" s="371"/>
    </row>
    <row r="696" spans="7:7">
      <c r="G696" s="371"/>
    </row>
    <row r="697" spans="7:7">
      <c r="G697" s="371"/>
    </row>
    <row r="698" spans="7:7">
      <c r="G698" s="371"/>
    </row>
    <row r="699" spans="7:7">
      <c r="G699" s="371"/>
    </row>
    <row r="700" spans="7:7">
      <c r="G700" s="371"/>
    </row>
    <row r="701" spans="7:7">
      <c r="G701" s="371"/>
    </row>
    <row r="702" spans="7:7">
      <c r="G702" s="371"/>
    </row>
    <row r="703" spans="7:7">
      <c r="G703" s="371"/>
    </row>
    <row r="704" spans="7:7">
      <c r="G704" s="371"/>
    </row>
    <row r="705" spans="7:7">
      <c r="G705" s="371"/>
    </row>
    <row r="706" spans="7:7">
      <c r="G706" s="371"/>
    </row>
    <row r="707" spans="7:7">
      <c r="G707" s="371"/>
    </row>
    <row r="708" spans="7:7">
      <c r="G708" s="371"/>
    </row>
    <row r="709" spans="7:7">
      <c r="G709" s="371"/>
    </row>
    <row r="710" spans="7:7">
      <c r="G710" s="371"/>
    </row>
    <row r="711" spans="7:7">
      <c r="G711" s="371"/>
    </row>
    <row r="712" spans="7:7">
      <c r="G712" s="371"/>
    </row>
    <row r="713" spans="7:7">
      <c r="G713" s="371"/>
    </row>
    <row r="714" spans="7:7">
      <c r="G714" s="371"/>
    </row>
    <row r="715" spans="7:7">
      <c r="G715" s="371"/>
    </row>
    <row r="716" spans="7:7">
      <c r="G716" s="371"/>
    </row>
    <row r="717" spans="7:7">
      <c r="G717" s="371"/>
    </row>
    <row r="718" spans="7:7">
      <c r="G718" s="371"/>
    </row>
    <row r="719" spans="7:7">
      <c r="G719" s="371"/>
    </row>
    <row r="720" spans="7:7">
      <c r="G720" s="371"/>
    </row>
    <row r="721" spans="7:7">
      <c r="G721" s="371"/>
    </row>
    <row r="722" spans="7:7">
      <c r="G722" s="371"/>
    </row>
    <row r="723" spans="7:7">
      <c r="G723" s="371"/>
    </row>
    <row r="724" spans="7:7">
      <c r="G724" s="371"/>
    </row>
    <row r="725" spans="7:7">
      <c r="G725" s="371"/>
    </row>
    <row r="726" spans="7:7">
      <c r="G726" s="371"/>
    </row>
    <row r="727" spans="7:7">
      <c r="G727" s="371"/>
    </row>
    <row r="728" spans="7:7">
      <c r="G728" s="371"/>
    </row>
    <row r="729" spans="7:7">
      <c r="G729" s="371"/>
    </row>
    <row r="730" spans="7:7">
      <c r="G730" s="371"/>
    </row>
    <row r="731" spans="7:7">
      <c r="G731" s="371"/>
    </row>
    <row r="732" spans="7:7">
      <c r="G732" s="371"/>
    </row>
    <row r="733" spans="7:7">
      <c r="G733" s="371"/>
    </row>
    <row r="734" spans="7:7">
      <c r="G734" s="371"/>
    </row>
    <row r="735" spans="7:7">
      <c r="G735" s="371"/>
    </row>
    <row r="736" spans="7:7">
      <c r="G736" s="371"/>
    </row>
    <row r="737" spans="7:7">
      <c r="G737" s="371"/>
    </row>
    <row r="738" spans="7:7">
      <c r="G738" s="371"/>
    </row>
    <row r="739" spans="7:7">
      <c r="G739" s="371"/>
    </row>
    <row r="740" spans="7:7">
      <c r="G740" s="371"/>
    </row>
    <row r="741" spans="7:7">
      <c r="G741" s="371"/>
    </row>
    <row r="742" spans="7:7">
      <c r="G742" s="371"/>
    </row>
    <row r="743" spans="7:7">
      <c r="G743" s="371"/>
    </row>
    <row r="744" spans="7:7">
      <c r="G744" s="371"/>
    </row>
    <row r="745" spans="7:7">
      <c r="G745" s="371"/>
    </row>
    <row r="746" spans="7:7">
      <c r="G746" s="371"/>
    </row>
    <row r="747" spans="7:7">
      <c r="G747" s="371"/>
    </row>
    <row r="748" spans="7:7">
      <c r="G748" s="371"/>
    </row>
    <row r="749" spans="7:7">
      <c r="G749" s="371"/>
    </row>
    <row r="750" spans="7:7">
      <c r="G750" s="371"/>
    </row>
    <row r="751" spans="7:7">
      <c r="G751" s="371"/>
    </row>
    <row r="752" spans="7:7">
      <c r="G752" s="371"/>
    </row>
    <row r="753" spans="7:7">
      <c r="G753" s="371"/>
    </row>
    <row r="754" spans="7:7">
      <c r="G754" s="371"/>
    </row>
    <row r="755" spans="7:7">
      <c r="G755" s="371"/>
    </row>
    <row r="756" spans="7:7">
      <c r="G756" s="371"/>
    </row>
    <row r="757" spans="7:7">
      <c r="G757" s="371"/>
    </row>
    <row r="758" spans="7:7">
      <c r="G758" s="371"/>
    </row>
    <row r="759" spans="7:7">
      <c r="G759" s="371"/>
    </row>
    <row r="760" spans="7:7">
      <c r="G760" s="371"/>
    </row>
    <row r="761" spans="7:7">
      <c r="G761" s="371"/>
    </row>
    <row r="762" spans="7:7">
      <c r="G762" s="371"/>
    </row>
    <row r="763" spans="7:7">
      <c r="G763" s="371"/>
    </row>
    <row r="764" spans="7:7">
      <c r="G764" s="371"/>
    </row>
    <row r="765" spans="7:7">
      <c r="G765" s="371"/>
    </row>
    <row r="766" spans="7:7">
      <c r="G766" s="371"/>
    </row>
    <row r="767" spans="7:7">
      <c r="G767" s="371"/>
    </row>
    <row r="768" spans="7:7">
      <c r="G768" s="371"/>
    </row>
    <row r="769" spans="7:7">
      <c r="G769" s="371"/>
    </row>
    <row r="770" spans="7:7">
      <c r="G770" s="371"/>
    </row>
    <row r="771" spans="7:7">
      <c r="G771" s="371"/>
    </row>
    <row r="772" spans="7:7">
      <c r="G772" s="371"/>
    </row>
    <row r="773" spans="7:7">
      <c r="G773" s="371"/>
    </row>
    <row r="774" spans="7:7">
      <c r="G774" s="371"/>
    </row>
    <row r="775" spans="7:7">
      <c r="G775" s="371"/>
    </row>
    <row r="776" spans="7:7">
      <c r="G776" s="371"/>
    </row>
    <row r="777" spans="7:7">
      <c r="G777" s="371"/>
    </row>
    <row r="778" spans="7:7">
      <c r="G778" s="371"/>
    </row>
    <row r="779" spans="7:7">
      <c r="G779" s="371"/>
    </row>
    <row r="780" spans="7:7">
      <c r="G780" s="371"/>
    </row>
    <row r="781" spans="7:7">
      <c r="G781" s="371"/>
    </row>
    <row r="782" spans="7:7">
      <c r="G782" s="371"/>
    </row>
    <row r="783" spans="7:7">
      <c r="G783" s="371"/>
    </row>
    <row r="784" spans="7:7">
      <c r="G784" s="371"/>
    </row>
    <row r="785" spans="7:7">
      <c r="G785" s="371"/>
    </row>
    <row r="786" spans="7:7">
      <c r="G786" s="371"/>
    </row>
    <row r="787" spans="7:7">
      <c r="G787" s="371"/>
    </row>
    <row r="788" spans="7:7">
      <c r="G788" s="371"/>
    </row>
    <row r="789" spans="7:7">
      <c r="G789" s="371"/>
    </row>
    <row r="790" spans="7:7">
      <c r="G790" s="371"/>
    </row>
    <row r="791" spans="7:7">
      <c r="G791" s="371"/>
    </row>
    <row r="792" spans="7:7">
      <c r="G792" s="371"/>
    </row>
    <row r="793" spans="7:7">
      <c r="G793" s="371"/>
    </row>
    <row r="794" spans="7:7">
      <c r="G794" s="371"/>
    </row>
    <row r="795" spans="7:7">
      <c r="G795" s="371"/>
    </row>
    <row r="796" spans="7:7">
      <c r="G796" s="371"/>
    </row>
    <row r="797" spans="7:7">
      <c r="G797" s="371"/>
    </row>
    <row r="798" spans="7:7">
      <c r="G798" s="371"/>
    </row>
    <row r="799" spans="7:7">
      <c r="G799" s="371"/>
    </row>
    <row r="800" spans="7:7">
      <c r="G800" s="371"/>
    </row>
    <row r="801" spans="7:7">
      <c r="G801" s="371"/>
    </row>
    <row r="802" spans="7:7">
      <c r="G802" s="371"/>
    </row>
    <row r="803" spans="7:7">
      <c r="G803" s="371"/>
    </row>
    <row r="804" spans="7:7">
      <c r="G804" s="371"/>
    </row>
    <row r="805" spans="7:7">
      <c r="G805" s="371"/>
    </row>
    <row r="806" spans="7:7">
      <c r="G806" s="371"/>
    </row>
    <row r="807" spans="7:7">
      <c r="G807" s="371"/>
    </row>
    <row r="808" spans="7:7">
      <c r="G808" s="371"/>
    </row>
    <row r="809" spans="7:7">
      <c r="G809" s="371"/>
    </row>
    <row r="810" spans="7:7">
      <c r="G810" s="371"/>
    </row>
    <row r="811" spans="7:7">
      <c r="G811" s="371"/>
    </row>
    <row r="812" spans="7:7">
      <c r="G812" s="371"/>
    </row>
    <row r="813" spans="7:7">
      <c r="G813" s="371"/>
    </row>
    <row r="814" spans="7:7">
      <c r="G814" s="371"/>
    </row>
    <row r="815" spans="7:7">
      <c r="G815" s="371"/>
    </row>
    <row r="816" spans="7:7">
      <c r="G816" s="371"/>
    </row>
    <row r="817" spans="7:7">
      <c r="G817" s="371"/>
    </row>
    <row r="818" spans="7:7">
      <c r="G818" s="371"/>
    </row>
    <row r="819" spans="7:7">
      <c r="G819" s="371"/>
    </row>
    <row r="820" spans="7:7">
      <c r="G820" s="371"/>
    </row>
    <row r="821" spans="7:7">
      <c r="G821" s="371"/>
    </row>
    <row r="822" spans="7:7">
      <c r="G822" s="371"/>
    </row>
    <row r="823" spans="7:7">
      <c r="G823" s="371"/>
    </row>
    <row r="824" spans="7:7">
      <c r="G824" s="371"/>
    </row>
    <row r="825" spans="7:7">
      <c r="G825" s="371"/>
    </row>
    <row r="826" spans="7:7">
      <c r="G826" s="371"/>
    </row>
    <row r="827" spans="7:7">
      <c r="G827" s="371"/>
    </row>
    <row r="828" spans="7:7">
      <c r="G828" s="371"/>
    </row>
    <row r="829" spans="7:7">
      <c r="G829" s="371"/>
    </row>
    <row r="830" spans="7:7">
      <c r="G830" s="371"/>
    </row>
    <row r="831" spans="7:7">
      <c r="G831" s="371"/>
    </row>
    <row r="832" spans="7:7">
      <c r="G832" s="371"/>
    </row>
    <row r="833" spans="7:7">
      <c r="G833" s="371"/>
    </row>
    <row r="834" spans="7:7">
      <c r="G834" s="371"/>
    </row>
    <row r="835" spans="7:7">
      <c r="G835" s="371"/>
    </row>
    <row r="836" spans="7:7">
      <c r="G836" s="371"/>
    </row>
    <row r="837" spans="7:7">
      <c r="G837" s="371"/>
    </row>
    <row r="838" spans="7:7">
      <c r="G838" s="371"/>
    </row>
    <row r="839" spans="7:7">
      <c r="G839" s="371"/>
    </row>
    <row r="840" spans="7:7">
      <c r="G840" s="371"/>
    </row>
    <row r="841" spans="7:7">
      <c r="G841" s="371"/>
    </row>
    <row r="842" spans="7:7">
      <c r="G842" s="371"/>
    </row>
    <row r="843" spans="7:7">
      <c r="G843" s="371"/>
    </row>
    <row r="844" spans="7:7">
      <c r="G844" s="371"/>
    </row>
    <row r="845" spans="7:7">
      <c r="G845" s="371"/>
    </row>
    <row r="846" spans="7:7">
      <c r="G846" s="371"/>
    </row>
    <row r="847" spans="7:7">
      <c r="G847" s="371"/>
    </row>
    <row r="848" spans="7:7">
      <c r="G848" s="371"/>
    </row>
    <row r="849" spans="7:7">
      <c r="G849" s="371"/>
    </row>
    <row r="850" spans="7:7">
      <c r="G850" s="371"/>
    </row>
    <row r="851" spans="7:7">
      <c r="G851" s="371"/>
    </row>
    <row r="852" spans="7:7">
      <c r="G852" s="371"/>
    </row>
    <row r="853" spans="7:7">
      <c r="G853" s="371"/>
    </row>
    <row r="854" spans="7:7">
      <c r="G854" s="371"/>
    </row>
    <row r="855" spans="7:7">
      <c r="G855" s="371"/>
    </row>
    <row r="856" spans="7:7">
      <c r="G856" s="371"/>
    </row>
    <row r="857" spans="7:7">
      <c r="G857" s="371"/>
    </row>
    <row r="858" spans="7:7">
      <c r="G858" s="371"/>
    </row>
    <row r="859" spans="7:7">
      <c r="G859" s="371"/>
    </row>
    <row r="860" spans="7:7">
      <c r="G860" s="371"/>
    </row>
    <row r="861" spans="7:7">
      <c r="G861" s="371"/>
    </row>
    <row r="862" spans="7:7">
      <c r="G862" s="371"/>
    </row>
    <row r="863" spans="7:7">
      <c r="G863" s="371"/>
    </row>
    <row r="864" spans="7:7">
      <c r="G864" s="371"/>
    </row>
    <row r="865" spans="7:7">
      <c r="G865" s="371"/>
    </row>
    <row r="866" spans="7:7">
      <c r="G866" s="371"/>
    </row>
    <row r="867" spans="7:7">
      <c r="G867" s="371"/>
    </row>
    <row r="868" spans="7:7">
      <c r="G868" s="371"/>
    </row>
    <row r="869" spans="7:7">
      <c r="G869" s="371"/>
    </row>
    <row r="870" spans="7:7">
      <c r="G870" s="371"/>
    </row>
    <row r="871" spans="7:7">
      <c r="G871" s="371"/>
    </row>
    <row r="872" spans="7:7">
      <c r="G872" s="371"/>
    </row>
    <row r="873" spans="7:7">
      <c r="G873" s="371"/>
    </row>
    <row r="874" spans="7:7">
      <c r="G874" s="371"/>
    </row>
    <row r="875" spans="7:7">
      <c r="G875" s="371"/>
    </row>
    <row r="876" spans="7:7">
      <c r="G876" s="371"/>
    </row>
    <row r="877" spans="7:7">
      <c r="G877" s="371"/>
    </row>
    <row r="878" spans="7:7">
      <c r="G878" s="371"/>
    </row>
    <row r="879" spans="7:7">
      <c r="G879" s="371"/>
    </row>
    <row r="880" spans="7:7">
      <c r="G880" s="371"/>
    </row>
    <row r="881" spans="7:7">
      <c r="G881" s="371"/>
    </row>
    <row r="882" spans="7:7">
      <c r="G882" s="371"/>
    </row>
    <row r="883" spans="7:7">
      <c r="G883" s="371"/>
    </row>
    <row r="884" spans="7:7">
      <c r="G884" s="371"/>
    </row>
    <row r="885" spans="7:7">
      <c r="G885" s="371"/>
    </row>
    <row r="886" spans="7:7">
      <c r="G886" s="371"/>
    </row>
    <row r="887" spans="7:7">
      <c r="G887" s="371"/>
    </row>
    <row r="888" spans="7:7">
      <c r="G888" s="371"/>
    </row>
    <row r="889" spans="7:7">
      <c r="G889" s="371"/>
    </row>
    <row r="890" spans="7:7">
      <c r="G890" s="371"/>
    </row>
    <row r="891" spans="7:7">
      <c r="G891" s="371"/>
    </row>
    <row r="892" spans="7:7">
      <c r="G892" s="371"/>
    </row>
    <row r="893" spans="7:7">
      <c r="G893" s="371"/>
    </row>
    <row r="894" spans="7:7">
      <c r="G894" s="371"/>
    </row>
    <row r="895" spans="7:7">
      <c r="G895" s="371"/>
    </row>
    <row r="896" spans="7:7">
      <c r="G896" s="371"/>
    </row>
    <row r="897" spans="7:7">
      <c r="G897" s="371"/>
    </row>
    <row r="898" spans="7:7">
      <c r="G898" s="371"/>
    </row>
    <row r="899" spans="7:7">
      <c r="G899" s="371"/>
    </row>
    <row r="900" spans="7:7">
      <c r="G900" s="371"/>
    </row>
    <row r="901" spans="7:7">
      <c r="G901" s="371"/>
    </row>
    <row r="902" spans="7:7">
      <c r="G902" s="371"/>
    </row>
    <row r="903" spans="7:7">
      <c r="G903" s="371"/>
    </row>
    <row r="904" spans="7:7">
      <c r="G904" s="371"/>
    </row>
    <row r="905" spans="7:7">
      <c r="G905" s="371"/>
    </row>
    <row r="906" spans="7:7">
      <c r="G906" s="371"/>
    </row>
    <row r="907" spans="7:7">
      <c r="G907" s="371"/>
    </row>
    <row r="908" spans="7:7">
      <c r="G908" s="371"/>
    </row>
    <row r="909" spans="7:7">
      <c r="G909" s="371"/>
    </row>
    <row r="910" spans="7:7">
      <c r="G910" s="371"/>
    </row>
    <row r="911" spans="7:7">
      <c r="G911" s="371"/>
    </row>
    <row r="912" spans="7:7">
      <c r="G912" s="371"/>
    </row>
    <row r="913" spans="7:7">
      <c r="G913" s="371"/>
    </row>
    <row r="914" spans="7:7">
      <c r="G914" s="371"/>
    </row>
    <row r="915" spans="7:7">
      <c r="G915" s="371"/>
    </row>
    <row r="916" spans="7:7">
      <c r="G916" s="371"/>
    </row>
    <row r="917" spans="7:7">
      <c r="G917" s="371"/>
    </row>
    <row r="918" spans="7:7">
      <c r="G918" s="371"/>
    </row>
    <row r="919" spans="7:7">
      <c r="G919" s="371"/>
    </row>
    <row r="920" spans="7:7">
      <c r="G920" s="371"/>
    </row>
    <row r="921" spans="7:7">
      <c r="G921" s="371"/>
    </row>
    <row r="922" spans="7:7">
      <c r="G922" s="371"/>
    </row>
    <row r="923" spans="7:7">
      <c r="G923" s="371"/>
    </row>
    <row r="924" spans="7:7">
      <c r="G924" s="371"/>
    </row>
    <row r="925" spans="7:7">
      <c r="G925" s="371"/>
    </row>
    <row r="926" spans="7:7">
      <c r="G926" s="371"/>
    </row>
    <row r="927" spans="7:7">
      <c r="G927" s="371"/>
    </row>
    <row r="928" spans="7:7">
      <c r="G928" s="371"/>
    </row>
    <row r="929" spans="7:7">
      <c r="G929" s="371"/>
    </row>
    <row r="930" spans="7:7">
      <c r="G930" s="371"/>
    </row>
    <row r="931" spans="7:7">
      <c r="G931" s="371"/>
    </row>
    <row r="932" spans="7:7">
      <c r="G932" s="371"/>
    </row>
    <row r="933" spans="7:7">
      <c r="G933" s="371"/>
    </row>
    <row r="934" spans="7:7">
      <c r="G934" s="371"/>
    </row>
    <row r="935" spans="7:7">
      <c r="G935" s="371"/>
    </row>
    <row r="936" spans="7:7">
      <c r="G936" s="371"/>
    </row>
    <row r="937" spans="7:7">
      <c r="G937" s="371"/>
    </row>
    <row r="938" spans="7:7">
      <c r="G938" s="371"/>
    </row>
    <row r="939" spans="7:7">
      <c r="G939" s="371"/>
    </row>
    <row r="940" spans="7:7">
      <c r="G940" s="371"/>
    </row>
    <row r="941" spans="7:7">
      <c r="G941" s="371"/>
    </row>
    <row r="942" spans="7:7">
      <c r="G942" s="371"/>
    </row>
    <row r="943" spans="7:7">
      <c r="G943" s="371"/>
    </row>
    <row r="944" spans="7:7">
      <c r="G944" s="371"/>
    </row>
    <row r="945" spans="7:7">
      <c r="G945" s="371"/>
    </row>
    <row r="946" spans="7:7">
      <c r="G946" s="371"/>
    </row>
    <row r="947" spans="7:7">
      <c r="G947" s="371"/>
    </row>
    <row r="948" spans="7:7">
      <c r="G948" s="371"/>
    </row>
    <row r="949" spans="7:7">
      <c r="G949" s="371"/>
    </row>
    <row r="950" spans="7:7">
      <c r="G950" s="371"/>
    </row>
    <row r="951" spans="7:7">
      <c r="G951" s="371"/>
    </row>
    <row r="952" spans="7:7">
      <c r="G952" s="371"/>
    </row>
    <row r="953" spans="7:7">
      <c r="G953" s="371"/>
    </row>
    <row r="954" spans="7:7">
      <c r="G954" s="371"/>
    </row>
    <row r="955" spans="7:7">
      <c r="G955" s="371"/>
    </row>
    <row r="956" spans="7:7">
      <c r="G956" s="371"/>
    </row>
    <row r="957" spans="7:7">
      <c r="G957" s="371"/>
    </row>
    <row r="958" spans="7:7">
      <c r="G958" s="371"/>
    </row>
    <row r="959" spans="7:7">
      <c r="G959" s="371"/>
    </row>
    <row r="960" spans="7:7">
      <c r="G960" s="371"/>
    </row>
    <row r="961" spans="7:7">
      <c r="G961" s="371"/>
    </row>
    <row r="962" spans="7:7">
      <c r="G962" s="371"/>
    </row>
    <row r="963" spans="7:7">
      <c r="G963" s="371"/>
    </row>
    <row r="964" spans="7:7">
      <c r="G964" s="371"/>
    </row>
    <row r="965" spans="7:7">
      <c r="G965" s="371"/>
    </row>
    <row r="966" spans="7:7">
      <c r="G966" s="371"/>
    </row>
    <row r="967" spans="7:7">
      <c r="G967" s="371"/>
    </row>
    <row r="968" spans="7:7">
      <c r="G968" s="371"/>
    </row>
    <row r="969" spans="7:7">
      <c r="G969" s="371"/>
    </row>
    <row r="970" spans="7:7">
      <c r="G970" s="371"/>
    </row>
    <row r="971" spans="7:7">
      <c r="G971" s="371"/>
    </row>
    <row r="972" spans="7:7">
      <c r="G972" s="371"/>
    </row>
    <row r="973" spans="7:7">
      <c r="G973" s="371"/>
    </row>
    <row r="974" spans="7:7">
      <c r="G974" s="371"/>
    </row>
    <row r="975" spans="7:7">
      <c r="G975" s="371"/>
    </row>
    <row r="976" spans="7:7">
      <c r="G976" s="371"/>
    </row>
    <row r="977" spans="7:7">
      <c r="G977" s="371"/>
    </row>
    <row r="978" spans="7:7">
      <c r="G978" s="371"/>
    </row>
    <row r="979" spans="7:7">
      <c r="G979" s="371"/>
    </row>
    <row r="980" spans="7:7">
      <c r="G980" s="371"/>
    </row>
    <row r="981" spans="7:7">
      <c r="G981" s="371"/>
    </row>
    <row r="982" spans="7:7">
      <c r="G982" s="371"/>
    </row>
    <row r="983" spans="7:7">
      <c r="G983" s="371"/>
    </row>
    <row r="984" spans="7:7">
      <c r="G984" s="371"/>
    </row>
    <row r="985" spans="7:7">
      <c r="G985" s="371"/>
    </row>
    <row r="986" spans="7:7">
      <c r="G986" s="371"/>
    </row>
    <row r="987" spans="7:7">
      <c r="G987" s="371"/>
    </row>
    <row r="988" spans="7:7">
      <c r="G988" s="371"/>
    </row>
    <row r="989" spans="7:7">
      <c r="G989" s="371"/>
    </row>
    <row r="990" spans="7:7">
      <c r="G990" s="371"/>
    </row>
    <row r="991" spans="7:7">
      <c r="G991" s="371"/>
    </row>
    <row r="992" spans="7:7">
      <c r="G992" s="371"/>
    </row>
    <row r="993" spans="7:7">
      <c r="G993" s="371"/>
    </row>
    <row r="994" spans="7:7">
      <c r="G994" s="371"/>
    </row>
    <row r="995" spans="7:7">
      <c r="G995" s="371"/>
    </row>
    <row r="996" spans="7:7">
      <c r="G996" s="371"/>
    </row>
    <row r="997" spans="7:7">
      <c r="G997" s="371"/>
    </row>
    <row r="998" spans="7:7">
      <c r="G998" s="371"/>
    </row>
    <row r="999" spans="7:7">
      <c r="G999" s="371"/>
    </row>
    <row r="1000" spans="7:7">
      <c r="G1000" s="37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70"/>
  <sheetViews>
    <sheetView workbookViewId="0"/>
  </sheetViews>
  <sheetFormatPr defaultRowHeight="13.3"/>
  <sheetData>
    <row r="3" spans="1:4">
      <c r="A3" s="11" t="s">
        <v>1114</v>
      </c>
      <c r="B3" s="11" t="s">
        <v>1115</v>
      </c>
      <c r="C3" s="11" t="s">
        <v>1116</v>
      </c>
      <c r="D3" s="11" t="s">
        <v>1117</v>
      </c>
    </row>
    <row r="5" spans="1:4">
      <c r="A5" s="116" t="s">
        <v>1118</v>
      </c>
      <c r="B5" s="116" t="s">
        <v>1119</v>
      </c>
      <c r="C5" s="116" t="s">
        <v>1120</v>
      </c>
      <c r="D5" s="116"/>
    </row>
    <row r="7" spans="1:4">
      <c r="A7" s="116" t="s">
        <v>1121</v>
      </c>
      <c r="B7" s="116" t="s">
        <v>1122</v>
      </c>
      <c r="C7" s="116" t="s">
        <v>1123</v>
      </c>
      <c r="D7" s="116"/>
    </row>
    <row r="8" spans="1:4">
      <c r="D8" s="11"/>
    </row>
    <row r="9" spans="1:4">
      <c r="A9" s="116" t="s">
        <v>1124</v>
      </c>
      <c r="B9" s="116" t="s">
        <v>1125</v>
      </c>
      <c r="C9" s="116" t="s">
        <v>1126</v>
      </c>
      <c r="D9" s="372"/>
    </row>
    <row r="11" spans="1:4">
      <c r="A11" s="10" t="s">
        <v>1127</v>
      </c>
      <c r="B11" s="10" t="s">
        <v>1128</v>
      </c>
      <c r="C11" s="10" t="s">
        <v>1129</v>
      </c>
    </row>
    <row r="13" spans="1:4">
      <c r="A13" s="373" t="s">
        <v>1130</v>
      </c>
      <c r="B13" s="374">
        <v>12575</v>
      </c>
      <c r="C13" s="375" t="s">
        <v>1131</v>
      </c>
    </row>
    <row r="14" spans="1:4">
      <c r="A14" s="373"/>
      <c r="B14" s="374"/>
      <c r="C14" s="373"/>
      <c r="D14" s="11"/>
    </row>
    <row r="15" spans="1:4">
      <c r="A15" s="373" t="s">
        <v>1132</v>
      </c>
      <c r="B15" s="374">
        <v>25074</v>
      </c>
      <c r="C15" s="375" t="s">
        <v>1133</v>
      </c>
      <c r="D15" s="116"/>
    </row>
    <row r="16" spans="1:4">
      <c r="A16" s="373"/>
      <c r="B16" s="373"/>
      <c r="C16" s="373"/>
      <c r="D16" s="116"/>
    </row>
    <row r="25" spans="1:10">
      <c r="A25" s="10" t="s">
        <v>1134</v>
      </c>
    </row>
    <row r="28" spans="1:10" ht="17.2">
      <c r="A28" s="776" t="s">
        <v>1135</v>
      </c>
    </row>
    <row r="30" spans="1:10">
      <c r="B30" s="85"/>
      <c r="C30" s="85" t="s">
        <v>1136</v>
      </c>
      <c r="D30" s="85" t="s">
        <v>1137</v>
      </c>
      <c r="E30" s="85" t="s">
        <v>1138</v>
      </c>
      <c r="F30" s="85" t="s">
        <v>1139</v>
      </c>
      <c r="G30" s="85" t="s">
        <v>1140</v>
      </c>
      <c r="H30" s="85" t="s">
        <v>1141</v>
      </c>
      <c r="I30" s="85" t="s">
        <v>1142</v>
      </c>
      <c r="J30" s="85" t="s">
        <v>1143</v>
      </c>
    </row>
    <row r="31" spans="1:10">
      <c r="A31" s="10">
        <v>32000</v>
      </c>
      <c r="B31" s="85" t="s">
        <v>1144</v>
      </c>
      <c r="C31" s="85">
        <v>3.8</v>
      </c>
      <c r="D31" s="85">
        <v>3516</v>
      </c>
      <c r="E31" s="85">
        <f>D31/C31</f>
        <v>925.26315789473688</v>
      </c>
      <c r="F31" s="85">
        <f>E31*10</f>
        <v>9252.6315789473683</v>
      </c>
      <c r="G31" s="85">
        <f>F31/1000*7</f>
        <v>64.768421052631581</v>
      </c>
      <c r="H31" s="85">
        <f>G31*30</f>
        <v>1943.0526315789475</v>
      </c>
      <c r="I31" s="774">
        <f>SUM(H31-H32)</f>
        <v>337.92219679633854</v>
      </c>
      <c r="J31" s="774">
        <f>SUM(I31*7)</f>
        <v>2365.4553775743698</v>
      </c>
    </row>
    <row r="32" spans="1:10">
      <c r="A32" s="10">
        <v>37500</v>
      </c>
      <c r="B32" s="85" t="s">
        <v>1145</v>
      </c>
      <c r="C32" s="85">
        <v>4.5999999999999996</v>
      </c>
      <c r="D32" s="85">
        <v>3516</v>
      </c>
      <c r="E32" s="85">
        <f>D32/C32</f>
        <v>764.34782608695662</v>
      </c>
      <c r="F32" s="85">
        <f>E32*10</f>
        <v>7643.4782608695659</v>
      </c>
      <c r="G32" s="85">
        <f>F32/1000*7</f>
        <v>53.504347826086963</v>
      </c>
      <c r="H32" s="85">
        <f>G32*30</f>
        <v>1605.130434782609</v>
      </c>
    </row>
    <row r="33" spans="1:10">
      <c r="B33" s="85"/>
      <c r="C33" s="85"/>
      <c r="D33" s="85"/>
      <c r="E33" s="85"/>
      <c r="F33" s="85"/>
      <c r="G33" s="85"/>
      <c r="H33" s="85"/>
    </row>
    <row r="35" spans="1:10">
      <c r="A35" s="94">
        <v>37000</v>
      </c>
      <c r="B35" s="85" t="s">
        <v>1146</v>
      </c>
      <c r="C35" s="85">
        <v>3.8</v>
      </c>
      <c r="D35" s="85">
        <v>5100</v>
      </c>
      <c r="E35" s="85">
        <f>D35/C35</f>
        <v>1342.1052631578948</v>
      </c>
      <c r="F35" s="85">
        <f>E35*10</f>
        <v>13421.052631578948</v>
      </c>
      <c r="G35" s="85">
        <f>F35/1000*7</f>
        <v>93.947368421052644</v>
      </c>
      <c r="H35" s="85">
        <f>G35*30</f>
        <v>2818.4210526315792</v>
      </c>
      <c r="I35" s="774">
        <f>SUM(H35-H36)</f>
        <v>383.80566801619443</v>
      </c>
      <c r="J35" s="774">
        <f>SUM(I35*7)</f>
        <v>2686.639676113361</v>
      </c>
    </row>
    <row r="36" spans="1:10">
      <c r="A36" s="94">
        <v>45000</v>
      </c>
      <c r="B36" s="85" t="s">
        <v>1147</v>
      </c>
      <c r="C36" s="85">
        <v>4.55</v>
      </c>
      <c r="D36" s="85">
        <v>5275</v>
      </c>
      <c r="E36" s="85">
        <f>D36/C36</f>
        <v>1159.3406593406594</v>
      </c>
      <c r="F36" s="85">
        <f>E36*10</f>
        <v>11593.406593406595</v>
      </c>
      <c r="G36" s="85">
        <f>F36/1000*7</f>
        <v>81.15384615384616</v>
      </c>
      <c r="H36" s="85">
        <f>G36*30</f>
        <v>2434.6153846153848</v>
      </c>
    </row>
    <row r="38" spans="1:10">
      <c r="A38" s="10">
        <v>29000</v>
      </c>
      <c r="B38" s="10" t="s">
        <v>1148</v>
      </c>
      <c r="C38" s="10">
        <v>3.51</v>
      </c>
      <c r="D38" s="10">
        <v>3520</v>
      </c>
      <c r="E38" s="85">
        <f>D38/C38</f>
        <v>1002.8490028490029</v>
      </c>
      <c r="F38" s="85">
        <f>E38*10</f>
        <v>10028.490028490029</v>
      </c>
      <c r="G38" s="85">
        <f>F38/1000*7</f>
        <v>70.199430199430196</v>
      </c>
      <c r="H38" s="85">
        <f>G38*30</f>
        <v>2105.9829059829058</v>
      </c>
    </row>
    <row r="39" spans="1:10">
      <c r="A39" s="10">
        <v>35600</v>
      </c>
      <c r="B39" s="10" t="s">
        <v>1149</v>
      </c>
      <c r="C39" s="10">
        <v>4.51</v>
      </c>
      <c r="D39" s="10">
        <v>3520</v>
      </c>
      <c r="E39" s="85">
        <f>D39/C39</f>
        <v>780.48780487804879</v>
      </c>
      <c r="F39" s="85">
        <f>E39*10</f>
        <v>7804.8780487804879</v>
      </c>
      <c r="G39" s="85">
        <f>F39/1000*7</f>
        <v>54.634146341463413</v>
      </c>
      <c r="H39" s="85">
        <f>G39*30</f>
        <v>1639.0243902439024</v>
      </c>
    </row>
    <row r="42" spans="1:10">
      <c r="A42" s="10">
        <v>32500</v>
      </c>
      <c r="B42" s="85" t="s">
        <v>1150</v>
      </c>
      <c r="C42" s="10">
        <v>3.56</v>
      </c>
      <c r="D42" s="10">
        <v>5150</v>
      </c>
      <c r="E42" s="85">
        <f>D42/C42</f>
        <v>1446.629213483146</v>
      </c>
      <c r="F42" s="85">
        <f>E42*10</f>
        <v>14466.292134831459</v>
      </c>
      <c r="G42" s="85">
        <f>F42/1000*7</f>
        <v>101.26404494382021</v>
      </c>
      <c r="H42" s="85">
        <f>G42*30</f>
        <v>3037.9213483146063</v>
      </c>
      <c r="I42" s="774">
        <f>SUM(H42-H43)</f>
        <v>616.63531727247801</v>
      </c>
      <c r="J42" s="774">
        <f>I42*7</f>
        <v>4316.4472209073465</v>
      </c>
    </row>
    <row r="43" spans="1:10">
      <c r="A43" s="10">
        <v>39000</v>
      </c>
      <c r="B43" s="85" t="s">
        <v>1151</v>
      </c>
      <c r="C43" s="10">
        <v>4.51</v>
      </c>
      <c r="D43" s="10">
        <v>5200</v>
      </c>
      <c r="E43" s="85">
        <f>D43/C43</f>
        <v>1152.9933481152993</v>
      </c>
      <c r="F43" s="85">
        <f>E43*10</f>
        <v>11529.933481152993</v>
      </c>
      <c r="G43" s="85">
        <f>F43/1000*7</f>
        <v>80.709534368070948</v>
      </c>
      <c r="H43" s="85">
        <f>G43*30</f>
        <v>2421.2860310421283</v>
      </c>
    </row>
    <row r="47" spans="1:10">
      <c r="A47" s="10">
        <v>32000</v>
      </c>
      <c r="B47" s="85" t="s">
        <v>1144</v>
      </c>
      <c r="C47" s="85">
        <v>3.8</v>
      </c>
      <c r="D47" s="85">
        <v>3516</v>
      </c>
      <c r="E47" s="85">
        <f>D47/C47</f>
        <v>925.26315789473688</v>
      </c>
      <c r="F47" s="85">
        <f>E47*10</f>
        <v>9252.6315789473683</v>
      </c>
      <c r="G47" s="85">
        <f>F47/1000*7</f>
        <v>64.768421052631581</v>
      </c>
      <c r="H47" s="85">
        <f>G47*30</f>
        <v>1943.0526315789475</v>
      </c>
      <c r="I47" s="774">
        <f>SUM(H48-H47)</f>
        <v>875.36842105263167</v>
      </c>
      <c r="J47" s="774">
        <f>SUM(I47*7)</f>
        <v>6127.5789473684217</v>
      </c>
    </row>
    <row r="48" spans="1:10">
      <c r="A48" s="94">
        <v>37000</v>
      </c>
      <c r="B48" s="85" t="s">
        <v>1146</v>
      </c>
      <c r="C48" s="85">
        <v>3.8</v>
      </c>
      <c r="D48" s="85">
        <v>5100</v>
      </c>
      <c r="E48" s="85">
        <f>D48/C48</f>
        <v>1342.1052631578948</v>
      </c>
      <c r="F48" s="85">
        <f>E48*10</f>
        <v>13421.052631578948</v>
      </c>
      <c r="G48" s="85">
        <f>F48/1000*7</f>
        <v>93.947368421052644</v>
      </c>
      <c r="H48" s="85">
        <f>G48*30</f>
        <v>2818.4210526315792</v>
      </c>
    </row>
    <row r="51" spans="1:10" ht="17.75">
      <c r="A51" s="775" t="s">
        <v>1152</v>
      </c>
    </row>
    <row r="52" spans="1:10">
      <c r="B52" s="85"/>
      <c r="C52" s="85" t="s">
        <v>1136</v>
      </c>
      <c r="D52" s="85" t="s">
        <v>1137</v>
      </c>
      <c r="E52" s="85" t="s">
        <v>1153</v>
      </c>
      <c r="F52" s="85" t="s">
        <v>1139</v>
      </c>
      <c r="G52" s="85" t="s">
        <v>1140</v>
      </c>
      <c r="H52" s="85" t="s">
        <v>1141</v>
      </c>
      <c r="I52" s="85" t="s">
        <v>1142</v>
      </c>
      <c r="J52" s="85" t="s">
        <v>1143</v>
      </c>
    </row>
    <row r="53" spans="1:10">
      <c r="A53" s="10">
        <v>32000</v>
      </c>
      <c r="B53" s="85" t="s">
        <v>1144</v>
      </c>
      <c r="C53" s="85">
        <v>3.8</v>
      </c>
      <c r="D53" s="85">
        <v>3516</v>
      </c>
      <c r="E53" s="85">
        <f>D53/C53</f>
        <v>925.26315789473688</v>
      </c>
      <c r="F53" s="85">
        <f>E53*8</f>
        <v>7402.105263157895</v>
      </c>
      <c r="G53" s="85">
        <f>F53/1000*7</f>
        <v>51.814736842105269</v>
      </c>
      <c r="H53" s="85">
        <f>G53*30</f>
        <v>1554.4421052631581</v>
      </c>
      <c r="I53" s="774">
        <f>SUM(H53-H54)</f>
        <v>270.3377574370711</v>
      </c>
      <c r="J53" s="774">
        <f>SUM(I53*7)</f>
        <v>1892.3643020594977</v>
      </c>
    </row>
    <row r="54" spans="1:10">
      <c r="A54" s="10">
        <v>37500</v>
      </c>
      <c r="B54" s="85" t="s">
        <v>1145</v>
      </c>
      <c r="C54" s="85">
        <v>4.5999999999999996</v>
      </c>
      <c r="D54" s="85">
        <v>3516</v>
      </c>
      <c r="E54" s="85">
        <f>D54/C54</f>
        <v>764.34782608695662</v>
      </c>
      <c r="F54" s="85">
        <f>E54*8</f>
        <v>6114.7826086956529</v>
      </c>
      <c r="G54" s="85">
        <f>F54/1000*7</f>
        <v>42.803478260869568</v>
      </c>
      <c r="H54" s="85">
        <f>G54*30</f>
        <v>1284.104347826087</v>
      </c>
    </row>
    <row r="55" spans="1:10">
      <c r="B55" s="85"/>
      <c r="C55" s="85"/>
      <c r="D55" s="85"/>
      <c r="E55" s="85"/>
      <c r="F55" s="85"/>
      <c r="G55" s="85"/>
      <c r="H55" s="85"/>
    </row>
    <row r="57" spans="1:10">
      <c r="A57" s="94">
        <v>37000</v>
      </c>
      <c r="B57" s="85" t="s">
        <v>1146</v>
      </c>
      <c r="C57" s="85">
        <v>3.8</v>
      </c>
      <c r="D57" s="85">
        <v>5100</v>
      </c>
      <c r="E57" s="85">
        <f>D57/C57</f>
        <v>1342.1052631578948</v>
      </c>
      <c r="F57" s="85">
        <f>E57*8</f>
        <v>10736.842105263158</v>
      </c>
      <c r="G57" s="85">
        <f>F57/1000*7</f>
        <v>75.15789473684211</v>
      </c>
      <c r="H57" s="85">
        <f>G57*30</f>
        <v>2254.7368421052633</v>
      </c>
      <c r="I57" s="774">
        <f>SUM(H57-H58)</f>
        <v>307.04453441295527</v>
      </c>
      <c r="J57" s="774">
        <f>SUM(I57*7)</f>
        <v>2149.3117408906869</v>
      </c>
    </row>
    <row r="58" spans="1:10">
      <c r="A58" s="94">
        <v>45000</v>
      </c>
      <c r="B58" s="85" t="s">
        <v>1147</v>
      </c>
      <c r="C58" s="85">
        <v>4.55</v>
      </c>
      <c r="D58" s="85">
        <v>5275</v>
      </c>
      <c r="E58" s="85">
        <f>D58/C58</f>
        <v>1159.3406593406594</v>
      </c>
      <c r="F58" s="85">
        <f>E58*8</f>
        <v>9274.7252747252751</v>
      </c>
      <c r="G58" s="85">
        <f>F58/1000*7</f>
        <v>64.923076923076934</v>
      </c>
      <c r="H58" s="85">
        <f>G58*30</f>
        <v>1947.6923076923081</v>
      </c>
    </row>
    <row r="60" spans="1:10">
      <c r="A60" s="10">
        <v>29000</v>
      </c>
      <c r="B60" s="10" t="s">
        <v>1148</v>
      </c>
      <c r="C60" s="10">
        <v>3.51</v>
      </c>
      <c r="D60" s="10">
        <v>3520</v>
      </c>
      <c r="E60" s="85">
        <f>D60/C60</f>
        <v>1002.8490028490029</v>
      </c>
      <c r="F60" s="85">
        <f>E60*8</f>
        <v>8022.7920227920231</v>
      </c>
      <c r="G60" s="85">
        <f>F60/1000*7</f>
        <v>56.159544159544161</v>
      </c>
      <c r="H60" s="85">
        <f>G60*30</f>
        <v>1684.7863247863249</v>
      </c>
      <c r="I60" s="774">
        <f>SUM(H60-H61)</f>
        <v>373.56681259120296</v>
      </c>
      <c r="J60" s="774">
        <f>SUM(I60*7)</f>
        <v>2614.9676881384207</v>
      </c>
    </row>
    <row r="61" spans="1:10">
      <c r="A61" s="10">
        <v>35600</v>
      </c>
      <c r="B61" s="10" t="s">
        <v>1149</v>
      </c>
      <c r="C61" s="10">
        <v>4.51</v>
      </c>
      <c r="D61" s="10">
        <v>3520</v>
      </c>
      <c r="E61" s="85">
        <f>D61/C61</f>
        <v>780.48780487804879</v>
      </c>
      <c r="F61" s="85">
        <f>E61*8</f>
        <v>6243.9024390243903</v>
      </c>
      <c r="G61" s="85">
        <f>F61/1000*7</f>
        <v>43.707317073170735</v>
      </c>
      <c r="H61" s="85">
        <f>G61*30</f>
        <v>1311.219512195122</v>
      </c>
    </row>
    <row r="64" spans="1:10">
      <c r="A64" s="10">
        <v>32500</v>
      </c>
      <c r="B64" s="85" t="s">
        <v>1150</v>
      </c>
      <c r="C64" s="10">
        <v>3.56</v>
      </c>
      <c r="D64" s="10">
        <v>5150</v>
      </c>
      <c r="E64" s="85">
        <f>D64/C64</f>
        <v>1446.629213483146</v>
      </c>
      <c r="F64" s="85">
        <f>E64*8</f>
        <v>11573.033707865168</v>
      </c>
      <c r="G64" s="85">
        <f>F64/1000*7</f>
        <v>81.011235955056179</v>
      </c>
      <c r="H64" s="85">
        <f>G64*30</f>
        <v>2430.3370786516853</v>
      </c>
      <c r="I64" s="774">
        <f>SUM(H64-H65)</f>
        <v>493.30825381798218</v>
      </c>
      <c r="J64" s="774">
        <f>I64*7</f>
        <v>3453.157776725875</v>
      </c>
    </row>
    <row r="65" spans="1:10">
      <c r="A65" s="10">
        <v>39000</v>
      </c>
      <c r="B65" s="85" t="s">
        <v>1151</v>
      </c>
      <c r="C65" s="10">
        <v>4.51</v>
      </c>
      <c r="D65" s="10">
        <v>5200</v>
      </c>
      <c r="E65" s="85">
        <f>D65/C65</f>
        <v>1152.9933481152993</v>
      </c>
      <c r="F65" s="85">
        <f>E65*8</f>
        <v>9223.9467849223947</v>
      </c>
      <c r="G65" s="85">
        <f>F65/1000*7</f>
        <v>64.567627494456772</v>
      </c>
      <c r="H65" s="85">
        <f>G65*30</f>
        <v>1937.0288248337031</v>
      </c>
    </row>
    <row r="69" spans="1:10">
      <c r="A69" s="10">
        <v>32000</v>
      </c>
      <c r="B69" s="85" t="s">
        <v>1144</v>
      </c>
      <c r="C69" s="85">
        <v>3.8</v>
      </c>
      <c r="D69" s="85">
        <v>3516</v>
      </c>
      <c r="E69" s="85">
        <f>D69/C69</f>
        <v>925.26315789473688</v>
      </c>
      <c r="F69" s="85">
        <f>E69*8</f>
        <v>7402.105263157895</v>
      </c>
      <c r="G69" s="85">
        <f>F69/1000*7</f>
        <v>51.814736842105269</v>
      </c>
      <c r="H69" s="85">
        <f>G69*30</f>
        <v>1554.4421052631581</v>
      </c>
      <c r="I69" s="774">
        <f>SUM(H70-H69)</f>
        <v>700.29473684210529</v>
      </c>
      <c r="J69" s="774">
        <f>SUM(I69*7)</f>
        <v>4902.0631578947368</v>
      </c>
    </row>
    <row r="70" spans="1:10">
      <c r="A70" s="94">
        <v>37000</v>
      </c>
      <c r="B70" s="85" t="s">
        <v>1146</v>
      </c>
      <c r="C70" s="85">
        <v>3.8</v>
      </c>
      <c r="D70" s="85">
        <v>5100</v>
      </c>
      <c r="E70" s="85">
        <f>D70/C70</f>
        <v>1342.1052631578948</v>
      </c>
      <c r="F70" s="85">
        <f>E70*8</f>
        <v>10736.842105263158</v>
      </c>
      <c r="G70" s="85">
        <f>F70/1000*7</f>
        <v>75.15789473684211</v>
      </c>
      <c r="H70" s="85">
        <f>G70*30</f>
        <v>2254.7368421052633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85"/>
  <sheetViews>
    <sheetView workbookViewId="0"/>
  </sheetViews>
  <sheetFormatPr defaultRowHeight="13.3"/>
  <sheetData>
    <row r="1" spans="1:16" ht="186.1">
      <c r="A1" s="777" t="s">
        <v>1154</v>
      </c>
      <c r="B1" s="745"/>
      <c r="C1" s="745"/>
      <c r="D1" s="711"/>
      <c r="H1" s="777" t="s">
        <v>1154</v>
      </c>
      <c r="I1" s="745"/>
      <c r="J1" s="745"/>
      <c r="K1" s="711"/>
    </row>
    <row r="2" spans="1:16">
      <c r="A2" s="376" t="s">
        <v>1155</v>
      </c>
      <c r="B2" s="778"/>
      <c r="C2" s="377"/>
      <c r="D2" s="778"/>
      <c r="H2" s="376" t="s">
        <v>1155</v>
      </c>
      <c r="I2" s="778"/>
      <c r="J2" s="377"/>
      <c r="K2" s="778"/>
    </row>
    <row r="3" spans="1:16" ht="26.05">
      <c r="A3" s="376" t="s">
        <v>1156</v>
      </c>
      <c r="B3" s="709"/>
      <c r="C3" s="378">
        <v>319086</v>
      </c>
      <c r="D3" s="779"/>
      <c r="H3" s="376" t="s">
        <v>1156</v>
      </c>
      <c r="I3" s="709"/>
      <c r="J3" s="378">
        <v>287200</v>
      </c>
      <c r="K3" s="779"/>
      <c r="M3" s="10">
        <v>26000</v>
      </c>
    </row>
    <row r="4" spans="1:16" ht="38.799999999999997">
      <c r="A4" s="376" t="s">
        <v>1157</v>
      </c>
      <c r="B4" s="379">
        <v>3.1910000000000001E-2</v>
      </c>
      <c r="C4" s="380">
        <v>10182</v>
      </c>
      <c r="D4" s="779"/>
      <c r="H4" s="376" t="s">
        <v>1157</v>
      </c>
      <c r="I4" s="379">
        <v>3.1910000000000001E-2</v>
      </c>
      <c r="J4" s="380">
        <v>9165</v>
      </c>
      <c r="K4" s="779"/>
      <c r="M4" s="10">
        <v>6160</v>
      </c>
    </row>
    <row r="5" spans="1:16" ht="51.55">
      <c r="A5" s="376" t="s">
        <v>1158</v>
      </c>
      <c r="B5" s="381">
        <v>0.4</v>
      </c>
      <c r="C5" s="380">
        <v>4073</v>
      </c>
      <c r="D5" s="779"/>
      <c r="H5" s="376" t="s">
        <v>1158</v>
      </c>
      <c r="I5" s="381">
        <v>0.35</v>
      </c>
      <c r="J5" s="380">
        <v>3208</v>
      </c>
      <c r="K5" s="779"/>
      <c r="P5" s="10">
        <f>1000000*8/100</f>
        <v>80000</v>
      </c>
    </row>
    <row r="6" spans="1:16" ht="38.799999999999997">
      <c r="A6" s="376" t="s">
        <v>1159</v>
      </c>
      <c r="B6" s="377"/>
      <c r="C6" s="380">
        <v>6109</v>
      </c>
      <c r="D6" s="779"/>
      <c r="H6" s="376" t="s">
        <v>1159</v>
      </c>
      <c r="I6" s="377"/>
      <c r="J6" s="380">
        <v>5957</v>
      </c>
      <c r="K6" s="779"/>
    </row>
    <row r="7" spans="1:16" ht="51.55">
      <c r="A7" s="376" t="s">
        <v>1160</v>
      </c>
      <c r="B7" s="377"/>
      <c r="C7" s="380">
        <v>0</v>
      </c>
      <c r="D7" s="779"/>
      <c r="H7" s="376" t="s">
        <v>1160</v>
      </c>
      <c r="I7" s="377"/>
      <c r="J7" s="380">
        <v>0</v>
      </c>
      <c r="K7" s="779"/>
      <c r="P7" s="10">
        <f>1000000*8.5/100</f>
        <v>85000</v>
      </c>
    </row>
    <row r="8" spans="1:16" ht="26.05">
      <c r="A8" s="376" t="s">
        <v>1161</v>
      </c>
      <c r="B8" s="380">
        <v>13500</v>
      </c>
      <c r="C8" s="380">
        <v>540</v>
      </c>
      <c r="D8" s="779"/>
      <c r="H8" s="376" t="s">
        <v>1161</v>
      </c>
      <c r="I8" s="380">
        <v>12150</v>
      </c>
      <c r="J8" s="380">
        <v>486</v>
      </c>
      <c r="K8" s="779"/>
    </row>
    <row r="9" spans="1:16" ht="38.799999999999997">
      <c r="A9" s="376" t="s">
        <v>1162</v>
      </c>
      <c r="B9" s="377"/>
      <c r="C9" s="380">
        <v>0</v>
      </c>
      <c r="D9" s="779"/>
      <c r="H9" s="376" t="s">
        <v>1162</v>
      </c>
      <c r="I9" s="377"/>
      <c r="J9" s="380">
        <v>0</v>
      </c>
      <c r="K9" s="779"/>
    </row>
    <row r="10" spans="1:16" ht="38.799999999999997">
      <c r="A10" s="376" t="s">
        <v>1159</v>
      </c>
      <c r="B10" s="377"/>
      <c r="C10" s="380">
        <v>6649</v>
      </c>
      <c r="D10" s="709"/>
      <c r="H10" s="376" t="s">
        <v>1159</v>
      </c>
      <c r="I10" s="377"/>
      <c r="J10" s="380">
        <v>6443</v>
      </c>
      <c r="K10" s="709"/>
    </row>
    <row r="11" spans="1:16">
      <c r="A11" s="376" t="s">
        <v>1163</v>
      </c>
      <c r="B11" s="377"/>
      <c r="C11" s="377"/>
      <c r="D11" s="382">
        <v>6649</v>
      </c>
      <c r="H11" s="376" t="s">
        <v>1163</v>
      </c>
      <c r="I11" s="377"/>
      <c r="J11" s="377"/>
      <c r="K11" s="382">
        <v>6443</v>
      </c>
    </row>
    <row r="12" spans="1:16">
      <c r="A12" s="376" t="s">
        <v>1164</v>
      </c>
      <c r="B12" s="381">
        <v>0.2</v>
      </c>
      <c r="C12" s="380">
        <v>1330</v>
      </c>
      <c r="D12" s="382">
        <v>5319</v>
      </c>
      <c r="H12" s="376" t="s">
        <v>1164</v>
      </c>
      <c r="I12" s="381">
        <v>0.25</v>
      </c>
      <c r="J12" s="380">
        <v>1611</v>
      </c>
      <c r="K12" s="382">
        <v>4832</v>
      </c>
      <c r="P12" s="10">
        <v>176</v>
      </c>
    </row>
    <row r="13" spans="1:16">
      <c r="A13" s="376" t="s">
        <v>1165</v>
      </c>
      <c r="B13" s="379">
        <v>0</v>
      </c>
      <c r="C13" s="380">
        <v>0</v>
      </c>
      <c r="D13" s="377"/>
      <c r="H13" s="376" t="s">
        <v>1165</v>
      </c>
      <c r="I13" s="379">
        <v>0</v>
      </c>
      <c r="J13" s="380">
        <v>0</v>
      </c>
      <c r="K13" s="377"/>
      <c r="P13" s="10">
        <v>325</v>
      </c>
    </row>
    <row r="14" spans="1:16" ht="51.55">
      <c r="A14" s="376" t="s">
        <v>1166</v>
      </c>
      <c r="B14" s="383"/>
      <c r="C14" s="380">
        <v>0</v>
      </c>
      <c r="D14" s="382">
        <v>5319</v>
      </c>
      <c r="H14" s="376" t="s">
        <v>1166</v>
      </c>
      <c r="I14" s="383"/>
      <c r="J14" s="380">
        <v>0</v>
      </c>
      <c r="K14" s="382">
        <v>4832</v>
      </c>
      <c r="P14" s="10">
        <v>7000</v>
      </c>
    </row>
    <row r="15" spans="1:16" ht="64.25">
      <c r="A15" s="376" t="s">
        <v>1167</v>
      </c>
      <c r="B15" s="383"/>
      <c r="C15" s="377"/>
      <c r="D15" s="778"/>
      <c r="H15" s="376" t="s">
        <v>1167</v>
      </c>
      <c r="I15" s="383"/>
      <c r="J15" s="377"/>
      <c r="K15" s="778"/>
      <c r="P15" s="10">
        <v>740</v>
      </c>
    </row>
    <row r="16" spans="1:16" ht="51.55">
      <c r="A16" s="376" t="s">
        <v>1168</v>
      </c>
      <c r="B16" s="778"/>
      <c r="C16" s="380">
        <v>5319</v>
      </c>
      <c r="D16" s="779"/>
      <c r="H16" s="376" t="s">
        <v>1168</v>
      </c>
      <c r="I16" s="778"/>
      <c r="J16" s="380">
        <v>4832</v>
      </c>
      <c r="K16" s="779"/>
      <c r="P16" s="10">
        <v>307</v>
      </c>
    </row>
    <row r="17" spans="1:16" ht="27.7">
      <c r="A17" s="376" t="s">
        <v>1169</v>
      </c>
      <c r="B17" s="779"/>
      <c r="C17" s="384">
        <v>880</v>
      </c>
      <c r="D17" s="779"/>
      <c r="H17" s="376" t="s">
        <v>1169</v>
      </c>
      <c r="I17" s="779"/>
      <c r="J17" s="380">
        <v>1110</v>
      </c>
      <c r="K17" s="779"/>
      <c r="M17" s="10">
        <v>230</v>
      </c>
      <c r="P17" s="10">
        <v>13740</v>
      </c>
    </row>
    <row r="18" spans="1:16" ht="26.05">
      <c r="A18" s="376" t="s">
        <v>1170</v>
      </c>
      <c r="B18" s="779"/>
      <c r="C18" s="380">
        <v>100</v>
      </c>
      <c r="D18" s="779"/>
      <c r="H18" s="376" t="s">
        <v>1170</v>
      </c>
      <c r="I18" s="779"/>
      <c r="J18" s="380">
        <v>100</v>
      </c>
      <c r="K18" s="779"/>
      <c r="P18" s="10">
        <v>13500</v>
      </c>
    </row>
    <row r="19" spans="1:16" ht="27.7">
      <c r="A19" s="376" t="s">
        <v>1171</v>
      </c>
      <c r="B19" s="779"/>
      <c r="C19" s="384">
        <v>25</v>
      </c>
      <c r="D19" s="779"/>
      <c r="H19" s="376" t="s">
        <v>1171</v>
      </c>
      <c r="I19" s="779"/>
      <c r="J19" s="380">
        <v>50</v>
      </c>
      <c r="K19" s="779"/>
      <c r="M19" s="10">
        <v>25</v>
      </c>
      <c r="P19" s="10">
        <f>SUM(P12:P18)-219</f>
        <v>35569</v>
      </c>
    </row>
    <row r="20" spans="1:16" ht="26.05">
      <c r="A20" s="376" t="s">
        <v>1172</v>
      </c>
      <c r="B20" s="779"/>
      <c r="C20" s="377"/>
      <c r="D20" s="779"/>
      <c r="H20" s="376" t="s">
        <v>1172</v>
      </c>
      <c r="I20" s="779"/>
      <c r="J20" s="377"/>
      <c r="K20" s="779"/>
    </row>
    <row r="21" spans="1:16" ht="38.799999999999997">
      <c r="A21" s="376" t="s">
        <v>1173</v>
      </c>
      <c r="B21" s="779"/>
      <c r="C21" s="380">
        <v>60</v>
      </c>
      <c r="D21" s="779"/>
      <c r="H21" s="376" t="s">
        <v>1173</v>
      </c>
      <c r="I21" s="779"/>
      <c r="J21" s="380">
        <v>60</v>
      </c>
      <c r="K21" s="779"/>
    </row>
    <row r="22" spans="1:16" ht="26.05">
      <c r="A22" s="376" t="s">
        <v>1174</v>
      </c>
      <c r="B22" s="779"/>
      <c r="C22" s="778"/>
      <c r="D22" s="779"/>
      <c r="H22" s="376" t="s">
        <v>1174</v>
      </c>
      <c r="I22" s="779"/>
      <c r="J22" s="778"/>
      <c r="K22" s="779"/>
    </row>
    <row r="23" spans="1:16" ht="51.55">
      <c r="A23" s="376" t="s">
        <v>1166</v>
      </c>
      <c r="B23" s="779"/>
      <c r="C23" s="709"/>
      <c r="D23" s="779"/>
      <c r="H23" s="376" t="s">
        <v>1166</v>
      </c>
      <c r="I23" s="779"/>
      <c r="J23" s="709"/>
      <c r="K23" s="779"/>
    </row>
    <row r="24" spans="1:16" ht="51.55">
      <c r="A24" s="376" t="s">
        <v>1175</v>
      </c>
      <c r="B24" s="709"/>
      <c r="C24" s="382">
        <v>6384</v>
      </c>
      <c r="D24" s="779"/>
      <c r="H24" s="376" t="s">
        <v>1175</v>
      </c>
      <c r="I24" s="709"/>
      <c r="J24" s="382">
        <v>6152</v>
      </c>
      <c r="K24" s="779"/>
    </row>
    <row r="25" spans="1:16" ht="23.3">
      <c r="A25" s="376" t="s">
        <v>1176</v>
      </c>
      <c r="B25" s="385">
        <v>0.1036</v>
      </c>
      <c r="C25" s="380">
        <v>661</v>
      </c>
      <c r="D25" s="709"/>
      <c r="H25" s="376" t="s">
        <v>1176</v>
      </c>
      <c r="I25" s="386">
        <v>0.1236</v>
      </c>
      <c r="J25" s="380">
        <v>760</v>
      </c>
      <c r="K25" s="709"/>
      <c r="M25" s="10">
        <v>100</v>
      </c>
    </row>
    <row r="26" spans="1:16" ht="23.3">
      <c r="A26" s="376" t="s">
        <v>75</v>
      </c>
      <c r="B26" s="377"/>
      <c r="C26" s="387">
        <v>7046</v>
      </c>
      <c r="D26" s="377"/>
      <c r="H26" s="376" t="s">
        <v>75</v>
      </c>
      <c r="I26" s="377"/>
      <c r="J26" s="387">
        <v>6913</v>
      </c>
      <c r="K26" s="377"/>
    </row>
    <row r="47" spans="3:3">
      <c r="C47" s="116"/>
    </row>
    <row r="48" spans="3:3">
      <c r="C48" s="116"/>
    </row>
    <row r="49" spans="3:3">
      <c r="C49" s="116"/>
    </row>
    <row r="50" spans="3:3">
      <c r="C50" s="116"/>
    </row>
    <row r="51" spans="3:3">
      <c r="C51" s="116"/>
    </row>
    <row r="78" spans="3:3">
      <c r="C78" s="116"/>
    </row>
    <row r="79" spans="3:3">
      <c r="C79" s="116">
        <v>9899114717</v>
      </c>
    </row>
    <row r="80" spans="3:3">
      <c r="C80" s="116"/>
    </row>
    <row r="81" spans="3:3">
      <c r="C81" s="116"/>
    </row>
    <row r="82" spans="3:3">
      <c r="C82" s="116"/>
    </row>
    <row r="83" spans="3:3">
      <c r="C83" s="116"/>
    </row>
    <row r="84" spans="3:3" ht="29.95">
      <c r="C84" s="388" t="s">
        <v>1177</v>
      </c>
    </row>
    <row r="85" spans="3:3" ht="29.95">
      <c r="C85" s="388">
        <v>9650001287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C7:N32"/>
  <sheetViews>
    <sheetView workbookViewId="0"/>
  </sheetViews>
  <sheetFormatPr defaultRowHeight="13.3"/>
  <sheetData>
    <row r="7" spans="3:7">
      <c r="C7" s="10">
        <v>7206000</v>
      </c>
      <c r="F7" s="10" t="s">
        <v>825</v>
      </c>
      <c r="G7" s="10">
        <v>7206000</v>
      </c>
    </row>
    <row r="8" spans="3:7">
      <c r="C8" s="10">
        <v>668000</v>
      </c>
      <c r="F8" s="10" t="s">
        <v>849</v>
      </c>
      <c r="G8" s="10">
        <v>75000</v>
      </c>
    </row>
    <row r="9" spans="3:7">
      <c r="C9" s="11">
        <f>SUM(C7-C8)</f>
        <v>6538000</v>
      </c>
      <c r="F9" s="10" t="s">
        <v>855</v>
      </c>
      <c r="G9" s="10">
        <v>400000</v>
      </c>
    </row>
    <row r="10" spans="3:7">
      <c r="F10" s="10" t="s">
        <v>838</v>
      </c>
      <c r="G10" s="11">
        <f>SUM(G7:G9)</f>
        <v>7681000</v>
      </c>
    </row>
    <row r="12" spans="3:7">
      <c r="F12" s="116" t="s">
        <v>1178</v>
      </c>
      <c r="G12" s="10">
        <v>668000</v>
      </c>
    </row>
    <row r="13" spans="3:7">
      <c r="F13" s="116" t="s">
        <v>506</v>
      </c>
      <c r="G13" s="10">
        <f>SUM(G10-G12)</f>
        <v>7013000</v>
      </c>
    </row>
    <row r="16" spans="3:7">
      <c r="F16" s="11"/>
    </row>
    <row r="17" spans="6:14">
      <c r="F17" s="116" t="s">
        <v>1179</v>
      </c>
      <c r="G17" s="10">
        <v>4100000</v>
      </c>
    </row>
    <row r="18" spans="6:14">
      <c r="F18" s="10" t="s">
        <v>1180</v>
      </c>
      <c r="G18" s="10">
        <v>50000</v>
      </c>
    </row>
    <row r="19" spans="6:14">
      <c r="F19" s="10" t="s">
        <v>1181</v>
      </c>
      <c r="G19" s="10">
        <v>370000</v>
      </c>
    </row>
    <row r="20" spans="6:14">
      <c r="F20" s="116" t="s">
        <v>1182</v>
      </c>
      <c r="G20" s="10">
        <v>170000</v>
      </c>
    </row>
    <row r="21" spans="6:14">
      <c r="J21" s="116" t="s">
        <v>1183</v>
      </c>
      <c r="K21" s="10">
        <v>9.4499999999999993</v>
      </c>
      <c r="M21" s="10">
        <v>9.65</v>
      </c>
    </row>
    <row r="22" spans="6:14">
      <c r="F22" s="116" t="s">
        <v>1184</v>
      </c>
      <c r="G22" s="11">
        <f>SUM(G17:G20)</f>
        <v>4690000</v>
      </c>
    </row>
    <row r="23" spans="6:14" ht="22.75">
      <c r="J23" s="116" t="s">
        <v>1185</v>
      </c>
      <c r="K23" s="389">
        <v>62987</v>
      </c>
      <c r="L23" s="389"/>
      <c r="M23" s="389">
        <v>62748</v>
      </c>
      <c r="N23" s="318">
        <f>SUM(K23-M23)</f>
        <v>239</v>
      </c>
    </row>
    <row r="25" spans="6:14" ht="17.75">
      <c r="F25" s="116" t="s">
        <v>1186</v>
      </c>
      <c r="G25" s="10">
        <f>SUM(G13-G22)</f>
        <v>2323000</v>
      </c>
      <c r="J25" s="116" t="s">
        <v>55</v>
      </c>
      <c r="K25" s="390">
        <v>523379</v>
      </c>
      <c r="M25" s="390">
        <v>511912</v>
      </c>
      <c r="N25" s="10">
        <f>SUM(K25-M25)</f>
        <v>11467</v>
      </c>
    </row>
    <row r="27" spans="6:14">
      <c r="M27" s="116"/>
    </row>
    <row r="28" spans="6:14">
      <c r="J28" s="116" t="s">
        <v>1187</v>
      </c>
      <c r="K28" s="10">
        <v>9.4499999999999993</v>
      </c>
      <c r="M28" s="10">
        <v>9.65</v>
      </c>
    </row>
    <row r="30" spans="6:14" ht="22.75">
      <c r="K30" s="389">
        <v>52444</v>
      </c>
      <c r="M30" s="389">
        <v>52688</v>
      </c>
      <c r="N30" s="318">
        <f>SUM(M30-K30)</f>
        <v>244</v>
      </c>
    </row>
    <row r="32" spans="6:14" ht="17.75">
      <c r="K32" s="390">
        <v>646615</v>
      </c>
      <c r="M32" s="390">
        <v>661286</v>
      </c>
      <c r="N32" s="318">
        <f>SUM(M32-K32)</f>
        <v>14671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4:O27"/>
  <sheetViews>
    <sheetView topLeftCell="A9" workbookViewId="0"/>
  </sheetViews>
  <sheetFormatPr defaultRowHeight="13.3"/>
  <sheetData>
    <row r="4" spans="4:10">
      <c r="D4" s="786"/>
      <c r="E4" s="782"/>
      <c r="I4" s="785">
        <v>850</v>
      </c>
      <c r="J4" s="711"/>
    </row>
    <row r="5" spans="4:10" ht="66.5">
      <c r="D5" s="391">
        <v>42828</v>
      </c>
      <c r="E5" s="783" t="s">
        <v>1188</v>
      </c>
      <c r="F5" s="782"/>
      <c r="G5" s="392"/>
      <c r="H5" s="393"/>
      <c r="I5" s="785">
        <v>728</v>
      </c>
      <c r="J5" s="711"/>
    </row>
    <row r="6" spans="4:10" ht="66.5">
      <c r="D6" s="394" t="s">
        <v>1189</v>
      </c>
      <c r="E6" s="783" t="s">
        <v>1190</v>
      </c>
      <c r="F6" s="782"/>
      <c r="G6" s="392"/>
      <c r="H6" s="393"/>
      <c r="I6" s="785">
        <v>785</v>
      </c>
      <c r="J6" s="711"/>
    </row>
    <row r="7" spans="4:10" ht="44.35">
      <c r="D7" s="394" t="s">
        <v>1189</v>
      </c>
      <c r="E7" s="783" t="s">
        <v>1191</v>
      </c>
      <c r="F7" s="782"/>
      <c r="G7" s="392"/>
      <c r="H7" s="393"/>
      <c r="I7" s="785">
        <v>450</v>
      </c>
      <c r="J7" s="711"/>
    </row>
    <row r="8" spans="4:10" ht="66.5">
      <c r="D8" s="394" t="s">
        <v>1192</v>
      </c>
      <c r="E8" s="783" t="s">
        <v>1193</v>
      </c>
      <c r="F8" s="782"/>
      <c r="G8" s="392"/>
      <c r="H8" s="393"/>
      <c r="I8" s="784">
        <v>19500</v>
      </c>
      <c r="J8" s="711"/>
    </row>
    <row r="9" spans="4:10" ht="55.4">
      <c r="D9" s="394" t="s">
        <v>1194</v>
      </c>
      <c r="E9" s="783" t="s">
        <v>1195</v>
      </c>
      <c r="F9" s="782"/>
      <c r="G9" s="392"/>
      <c r="H9" s="393"/>
      <c r="I9" s="785">
        <v>145</v>
      </c>
      <c r="J9" s="711"/>
    </row>
    <row r="10" spans="4:10" ht="66.5">
      <c r="D10" s="394" t="s">
        <v>1196</v>
      </c>
      <c r="E10" s="783" t="s">
        <v>1193</v>
      </c>
      <c r="F10" s="782"/>
      <c r="G10" s="392"/>
      <c r="H10" s="393"/>
      <c r="I10" s="784">
        <v>4000</v>
      </c>
      <c r="J10" s="711"/>
    </row>
    <row r="11" spans="4:10" ht="77.55">
      <c r="D11" s="394" t="s">
        <v>1197</v>
      </c>
      <c r="E11" s="783" t="s">
        <v>1198</v>
      </c>
      <c r="F11" s="782"/>
      <c r="G11" s="392"/>
      <c r="H11" s="393"/>
      <c r="I11" s="785">
        <v>245</v>
      </c>
      <c r="J11" s="711"/>
    </row>
    <row r="12" spans="4:10" ht="44.35">
      <c r="D12" s="394" t="s">
        <v>1199</v>
      </c>
      <c r="E12" s="783" t="s">
        <v>1200</v>
      </c>
      <c r="F12" s="782"/>
      <c r="G12" s="392"/>
      <c r="H12" s="393"/>
      <c r="I12" s="785">
        <v>214</v>
      </c>
      <c r="J12" s="711"/>
    </row>
    <row r="13" spans="4:10" ht="55.4">
      <c r="D13" s="394" t="s">
        <v>1199</v>
      </c>
      <c r="E13" s="783" t="s">
        <v>1201</v>
      </c>
      <c r="F13" s="782"/>
      <c r="G13" s="392"/>
      <c r="H13" s="393"/>
      <c r="I13" s="784">
        <v>8532</v>
      </c>
      <c r="J13" s="711"/>
    </row>
    <row r="14" spans="4:10" ht="66.5">
      <c r="D14" s="391">
        <v>42739</v>
      </c>
      <c r="E14" s="783" t="s">
        <v>1202</v>
      </c>
      <c r="F14" s="782"/>
      <c r="G14" s="392"/>
      <c r="H14" s="393"/>
      <c r="I14" s="784">
        <v>4490</v>
      </c>
      <c r="J14" s="711"/>
    </row>
    <row r="15" spans="4:10" ht="44.35">
      <c r="D15" s="391">
        <v>42770</v>
      </c>
      <c r="E15" s="783" t="s">
        <v>1203</v>
      </c>
      <c r="F15" s="782"/>
      <c r="G15" s="392"/>
      <c r="H15" s="393"/>
      <c r="I15" s="784">
        <v>1065.94</v>
      </c>
      <c r="J15" s="711"/>
    </row>
    <row r="16" spans="4:10" ht="55.4">
      <c r="D16" s="391">
        <v>42770</v>
      </c>
      <c r="E16" s="783" t="s">
        <v>1204</v>
      </c>
      <c r="F16" s="782"/>
      <c r="G16" s="392"/>
      <c r="H16" s="393"/>
      <c r="I16" s="784">
        <v>1485</v>
      </c>
      <c r="J16" s="711"/>
    </row>
    <row r="17" spans="4:15" ht="44.35">
      <c r="D17" s="391">
        <v>42770</v>
      </c>
      <c r="E17" s="783" t="s">
        <v>1205</v>
      </c>
      <c r="F17" s="782"/>
      <c r="G17" s="392"/>
      <c r="H17" s="393"/>
      <c r="I17" s="785">
        <v>170</v>
      </c>
      <c r="J17" s="711"/>
    </row>
    <row r="19" spans="4:15">
      <c r="J19" s="11">
        <f>SUM(I4:J17)</f>
        <v>42659.94</v>
      </c>
    </row>
    <row r="21" spans="4:15">
      <c r="J21" s="10">
        <f>SUM(J19-O27)</f>
        <v>42086.100000000006</v>
      </c>
    </row>
    <row r="23" spans="4:15">
      <c r="J23" s="394"/>
      <c r="K23" s="395"/>
      <c r="L23" s="780"/>
      <c r="M23" s="781"/>
      <c r="N23" s="782"/>
      <c r="O23" s="393">
        <v>499</v>
      </c>
    </row>
    <row r="24" spans="4:15" ht="33.25">
      <c r="J24" s="391">
        <v>42798</v>
      </c>
      <c r="K24" s="783" t="s">
        <v>1206</v>
      </c>
      <c r="L24" s="781"/>
      <c r="M24" s="781"/>
      <c r="N24" s="782"/>
      <c r="O24" s="393">
        <v>69.86</v>
      </c>
    </row>
    <row r="25" spans="4:15" ht="44.35">
      <c r="J25" s="391">
        <v>42798</v>
      </c>
      <c r="K25" s="783" t="s">
        <v>1207</v>
      </c>
      <c r="L25" s="781"/>
      <c r="M25" s="781"/>
      <c r="N25" s="782"/>
      <c r="O25" s="393">
        <v>2.4900000000000002</v>
      </c>
    </row>
    <row r="26" spans="4:15" ht="44.35">
      <c r="J26" s="391">
        <v>42798</v>
      </c>
      <c r="K26" s="783" t="s">
        <v>1208</v>
      </c>
      <c r="L26" s="781"/>
      <c r="M26" s="781"/>
      <c r="N26" s="782"/>
      <c r="O26" s="393">
        <v>2.4900000000000002</v>
      </c>
    </row>
    <row r="27" spans="4:15">
      <c r="O27" s="10">
        <f>SUM(O23:O26)</f>
        <v>573.84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8"/>
  <sheetViews>
    <sheetView topLeftCell="A17" workbookViewId="0">
      <selection activeCell="B36" sqref="B36"/>
    </sheetView>
  </sheetViews>
  <sheetFormatPr defaultRowHeight="13.3"/>
  <cols>
    <col min="1" max="1" width="55.21875" bestFit="1" customWidth="1"/>
    <col min="2" max="2" width="25.33203125" customWidth="1"/>
    <col min="3" max="3" width="20.109375" bestFit="1" customWidth="1"/>
    <col min="6" max="6" width="12.6640625" bestFit="1" customWidth="1"/>
  </cols>
  <sheetData>
    <row r="1" spans="1:4">
      <c r="A1" s="82" t="s">
        <v>66</v>
      </c>
      <c r="B1" s="83" t="s">
        <v>67</v>
      </c>
      <c r="C1" s="82" t="s">
        <v>68</v>
      </c>
      <c r="D1" s="84" t="s">
        <v>1917</v>
      </c>
    </row>
    <row r="2" spans="1:4">
      <c r="A2" s="86" t="s">
        <v>70</v>
      </c>
      <c r="B2" s="87">
        <f>savings!F12</f>
        <v>5929454</v>
      </c>
      <c r="C2" s="88">
        <f t="shared" ref="C2:C9" si="0">SUM(B2/100000)</f>
        <v>59.294539999999998</v>
      </c>
      <c r="D2" s="89">
        <f>SUM(C2/C10)</f>
        <v>0.39582155725517354</v>
      </c>
    </row>
    <row r="3" spans="1:4">
      <c r="A3" s="86" t="s">
        <v>69</v>
      </c>
      <c r="B3" s="87">
        <f>savings!F4</f>
        <v>4295720</v>
      </c>
      <c r="C3" s="88">
        <f t="shared" si="0"/>
        <v>42.9572</v>
      </c>
      <c r="D3" s="89">
        <f>SUM(C3/C10)</f>
        <v>0.28676140837456432</v>
      </c>
    </row>
    <row r="4" spans="1:4">
      <c r="A4" s="86" t="s">
        <v>71</v>
      </c>
      <c r="B4" s="87">
        <f>savings!F6</f>
        <v>1031969</v>
      </c>
      <c r="C4" s="88">
        <f t="shared" si="0"/>
        <v>10.31969</v>
      </c>
      <c r="D4" s="89">
        <f>SUM(C4/C10)</f>
        <v>6.8889239484624415E-2</v>
      </c>
    </row>
    <row r="5" spans="1:4">
      <c r="A5" s="86" t="s">
        <v>72</v>
      </c>
      <c r="B5" s="87">
        <f>savings!F5</f>
        <v>1010949</v>
      </c>
      <c r="C5" s="88">
        <f t="shared" si="0"/>
        <v>10.109489999999999</v>
      </c>
      <c r="D5" s="89">
        <f>SUM(C5/C10)</f>
        <v>6.7486046351917128E-2</v>
      </c>
    </row>
    <row r="6" spans="1:4">
      <c r="A6" s="86" t="s">
        <v>73</v>
      </c>
      <c r="B6" s="87">
        <f>savings!F14</f>
        <v>950000</v>
      </c>
      <c r="C6" s="88">
        <f t="shared" si="0"/>
        <v>9.5</v>
      </c>
      <c r="D6" s="89">
        <f>SUM(C6/C10)</f>
        <v>6.34173870633645E-2</v>
      </c>
    </row>
    <row r="7" spans="1:4">
      <c r="A7" s="86" t="s">
        <v>74</v>
      </c>
      <c r="B7" s="87">
        <v>1500000</v>
      </c>
      <c r="C7" s="88">
        <f t="shared" ref="C7" si="1">SUM(B7/100000)</f>
        <v>15</v>
      </c>
      <c r="D7" s="89">
        <f>SUM(C7/C10)</f>
        <v>0.10013271641583868</v>
      </c>
    </row>
    <row r="8" spans="1:4">
      <c r="A8" s="86" t="s">
        <v>1913</v>
      </c>
      <c r="B8" s="87">
        <f>savings!F18</f>
        <v>262026.92307692306</v>
      </c>
      <c r="C8" s="88">
        <f t="shared" si="0"/>
        <v>2.6202692307692308</v>
      </c>
      <c r="D8" s="89">
        <f>SUM(C8/C10)</f>
        <v>1.7491645054517543E-2</v>
      </c>
    </row>
    <row r="9" spans="1:4">
      <c r="A9" s="86" t="s">
        <v>1916</v>
      </c>
      <c r="B9" s="87">
        <f>savings!F20</f>
        <v>136254</v>
      </c>
      <c r="C9" s="88">
        <f t="shared" si="0"/>
        <v>1.3625400000000001</v>
      </c>
      <c r="D9" s="89">
        <f>SUM(C9/C10)</f>
        <v>9.0956554283491229E-3</v>
      </c>
    </row>
    <row r="10" spans="1:4">
      <c r="A10" s="90" t="s">
        <v>1656</v>
      </c>
      <c r="B10" s="91">
        <f>SUM(B2:B8)</f>
        <v>14980118.923076924</v>
      </c>
      <c r="C10" s="92">
        <f>SUM(C2:C8)</f>
        <v>149.80118923076921</v>
      </c>
      <c r="D10" s="93">
        <f>SUM(D2:D8)</f>
        <v>1.0000000000000002</v>
      </c>
    </row>
    <row r="11" spans="1:4">
      <c r="A11" s="85"/>
      <c r="B11" s="94"/>
      <c r="C11" s="85"/>
      <c r="D11" s="85"/>
    </row>
    <row r="12" spans="1:4">
      <c r="A12" s="95" t="s">
        <v>76</v>
      </c>
      <c r="B12" s="96" t="s">
        <v>67</v>
      </c>
      <c r="C12" s="95" t="s">
        <v>68</v>
      </c>
      <c r="D12" s="927" t="s">
        <v>1917</v>
      </c>
    </row>
    <row r="13" spans="1:4">
      <c r="A13" s="97" t="s">
        <v>77</v>
      </c>
      <c r="B13" s="98">
        <f>savings!F23</f>
        <v>97914</v>
      </c>
      <c r="C13" s="99">
        <f>SUM(B13/100000)</f>
        <v>0.97914000000000001</v>
      </c>
      <c r="D13" s="588" t="s">
        <v>536</v>
      </c>
    </row>
    <row r="14" spans="1:4">
      <c r="A14" s="97" t="s">
        <v>78</v>
      </c>
      <c r="B14" s="98">
        <f>savings!E45</f>
        <v>1376250</v>
      </c>
      <c r="C14" s="99">
        <f>SUM(B14/100000)</f>
        <v>13.762499999999999</v>
      </c>
      <c r="D14" s="588" t="s">
        <v>536</v>
      </c>
    </row>
    <row r="15" spans="1:4">
      <c r="A15" s="100" t="s">
        <v>79</v>
      </c>
      <c r="B15" s="101">
        <f>SUM(B13:B14)</f>
        <v>1474164</v>
      </c>
      <c r="C15" s="102">
        <f>SUM(C13:C14)</f>
        <v>14.741639999999999</v>
      </c>
      <c r="D15" s="924">
        <f>SUM(C15/C19)</f>
        <v>0.13707677366898974</v>
      </c>
    </row>
    <row r="16" spans="1:4">
      <c r="A16" s="103" t="s">
        <v>80</v>
      </c>
      <c r="B16" s="104">
        <f>savings!$G$81</f>
        <v>301000</v>
      </c>
      <c r="C16" s="105">
        <f>SUM(B16/100000)</f>
        <v>3.01</v>
      </c>
      <c r="D16" s="923">
        <f>SUM(C16/C19)</f>
        <v>2.7988818662215271E-2</v>
      </c>
    </row>
    <row r="17" spans="1:4">
      <c r="A17" s="513" t="s">
        <v>81</v>
      </c>
      <c r="B17" s="514">
        <f>savings!F52</f>
        <v>8615000</v>
      </c>
      <c r="C17" s="925">
        <f>SUM(B17/100000)</f>
        <v>86.15</v>
      </c>
      <c r="D17" s="924">
        <f>SUM(C17/C19)</f>
        <v>0.80107532483383581</v>
      </c>
    </row>
    <row r="18" spans="1:4">
      <c r="A18" s="103" t="s">
        <v>82</v>
      </c>
      <c r="B18" s="104">
        <f>savings!F57</f>
        <v>364130.55</v>
      </c>
      <c r="C18" s="105">
        <f>SUM(B18/100000)</f>
        <v>3.6413055000000001</v>
      </c>
      <c r="D18" s="922">
        <f>SUM(C18/C19)</f>
        <v>3.3859082834959177E-2</v>
      </c>
    </row>
    <row r="19" spans="1:4">
      <c r="A19" s="90" t="s">
        <v>1657</v>
      </c>
      <c r="B19" s="106">
        <f>SUM(B15,B16,B17,B18)</f>
        <v>10754294.550000001</v>
      </c>
      <c r="C19" s="920">
        <f>SUM(B19/100000)</f>
        <v>107.5429455</v>
      </c>
      <c r="D19" s="921">
        <f>SUM(D15:D18)</f>
        <v>1</v>
      </c>
    </row>
    <row r="20" spans="1:4">
      <c r="A20" s="85"/>
      <c r="B20" s="94"/>
      <c r="C20" s="85"/>
      <c r="D20" s="85"/>
    </row>
    <row r="21" spans="1:4">
      <c r="A21" s="884" t="s">
        <v>83</v>
      </c>
      <c r="B21" s="885"/>
      <c r="C21" s="886"/>
      <c r="D21" s="108"/>
    </row>
    <row r="22" spans="1:4">
      <c r="A22" s="109" t="s">
        <v>84</v>
      </c>
      <c r="B22" s="110">
        <f>B10</f>
        <v>14980118.923076924</v>
      </c>
      <c r="C22" s="111">
        <f>SUM(B22/100000)</f>
        <v>149.80118923076924</v>
      </c>
      <c r="D22" s="108"/>
    </row>
    <row r="23" spans="1:4">
      <c r="A23" s="109" t="s">
        <v>85</v>
      </c>
      <c r="B23" s="110">
        <f>B19</f>
        <v>10754294.550000001</v>
      </c>
      <c r="C23" s="111">
        <f>SUM(B23/100000)</f>
        <v>107.5429455</v>
      </c>
      <c r="D23" s="108"/>
    </row>
    <row r="24" spans="1:4">
      <c r="A24" s="112" t="s">
        <v>75</v>
      </c>
      <c r="B24" s="113">
        <f>SUM(B22:B23)</f>
        <v>25734413.473076925</v>
      </c>
      <c r="C24" s="114">
        <f>SUM(C22:C23)</f>
        <v>257.34413473076927</v>
      </c>
      <c r="D24" s="108"/>
    </row>
    <row r="25" spans="1:4">
      <c r="A25" s="85"/>
      <c r="B25" s="94"/>
      <c r="C25" s="85"/>
      <c r="D25" s="85"/>
    </row>
    <row r="26" spans="1:4">
      <c r="A26" s="85"/>
      <c r="B26" s="94" t="s">
        <v>86</v>
      </c>
      <c r="C26" s="94" t="s">
        <v>87</v>
      </c>
      <c r="D26" s="85"/>
    </row>
    <row r="27" spans="1:4">
      <c r="A27" s="107" t="s">
        <v>88</v>
      </c>
      <c r="B27" s="94"/>
      <c r="C27" s="85"/>
      <c r="D27" s="85"/>
    </row>
    <row r="28" spans="1:4">
      <c r="A28" s="85" t="s">
        <v>89</v>
      </c>
      <c r="B28" s="94">
        <v>190000</v>
      </c>
      <c r="C28" s="94">
        <v>204331</v>
      </c>
      <c r="D28" s="85"/>
    </row>
    <row r="29" spans="1:4">
      <c r="A29" s="85" t="s">
        <v>90</v>
      </c>
      <c r="B29" s="94">
        <f>1050720/60</f>
        <v>17512</v>
      </c>
      <c r="C29" s="94"/>
      <c r="D29" s="85"/>
    </row>
    <row r="30" spans="1:4">
      <c r="A30" s="85" t="s">
        <v>91</v>
      </c>
      <c r="B30" s="94">
        <f>21800 + 9650</f>
        <v>31450</v>
      </c>
      <c r="C30" s="94">
        <f>B30</f>
        <v>31450</v>
      </c>
      <c r="D30" s="85"/>
    </row>
    <row r="31" spans="1:4">
      <c r="A31" s="85" t="s">
        <v>73</v>
      </c>
      <c r="B31" s="94">
        <v>9083</v>
      </c>
      <c r="C31" s="94">
        <f>4167+ROUND(50000/12,0)</f>
        <v>8334</v>
      </c>
      <c r="D31" s="85"/>
    </row>
    <row r="32" spans="1:4">
      <c r="A32" s="85" t="s">
        <v>92</v>
      </c>
      <c r="B32" s="94"/>
      <c r="C32" s="94"/>
      <c r="D32" s="85"/>
    </row>
    <row r="33" spans="1:7">
      <c r="A33" s="85" t="s">
        <v>93</v>
      </c>
      <c r="B33" s="94">
        <v>4500</v>
      </c>
      <c r="C33" s="94">
        <v>4500</v>
      </c>
      <c r="D33" s="85"/>
    </row>
    <row r="34" spans="1:7">
      <c r="A34" s="85" t="s">
        <v>94</v>
      </c>
      <c r="B34" s="94">
        <v>25000</v>
      </c>
      <c r="C34" s="94">
        <v>1700</v>
      </c>
      <c r="D34" s="85"/>
      <c r="E34" s="85"/>
      <c r="F34" s="85"/>
      <c r="G34" s="85"/>
    </row>
    <row r="35" spans="1:7">
      <c r="A35" s="85" t="s">
        <v>95</v>
      </c>
      <c r="B35" s="94">
        <v>25000</v>
      </c>
      <c r="C35" s="94">
        <v>1700</v>
      </c>
      <c r="D35" s="85"/>
      <c r="E35" s="85"/>
      <c r="F35" s="85"/>
      <c r="G35" s="85"/>
    </row>
    <row r="36" spans="1:7">
      <c r="A36" s="85" t="s">
        <v>2036</v>
      </c>
      <c r="B36" s="94">
        <f>ROUND(((326578*50/100)*70/100)/12,2)</f>
        <v>9525.19</v>
      </c>
      <c r="C36" s="94">
        <f>ROUND(200000/12,0)</f>
        <v>16667</v>
      </c>
      <c r="D36" s="85"/>
      <c r="E36" s="85"/>
      <c r="F36" s="85"/>
      <c r="G36" s="85"/>
    </row>
    <row r="37" spans="1:7">
      <c r="A37" s="107" t="s">
        <v>96</v>
      </c>
      <c r="B37" s="115">
        <f>SUM(B28:B36)</f>
        <v>312070.19</v>
      </c>
      <c r="C37" s="115">
        <f>SUM(C28:C36)</f>
        <v>268682</v>
      </c>
      <c r="D37" s="85"/>
      <c r="E37" s="85"/>
      <c r="F37" s="85"/>
      <c r="G37" s="85"/>
    </row>
    <row r="38" spans="1:7">
      <c r="A38" s="85"/>
      <c r="B38" s="94"/>
      <c r="C38" s="85"/>
      <c r="D38" s="85"/>
      <c r="E38" s="85"/>
      <c r="F38" s="85"/>
      <c r="G38" s="85"/>
    </row>
    <row r="39" spans="1:7">
      <c r="A39" s="85"/>
      <c r="B39" s="94"/>
      <c r="C39" s="85"/>
      <c r="D39" s="85"/>
      <c r="E39" s="85"/>
      <c r="F39" s="85"/>
      <c r="G39" s="85"/>
    </row>
    <row r="40" spans="1:7">
      <c r="A40" s="107" t="s">
        <v>97</v>
      </c>
      <c r="B40" s="94">
        <f>ROUND(200000/95,0) * 15</f>
        <v>31575</v>
      </c>
      <c r="C40" s="85"/>
      <c r="D40" s="85"/>
      <c r="E40" s="85"/>
      <c r="F40" s="85"/>
      <c r="G40" s="85"/>
    </row>
    <row r="41" spans="1:7">
      <c r="A41" s="107" t="s">
        <v>98</v>
      </c>
      <c r="B41" s="94"/>
      <c r="C41" s="85"/>
      <c r="D41" s="85"/>
      <c r="E41" s="85"/>
      <c r="F41" s="85"/>
      <c r="G41" s="85"/>
    </row>
    <row r="42" spans="1:7">
      <c r="A42" s="85" t="s">
        <v>99</v>
      </c>
      <c r="B42" s="94">
        <f>(600 + 50) * 12</f>
        <v>7800</v>
      </c>
      <c r="C42" s="85"/>
      <c r="D42" s="85"/>
      <c r="E42" s="85"/>
      <c r="F42" s="85"/>
      <c r="G42" s="85"/>
    </row>
    <row r="43" spans="1:7">
      <c r="A43" s="85" t="s">
        <v>100</v>
      </c>
      <c r="B43" s="94">
        <f>1400</f>
        <v>1400</v>
      </c>
      <c r="C43" s="85"/>
      <c r="D43" s="85"/>
      <c r="E43" s="85"/>
      <c r="F43" s="85"/>
      <c r="G43" s="85"/>
    </row>
    <row r="44" spans="1:7">
      <c r="A44" s="85" t="s">
        <v>32</v>
      </c>
      <c r="B44" s="115">
        <f>SUM(B42:B43)</f>
        <v>9200</v>
      </c>
      <c r="C44" s="85"/>
      <c r="D44" s="85"/>
      <c r="E44" s="85"/>
      <c r="F44" s="85"/>
      <c r="G44" s="85"/>
    </row>
    <row r="45" spans="1:7">
      <c r="A45" s="85"/>
      <c r="B45" s="94"/>
      <c r="C45" s="85"/>
      <c r="D45" s="85"/>
      <c r="E45" s="85"/>
      <c r="F45" s="85"/>
      <c r="G45" s="85"/>
    </row>
    <row r="46" spans="1:7">
      <c r="A46" s="85"/>
      <c r="B46" s="94"/>
      <c r="C46" s="85"/>
      <c r="D46" s="85"/>
      <c r="E46" s="85"/>
      <c r="F46" s="85"/>
      <c r="G46" s="85">
        <f>1050720/60</f>
        <v>17512</v>
      </c>
    </row>
    <row r="47" spans="1:7">
      <c r="A47" s="85"/>
      <c r="B47" s="94"/>
      <c r="C47" s="85"/>
      <c r="D47" s="85"/>
      <c r="E47" s="85"/>
      <c r="F47" s="85"/>
      <c r="G47" s="85"/>
    </row>
    <row r="48" spans="1:7">
      <c r="A48" s="85" t="s">
        <v>101</v>
      </c>
      <c r="B48" s="85">
        <v>59780</v>
      </c>
      <c r="C48" s="107" t="s">
        <v>102</v>
      </c>
      <c r="D48" s="107"/>
      <c r="E48" s="85"/>
      <c r="F48" s="107" t="s">
        <v>103</v>
      </c>
      <c r="G48" s="85"/>
    </row>
    <row r="49" spans="1:7">
      <c r="A49" s="85" t="s">
        <v>104</v>
      </c>
      <c r="B49" s="85">
        <v>20000</v>
      </c>
      <c r="C49" s="116" t="s">
        <v>105</v>
      </c>
      <c r="D49" s="94">
        <v>1325000</v>
      </c>
      <c r="E49" s="85"/>
      <c r="F49" s="85" t="s">
        <v>106</v>
      </c>
      <c r="G49" s="85">
        <f>B57</f>
        <v>262600</v>
      </c>
    </row>
    <row r="50" spans="1:7">
      <c r="A50" s="85" t="s">
        <v>107</v>
      </c>
      <c r="B50" s="85">
        <v>20000</v>
      </c>
      <c r="C50" s="116" t="s">
        <v>108</v>
      </c>
      <c r="D50" s="94">
        <v>27000</v>
      </c>
      <c r="E50" s="85"/>
      <c r="F50" s="85" t="s">
        <v>109</v>
      </c>
      <c r="G50" s="85">
        <f>D51+D52+D53</f>
        <v>16500</v>
      </c>
    </row>
    <row r="51" spans="1:7">
      <c r="A51" s="85" t="s">
        <v>110</v>
      </c>
      <c r="B51" s="85">
        <f>SUM(B48 - (B49+B50))</f>
        <v>19780</v>
      </c>
      <c r="C51" s="116" t="s">
        <v>111</v>
      </c>
      <c r="D51" s="94">
        <v>12500</v>
      </c>
      <c r="E51" s="85"/>
      <c r="F51" s="85" t="s">
        <v>108</v>
      </c>
      <c r="G51" s="85">
        <f>D50</f>
        <v>27000</v>
      </c>
    </row>
    <row r="52" spans="1:7">
      <c r="A52" s="85" t="s">
        <v>112</v>
      </c>
      <c r="B52" s="85">
        <v>2268</v>
      </c>
      <c r="C52" s="116" t="s">
        <v>113</v>
      </c>
      <c r="D52" s="94">
        <v>1500</v>
      </c>
      <c r="E52" s="85"/>
      <c r="F52" s="85" t="s">
        <v>114</v>
      </c>
      <c r="G52" s="85">
        <f>B54</f>
        <v>1050720</v>
      </c>
    </row>
    <row r="53" spans="1:7">
      <c r="A53" s="85" t="s">
        <v>115</v>
      </c>
      <c r="B53" s="107">
        <f>SUM(B51-B52)</f>
        <v>17512</v>
      </c>
      <c r="C53" s="116" t="s">
        <v>116</v>
      </c>
      <c r="D53" s="94">
        <v>2500</v>
      </c>
      <c r="E53" s="85"/>
      <c r="F53" s="85"/>
      <c r="G53" s="85"/>
    </row>
    <row r="54" spans="1:7">
      <c r="A54" s="85" t="s">
        <v>117</v>
      </c>
      <c r="B54" s="107">
        <f>17512*60</f>
        <v>1050720</v>
      </c>
      <c r="C54" s="116"/>
      <c r="D54" s="94"/>
      <c r="E54" s="85"/>
      <c r="F54" s="85"/>
      <c r="G54" s="107">
        <f>SUM(G49:G52)</f>
        <v>1356820</v>
      </c>
    </row>
    <row r="55" spans="1:7">
      <c r="C55" s="11" t="s">
        <v>32</v>
      </c>
      <c r="D55" s="115">
        <f>SUM(D49:D54)</f>
        <v>1368500</v>
      </c>
      <c r="E55" s="85"/>
      <c r="F55" s="85"/>
      <c r="G55" s="85"/>
    </row>
    <row r="56" spans="1:7">
      <c r="A56" s="85" t="s">
        <v>118</v>
      </c>
      <c r="B56" s="107">
        <v>1325000</v>
      </c>
      <c r="C56" s="116"/>
      <c r="D56" s="85"/>
      <c r="E56" s="85"/>
      <c r="F56" s="85"/>
      <c r="G56" s="85"/>
    </row>
    <row r="57" spans="1:7">
      <c r="A57" s="85" t="s">
        <v>119</v>
      </c>
      <c r="B57" s="107">
        <f>260400+2200</f>
        <v>262600</v>
      </c>
      <c r="C57" s="85"/>
      <c r="D57" s="85"/>
      <c r="E57" s="85"/>
      <c r="F57" s="85"/>
      <c r="G57" s="85"/>
    </row>
    <row r="58" spans="1:7">
      <c r="A58" s="85" t="s">
        <v>120</v>
      </c>
      <c r="B58" s="117">
        <f>SUM(B56-B57)</f>
        <v>1062400</v>
      </c>
      <c r="C58" s="85"/>
      <c r="D58" s="85"/>
      <c r="E58" s="85"/>
      <c r="F58" s="85"/>
      <c r="G58" s="8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C2:N42"/>
  <sheetViews>
    <sheetView workbookViewId="0"/>
  </sheetViews>
  <sheetFormatPr defaultRowHeight="13.3"/>
  <sheetData>
    <row r="2" spans="4:14">
      <c r="D2" s="11" t="s">
        <v>1209</v>
      </c>
      <c r="H2" s="116" t="s">
        <v>1210</v>
      </c>
    </row>
    <row r="3" spans="4:14">
      <c r="D3" s="11" t="s">
        <v>1211</v>
      </c>
      <c r="H3" s="116" t="s">
        <v>1212</v>
      </c>
      <c r="J3" s="116" t="s">
        <v>1213</v>
      </c>
      <c r="N3" s="116" t="s">
        <v>1214</v>
      </c>
    </row>
    <row r="4" spans="4:14">
      <c r="D4" s="10" t="s">
        <v>1215</v>
      </c>
      <c r="E4" s="10">
        <v>78000</v>
      </c>
      <c r="F4" s="10">
        <v>936000</v>
      </c>
      <c r="J4" s="116" t="s">
        <v>1216</v>
      </c>
    </row>
    <row r="5" spans="4:14">
      <c r="D5" s="10" t="s">
        <v>1217</v>
      </c>
      <c r="E5" s="10">
        <v>31200</v>
      </c>
      <c r="F5" s="10">
        <v>374400</v>
      </c>
      <c r="H5" s="116" t="s">
        <v>1218</v>
      </c>
    </row>
    <row r="6" spans="4:14">
      <c r="D6" s="10" t="s">
        <v>1219</v>
      </c>
      <c r="E6" s="10">
        <v>1600</v>
      </c>
      <c r="F6" s="10">
        <v>19200</v>
      </c>
    </row>
    <row r="7" spans="4:14">
      <c r="D7" s="116" t="s">
        <v>1220</v>
      </c>
      <c r="E7" s="10">
        <v>3300</v>
      </c>
      <c r="F7" s="10">
        <v>39600</v>
      </c>
    </row>
    <row r="8" spans="4:14">
      <c r="D8" s="11" t="s">
        <v>1221</v>
      </c>
      <c r="E8" s="10">
        <v>1800</v>
      </c>
      <c r="F8" s="10">
        <v>21600</v>
      </c>
    </row>
    <row r="9" spans="4:14">
      <c r="D9" s="11" t="s">
        <v>1222</v>
      </c>
      <c r="E9" s="10">
        <v>3750</v>
      </c>
      <c r="F9" s="10">
        <v>45000</v>
      </c>
      <c r="H9" s="116" t="s">
        <v>1223</v>
      </c>
    </row>
    <row r="10" spans="4:14">
      <c r="D10" s="116" t="s">
        <v>1224</v>
      </c>
      <c r="E10" s="10">
        <v>67100</v>
      </c>
      <c r="F10" s="10">
        <v>805196</v>
      </c>
      <c r="G10" s="116"/>
    </row>
    <row r="11" spans="4:14">
      <c r="D11" s="116" t="s">
        <v>1225</v>
      </c>
      <c r="E11" s="11">
        <v>21667</v>
      </c>
      <c r="F11" s="10">
        <v>260004</v>
      </c>
      <c r="G11" s="116"/>
    </row>
    <row r="12" spans="4:14">
      <c r="D12" s="116"/>
      <c r="E12" s="11"/>
      <c r="G12" s="116"/>
    </row>
    <row r="13" spans="4:14">
      <c r="D13" s="11" t="s">
        <v>1226</v>
      </c>
    </row>
    <row r="14" spans="4:14">
      <c r="D14" s="116" t="s">
        <v>1227</v>
      </c>
      <c r="E14" s="10">
        <f>16667</f>
        <v>16667</v>
      </c>
      <c r="F14" s="10">
        <v>200000</v>
      </c>
      <c r="H14" s="116" t="s">
        <v>1228</v>
      </c>
    </row>
    <row r="16" spans="4:14">
      <c r="D16" s="11" t="s">
        <v>1229</v>
      </c>
    </row>
    <row r="17" spans="3:9">
      <c r="D17" s="116" t="s">
        <v>1230</v>
      </c>
      <c r="E17" s="10">
        <v>3000</v>
      </c>
      <c r="F17" s="10">
        <v>36000</v>
      </c>
    </row>
    <row r="18" spans="3:9">
      <c r="D18" s="116" t="s">
        <v>1231</v>
      </c>
      <c r="E18" s="10">
        <v>3000</v>
      </c>
      <c r="F18" s="10">
        <v>36000</v>
      </c>
      <c r="H18" s="116" t="s">
        <v>1232</v>
      </c>
    </row>
    <row r="19" spans="3:9">
      <c r="D19" s="116" t="s">
        <v>1233</v>
      </c>
      <c r="E19" s="10">
        <v>1000</v>
      </c>
      <c r="F19" s="10">
        <v>12000</v>
      </c>
    </row>
    <row r="20" spans="3:9">
      <c r="D20" s="116" t="s">
        <v>1234</v>
      </c>
      <c r="E20" s="10">
        <v>1250</v>
      </c>
      <c r="F20" s="10">
        <v>15000</v>
      </c>
    </row>
    <row r="21" spans="3:9">
      <c r="E21" s="11">
        <f>SUM(E17:E20)</f>
        <v>8250</v>
      </c>
      <c r="F21" s="11">
        <f>SUM(F17:F20)</f>
        <v>99000</v>
      </c>
    </row>
    <row r="24" spans="3:9">
      <c r="D24" s="396" t="s">
        <v>1235</v>
      </c>
    </row>
    <row r="26" spans="3:9">
      <c r="C26" s="94" t="s">
        <v>1236</v>
      </c>
      <c r="D26" s="116" t="s">
        <v>1237</v>
      </c>
      <c r="E26" s="116" t="s">
        <v>1238</v>
      </c>
      <c r="F26" s="116">
        <f>SUM(2800000-45000)</f>
        <v>2755000</v>
      </c>
      <c r="H26" s="116" t="s">
        <v>1239</v>
      </c>
      <c r="I26" s="11">
        <f>SUM(2800000-45000)</f>
        <v>2755000</v>
      </c>
    </row>
    <row r="27" spans="3:9">
      <c r="C27" s="94" t="s">
        <v>1240</v>
      </c>
      <c r="D27" s="11" t="s">
        <v>1241</v>
      </c>
      <c r="H27" s="11" t="s">
        <v>1242</v>
      </c>
    </row>
    <row r="28" spans="3:9">
      <c r="C28" s="94"/>
      <c r="D28" s="116" t="s">
        <v>1243</v>
      </c>
      <c r="F28" s="10">
        <v>374400</v>
      </c>
      <c r="H28" s="10" t="s">
        <v>1244</v>
      </c>
      <c r="I28" s="10">
        <v>21600</v>
      </c>
    </row>
    <row r="29" spans="3:9">
      <c r="C29" s="94"/>
      <c r="D29" s="116" t="s">
        <v>1245</v>
      </c>
      <c r="F29" s="10">
        <v>21600</v>
      </c>
      <c r="H29" s="10" t="s">
        <v>1246</v>
      </c>
      <c r="I29" s="10">
        <v>99000</v>
      </c>
    </row>
    <row r="30" spans="3:9">
      <c r="C30" s="94"/>
      <c r="D30" s="116" t="s">
        <v>1247</v>
      </c>
      <c r="F30" s="10">
        <v>36000</v>
      </c>
      <c r="H30" s="10" t="s">
        <v>1248</v>
      </c>
      <c r="I30" s="10">
        <v>150000</v>
      </c>
    </row>
    <row r="31" spans="3:9">
      <c r="C31" s="94"/>
      <c r="D31" s="116" t="s">
        <v>1249</v>
      </c>
      <c r="F31" s="10">
        <v>36000</v>
      </c>
      <c r="H31" s="10" t="s">
        <v>1250</v>
      </c>
      <c r="I31" s="10">
        <v>374000</v>
      </c>
    </row>
    <row r="32" spans="3:9">
      <c r="C32" s="94"/>
      <c r="D32" s="116" t="s">
        <v>1251</v>
      </c>
      <c r="F32" s="10">
        <v>12000</v>
      </c>
    </row>
    <row r="33" spans="3:10">
      <c r="C33" s="94"/>
      <c r="D33" s="116" t="s">
        <v>1252</v>
      </c>
      <c r="F33" s="10">
        <v>15000</v>
      </c>
      <c r="I33" s="11">
        <f>SUM(I28:I31)</f>
        <v>644600</v>
      </c>
    </row>
    <row r="34" spans="3:10">
      <c r="C34" s="94"/>
      <c r="F34" s="11">
        <f>SUM(F28:F33)</f>
        <v>495000</v>
      </c>
      <c r="H34" s="11" t="s">
        <v>1253</v>
      </c>
      <c r="I34" s="11">
        <f>SUM(I26-I33)</f>
        <v>2110400</v>
      </c>
    </row>
    <row r="35" spans="3:10">
      <c r="C35" s="94" t="s">
        <v>1254</v>
      </c>
      <c r="D35" s="11" t="s">
        <v>1255</v>
      </c>
      <c r="F35" s="11">
        <f>SUM(F26-F34)</f>
        <v>2260000</v>
      </c>
      <c r="H35" s="116" t="s">
        <v>1256</v>
      </c>
      <c r="I35" s="10">
        <v>0</v>
      </c>
      <c r="J35" s="10">
        <f>SUM(I34-250000)</f>
        <v>1860400</v>
      </c>
    </row>
    <row r="36" spans="3:10">
      <c r="C36" s="94" t="s">
        <v>1257</v>
      </c>
      <c r="D36" s="116" t="s">
        <v>1258</v>
      </c>
      <c r="H36" s="116" t="s">
        <v>1259</v>
      </c>
      <c r="I36" s="10">
        <f>SUM(250000*5/100)</f>
        <v>12500</v>
      </c>
      <c r="J36" s="10">
        <f>1860400-250000</f>
        <v>1610400</v>
      </c>
    </row>
    <row r="37" spans="3:10">
      <c r="C37" s="94" t="s">
        <v>1260</v>
      </c>
      <c r="D37" s="116" t="s">
        <v>1261</v>
      </c>
      <c r="F37" s="10">
        <v>12500</v>
      </c>
      <c r="H37" s="372" t="s">
        <v>1262</v>
      </c>
      <c r="I37" s="10">
        <v>100000</v>
      </c>
      <c r="J37" s="10">
        <f>1860400-250000-500000</f>
        <v>1110400</v>
      </c>
    </row>
    <row r="38" spans="3:10">
      <c r="C38" s="94" t="s">
        <v>1263</v>
      </c>
      <c r="D38" s="116" t="s">
        <v>1264</v>
      </c>
      <c r="F38" s="10">
        <v>100000</v>
      </c>
      <c r="I38" s="10">
        <v>300000</v>
      </c>
      <c r="J38" s="10">
        <f>2110400-1000000</f>
        <v>1110400</v>
      </c>
    </row>
    <row r="39" spans="3:10">
      <c r="C39" s="94" t="s">
        <v>1265</v>
      </c>
      <c r="D39" s="116" t="s">
        <v>1266</v>
      </c>
      <c r="E39" s="116">
        <f>2238400-1000000</f>
        <v>1238400</v>
      </c>
      <c r="F39" s="11">
        <f>E39*30/100</f>
        <v>371520</v>
      </c>
      <c r="I39" s="10">
        <f>SUM(I36:I38)</f>
        <v>412500</v>
      </c>
    </row>
    <row r="40" spans="3:10">
      <c r="D40" s="116" t="s">
        <v>1267</v>
      </c>
      <c r="F40" s="11">
        <f>SUM(F37:F39)</f>
        <v>484020</v>
      </c>
      <c r="I40" s="10">
        <f>I34-I39/12</f>
        <v>2076025</v>
      </c>
    </row>
    <row r="42" spans="3:10">
      <c r="D42" s="116" t="s">
        <v>1268</v>
      </c>
      <c r="F42" s="10">
        <f>(F35-F40)/12</f>
        <v>147998.33333333334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J27"/>
  <sheetViews>
    <sheetView workbookViewId="0"/>
  </sheetViews>
  <sheetFormatPr defaultRowHeight="13.3"/>
  <sheetData>
    <row r="2" spans="2:9" ht="14.4">
      <c r="B2" s="787" t="s">
        <v>1269</v>
      </c>
      <c r="C2" s="745"/>
      <c r="D2" s="745"/>
      <c r="E2" s="745"/>
      <c r="F2" s="711"/>
    </row>
    <row r="3" spans="2:9" ht="14.4">
      <c r="B3" s="397"/>
      <c r="C3" s="398"/>
      <c r="D3" s="398"/>
      <c r="E3" s="398"/>
      <c r="F3" s="398"/>
    </row>
    <row r="4" spans="2:9" ht="14.4">
      <c r="B4" s="398"/>
      <c r="C4" s="397" t="s">
        <v>1270</v>
      </c>
      <c r="D4" s="397" t="s">
        <v>1271</v>
      </c>
      <c r="E4" s="397" t="s">
        <v>1272</v>
      </c>
      <c r="F4" s="397" t="s">
        <v>1273</v>
      </c>
    </row>
    <row r="5" spans="2:9" ht="14.4">
      <c r="B5" s="398" t="s">
        <v>1274</v>
      </c>
      <c r="C5" s="398">
        <f>124*2</f>
        <v>248</v>
      </c>
      <c r="D5" s="398"/>
      <c r="E5" s="398"/>
      <c r="F5" s="398"/>
    </row>
    <row r="6" spans="2:9" ht="14.4">
      <c r="B6" s="398" t="s">
        <v>1275</v>
      </c>
      <c r="C6" s="398">
        <f>305*2</f>
        <v>610</v>
      </c>
      <c r="D6" s="398"/>
      <c r="E6" s="398"/>
      <c r="F6" s="398"/>
    </row>
    <row r="7" spans="2:9" ht="14.4">
      <c r="B7" s="398" t="s">
        <v>1276</v>
      </c>
      <c r="C7" s="398">
        <v>1105</v>
      </c>
      <c r="D7" s="398"/>
      <c r="E7" s="398"/>
      <c r="F7" s="398"/>
    </row>
    <row r="8" spans="2:9" ht="14.4">
      <c r="B8" s="398" t="s">
        <v>1211</v>
      </c>
      <c r="C8" s="397">
        <f>SUM(C5:C7)</f>
        <v>1963</v>
      </c>
      <c r="D8" s="397">
        <f>C8+328</f>
        <v>2291</v>
      </c>
      <c r="E8" s="397">
        <f>C8+414</f>
        <v>2377</v>
      </c>
      <c r="F8" s="397">
        <f>C8+500</f>
        <v>2463</v>
      </c>
    </row>
    <row r="9" spans="2:9" ht="14.4">
      <c r="B9" s="398" t="s">
        <v>1277</v>
      </c>
      <c r="C9" s="398">
        <f>C8*12</f>
        <v>23556</v>
      </c>
      <c r="D9" s="398">
        <f>D8*12</f>
        <v>27492</v>
      </c>
      <c r="E9" s="398">
        <f>E8*12</f>
        <v>28524</v>
      </c>
      <c r="F9" s="398">
        <f>F8*12</f>
        <v>29556</v>
      </c>
      <c r="I9" s="10">
        <f>27492*30/100</f>
        <v>8247.6</v>
      </c>
    </row>
    <row r="10" spans="2:9" ht="14.4">
      <c r="B10" s="398"/>
      <c r="C10" s="398"/>
      <c r="D10" s="398"/>
      <c r="E10" s="398"/>
      <c r="F10" s="398"/>
    </row>
    <row r="11" spans="2:9" ht="14.4">
      <c r="B11" s="788" t="s">
        <v>1278</v>
      </c>
      <c r="C11" s="745"/>
      <c r="D11" s="745"/>
      <c r="E11" s="745"/>
      <c r="F11" s="711"/>
    </row>
    <row r="12" spans="2:9" ht="14.4">
      <c r="B12" s="398"/>
      <c r="C12" s="398"/>
      <c r="D12" s="398"/>
      <c r="E12" s="398"/>
      <c r="F12" s="398"/>
      <c r="H12" s="10">
        <f>27492/12</f>
        <v>2291</v>
      </c>
    </row>
    <row r="13" spans="2:9" ht="14.4">
      <c r="B13" s="398"/>
      <c r="C13" s="397" t="s">
        <v>1270</v>
      </c>
      <c r="D13" s="397" t="s">
        <v>1271</v>
      </c>
      <c r="E13" s="397" t="s">
        <v>1272</v>
      </c>
      <c r="F13" s="397" t="s">
        <v>1273</v>
      </c>
      <c r="H13" s="10">
        <v>1105</v>
      </c>
    </row>
    <row r="14" spans="2:9" ht="14.4">
      <c r="B14" s="398"/>
      <c r="C14" s="398"/>
      <c r="D14" s="398"/>
      <c r="E14" s="398"/>
      <c r="F14" s="398"/>
      <c r="H14" s="10">
        <f>SUM(H12:H13)</f>
        <v>3396</v>
      </c>
    </row>
    <row r="15" spans="2:9" ht="14.4">
      <c r="B15" s="398" t="s">
        <v>1279</v>
      </c>
      <c r="C15" s="398">
        <v>305</v>
      </c>
      <c r="D15" s="398"/>
      <c r="E15" s="398"/>
      <c r="F15" s="398"/>
    </row>
    <row r="16" spans="2:9" ht="14.4">
      <c r="B16" s="398" t="s">
        <v>1276</v>
      </c>
      <c r="C16" s="398">
        <v>1105</v>
      </c>
      <c r="D16" s="398"/>
      <c r="E16" s="398"/>
      <c r="F16" s="398"/>
    </row>
    <row r="17" spans="2:10" ht="14.4">
      <c r="B17" s="398" t="s">
        <v>1211</v>
      </c>
      <c r="C17" s="397">
        <f>SUM(C14:C16)</f>
        <v>1410</v>
      </c>
      <c r="D17" s="397">
        <f>C17+328</f>
        <v>1738</v>
      </c>
      <c r="E17" s="397">
        <f>C17+414</f>
        <v>1824</v>
      </c>
      <c r="F17" s="397">
        <f>C17+500</f>
        <v>1910</v>
      </c>
      <c r="I17" s="10">
        <f>37308/12</f>
        <v>3109</v>
      </c>
    </row>
    <row r="18" spans="2:10" ht="14.4">
      <c r="B18" s="398" t="s">
        <v>1277</v>
      </c>
      <c r="C18" s="398">
        <f>C17*12</f>
        <v>16920</v>
      </c>
      <c r="D18" s="398">
        <f>D17*12</f>
        <v>20856</v>
      </c>
      <c r="E18" s="398">
        <f>E17*12</f>
        <v>21888</v>
      </c>
      <c r="F18" s="398">
        <f>F17*12</f>
        <v>22920</v>
      </c>
    </row>
    <row r="20" spans="2:10">
      <c r="I20" s="10" t="s">
        <v>1280</v>
      </c>
      <c r="J20" s="10">
        <v>124</v>
      </c>
    </row>
    <row r="21" spans="2:10">
      <c r="I21" s="10" t="s">
        <v>1281</v>
      </c>
      <c r="J21" s="10">
        <v>124</v>
      </c>
    </row>
    <row r="22" spans="2:10">
      <c r="I22" s="10" t="s">
        <v>1282</v>
      </c>
      <c r="J22" s="10">
        <v>305</v>
      </c>
    </row>
    <row r="23" spans="2:10">
      <c r="I23" s="10" t="s">
        <v>1283</v>
      </c>
      <c r="J23" s="10">
        <v>305</v>
      </c>
    </row>
    <row r="24" spans="2:10">
      <c r="I24" s="10" t="s">
        <v>1276</v>
      </c>
      <c r="J24" s="10">
        <v>1105</v>
      </c>
    </row>
    <row r="25" spans="2:10">
      <c r="I25" s="10" t="s">
        <v>32</v>
      </c>
      <c r="J25" s="10">
        <f>SUM(J20:J24)</f>
        <v>1963</v>
      </c>
    </row>
    <row r="26" spans="2:10">
      <c r="I26" s="10" t="s">
        <v>1284</v>
      </c>
      <c r="J26" s="10">
        <v>328</v>
      </c>
    </row>
    <row r="27" spans="2:10">
      <c r="J27" s="10">
        <f>SUM(J25:J26)</f>
        <v>2291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/>
  </sheetViews>
  <sheetFormatPr defaultRowHeight="13.3"/>
  <sheetData>
    <row r="1" spans="1:8" ht="17.2">
      <c r="A1" s="789" t="s">
        <v>1285</v>
      </c>
    </row>
    <row r="3" spans="1:8">
      <c r="A3" s="790" t="s">
        <v>1286</v>
      </c>
      <c r="B3" s="782"/>
      <c r="C3" s="790" t="s">
        <v>1287</v>
      </c>
      <c r="D3" s="782"/>
      <c r="E3" s="790" t="s">
        <v>1288</v>
      </c>
      <c r="F3" s="782"/>
      <c r="G3" s="790" t="s">
        <v>1289</v>
      </c>
      <c r="H3" s="782"/>
    </row>
    <row r="4" spans="1:8">
      <c r="A4" s="94" t="s">
        <v>1290</v>
      </c>
      <c r="B4" s="85">
        <v>8500</v>
      </c>
      <c r="C4" s="94" t="s">
        <v>1291</v>
      </c>
      <c r="D4" s="85">
        <v>11000</v>
      </c>
      <c r="E4" s="94" t="s">
        <v>1290</v>
      </c>
      <c r="F4" s="85">
        <v>30000</v>
      </c>
      <c r="G4" s="94" t="s">
        <v>1292</v>
      </c>
      <c r="H4" s="85">
        <v>13500</v>
      </c>
    </row>
    <row r="5" spans="1:8">
      <c r="A5" s="94" t="s">
        <v>1293</v>
      </c>
      <c r="B5" s="85">
        <v>1500</v>
      </c>
      <c r="C5" s="94" t="s">
        <v>1294</v>
      </c>
      <c r="D5" s="85">
        <v>16000</v>
      </c>
      <c r="E5" s="94" t="s">
        <v>1294</v>
      </c>
      <c r="F5" s="85">
        <v>30000</v>
      </c>
      <c r="G5" s="94" t="s">
        <v>1295</v>
      </c>
      <c r="H5" s="85">
        <v>11000</v>
      </c>
    </row>
    <row r="6" spans="1:8">
      <c r="A6" s="94" t="s">
        <v>1296</v>
      </c>
      <c r="B6" s="85">
        <v>2000</v>
      </c>
      <c r="C6" s="94" t="s">
        <v>1297</v>
      </c>
      <c r="D6" s="85">
        <v>1200</v>
      </c>
      <c r="E6" s="94" t="s">
        <v>1297</v>
      </c>
      <c r="F6" s="85">
        <v>2000</v>
      </c>
      <c r="G6" s="115" t="s">
        <v>32</v>
      </c>
      <c r="H6" s="107">
        <f>SUM(H1:H5)</f>
        <v>24500</v>
      </c>
    </row>
    <row r="7" spans="1:8">
      <c r="A7" s="94" t="s">
        <v>1298</v>
      </c>
      <c r="B7" s="85">
        <v>700</v>
      </c>
      <c r="C7" s="94" t="s">
        <v>1299</v>
      </c>
      <c r="D7" s="85">
        <v>25000</v>
      </c>
      <c r="E7" s="94" t="s">
        <v>1299</v>
      </c>
      <c r="F7" s="85">
        <v>30000</v>
      </c>
    </row>
    <row r="8" spans="1:8">
      <c r="A8" s="94" t="s">
        <v>1299</v>
      </c>
      <c r="B8" s="85">
        <v>3000</v>
      </c>
      <c r="C8" s="94" t="s">
        <v>1300</v>
      </c>
      <c r="D8" s="85">
        <v>25000</v>
      </c>
      <c r="E8" s="94" t="s">
        <v>1300</v>
      </c>
      <c r="F8" s="85">
        <v>25000</v>
      </c>
    </row>
    <row r="9" spans="1:8">
      <c r="A9" s="94" t="s">
        <v>1301</v>
      </c>
      <c r="B9" s="85">
        <v>1500</v>
      </c>
      <c r="C9" s="115" t="s">
        <v>32</v>
      </c>
      <c r="D9" s="107">
        <f>SUM(D3:D8)</f>
        <v>78200</v>
      </c>
      <c r="E9" s="115" t="s">
        <v>1302</v>
      </c>
      <c r="F9" s="107">
        <f>SUM(F4:F8)</f>
        <v>117000</v>
      </c>
    </row>
    <row r="10" spans="1:8">
      <c r="A10" s="94" t="s">
        <v>1302</v>
      </c>
      <c r="B10" s="107">
        <f>SUM(B4:B9)</f>
        <v>17200</v>
      </c>
      <c r="E10" s="94" t="s">
        <v>1303</v>
      </c>
      <c r="F10" s="107">
        <f>H5*2</f>
        <v>22000</v>
      </c>
    </row>
    <row r="11" spans="1:8">
      <c r="A11" s="94" t="s">
        <v>1304</v>
      </c>
      <c r="B11" s="107">
        <f>SUM((6*10000)/12)</f>
        <v>5000</v>
      </c>
      <c r="C11" s="94"/>
      <c r="E11" s="115" t="s">
        <v>32</v>
      </c>
      <c r="F11" s="107">
        <f>SUM(F9-F10)</f>
        <v>95000</v>
      </c>
    </row>
    <row r="12" spans="1:8">
      <c r="A12" s="115" t="s">
        <v>32</v>
      </c>
      <c r="B12" s="107">
        <f>SUM(B10:B11)</f>
        <v>22200</v>
      </c>
    </row>
    <row r="15" spans="1:8">
      <c r="A15" s="10" t="s">
        <v>32</v>
      </c>
      <c r="B15" s="11">
        <f>SUM(B12,D9)</f>
        <v>100400</v>
      </c>
    </row>
    <row r="18" spans="5:9">
      <c r="E18" s="11" t="s">
        <v>1305</v>
      </c>
    </row>
    <row r="19" spans="5:9">
      <c r="H19" s="10" t="s">
        <v>1306</v>
      </c>
    </row>
    <row r="20" spans="5:9" ht="64.25">
      <c r="E20" s="10" t="s">
        <v>1307</v>
      </c>
      <c r="F20" s="10">
        <v>2</v>
      </c>
      <c r="I20" s="399" t="s">
        <v>1308</v>
      </c>
    </row>
    <row r="21" spans="5:9">
      <c r="E21" s="10" t="s">
        <v>1309</v>
      </c>
      <c r="F21" s="10">
        <v>1</v>
      </c>
    </row>
    <row r="22" spans="5:9">
      <c r="E22" s="10" t="s">
        <v>1310</v>
      </c>
      <c r="F22" s="10">
        <v>1</v>
      </c>
    </row>
    <row r="23" spans="5:9">
      <c r="E23" s="10" t="s">
        <v>1311</v>
      </c>
      <c r="F23" s="10">
        <v>1</v>
      </c>
    </row>
    <row r="24" spans="5:9">
      <c r="E24" s="10" t="s">
        <v>1312</v>
      </c>
      <c r="F24" s="10">
        <v>1</v>
      </c>
    </row>
    <row r="25" spans="5:9">
      <c r="E25" s="10" t="s">
        <v>1313</v>
      </c>
      <c r="F25" s="10">
        <v>1</v>
      </c>
    </row>
    <row r="26" spans="5:9">
      <c r="E26" s="10" t="s">
        <v>1314</v>
      </c>
      <c r="F26" s="10">
        <v>1</v>
      </c>
    </row>
    <row r="27" spans="5:9">
      <c r="E27" s="10" t="s">
        <v>1315</v>
      </c>
      <c r="F27" s="10">
        <v>2</v>
      </c>
    </row>
    <row r="28" spans="5:9">
      <c r="E28" s="10" t="s">
        <v>1316</v>
      </c>
      <c r="F28" s="10">
        <v>1</v>
      </c>
    </row>
    <row r="29" spans="5:9">
      <c r="E29" s="10" t="s">
        <v>1317</v>
      </c>
      <c r="F29" s="10">
        <v>1</v>
      </c>
    </row>
    <row r="30" spans="5:9">
      <c r="E30" s="10" t="s">
        <v>1318</v>
      </c>
      <c r="F30" s="10" t="s">
        <v>1319</v>
      </c>
    </row>
    <row r="31" spans="5:9">
      <c r="E31" s="10" t="s">
        <v>1320</v>
      </c>
    </row>
    <row r="32" spans="5:9">
      <c r="E32" s="10" t="s">
        <v>1321</v>
      </c>
      <c r="F32" s="10" t="s">
        <v>1322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3:I84"/>
  <sheetViews>
    <sheetView workbookViewId="0"/>
  </sheetViews>
  <sheetFormatPr defaultRowHeight="13.3"/>
  <sheetData>
    <row r="3" spans="2:9">
      <c r="B3" s="400" t="s">
        <v>1323</v>
      </c>
      <c r="C3" s="11" t="s">
        <v>315</v>
      </c>
    </row>
    <row r="5" spans="2:9">
      <c r="B5" s="318" t="s">
        <v>1324</v>
      </c>
    </row>
    <row r="6" spans="2:9" ht="38.799999999999997">
      <c r="B6" s="263" t="s">
        <v>1325</v>
      </c>
      <c r="C6" s="254" t="s">
        <v>1326</v>
      </c>
    </row>
    <row r="9" spans="2:9">
      <c r="B9" s="10" t="s">
        <v>1327</v>
      </c>
    </row>
    <row r="11" spans="2:9">
      <c r="B11" s="401" t="s">
        <v>1328</v>
      </c>
      <c r="C11" s="115" t="s">
        <v>1329</v>
      </c>
      <c r="D11" s="115" t="s">
        <v>1330</v>
      </c>
      <c r="E11" s="115" t="s">
        <v>1331</v>
      </c>
      <c r="F11" s="401" t="s">
        <v>1332</v>
      </c>
      <c r="G11" s="401" t="s">
        <v>1333</v>
      </c>
      <c r="H11" s="401" t="s">
        <v>1334</v>
      </c>
      <c r="I11" s="401" t="s">
        <v>1335</v>
      </c>
    </row>
    <row r="12" spans="2:9">
      <c r="B12" s="10">
        <v>278</v>
      </c>
      <c r="C12" s="10">
        <v>288</v>
      </c>
      <c r="D12" s="10">
        <v>272</v>
      </c>
      <c r="F12" s="10">
        <v>250</v>
      </c>
      <c r="G12" s="10">
        <v>344</v>
      </c>
      <c r="H12" s="10">
        <v>290</v>
      </c>
      <c r="I12" s="10">
        <v>332</v>
      </c>
    </row>
    <row r="13" spans="2:9">
      <c r="B13" s="10">
        <v>309</v>
      </c>
      <c r="C13" s="10">
        <v>248</v>
      </c>
      <c r="D13" s="10">
        <v>271</v>
      </c>
      <c r="E13" s="11">
        <v>2500</v>
      </c>
      <c r="F13" s="10">
        <v>239</v>
      </c>
      <c r="G13" s="10">
        <v>207</v>
      </c>
      <c r="H13" s="10">
        <v>301</v>
      </c>
      <c r="I13" s="10">
        <v>267</v>
      </c>
    </row>
    <row r="14" spans="2:9">
      <c r="B14" s="10">
        <v>319</v>
      </c>
      <c r="C14" s="10">
        <v>261</v>
      </c>
      <c r="D14" s="10">
        <v>324</v>
      </c>
      <c r="E14" s="10">
        <v>243</v>
      </c>
      <c r="F14" s="10">
        <v>232</v>
      </c>
      <c r="G14" s="10">
        <v>157</v>
      </c>
      <c r="H14" s="10">
        <v>258</v>
      </c>
      <c r="I14" s="10">
        <v>303</v>
      </c>
    </row>
    <row r="15" spans="2:9">
      <c r="B15" s="10">
        <v>223</v>
      </c>
      <c r="C15" s="10">
        <v>254</v>
      </c>
      <c r="D15" s="10">
        <v>301</v>
      </c>
      <c r="E15" s="11">
        <v>2500</v>
      </c>
      <c r="F15" s="10">
        <v>207</v>
      </c>
      <c r="G15" s="10">
        <v>204</v>
      </c>
      <c r="H15" s="10">
        <v>418</v>
      </c>
      <c r="I15" s="10">
        <v>240</v>
      </c>
    </row>
    <row r="16" spans="2:9">
      <c r="B16" s="10">
        <v>240</v>
      </c>
      <c r="C16" s="10">
        <v>207</v>
      </c>
      <c r="D16" s="10">
        <v>229</v>
      </c>
      <c r="E16" s="10">
        <v>500</v>
      </c>
      <c r="F16" s="10">
        <v>305</v>
      </c>
      <c r="G16" s="10">
        <v>200</v>
      </c>
      <c r="H16" s="10">
        <v>280</v>
      </c>
      <c r="I16" s="10">
        <v>215</v>
      </c>
    </row>
    <row r="17" spans="2:9">
      <c r="B17" s="10">
        <v>253</v>
      </c>
      <c r="C17" s="10">
        <v>205</v>
      </c>
      <c r="D17" s="10">
        <v>242</v>
      </c>
      <c r="E17" s="10">
        <v>200</v>
      </c>
      <c r="F17" s="10">
        <v>245</v>
      </c>
      <c r="G17" s="10">
        <v>240</v>
      </c>
      <c r="H17" s="10">
        <v>366</v>
      </c>
      <c r="I17" s="10">
        <v>421</v>
      </c>
    </row>
    <row r="18" spans="2:9">
      <c r="B18" s="402">
        <v>2309</v>
      </c>
      <c r="C18" s="10">
        <v>251</v>
      </c>
      <c r="D18" s="10">
        <v>257</v>
      </c>
      <c r="E18" s="10">
        <v>237</v>
      </c>
      <c r="F18" s="10">
        <v>243</v>
      </c>
      <c r="G18" s="10">
        <v>195</v>
      </c>
      <c r="I18" s="10">
        <v>200</v>
      </c>
    </row>
    <row r="19" spans="2:9">
      <c r="B19" s="10">
        <v>244</v>
      </c>
      <c r="C19" s="403">
        <v>1310</v>
      </c>
      <c r="D19" s="10">
        <v>182</v>
      </c>
      <c r="E19" s="10">
        <v>296</v>
      </c>
      <c r="F19" s="10">
        <v>293</v>
      </c>
      <c r="G19" s="10">
        <v>330</v>
      </c>
      <c r="I19" s="10">
        <v>270</v>
      </c>
    </row>
    <row r="20" spans="2:9">
      <c r="B20" s="10">
        <v>219</v>
      </c>
      <c r="C20" s="10">
        <v>195</v>
      </c>
      <c r="D20" s="10">
        <v>196</v>
      </c>
      <c r="E20" s="10">
        <v>207</v>
      </c>
      <c r="F20" s="10">
        <v>191</v>
      </c>
      <c r="G20" s="10">
        <v>206</v>
      </c>
      <c r="I20" s="10">
        <v>376</v>
      </c>
    </row>
    <row r="21" spans="2:9">
      <c r="B21" s="10">
        <v>218</v>
      </c>
      <c r="C21" s="10">
        <v>245</v>
      </c>
      <c r="D21" s="10">
        <v>230</v>
      </c>
      <c r="E21" s="10">
        <v>300</v>
      </c>
      <c r="F21" s="10">
        <v>257</v>
      </c>
      <c r="G21" s="10">
        <v>272</v>
      </c>
      <c r="I21" s="10">
        <v>1800</v>
      </c>
    </row>
    <row r="22" spans="2:9">
      <c r="B22" s="10">
        <v>237</v>
      </c>
      <c r="C22" s="10">
        <v>179</v>
      </c>
      <c r="D22" s="10">
        <v>245</v>
      </c>
      <c r="E22" s="10">
        <v>306</v>
      </c>
      <c r="F22" s="10">
        <v>230</v>
      </c>
      <c r="G22" s="10">
        <v>309</v>
      </c>
      <c r="I22" s="10">
        <v>2500</v>
      </c>
    </row>
    <row r="23" spans="2:9">
      <c r="C23" s="10">
        <v>256</v>
      </c>
      <c r="D23" s="10">
        <v>166</v>
      </c>
      <c r="E23" s="10">
        <v>359</v>
      </c>
      <c r="F23" s="10">
        <v>247</v>
      </c>
      <c r="G23" s="10">
        <v>374</v>
      </c>
    </row>
    <row r="24" spans="2:9">
      <c r="C24" s="10">
        <v>266</v>
      </c>
      <c r="D24" s="10">
        <v>233</v>
      </c>
      <c r="E24" s="10">
        <v>203</v>
      </c>
      <c r="F24" s="10">
        <v>199</v>
      </c>
      <c r="G24" s="10">
        <v>2500</v>
      </c>
      <c r="H24" s="10">
        <v>2500</v>
      </c>
    </row>
    <row r="25" spans="2:9">
      <c r="B25" s="404"/>
      <c r="C25" s="10">
        <v>348</v>
      </c>
      <c r="D25" s="10">
        <v>250</v>
      </c>
      <c r="E25" s="10">
        <v>308</v>
      </c>
      <c r="F25" s="10">
        <v>251</v>
      </c>
    </row>
    <row r="26" spans="2:9">
      <c r="C26" s="10">
        <v>102</v>
      </c>
      <c r="D26" s="10">
        <v>299</v>
      </c>
      <c r="E26" s="10">
        <v>243</v>
      </c>
      <c r="F26" s="10">
        <v>180</v>
      </c>
    </row>
    <row r="27" spans="2:9">
      <c r="C27" s="10">
        <v>358</v>
      </c>
      <c r="D27" s="10">
        <v>232</v>
      </c>
      <c r="F27" s="10">
        <v>2500</v>
      </c>
    </row>
    <row r="28" spans="2:9">
      <c r="C28" s="10">
        <v>222</v>
      </c>
      <c r="D28" s="10">
        <v>263</v>
      </c>
      <c r="I28" s="10">
        <v>450</v>
      </c>
    </row>
    <row r="29" spans="2:9">
      <c r="C29" s="10">
        <v>339</v>
      </c>
      <c r="D29" s="10">
        <v>2500</v>
      </c>
      <c r="E29" s="10">
        <v>2500</v>
      </c>
      <c r="F29" s="10">
        <v>2500</v>
      </c>
      <c r="G29" s="10">
        <v>2500</v>
      </c>
      <c r="H29" s="10">
        <v>2500</v>
      </c>
      <c r="I29" s="10">
        <v>2500</v>
      </c>
    </row>
    <row r="30" spans="2:9">
      <c r="C30" s="10">
        <v>243</v>
      </c>
      <c r="D30" s="10">
        <v>300</v>
      </c>
    </row>
    <row r="31" spans="2:9">
      <c r="C31" s="10">
        <v>216</v>
      </c>
      <c r="D31" s="10">
        <v>2500</v>
      </c>
    </row>
    <row r="32" spans="2:9">
      <c r="B32" s="11">
        <f t="shared" ref="B32:I32" si="0">SUM(B12:B31)</f>
        <v>4849</v>
      </c>
      <c r="C32" s="11">
        <f t="shared" si="0"/>
        <v>5993</v>
      </c>
      <c r="D32" s="11">
        <f t="shared" si="0"/>
        <v>9492</v>
      </c>
      <c r="E32" s="11">
        <f t="shared" si="0"/>
        <v>10902</v>
      </c>
      <c r="F32" s="11">
        <f t="shared" si="0"/>
        <v>8569</v>
      </c>
      <c r="G32" s="11">
        <f t="shared" si="0"/>
        <v>8038</v>
      </c>
      <c r="H32" s="11">
        <f t="shared" si="0"/>
        <v>6913</v>
      </c>
      <c r="I32" s="11">
        <f t="shared" si="0"/>
        <v>9874</v>
      </c>
    </row>
    <row r="34" spans="2:8">
      <c r="B34" s="94" t="s">
        <v>1063</v>
      </c>
      <c r="C34" s="791">
        <f>SUM(B32:I32)</f>
        <v>64630</v>
      </c>
    </row>
    <row r="35" spans="2:8">
      <c r="H35" s="10">
        <f>2500/76.34</f>
        <v>32.748231595493841</v>
      </c>
    </row>
    <row r="38" spans="2:8">
      <c r="B38" s="11" t="s">
        <v>1336</v>
      </c>
      <c r="C38" s="10" t="s">
        <v>1337</v>
      </c>
      <c r="D38" s="10" t="s">
        <v>1338</v>
      </c>
      <c r="E38" s="10" t="s">
        <v>1339</v>
      </c>
      <c r="H38" s="10">
        <v>1800</v>
      </c>
    </row>
    <row r="39" spans="2:8" ht="127.95">
      <c r="B39" s="254" t="s">
        <v>1340</v>
      </c>
      <c r="C39" s="10">
        <v>8149</v>
      </c>
      <c r="D39" s="10">
        <v>5819</v>
      </c>
      <c r="E39" s="10">
        <f>ROUND((SUM(C39-D39)/C39*100),0)</f>
        <v>29</v>
      </c>
      <c r="F39" s="10">
        <f>SUM(C39-D39)</f>
        <v>2330</v>
      </c>
      <c r="H39" s="10">
        <f>2500*5</f>
        <v>12500</v>
      </c>
    </row>
    <row r="40" spans="2:8">
      <c r="H40" s="10">
        <f>SUM(H38:H39)</f>
        <v>14300</v>
      </c>
    </row>
    <row r="41" spans="2:8">
      <c r="B41" s="10" t="s">
        <v>1341</v>
      </c>
      <c r="C41" s="10">
        <v>5789</v>
      </c>
      <c r="D41" s="10">
        <v>4139</v>
      </c>
      <c r="E41" s="10">
        <f>ROUND((SUM(C41-D41)/C41*100),0)</f>
        <v>29</v>
      </c>
      <c r="F41" s="10">
        <f>SUM(C41-D41)</f>
        <v>1650</v>
      </c>
      <c r="H41" s="10">
        <v>34310</v>
      </c>
    </row>
    <row r="42" spans="2:8">
      <c r="H42" s="10">
        <f>SUM(H40:H41)</f>
        <v>48610</v>
      </c>
    </row>
    <row r="43" spans="2:8">
      <c r="B43" s="10" t="s">
        <v>1342</v>
      </c>
      <c r="C43" s="10">
        <v>7879</v>
      </c>
      <c r="D43" s="10">
        <v>5539</v>
      </c>
      <c r="E43" s="10">
        <f>ROUND((SUM(C43-D43)/C43*100),0)</f>
        <v>30</v>
      </c>
      <c r="F43" s="10">
        <f>SUM(C43-D43)</f>
        <v>2340</v>
      </c>
    </row>
    <row r="45" spans="2:8">
      <c r="B45" s="10" t="s">
        <v>1343</v>
      </c>
      <c r="C45" s="10">
        <v>3335</v>
      </c>
      <c r="D45" s="10">
        <v>3210</v>
      </c>
      <c r="E45" s="10">
        <f>ROUND((SUM(C45-D45)/C45*100),0)</f>
        <v>4</v>
      </c>
      <c r="F45" s="10">
        <f>SUM(C45-D45)</f>
        <v>125</v>
      </c>
    </row>
    <row r="47" spans="2:8">
      <c r="B47" s="10" t="s">
        <v>1344</v>
      </c>
      <c r="C47" s="10">
        <v>6414</v>
      </c>
      <c r="D47" s="10">
        <v>5928</v>
      </c>
      <c r="E47" s="10">
        <f>ROUND((SUM(C47-D47)/C47*100),0)</f>
        <v>8</v>
      </c>
      <c r="F47" s="10">
        <f>SUM(C47-D47)</f>
        <v>486</v>
      </c>
      <c r="G47" s="10">
        <f>SUM(D39:D43)</f>
        <v>15497</v>
      </c>
    </row>
    <row r="49" spans="2:6">
      <c r="B49" s="10" t="s">
        <v>1345</v>
      </c>
      <c r="C49" s="10">
        <v>3499</v>
      </c>
      <c r="D49" s="10">
        <v>2484</v>
      </c>
      <c r="E49" s="10">
        <f>ROUND((SUM(C49-D49)/C49*100),0)</f>
        <v>29</v>
      </c>
      <c r="F49" s="10">
        <f>SUM(C49-D49)</f>
        <v>1015</v>
      </c>
    </row>
    <row r="51" spans="2:6">
      <c r="B51" s="10" t="s">
        <v>1346</v>
      </c>
      <c r="D51" s="10">
        <v>6719</v>
      </c>
    </row>
    <row r="53" spans="2:6">
      <c r="B53" s="10" t="s">
        <v>1347</v>
      </c>
      <c r="C53" s="10">
        <v>7948</v>
      </c>
      <c r="D53" s="10">
        <v>7331</v>
      </c>
      <c r="E53" s="10">
        <f>ROUND((SUM(C53-D53)/C53*100),0)</f>
        <v>8</v>
      </c>
      <c r="F53" s="10">
        <f>SUM(C53-D53)</f>
        <v>617</v>
      </c>
    </row>
    <row r="54" spans="2:6">
      <c r="F54" s="10">
        <f>SUM(C54-D54)</f>
        <v>0</v>
      </c>
    </row>
    <row r="55" spans="2:6">
      <c r="B55" s="10" t="s">
        <v>1348</v>
      </c>
      <c r="C55" s="10">
        <v>4409</v>
      </c>
      <c r="D55" s="10">
        <v>3149</v>
      </c>
      <c r="E55" s="10">
        <f>ROUND((SUM(C55-D55)/C55*100),0)</f>
        <v>29</v>
      </c>
      <c r="F55" s="10">
        <f>SUM(C55-D55)</f>
        <v>1260</v>
      </c>
    </row>
    <row r="57" spans="2:6">
      <c r="B57" s="10" t="s">
        <v>1349</v>
      </c>
      <c r="C57" s="10">
        <v>4137</v>
      </c>
      <c r="D57" s="10">
        <v>3262</v>
      </c>
      <c r="E57" s="10">
        <f>ROUND((SUM(C57-D57)/C57*100),0)</f>
        <v>21</v>
      </c>
      <c r="F57" s="10">
        <f>SUM(C57-D57)</f>
        <v>875</v>
      </c>
    </row>
    <row r="59" spans="2:6">
      <c r="B59" s="10" t="s">
        <v>1350</v>
      </c>
      <c r="C59" s="10">
        <v>7500</v>
      </c>
      <c r="D59" s="10">
        <v>7244</v>
      </c>
      <c r="E59" s="10">
        <f>ROUND((SUM(C59-D59)/C59*100),0)</f>
        <v>3</v>
      </c>
      <c r="F59" s="10">
        <f>SUM(C59-D59)</f>
        <v>256</v>
      </c>
    </row>
    <row r="61" spans="2:6">
      <c r="D61" s="11">
        <f>SUM(D39:D59)</f>
        <v>54824</v>
      </c>
    </row>
    <row r="68" spans="2:5" ht="274.75">
      <c r="B68" s="405" t="s">
        <v>1351</v>
      </c>
      <c r="D68" s="10">
        <v>4999</v>
      </c>
      <c r="E68" s="10">
        <f>SUM(D68*2)</f>
        <v>9998</v>
      </c>
    </row>
    <row r="69" spans="2:5" ht="291.89999999999998">
      <c r="B69" s="405" t="s">
        <v>1352</v>
      </c>
      <c r="D69" s="10">
        <v>4999</v>
      </c>
    </row>
    <row r="71" spans="2:5" ht="171.7">
      <c r="B71" s="405" t="s">
        <v>1353</v>
      </c>
      <c r="D71" s="10">
        <v>2099</v>
      </c>
      <c r="E71" s="10">
        <f>SUM(D71*4)</f>
        <v>8396</v>
      </c>
    </row>
    <row r="72" spans="2:5" ht="17.2">
      <c r="B72" s="405"/>
    </row>
    <row r="73" spans="2:5" ht="188.9">
      <c r="B73" s="405" t="s">
        <v>1354</v>
      </c>
      <c r="D73" s="10">
        <v>9599</v>
      </c>
      <c r="E73" s="10">
        <v>9599</v>
      </c>
    </row>
    <row r="74" spans="2:5" ht="257.55">
      <c r="B74" s="405" t="s">
        <v>1355</v>
      </c>
      <c r="D74" s="10">
        <v>6499</v>
      </c>
      <c r="E74" s="10">
        <v>6499</v>
      </c>
    </row>
    <row r="77" spans="2:5" ht="89.75">
      <c r="B77" s="254" t="s">
        <v>1356</v>
      </c>
      <c r="D77" s="10">
        <v>6599</v>
      </c>
    </row>
    <row r="84" spans="2:2" ht="409.6">
      <c r="B84" s="406" t="s">
        <v>1357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D7:N39"/>
  <sheetViews>
    <sheetView topLeftCell="D1" workbookViewId="0"/>
  </sheetViews>
  <sheetFormatPr defaultRowHeight="13.3"/>
  <sheetData>
    <row r="7" spans="4:14">
      <c r="D7" s="11" t="s">
        <v>1358</v>
      </c>
      <c r="I7" s="11" t="s">
        <v>1359</v>
      </c>
    </row>
    <row r="8" spans="4:14">
      <c r="E8" s="10" t="s">
        <v>1360</v>
      </c>
      <c r="F8" s="10" t="s">
        <v>1361</v>
      </c>
    </row>
    <row r="9" spans="4:14">
      <c r="D9" s="10" t="s">
        <v>1215</v>
      </c>
      <c r="E9" s="10">
        <v>100000</v>
      </c>
      <c r="F9" s="10">
        <f t="shared" ref="F9:F19" si="0">SUM(12*E9)</f>
        <v>1200000</v>
      </c>
      <c r="I9" s="10" t="s">
        <v>1215</v>
      </c>
      <c r="J9" s="10">
        <v>70000</v>
      </c>
      <c r="K9" s="10" t="s">
        <v>1362</v>
      </c>
      <c r="N9" s="10">
        <f>35000*12</f>
        <v>420000</v>
      </c>
    </row>
    <row r="10" spans="4:14">
      <c r="D10" s="10" t="s">
        <v>1363</v>
      </c>
      <c r="E10" s="10">
        <v>50000</v>
      </c>
      <c r="F10" s="10">
        <f t="shared" si="0"/>
        <v>600000</v>
      </c>
      <c r="I10" s="10" t="s">
        <v>1363</v>
      </c>
      <c r="J10" s="10">
        <v>56000</v>
      </c>
    </row>
    <row r="11" spans="4:14">
      <c r="D11" s="10" t="s">
        <v>1364</v>
      </c>
      <c r="E11" s="10">
        <v>73200</v>
      </c>
      <c r="F11" s="10">
        <f t="shared" si="0"/>
        <v>878400</v>
      </c>
      <c r="I11" s="10" t="s">
        <v>1365</v>
      </c>
      <c r="J11" s="10">
        <v>24375</v>
      </c>
    </row>
    <row r="12" spans="4:14">
      <c r="D12" s="10" t="s">
        <v>1366</v>
      </c>
      <c r="E12" s="10">
        <v>1800</v>
      </c>
      <c r="F12" s="10">
        <f t="shared" si="0"/>
        <v>21600</v>
      </c>
      <c r="I12" s="11" t="s">
        <v>1367</v>
      </c>
      <c r="J12" s="10">
        <v>139399</v>
      </c>
      <c r="N12" s="10">
        <f>56000*12</f>
        <v>672000</v>
      </c>
    </row>
    <row r="13" spans="4:14">
      <c r="D13" s="10" t="s">
        <v>1368</v>
      </c>
      <c r="E13" s="10">
        <v>16667</v>
      </c>
      <c r="F13" s="10">
        <f t="shared" si="0"/>
        <v>200004</v>
      </c>
      <c r="I13" s="10" t="s">
        <v>1369</v>
      </c>
    </row>
    <row r="14" spans="4:14">
      <c r="D14" s="11" t="s">
        <v>1370</v>
      </c>
      <c r="F14" s="10">
        <f t="shared" si="0"/>
        <v>0</v>
      </c>
      <c r="I14" s="10" t="s">
        <v>1371</v>
      </c>
    </row>
    <row r="15" spans="4:14">
      <c r="D15" s="10" t="s">
        <v>1372</v>
      </c>
      <c r="E15" s="10">
        <v>8000</v>
      </c>
      <c r="F15" s="10">
        <f t="shared" si="0"/>
        <v>96000</v>
      </c>
      <c r="I15" s="10" t="s">
        <v>1373</v>
      </c>
    </row>
    <row r="16" spans="4:14">
      <c r="D16" s="10" t="s">
        <v>1374</v>
      </c>
      <c r="E16" s="10">
        <v>3500</v>
      </c>
      <c r="F16" s="10">
        <f t="shared" si="0"/>
        <v>42000</v>
      </c>
    </row>
    <row r="17" spans="4:10">
      <c r="D17" s="10" t="s">
        <v>1375</v>
      </c>
      <c r="E17" s="10">
        <v>3500</v>
      </c>
      <c r="F17" s="10">
        <f t="shared" si="0"/>
        <v>42000</v>
      </c>
    </row>
    <row r="18" spans="4:10">
      <c r="D18" s="10" t="s">
        <v>1376</v>
      </c>
      <c r="E18" s="10">
        <v>3500</v>
      </c>
      <c r="F18" s="10">
        <f t="shared" si="0"/>
        <v>42000</v>
      </c>
    </row>
    <row r="19" spans="4:10">
      <c r="D19" s="10" t="s">
        <v>1377</v>
      </c>
      <c r="E19" s="10">
        <v>5000</v>
      </c>
      <c r="F19" s="10">
        <f t="shared" si="0"/>
        <v>60000</v>
      </c>
    </row>
    <row r="20" spans="4:10">
      <c r="D20" s="10" t="s">
        <v>1378</v>
      </c>
    </row>
    <row r="24" spans="4:10">
      <c r="I24" s="10" t="s">
        <v>1379</v>
      </c>
      <c r="J24" s="11">
        <f>SUM(J9:J12)</f>
        <v>289774</v>
      </c>
    </row>
    <row r="25" spans="4:10">
      <c r="I25" s="10" t="s">
        <v>1380</v>
      </c>
      <c r="J25" s="11">
        <f>SUM(J24*12)</f>
        <v>3477288</v>
      </c>
    </row>
    <row r="26" spans="4:10">
      <c r="I26" s="10" t="s">
        <v>1381</v>
      </c>
      <c r="J26" s="10">
        <v>100800</v>
      </c>
    </row>
    <row r="27" spans="4:10">
      <c r="I27" s="10" t="s">
        <v>1382</v>
      </c>
      <c r="J27" s="10">
        <v>26008</v>
      </c>
    </row>
    <row r="28" spans="4:10">
      <c r="I28" s="10" t="s">
        <v>163</v>
      </c>
      <c r="J28" s="10">
        <v>3422</v>
      </c>
    </row>
    <row r="29" spans="4:10">
      <c r="I29" s="10" t="s">
        <v>1383</v>
      </c>
      <c r="J29" s="11">
        <f>SUM(J26:J28)</f>
        <v>130230</v>
      </c>
    </row>
    <row r="30" spans="4:10">
      <c r="I30" s="10" t="s">
        <v>1384</v>
      </c>
      <c r="J30" s="11">
        <f>SUM(J25,J29)</f>
        <v>3607518</v>
      </c>
    </row>
    <row r="31" spans="4:10">
      <c r="I31" s="10" t="s">
        <v>1385</v>
      </c>
      <c r="J31" s="10">
        <f>24375*12</f>
        <v>292500</v>
      </c>
    </row>
    <row r="32" spans="4:10">
      <c r="J32" s="10">
        <f>SUM(J30:J31)</f>
        <v>3900018</v>
      </c>
    </row>
    <row r="36" spans="9:9">
      <c r="I36" s="10"/>
    </row>
    <row r="37" spans="9:9">
      <c r="I37" s="10"/>
    </row>
    <row r="39" spans="9:9">
      <c r="I3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102"/>
  <sheetViews>
    <sheetView topLeftCell="A104" zoomScale="90" zoomScaleNormal="90" workbookViewId="0">
      <selection activeCell="F45" sqref="F45"/>
    </sheetView>
  </sheetViews>
  <sheetFormatPr defaultRowHeight="13.3"/>
  <cols>
    <col min="2" max="2" width="150.109375" bestFit="1" customWidth="1"/>
    <col min="3" max="3" width="17" bestFit="1" customWidth="1"/>
    <col min="4" max="4" width="25.5546875" bestFit="1" customWidth="1"/>
    <col min="5" max="5" width="19.33203125" bestFit="1" customWidth="1"/>
    <col min="6" max="6" width="16.44140625" style="957" bestFit="1" customWidth="1"/>
    <col min="7" max="7" width="23.44140625" bestFit="1" customWidth="1"/>
    <col min="8" max="8" width="17" bestFit="1" customWidth="1"/>
    <col min="9" max="9" width="19.33203125" bestFit="1" customWidth="1"/>
    <col min="10" max="10" width="26.88671875" bestFit="1" customWidth="1"/>
    <col min="13" max="13" width="11.33203125" bestFit="1" customWidth="1"/>
  </cols>
  <sheetData>
    <row r="2" spans="1:10">
      <c r="A2" s="119" t="s">
        <v>123</v>
      </c>
      <c r="B2" s="90" t="s">
        <v>124</v>
      </c>
      <c r="C2" s="120" t="s">
        <v>125</v>
      </c>
      <c r="D2" s="120" t="s">
        <v>126</v>
      </c>
      <c r="E2" s="91" t="s">
        <v>121</v>
      </c>
      <c r="F2" s="933" t="s">
        <v>127</v>
      </c>
      <c r="G2" s="121" t="s">
        <v>128</v>
      </c>
      <c r="H2" s="119" t="s">
        <v>129</v>
      </c>
      <c r="I2" s="119" t="s">
        <v>130</v>
      </c>
      <c r="J2" s="119" t="s">
        <v>131</v>
      </c>
    </row>
    <row r="3" spans="1:10" ht="20.5">
      <c r="A3" s="122"/>
      <c r="B3" s="123" t="s">
        <v>132</v>
      </c>
      <c r="C3" s="124"/>
      <c r="D3" s="124"/>
      <c r="E3" s="125"/>
      <c r="F3" s="934"/>
      <c r="G3" s="126"/>
      <c r="H3" s="127"/>
      <c r="I3" s="128"/>
      <c r="J3" s="128"/>
    </row>
    <row r="4" spans="1:10">
      <c r="A4" s="122">
        <v>1</v>
      </c>
      <c r="B4" s="129" t="s">
        <v>133</v>
      </c>
      <c r="C4" s="124"/>
      <c r="D4" s="124"/>
      <c r="E4" s="125" t="s">
        <v>1524</v>
      </c>
      <c r="F4" s="935">
        <v>4295720</v>
      </c>
      <c r="G4" s="126" t="s">
        <v>1999</v>
      </c>
      <c r="H4" s="127"/>
      <c r="I4" s="128"/>
      <c r="J4" s="128"/>
    </row>
    <row r="5" spans="1:10">
      <c r="A5" s="122">
        <v>2</v>
      </c>
      <c r="B5" s="130" t="s">
        <v>136</v>
      </c>
      <c r="C5" s="124"/>
      <c r="D5" s="124"/>
      <c r="E5" s="125" t="s">
        <v>1281</v>
      </c>
      <c r="F5" s="935">
        <v>1010949</v>
      </c>
      <c r="G5" s="126" t="s">
        <v>1999</v>
      </c>
      <c r="H5" s="127"/>
      <c r="I5" s="128"/>
      <c r="J5" s="128"/>
    </row>
    <row r="6" spans="1:10">
      <c r="A6" s="122">
        <v>3</v>
      </c>
      <c r="B6" s="130" t="s">
        <v>137</v>
      </c>
      <c r="C6" s="124"/>
      <c r="D6" s="124"/>
      <c r="E6" s="1002" t="s">
        <v>1280</v>
      </c>
      <c r="F6" s="1006">
        <v>1031969</v>
      </c>
      <c r="G6" s="126" t="s">
        <v>1999</v>
      </c>
      <c r="H6" s="127"/>
      <c r="I6" s="128"/>
      <c r="J6" s="128"/>
    </row>
    <row r="7" spans="1:10">
      <c r="A7" s="122"/>
      <c r="B7" s="543" t="s">
        <v>1523</v>
      </c>
      <c r="C7" s="124"/>
      <c r="D7" s="1000"/>
      <c r="E7" s="1011" t="s">
        <v>1523</v>
      </c>
      <c r="F7" s="1012">
        <f>SUM(F4:F6)</f>
        <v>6338638</v>
      </c>
      <c r="G7" s="1001"/>
      <c r="H7" s="127"/>
      <c r="I7" s="128"/>
      <c r="J7" s="128"/>
    </row>
    <row r="8" spans="1:10">
      <c r="A8" s="122"/>
      <c r="B8" s="129"/>
      <c r="C8" s="124"/>
      <c r="D8" s="124"/>
      <c r="E8" s="1004"/>
      <c r="F8" s="1007"/>
      <c r="G8" s="126"/>
      <c r="H8" s="127"/>
      <c r="I8" s="128"/>
      <c r="J8" s="128"/>
    </row>
    <row r="9" spans="1:10">
      <c r="A9" s="122">
        <v>4</v>
      </c>
      <c r="B9" s="132" t="s">
        <v>1909</v>
      </c>
      <c r="C9" s="124"/>
      <c r="D9" s="124"/>
      <c r="E9" s="125"/>
      <c r="F9" s="935"/>
      <c r="G9" s="126"/>
      <c r="H9" s="127"/>
      <c r="I9" s="128"/>
      <c r="J9" s="128"/>
    </row>
    <row r="10" spans="1:10">
      <c r="A10" s="122"/>
      <c r="B10" s="545" t="s">
        <v>1525</v>
      </c>
      <c r="C10" s="520" t="s">
        <v>1495</v>
      </c>
      <c r="D10" s="124"/>
      <c r="E10" s="125" t="s">
        <v>1567</v>
      </c>
      <c r="F10" s="934">
        <v>3536530</v>
      </c>
      <c r="G10" s="126" t="s">
        <v>2016</v>
      </c>
      <c r="H10" s="127"/>
      <c r="I10" s="128"/>
      <c r="J10" s="128"/>
    </row>
    <row r="11" spans="1:10">
      <c r="A11" s="122"/>
      <c r="B11" s="545" t="s">
        <v>1526</v>
      </c>
      <c r="C11" s="520" t="s">
        <v>1495</v>
      </c>
      <c r="D11" s="124"/>
      <c r="E11" s="1002" t="s">
        <v>1568</v>
      </c>
      <c r="F11" s="1003">
        <v>2392924</v>
      </c>
      <c r="G11" s="126"/>
      <c r="H11" s="127"/>
      <c r="I11" s="128"/>
      <c r="J11" s="128"/>
    </row>
    <row r="12" spans="1:10">
      <c r="A12" s="122"/>
      <c r="B12" s="130" t="s">
        <v>1527</v>
      </c>
      <c r="C12" s="131"/>
      <c r="D12" s="1000"/>
      <c r="E12" s="1011" t="s">
        <v>32</v>
      </c>
      <c r="F12" s="1012">
        <f>SUM(F10:F11)</f>
        <v>5929454</v>
      </c>
      <c r="G12" s="1001"/>
      <c r="H12" s="127"/>
      <c r="I12" s="128"/>
      <c r="J12" s="128"/>
    </row>
    <row r="13" spans="1:10">
      <c r="A13" s="122"/>
      <c r="B13" s="130"/>
      <c r="C13" s="131"/>
      <c r="D13" s="124"/>
      <c r="E13" s="1008"/>
      <c r="F13" s="1009"/>
      <c r="G13" s="126"/>
      <c r="H13" s="127"/>
      <c r="I13" s="128"/>
      <c r="J13" s="128"/>
    </row>
    <row r="14" spans="1:10">
      <c r="A14" s="544">
        <v>5</v>
      </c>
      <c r="B14" s="132" t="s">
        <v>134</v>
      </c>
      <c r="C14" s="124"/>
      <c r="D14" s="1000" t="s">
        <v>135</v>
      </c>
      <c r="E14" s="1013">
        <v>773456</v>
      </c>
      <c r="F14" s="1012">
        <v>950000</v>
      </c>
      <c r="G14" s="1001" t="s">
        <v>2011</v>
      </c>
      <c r="H14" s="958"/>
      <c r="I14" s="128"/>
      <c r="J14" s="128"/>
    </row>
    <row r="15" spans="1:10">
      <c r="A15" s="122"/>
      <c r="B15" s="978" t="s">
        <v>1929</v>
      </c>
      <c r="C15" s="124"/>
      <c r="D15" s="133" t="s">
        <v>1930</v>
      </c>
      <c r="E15" s="1010"/>
      <c r="F15" s="1005"/>
      <c r="G15" s="959">
        <f>SUM(F14-E14)</f>
        <v>176544</v>
      </c>
      <c r="H15" s="127"/>
      <c r="I15" s="128"/>
      <c r="J15" s="128"/>
    </row>
    <row r="16" spans="1:10">
      <c r="A16" s="122"/>
      <c r="B16" s="134" t="s">
        <v>1992</v>
      </c>
      <c r="C16" s="124"/>
      <c r="D16" s="124"/>
      <c r="E16" s="125"/>
      <c r="F16" s="934"/>
      <c r="G16" s="126"/>
      <c r="H16" s="127"/>
      <c r="I16" s="128"/>
      <c r="J16" s="128"/>
    </row>
    <row r="17" spans="1:10">
      <c r="A17" s="122"/>
      <c r="B17" s="134"/>
      <c r="C17" s="124"/>
      <c r="D17" s="124"/>
      <c r="E17" s="125"/>
      <c r="F17" s="934"/>
      <c r="G17" s="126"/>
      <c r="H17" s="127"/>
      <c r="I17" s="128"/>
      <c r="J17" s="128"/>
    </row>
    <row r="18" spans="1:10">
      <c r="A18" s="544">
        <v>6</v>
      </c>
      <c r="B18" s="919" t="s">
        <v>1910</v>
      </c>
      <c r="C18" s="124"/>
      <c r="D18" s="124"/>
      <c r="E18" s="125"/>
      <c r="F18" s="1014">
        <f>SUM(90836*(15/26)*5)</f>
        <v>262026.92307692306</v>
      </c>
      <c r="G18" s="126" t="s">
        <v>1912</v>
      </c>
      <c r="H18" s="127"/>
      <c r="I18" s="128"/>
      <c r="J18" s="128"/>
    </row>
    <row r="19" spans="1:10" ht="17.75">
      <c r="A19" s="122"/>
      <c r="B19" s="134" t="s">
        <v>1911</v>
      </c>
      <c r="C19" s="124"/>
      <c r="D19" s="124"/>
      <c r="E19" s="125"/>
      <c r="F19" s="934"/>
      <c r="G19" s="127"/>
      <c r="H19" s="127"/>
      <c r="I19" s="522">
        <f>SUM(F23,F45,F52,F57)</f>
        <v>10561809.550000001</v>
      </c>
      <c r="J19" s="522">
        <f>SUM(F7,F12,F14, F18, F20)</f>
        <v>13616372.923076924</v>
      </c>
    </row>
    <row r="20" spans="1:10" ht="17.75">
      <c r="A20" s="544">
        <v>7</v>
      </c>
      <c r="B20" s="919" t="s">
        <v>1914</v>
      </c>
      <c r="C20" s="124"/>
      <c r="D20" s="124"/>
      <c r="E20" s="125"/>
      <c r="F20" s="1014">
        <f>SUM(90836/30)*45</f>
        <v>136254</v>
      </c>
      <c r="G20" s="926"/>
      <c r="H20" s="127"/>
      <c r="I20" s="522"/>
      <c r="J20" s="522"/>
    </row>
    <row r="21" spans="1:10" ht="17.75">
      <c r="A21" s="122"/>
      <c r="B21" s="134" t="s">
        <v>1915</v>
      </c>
      <c r="C21" s="124"/>
      <c r="D21" s="124"/>
      <c r="E21" s="125"/>
      <c r="F21" s="934"/>
      <c r="G21" s="926"/>
      <c r="H21" s="127"/>
      <c r="I21" s="522"/>
      <c r="J21" s="522"/>
    </row>
    <row r="22" spans="1:10" ht="20.5">
      <c r="A22" s="135"/>
      <c r="B22" s="136" t="s">
        <v>138</v>
      </c>
      <c r="C22" s="137"/>
      <c r="D22" s="137"/>
      <c r="E22" s="138"/>
      <c r="F22" s="936"/>
      <c r="G22" s="139"/>
      <c r="H22" s="140"/>
      <c r="I22" s="141"/>
      <c r="J22" s="141"/>
    </row>
    <row r="23" spans="1:10">
      <c r="A23" s="135">
        <v>1</v>
      </c>
      <c r="B23" s="864" t="s">
        <v>1721</v>
      </c>
      <c r="C23" s="137">
        <v>43919</v>
      </c>
      <c r="D23" s="137">
        <v>46110</v>
      </c>
      <c r="E23" s="142">
        <v>79512</v>
      </c>
      <c r="F23" s="937">
        <v>97914</v>
      </c>
      <c r="G23" s="142"/>
      <c r="H23" s="140">
        <f ca="1">DAYS360(NOW(),D23)+4</f>
        <v>211</v>
      </c>
      <c r="I23" s="141"/>
      <c r="J23" s="141"/>
    </row>
    <row r="24" spans="1:10">
      <c r="A24" s="135"/>
      <c r="B24" s="143" t="s">
        <v>139</v>
      </c>
      <c r="C24" s="137"/>
      <c r="D24" s="137"/>
      <c r="E24" s="138"/>
      <c r="F24" s="936"/>
      <c r="G24" s="139"/>
      <c r="H24" s="140"/>
      <c r="I24" s="141"/>
      <c r="J24" s="141"/>
    </row>
    <row r="25" spans="1:10">
      <c r="A25" s="135"/>
      <c r="B25" s="143"/>
      <c r="C25" s="137"/>
      <c r="D25" s="137"/>
      <c r="E25" s="138"/>
      <c r="F25" s="936"/>
      <c r="G25" s="139"/>
      <c r="H25" s="140"/>
      <c r="I25" s="141"/>
      <c r="J25" s="141"/>
    </row>
    <row r="26" spans="1:10">
      <c r="A26" s="135"/>
      <c r="B26" s="144" t="s">
        <v>140</v>
      </c>
      <c r="C26" s="137"/>
      <c r="D26" s="137"/>
      <c r="E26" s="138"/>
      <c r="F26" s="936"/>
      <c r="G26" s="139"/>
      <c r="H26" s="140"/>
      <c r="I26" s="141"/>
      <c r="J26" s="141"/>
    </row>
    <row r="27" spans="1:10">
      <c r="A27" s="135"/>
      <c r="B27" s="144" t="s">
        <v>141</v>
      </c>
      <c r="C27" s="137"/>
      <c r="D27" s="137"/>
      <c r="E27" s="138"/>
      <c r="F27" s="936"/>
      <c r="G27" s="139"/>
      <c r="H27" s="140"/>
      <c r="I27" s="141"/>
      <c r="J27" s="141">
        <f>SUM(F7,F12,F14, F18, F20)</f>
        <v>13616372.923076924</v>
      </c>
    </row>
    <row r="28" spans="1:10">
      <c r="A28" s="135"/>
      <c r="B28" s="145" t="s">
        <v>142</v>
      </c>
      <c r="C28" s="137"/>
      <c r="D28" s="137"/>
      <c r="E28" s="138"/>
      <c r="F28" s="937"/>
      <c r="G28" s="138"/>
      <c r="H28" s="140"/>
      <c r="I28" s="141"/>
      <c r="J28" s="141"/>
    </row>
    <row r="29" spans="1:10" ht="26.6">
      <c r="A29" s="135"/>
      <c r="B29" s="867" t="s">
        <v>143</v>
      </c>
      <c r="C29" s="137"/>
      <c r="D29" s="137"/>
      <c r="E29" s="138"/>
      <c r="F29" s="937"/>
      <c r="G29" s="138"/>
      <c r="H29" s="140"/>
      <c r="I29" s="141"/>
      <c r="J29" s="141"/>
    </row>
    <row r="30" spans="1:10">
      <c r="A30" s="865"/>
      <c r="B30" s="869" t="s">
        <v>1722</v>
      </c>
      <c r="C30" s="866"/>
      <c r="D30" s="137"/>
      <c r="E30" s="138"/>
      <c r="F30" s="937"/>
      <c r="G30" s="138"/>
      <c r="H30" s="140"/>
      <c r="I30" s="141"/>
      <c r="J30" s="141"/>
    </row>
    <row r="31" spans="1:10">
      <c r="A31" s="865"/>
      <c r="B31" s="869" t="s">
        <v>1723</v>
      </c>
      <c r="C31" s="866"/>
      <c r="D31" s="137"/>
      <c r="E31" s="138"/>
      <c r="F31" s="937"/>
      <c r="G31" s="138"/>
      <c r="H31" s="140"/>
      <c r="I31" s="141"/>
      <c r="J31" s="141"/>
    </row>
    <row r="32" spans="1:10">
      <c r="A32" s="865"/>
      <c r="B32" s="869" t="s">
        <v>1724</v>
      </c>
      <c r="C32" s="866"/>
      <c r="D32" s="137"/>
      <c r="E32" s="138"/>
      <c r="F32" s="937"/>
      <c r="G32" s="146"/>
      <c r="H32" s="140"/>
      <c r="I32" s="141"/>
      <c r="J32" s="141"/>
    </row>
    <row r="33" spans="1:10">
      <c r="A33" s="865"/>
      <c r="B33" s="869" t="s">
        <v>1725</v>
      </c>
      <c r="C33" s="866"/>
      <c r="D33" s="137"/>
      <c r="E33" s="138"/>
      <c r="F33" s="937"/>
      <c r="G33" s="146"/>
      <c r="H33" s="140"/>
      <c r="I33" s="141"/>
      <c r="J33" s="141"/>
    </row>
    <row r="34" spans="1:10">
      <c r="A34" s="865"/>
      <c r="B34" s="869" t="s">
        <v>1933</v>
      </c>
      <c r="C34" s="866"/>
      <c r="D34" s="137"/>
      <c r="E34" s="138"/>
      <c r="F34" s="937"/>
      <c r="G34" s="146"/>
      <c r="H34" s="140"/>
      <c r="I34" s="141"/>
      <c r="J34" s="141"/>
    </row>
    <row r="35" spans="1:10">
      <c r="A35" s="135"/>
      <c r="B35" s="868" t="s">
        <v>144</v>
      </c>
      <c r="C35" s="148"/>
      <c r="D35" s="148"/>
      <c r="E35" s="118"/>
      <c r="F35" s="938"/>
      <c r="G35" s="149"/>
      <c r="H35" s="150"/>
      <c r="I35" s="151"/>
      <c r="J35" s="151"/>
    </row>
    <row r="36" spans="1:10">
      <c r="A36" s="135">
        <v>1</v>
      </c>
      <c r="B36" s="662" t="s">
        <v>1564</v>
      </c>
      <c r="C36" s="148">
        <v>45209</v>
      </c>
      <c r="D36" s="148">
        <v>46340</v>
      </c>
      <c r="E36" s="118">
        <v>269421</v>
      </c>
      <c r="F36" s="938">
        <v>312652</v>
      </c>
      <c r="G36" s="118"/>
      <c r="H36" s="150">
        <f ca="1">DAYS360(NOW(),D36)+4</f>
        <v>436</v>
      </c>
      <c r="I36" s="151"/>
      <c r="J36" s="151"/>
    </row>
    <row r="37" spans="1:10">
      <c r="A37" s="135"/>
      <c r="B37" s="521" t="s">
        <v>1502</v>
      </c>
      <c r="C37" s="148"/>
      <c r="D37" s="148"/>
      <c r="E37" s="152"/>
      <c r="F37" s="939"/>
      <c r="G37" s="118" t="s">
        <v>2010</v>
      </c>
      <c r="H37" s="150"/>
      <c r="I37" s="151"/>
      <c r="J37" s="151"/>
    </row>
    <row r="38" spans="1:10">
      <c r="A38" s="135"/>
      <c r="B38" s="147" t="s">
        <v>145</v>
      </c>
      <c r="C38" s="148"/>
      <c r="D38" s="148"/>
      <c r="E38" s="118"/>
      <c r="F38" s="938"/>
      <c r="G38" s="118"/>
      <c r="H38" s="150"/>
      <c r="I38" s="151"/>
      <c r="J38" s="151"/>
    </row>
    <row r="39" spans="1:10">
      <c r="A39" s="135"/>
      <c r="B39" s="662" t="s">
        <v>2009</v>
      </c>
      <c r="C39" s="148">
        <v>45751</v>
      </c>
      <c r="D39" s="148">
        <v>46181</v>
      </c>
      <c r="E39" s="998">
        <v>170000</v>
      </c>
      <c r="F39" s="999">
        <v>184231</v>
      </c>
      <c r="G39" s="118"/>
      <c r="H39" s="150">
        <f ca="1">DAYS360(NOW(),D39)+4</f>
        <v>280</v>
      </c>
      <c r="I39" s="151"/>
      <c r="J39" s="151"/>
    </row>
    <row r="40" spans="1:10">
      <c r="A40" s="135"/>
      <c r="B40" s="521" t="s">
        <v>1501</v>
      </c>
      <c r="C40" s="148"/>
      <c r="D40" s="148"/>
      <c r="E40" s="153">
        <f>SUM(E36:E39)</f>
        <v>439421</v>
      </c>
      <c r="F40" s="153">
        <f>SUM(F36:F39)</f>
        <v>496883</v>
      </c>
      <c r="G40" s="118"/>
      <c r="H40" s="150"/>
      <c r="I40" s="151"/>
      <c r="J40" s="151"/>
    </row>
    <row r="41" spans="1:10">
      <c r="A41" s="135"/>
      <c r="B41" s="154"/>
      <c r="C41" s="137"/>
      <c r="D41" s="137"/>
      <c r="E41" s="138"/>
      <c r="F41" s="937"/>
      <c r="G41" s="138"/>
      <c r="H41" s="140"/>
      <c r="I41" s="141"/>
      <c r="J41" s="141"/>
    </row>
    <row r="42" spans="1:10">
      <c r="A42" s="486"/>
      <c r="B42" s="487" t="s">
        <v>146</v>
      </c>
      <c r="C42" s="488"/>
      <c r="D42" s="488"/>
      <c r="E42" s="489"/>
      <c r="F42" s="940"/>
      <c r="G42" s="489"/>
      <c r="H42" s="490"/>
      <c r="I42" s="491"/>
      <c r="J42" s="491"/>
    </row>
    <row r="43" spans="1:10">
      <c r="A43" s="508">
        <v>1</v>
      </c>
      <c r="B43" s="912" t="s">
        <v>1951</v>
      </c>
      <c r="C43" s="488">
        <v>45659</v>
      </c>
      <c r="D43" s="488">
        <v>46058</v>
      </c>
      <c r="E43" s="489">
        <v>1000000</v>
      </c>
      <c r="F43" s="940">
        <v>1078848</v>
      </c>
      <c r="G43" s="489"/>
      <c r="H43" s="490">
        <f t="shared" ref="H43:H44" ca="1" si="0">DAYS360(NOW(),D43)+4</f>
        <v>157</v>
      </c>
      <c r="I43" s="491"/>
      <c r="J43" s="491"/>
    </row>
    <row r="44" spans="1:10">
      <c r="A44" s="508">
        <v>2</v>
      </c>
      <c r="B44" s="546" t="s">
        <v>1562</v>
      </c>
      <c r="C44" s="488">
        <v>45600</v>
      </c>
      <c r="D44" s="488">
        <v>45999</v>
      </c>
      <c r="E44" s="489">
        <v>376250</v>
      </c>
      <c r="F44" s="940">
        <v>405917</v>
      </c>
      <c r="G44" s="489"/>
      <c r="H44" s="490">
        <f t="shared" ca="1" si="0"/>
        <v>100</v>
      </c>
      <c r="I44" s="491"/>
      <c r="J44" s="491"/>
    </row>
    <row r="45" spans="1:10">
      <c r="A45" s="486"/>
      <c r="B45" s="487" t="s">
        <v>147</v>
      </c>
      <c r="C45" s="488"/>
      <c r="D45" s="488"/>
      <c r="E45" s="492">
        <f>SUM(E43:E44)</f>
        <v>1376250</v>
      </c>
      <c r="F45" s="941">
        <f>SUM(F43:F44)</f>
        <v>1484765</v>
      </c>
      <c r="G45" s="489" t="s">
        <v>1952</v>
      </c>
      <c r="H45" s="490"/>
      <c r="I45" s="491"/>
      <c r="J45" s="491"/>
    </row>
    <row r="46" spans="1:10">
      <c r="A46" s="486"/>
      <c r="B46" s="534" t="s">
        <v>1522</v>
      </c>
      <c r="C46" s="488"/>
      <c r="D46" s="488"/>
      <c r="E46" s="492"/>
      <c r="F46" s="941"/>
      <c r="G46" s="489"/>
      <c r="H46" s="490"/>
      <c r="I46" s="491"/>
      <c r="J46" s="491"/>
    </row>
    <row r="47" spans="1:10" ht="17.75">
      <c r="A47" s="486"/>
      <c r="B47" s="486"/>
      <c r="C47" s="493"/>
      <c r="D47" s="493"/>
      <c r="E47" s="494"/>
      <c r="F47" s="942"/>
      <c r="G47" s="494"/>
      <c r="H47" s="486"/>
      <c r="I47" s="495">
        <f>SUM(F45,F23)</f>
        <v>1582679</v>
      </c>
      <c r="J47" s="486"/>
    </row>
    <row r="48" spans="1:10" ht="20.5">
      <c r="A48" s="496"/>
      <c r="B48" s="497" t="s">
        <v>148</v>
      </c>
      <c r="C48" s="498"/>
      <c r="D48" s="498"/>
      <c r="E48" s="498"/>
      <c r="F48" s="943"/>
      <c r="G48" s="498"/>
      <c r="H48" s="512"/>
      <c r="I48" s="499"/>
      <c r="J48" s="499"/>
    </row>
    <row r="49" spans="1:10" ht="15.55">
      <c r="A49" s="496"/>
      <c r="B49" s="917" t="s">
        <v>1726</v>
      </c>
      <c r="C49" s="549"/>
      <c r="D49" s="549"/>
      <c r="E49" s="549"/>
      <c r="F49" s="944"/>
      <c r="G49" s="501"/>
      <c r="H49" s="550"/>
      <c r="I49" s="499"/>
      <c r="J49" s="499"/>
    </row>
    <row r="50" spans="1:10">
      <c r="A50" s="496"/>
      <c r="B50" s="500" t="s">
        <v>1611</v>
      </c>
      <c r="C50" s="549"/>
      <c r="D50" s="549"/>
      <c r="E50" s="549" t="s">
        <v>1615</v>
      </c>
      <c r="F50" s="944">
        <f>'mutual funds'!T42</f>
        <v>7400000</v>
      </c>
      <c r="G50" s="501"/>
      <c r="H50" s="550"/>
      <c r="I50" s="499"/>
      <c r="J50" s="499"/>
    </row>
    <row r="51" spans="1:10" ht="17.75">
      <c r="A51" s="496"/>
      <c r="B51" s="500" t="s">
        <v>149</v>
      </c>
      <c r="C51" s="500"/>
      <c r="D51" s="500"/>
      <c r="E51" s="503" t="s">
        <v>1614</v>
      </c>
      <c r="F51" s="944">
        <f>'mutual funds'!T50</f>
        <v>1215000</v>
      </c>
      <c r="G51" s="507"/>
      <c r="H51" s="506"/>
      <c r="I51" s="502"/>
      <c r="J51" s="502"/>
    </row>
    <row r="52" spans="1:10">
      <c r="A52" s="496"/>
      <c r="B52" s="504" t="s">
        <v>150</v>
      </c>
      <c r="C52" s="500"/>
      <c r="D52" s="500"/>
      <c r="E52" s="504" t="s">
        <v>1616</v>
      </c>
      <c r="F52" s="945">
        <f>SUM(F50:F51)</f>
        <v>8615000</v>
      </c>
      <c r="G52" s="505"/>
      <c r="H52" s="510"/>
      <c r="I52" s="511"/>
      <c r="J52" s="511"/>
    </row>
    <row r="53" spans="1:10" ht="20.5">
      <c r="A53" s="162"/>
      <c r="B53" s="163" t="s">
        <v>151</v>
      </c>
      <c r="C53" s="164"/>
      <c r="D53" s="164"/>
      <c r="E53" s="165"/>
      <c r="F53" s="946"/>
      <c r="G53" s="166"/>
      <c r="H53" s="166"/>
      <c r="I53" s="166"/>
      <c r="J53" s="166"/>
    </row>
    <row r="54" spans="1:10">
      <c r="A54" s="162"/>
      <c r="B54" s="164" t="s">
        <v>152</v>
      </c>
      <c r="C54" s="164"/>
      <c r="D54" s="164"/>
      <c r="E54" s="165"/>
      <c r="F54" s="947">
        <v>42130.55</v>
      </c>
      <c r="G54" s="167">
        <f>F54</f>
        <v>42130.55</v>
      </c>
      <c r="H54" s="167"/>
      <c r="I54" s="167"/>
      <c r="J54" s="167"/>
    </row>
    <row r="55" spans="1:10">
      <c r="A55" s="162"/>
      <c r="B55" s="164" t="s">
        <v>1956</v>
      </c>
      <c r="C55" s="164"/>
      <c r="D55" s="164"/>
      <c r="E55" s="165"/>
      <c r="F55" s="947">
        <v>215000</v>
      </c>
      <c r="G55" s="167">
        <f>F55</f>
        <v>215000</v>
      </c>
      <c r="H55" s="167"/>
      <c r="I55" s="167"/>
      <c r="J55" s="167"/>
    </row>
    <row r="56" spans="1:10">
      <c r="A56" s="162"/>
      <c r="B56" s="164" t="s">
        <v>1957</v>
      </c>
      <c r="C56" s="983"/>
      <c r="D56" s="983"/>
      <c r="E56" s="984"/>
      <c r="F56" s="947">
        <v>107000</v>
      </c>
      <c r="G56" s="167">
        <f>F56</f>
        <v>107000</v>
      </c>
      <c r="H56" s="167"/>
      <c r="I56" s="167"/>
      <c r="J56" s="167"/>
    </row>
    <row r="57" spans="1:10">
      <c r="A57" s="162"/>
      <c r="B57" s="165" t="s">
        <v>153</v>
      </c>
      <c r="C57" s="164"/>
      <c r="D57" s="164"/>
      <c r="E57" s="165"/>
      <c r="F57" s="946">
        <f>SUM(F54:F56)</f>
        <v>364130.55</v>
      </c>
      <c r="G57" s="166">
        <f>SUM(G54:G56)</f>
        <v>364130.55</v>
      </c>
      <c r="H57" s="167"/>
      <c r="I57" s="167"/>
      <c r="J57" s="167"/>
    </row>
    <row r="58" spans="1:10">
      <c r="A58" s="162"/>
      <c r="B58" s="165"/>
      <c r="C58" s="164"/>
      <c r="D58" s="164"/>
      <c r="E58" s="165"/>
      <c r="F58" s="946"/>
      <c r="G58" s="166"/>
      <c r="H58" s="167"/>
      <c r="I58" s="167"/>
      <c r="J58" s="167"/>
    </row>
    <row r="59" spans="1:10">
      <c r="A59" s="155"/>
      <c r="B59" s="157"/>
      <c r="C59" s="157"/>
      <c r="D59" s="157"/>
      <c r="E59" s="160"/>
      <c r="F59" s="948"/>
      <c r="G59" s="161"/>
      <c r="H59" s="161"/>
      <c r="I59" s="161"/>
      <c r="J59" s="161"/>
    </row>
    <row r="60" spans="1:10" ht="20.5">
      <c r="A60" s="168"/>
      <c r="B60" s="169" t="s">
        <v>154</v>
      </c>
      <c r="C60" s="170"/>
      <c r="D60" s="170"/>
      <c r="E60" s="171"/>
      <c r="F60" s="949"/>
      <c r="G60" s="172"/>
      <c r="H60" s="172"/>
      <c r="I60" s="172"/>
      <c r="J60" s="172"/>
    </row>
    <row r="61" spans="1:10">
      <c r="A61" s="168"/>
      <c r="B61" s="173" t="s">
        <v>155</v>
      </c>
      <c r="C61" s="170"/>
      <c r="D61" s="170"/>
      <c r="E61" s="171"/>
      <c r="F61" s="949"/>
      <c r="G61" s="172"/>
      <c r="H61" s="172"/>
      <c r="I61" s="172"/>
      <c r="J61" s="172"/>
    </row>
    <row r="62" spans="1:10">
      <c r="A62" s="168"/>
      <c r="B62" s="174" t="s">
        <v>156</v>
      </c>
      <c r="C62" s="170"/>
      <c r="D62" s="170"/>
      <c r="E62" s="171"/>
      <c r="F62" s="949"/>
      <c r="G62" s="172"/>
      <c r="H62" s="172"/>
      <c r="I62" s="172"/>
      <c r="J62" s="172"/>
    </row>
    <row r="63" spans="1:10" ht="20.5">
      <c r="A63" s="175"/>
      <c r="B63" s="872" t="s">
        <v>157</v>
      </c>
      <c r="C63" s="176"/>
      <c r="D63" s="176"/>
      <c r="E63" s="177"/>
      <c r="F63" s="950"/>
      <c r="G63" s="178"/>
      <c r="H63" s="178"/>
      <c r="I63" s="178"/>
      <c r="J63" s="178"/>
    </row>
    <row r="64" spans="1:10">
      <c r="A64" s="870">
        <v>2</v>
      </c>
      <c r="B64" s="873" t="s">
        <v>1994</v>
      </c>
      <c r="C64" s="871"/>
      <c r="D64" s="179"/>
      <c r="E64" s="177"/>
      <c r="F64" s="950">
        <v>140000</v>
      </c>
      <c r="G64" s="178"/>
      <c r="H64" s="178"/>
      <c r="I64" s="178"/>
      <c r="J64" s="178"/>
    </row>
    <row r="65" spans="1:10">
      <c r="A65" s="870">
        <v>3</v>
      </c>
      <c r="B65" s="873" t="s">
        <v>1995</v>
      </c>
      <c r="C65" s="871"/>
      <c r="D65" s="179"/>
      <c r="E65" s="177"/>
      <c r="F65" s="950">
        <v>50000</v>
      </c>
      <c r="G65" s="178"/>
      <c r="H65" s="178"/>
      <c r="I65" s="178"/>
      <c r="J65" s="178"/>
    </row>
    <row r="66" spans="1:10">
      <c r="A66" s="870">
        <v>4</v>
      </c>
      <c r="B66" s="873" t="s">
        <v>1996</v>
      </c>
      <c r="C66" s="871"/>
      <c r="D66" s="179"/>
      <c r="E66" s="177"/>
      <c r="F66" s="950">
        <v>3000</v>
      </c>
      <c r="G66" s="178"/>
      <c r="H66" s="178"/>
      <c r="I66" s="178"/>
      <c r="J66" s="178"/>
    </row>
    <row r="67" spans="1:10">
      <c r="A67" s="870">
        <v>5</v>
      </c>
      <c r="B67" s="873" t="s">
        <v>1997</v>
      </c>
      <c r="C67" s="871"/>
      <c r="D67" s="179"/>
      <c r="E67" s="177"/>
      <c r="F67" s="950">
        <v>558</v>
      </c>
      <c r="G67" s="178"/>
      <c r="H67" s="178"/>
      <c r="I67" s="178"/>
      <c r="J67" s="178"/>
    </row>
    <row r="68" spans="1:10">
      <c r="A68" s="870">
        <v>6</v>
      </c>
      <c r="B68" s="873" t="s">
        <v>1998</v>
      </c>
      <c r="C68" s="871"/>
      <c r="D68" s="179"/>
      <c r="E68" s="177"/>
      <c r="F68" s="950">
        <v>90</v>
      </c>
      <c r="G68" s="178"/>
      <c r="H68" s="178"/>
      <c r="I68" s="178"/>
      <c r="J68" s="178"/>
    </row>
    <row r="69" spans="1:10" ht="20.5">
      <c r="A69" s="180"/>
      <c r="B69" s="181" t="s">
        <v>158</v>
      </c>
      <c r="C69" s="182"/>
      <c r="D69" s="182"/>
      <c r="E69" s="182"/>
      <c r="F69" s="951"/>
      <c r="G69" s="183"/>
      <c r="H69" s="180"/>
      <c r="I69" s="184"/>
      <c r="J69" s="184"/>
    </row>
    <row r="70" spans="1:10">
      <c r="A70" s="180">
        <v>1</v>
      </c>
      <c r="B70" s="185" t="s">
        <v>159</v>
      </c>
      <c r="C70" s="186">
        <v>37480</v>
      </c>
      <c r="D70" s="182"/>
      <c r="E70" s="187"/>
      <c r="F70" s="951"/>
      <c r="G70" s="183"/>
      <c r="H70" s="180"/>
      <c r="I70" s="184"/>
      <c r="J70" s="184"/>
    </row>
    <row r="71" spans="1:10">
      <c r="A71" s="180">
        <v>2</v>
      </c>
      <c r="B71" s="185" t="s">
        <v>160</v>
      </c>
      <c r="C71" s="186">
        <v>38714</v>
      </c>
      <c r="D71" s="182"/>
      <c r="E71" s="187" t="s">
        <v>161</v>
      </c>
      <c r="F71" s="951">
        <v>1500000</v>
      </c>
      <c r="G71" s="183"/>
      <c r="H71" s="180"/>
      <c r="I71" s="184"/>
      <c r="J71" s="184"/>
    </row>
    <row r="72" spans="1:10" ht="17.75">
      <c r="A72" s="180"/>
      <c r="B72" s="188" t="s">
        <v>162</v>
      </c>
      <c r="C72" s="186"/>
      <c r="D72" s="182"/>
      <c r="E72" s="187"/>
      <c r="F72" s="952">
        <f>SUM(F70:F71)</f>
        <v>1500000</v>
      </c>
      <c r="G72" s="183"/>
      <c r="H72" s="180"/>
      <c r="I72" s="184"/>
      <c r="J72" s="189">
        <f>F72</f>
        <v>1500000</v>
      </c>
    </row>
    <row r="73" spans="1:10">
      <c r="A73" s="180"/>
      <c r="B73" s="185"/>
      <c r="C73" s="186"/>
      <c r="D73" s="182"/>
      <c r="E73" s="187"/>
      <c r="F73" s="951"/>
      <c r="G73" s="183"/>
      <c r="H73" s="180"/>
      <c r="I73" s="184"/>
      <c r="J73" s="184"/>
    </row>
    <row r="74" spans="1:10" ht="20.5">
      <c r="A74" s="190"/>
      <c r="B74" s="191" t="s">
        <v>164</v>
      </c>
      <c r="C74" s="192"/>
      <c r="D74" s="192"/>
      <c r="E74" s="193"/>
      <c r="F74" s="953"/>
      <c r="G74" s="194"/>
      <c r="H74" s="190"/>
      <c r="I74" s="195"/>
      <c r="J74" s="195"/>
    </row>
    <row r="75" spans="1:10">
      <c r="A75" s="190"/>
      <c r="B75" s="196" t="s">
        <v>165</v>
      </c>
      <c r="C75" s="192"/>
      <c r="D75" s="192"/>
      <c r="E75" s="193"/>
      <c r="F75" s="953">
        <v>23000</v>
      </c>
      <c r="G75" s="194">
        <v>75000</v>
      </c>
      <c r="H75" s="190"/>
      <c r="I75" s="195"/>
      <c r="J75" s="195"/>
    </row>
    <row r="76" spans="1:10">
      <c r="A76" s="190"/>
      <c r="B76" s="196" t="s">
        <v>165</v>
      </c>
      <c r="C76" s="192"/>
      <c r="D76" s="192"/>
      <c r="E76" s="193"/>
      <c r="F76" s="953">
        <v>28000</v>
      </c>
      <c r="G76" s="194">
        <v>75000</v>
      </c>
      <c r="H76" s="190"/>
      <c r="I76" s="195"/>
      <c r="J76" s="195"/>
    </row>
    <row r="77" spans="1:10">
      <c r="A77" s="190"/>
      <c r="B77" s="196" t="s">
        <v>166</v>
      </c>
      <c r="C77" s="196"/>
      <c r="D77" s="196"/>
      <c r="E77" s="197"/>
      <c r="F77" s="953">
        <v>33000</v>
      </c>
      <c r="G77" s="194">
        <v>75000</v>
      </c>
      <c r="H77" s="190"/>
      <c r="I77" s="195"/>
      <c r="J77" s="195"/>
    </row>
    <row r="78" spans="1:10">
      <c r="A78" s="190"/>
      <c r="B78" s="196" t="s">
        <v>167</v>
      </c>
      <c r="C78" s="196"/>
      <c r="D78" s="196"/>
      <c r="E78" s="197"/>
      <c r="F78" s="953">
        <v>16760</v>
      </c>
      <c r="G78" s="194">
        <v>38000</v>
      </c>
      <c r="H78" s="190"/>
      <c r="I78" s="195"/>
      <c r="J78" s="195"/>
    </row>
    <row r="79" spans="1:10">
      <c r="A79" s="190"/>
      <c r="B79" s="196" t="s">
        <v>168</v>
      </c>
      <c r="C79" s="196"/>
      <c r="D79" s="196"/>
      <c r="E79" s="197"/>
      <c r="F79" s="953">
        <v>27826</v>
      </c>
      <c r="G79" s="194">
        <v>38000</v>
      </c>
      <c r="H79" s="190"/>
      <c r="I79" s="195"/>
      <c r="J79" s="195"/>
    </row>
    <row r="80" spans="1:10">
      <c r="A80" s="190"/>
      <c r="B80" s="196" t="s">
        <v>1936</v>
      </c>
      <c r="C80" s="196"/>
      <c r="D80" s="196"/>
      <c r="E80" s="197"/>
      <c r="F80" s="953">
        <v>44000</v>
      </c>
      <c r="G80" s="194">
        <v>38000</v>
      </c>
      <c r="H80" s="190"/>
      <c r="I80" s="195"/>
      <c r="J80" s="195"/>
    </row>
    <row r="81" spans="1:10" ht="17.75">
      <c r="A81" s="190"/>
      <c r="B81" s="198" t="s">
        <v>169</v>
      </c>
      <c r="C81" s="196"/>
      <c r="D81" s="196"/>
      <c r="E81" s="197"/>
      <c r="F81" s="954">
        <f>SUM(F75:F80)</f>
        <v>172586</v>
      </c>
      <c r="G81" s="199">
        <f>SUM(G75:G79)</f>
        <v>301000</v>
      </c>
      <c r="H81" s="190"/>
      <c r="I81" s="200">
        <f>SUM(G81)</f>
        <v>301000</v>
      </c>
      <c r="J81" s="195"/>
    </row>
    <row r="82" spans="1:10" ht="22.75">
      <c r="A82" s="201"/>
      <c r="B82" s="202" t="s">
        <v>170</v>
      </c>
      <c r="C82" s="201"/>
      <c r="D82" s="201"/>
      <c r="E82" s="201"/>
      <c r="F82" s="955"/>
      <c r="G82" s="201"/>
      <c r="H82" s="201"/>
      <c r="I82" s="203"/>
      <c r="J82" s="542">
        <f>SUM(I19:J19)</f>
        <v>24178182.473076925</v>
      </c>
    </row>
    <row r="85" spans="1:10" ht="17.75">
      <c r="B85" s="204" t="s">
        <v>171</v>
      </c>
      <c r="C85" s="205"/>
      <c r="D85" s="205"/>
      <c r="E85" s="208"/>
      <c r="F85" s="956"/>
    </row>
    <row r="86" spans="1:10">
      <c r="B86" s="209" t="s">
        <v>172</v>
      </c>
      <c r="C86" s="205"/>
      <c r="D86" s="205"/>
      <c r="E86" s="206">
        <v>5050</v>
      </c>
      <c r="F86" s="956"/>
    </row>
    <row r="87" spans="1:10">
      <c r="B87" s="210" t="s">
        <v>173</v>
      </c>
      <c r="C87" s="205"/>
      <c r="D87" s="205"/>
      <c r="E87" s="206">
        <f>SUM(E88:E93)</f>
        <v>3170</v>
      </c>
      <c r="F87" s="956"/>
    </row>
    <row r="88" spans="1:10">
      <c r="B88" s="209" t="s">
        <v>174</v>
      </c>
      <c r="C88" s="205"/>
      <c r="D88" s="205"/>
      <c r="E88" s="211">
        <v>320</v>
      </c>
      <c r="F88" s="956"/>
    </row>
    <row r="89" spans="1:10">
      <c r="B89" s="207" t="s">
        <v>175</v>
      </c>
      <c r="C89" s="205"/>
      <c r="D89" s="205"/>
      <c r="E89" s="211">
        <v>540</v>
      </c>
      <c r="F89" s="956"/>
    </row>
    <row r="90" spans="1:10">
      <c r="B90" s="207" t="s">
        <v>176</v>
      </c>
      <c r="C90" s="205"/>
      <c r="D90" s="205"/>
      <c r="E90" s="211">
        <f>240*3</f>
        <v>720</v>
      </c>
    </row>
    <row r="91" spans="1:10">
      <c r="B91" s="207" t="s">
        <v>177</v>
      </c>
      <c r="C91" s="205"/>
      <c r="D91" s="205"/>
      <c r="E91" s="211">
        <f>12*15</f>
        <v>180</v>
      </c>
    </row>
    <row r="92" spans="1:10">
      <c r="B92" s="207" t="s">
        <v>178</v>
      </c>
      <c r="C92" s="205"/>
      <c r="D92" s="205"/>
      <c r="E92" s="211">
        <v>135</v>
      </c>
    </row>
    <row r="93" spans="1:10">
      <c r="B93" s="207" t="s">
        <v>179</v>
      </c>
      <c r="C93" s="205"/>
      <c r="D93" s="205"/>
      <c r="E93" s="211">
        <v>1275</v>
      </c>
    </row>
    <row r="94" spans="1:10">
      <c r="B94" s="207" t="s">
        <v>180</v>
      </c>
      <c r="C94" s="205"/>
      <c r="D94" s="205"/>
      <c r="E94" s="206"/>
    </row>
    <row r="95" spans="1:10">
      <c r="B95" s="207"/>
      <c r="C95" s="205"/>
      <c r="D95" s="205"/>
      <c r="E95" s="206"/>
    </row>
    <row r="96" spans="1:10">
      <c r="B96" s="209" t="s">
        <v>181</v>
      </c>
      <c r="C96" s="205"/>
      <c r="D96" s="205"/>
      <c r="E96" s="211">
        <v>3000</v>
      </c>
    </row>
    <row r="97" spans="2:6">
      <c r="B97" s="207" t="s">
        <v>182</v>
      </c>
      <c r="C97" s="205"/>
      <c r="D97" s="205"/>
      <c r="E97" s="211">
        <v>5000</v>
      </c>
    </row>
    <row r="98" spans="2:6">
      <c r="B98" s="207" t="s">
        <v>183</v>
      </c>
      <c r="C98" s="205"/>
      <c r="D98" s="205"/>
      <c r="E98" s="206"/>
    </row>
    <row r="99" spans="2:6">
      <c r="B99" s="207"/>
      <c r="C99" s="205"/>
      <c r="D99" s="205"/>
      <c r="E99" s="206"/>
    </row>
    <row r="100" spans="2:6">
      <c r="B100" s="210" t="s">
        <v>184</v>
      </c>
      <c r="C100" s="205"/>
      <c r="D100" s="205"/>
      <c r="E100" s="211">
        <v>5500</v>
      </c>
      <c r="F100" s="956"/>
    </row>
    <row r="101" spans="2:6">
      <c r="B101" s="212" t="s">
        <v>185</v>
      </c>
      <c r="C101" s="205"/>
      <c r="D101" s="205"/>
      <c r="E101" s="211">
        <v>4500</v>
      </c>
      <c r="F101" s="956"/>
    </row>
    <row r="102" spans="2:6">
      <c r="B102" s="212" t="s">
        <v>186</v>
      </c>
      <c r="C102" s="205"/>
      <c r="D102" s="205"/>
      <c r="E102" s="206"/>
      <c r="F102" s="956"/>
    </row>
  </sheetData>
  <hyperlinks>
    <hyperlink ref="B15" r:id="rId1" xr:uid="{E21F8437-4CAB-4502-A0CC-AF328EBD88F2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7"/>
  <sheetViews>
    <sheetView tabSelected="1" topLeftCell="A247" zoomScaleNormal="100" workbookViewId="0">
      <selection activeCell="A266" sqref="A266"/>
    </sheetView>
  </sheetViews>
  <sheetFormatPr defaultRowHeight="13.3"/>
  <cols>
    <col min="1" max="1" width="90.88671875" bestFit="1" customWidth="1"/>
    <col min="2" max="2" width="93.44140625" bestFit="1" customWidth="1"/>
    <col min="3" max="3" width="44.77734375" customWidth="1"/>
    <col min="4" max="4" width="25.6640625" bestFit="1" customWidth="1"/>
    <col min="5" max="5" width="21.44140625" bestFit="1" customWidth="1"/>
    <col min="6" max="6" width="11.88671875" bestFit="1" customWidth="1"/>
  </cols>
  <sheetData>
    <row r="1" spans="1:26">
      <c r="A1" s="213" t="s">
        <v>187</v>
      </c>
      <c r="B1" s="213" t="s">
        <v>188</v>
      </c>
      <c r="C1" s="213" t="s">
        <v>189</v>
      </c>
      <c r="D1" s="213" t="s">
        <v>190</v>
      </c>
      <c r="E1" s="213" t="s">
        <v>191</v>
      </c>
      <c r="F1" s="213" t="s">
        <v>192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26.05">
      <c r="A2" s="214" t="s">
        <v>193</v>
      </c>
      <c r="B2" s="214" t="s">
        <v>194</v>
      </c>
      <c r="C2" s="215" t="s">
        <v>195</v>
      </c>
      <c r="D2" s="216"/>
      <c r="E2" s="217"/>
      <c r="F2" s="217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spans="1:26" ht="26.6">
      <c r="A3" s="218" t="s">
        <v>193</v>
      </c>
      <c r="B3" s="219" t="s">
        <v>196</v>
      </c>
      <c r="C3" s="902" t="s">
        <v>197</v>
      </c>
      <c r="D3" s="220"/>
      <c r="E3" s="221"/>
      <c r="F3" s="221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>
      <c r="A4" s="874" t="s">
        <v>193</v>
      </c>
      <c r="B4" s="877" t="s">
        <v>198</v>
      </c>
      <c r="C4" s="875" t="s">
        <v>199</v>
      </c>
      <c r="D4" s="216"/>
      <c r="E4" s="217"/>
      <c r="F4" s="217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>
      <c r="A5" s="214"/>
      <c r="B5" s="876"/>
      <c r="C5" s="223"/>
      <c r="D5" s="216"/>
      <c r="E5" s="217"/>
      <c r="F5" s="217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>
      <c r="A6" s="214" t="s">
        <v>200</v>
      </c>
      <c r="B6" s="960" t="s">
        <v>201</v>
      </c>
      <c r="C6" s="535" t="s">
        <v>199</v>
      </c>
      <c r="D6" s="216"/>
      <c r="E6" s="217"/>
      <c r="F6" s="217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>
      <c r="A7" s="214"/>
      <c r="B7" s="214"/>
      <c r="C7" s="223"/>
      <c r="D7" s="216"/>
      <c r="E7" s="217"/>
      <c r="F7" s="217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>
      <c r="A8" s="214" t="s">
        <v>202</v>
      </c>
      <c r="B8" s="214" t="s">
        <v>203</v>
      </c>
      <c r="C8" s="216"/>
      <c r="D8" s="216"/>
      <c r="E8" s="217"/>
      <c r="F8" s="217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>
      <c r="A9" s="214"/>
      <c r="B9" s="214"/>
      <c r="C9" s="216"/>
      <c r="D9" s="216"/>
      <c r="E9" s="217"/>
      <c r="F9" s="217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>
      <c r="A10" s="214" t="s">
        <v>204</v>
      </c>
      <c r="B10" s="214" t="s">
        <v>205</v>
      </c>
      <c r="C10" s="223" t="s">
        <v>206</v>
      </c>
      <c r="D10" s="216"/>
      <c r="E10" s="217"/>
      <c r="F10" s="217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>
      <c r="A11" s="219"/>
      <c r="B11" s="219"/>
      <c r="C11" s="220"/>
      <c r="D11" s="220"/>
      <c r="E11" s="221"/>
      <c r="F11" s="221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>
      <c r="A12" s="219" t="s">
        <v>207</v>
      </c>
      <c r="B12" s="219" t="s">
        <v>208</v>
      </c>
      <c r="C12" s="224" t="s">
        <v>199</v>
      </c>
      <c r="D12" s="220"/>
      <c r="E12" s="221"/>
      <c r="F12" s="221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>
      <c r="A13" s="225" t="s">
        <v>209</v>
      </c>
      <c r="B13" s="226" t="s">
        <v>201</v>
      </c>
      <c r="C13" s="222" t="s">
        <v>210</v>
      </c>
      <c r="D13" s="217" t="s">
        <v>211</v>
      </c>
      <c r="E13" s="217"/>
      <c r="F13" s="217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>
      <c r="A14" s="227" t="s">
        <v>1653</v>
      </c>
      <c r="B14" s="228" t="s">
        <v>212</v>
      </c>
      <c r="C14" s="916" t="s">
        <v>199</v>
      </c>
      <c r="D14" s="916" t="s">
        <v>1954</v>
      </c>
      <c r="E14" s="228"/>
      <c r="F14" s="228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>
      <c r="A15" s="227" t="s">
        <v>213</v>
      </c>
      <c r="B15" s="228"/>
      <c r="C15" s="230"/>
      <c r="D15" s="228"/>
      <c r="E15" s="228"/>
      <c r="F15" s="228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>
      <c r="A16" s="228" t="s">
        <v>1565</v>
      </c>
      <c r="B16" s="228"/>
      <c r="C16" s="230"/>
      <c r="D16" s="228"/>
      <c r="E16" s="228"/>
      <c r="F16" s="228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>
      <c r="A17" s="660"/>
      <c r="B17" s="660"/>
      <c r="C17" s="661"/>
      <c r="D17" s="660"/>
      <c r="E17" s="660"/>
      <c r="F17" s="660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>
      <c r="A18" s="227" t="s">
        <v>1498</v>
      </c>
      <c r="B18" s="228" t="s">
        <v>214</v>
      </c>
      <c r="C18" s="228"/>
      <c r="D18" s="228"/>
      <c r="E18" s="231"/>
      <c r="F18" s="231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>
      <c r="A19" s="228" t="s">
        <v>215</v>
      </c>
      <c r="B19" s="228" t="s">
        <v>1494</v>
      </c>
      <c r="C19" s="916" t="s">
        <v>199</v>
      </c>
      <c r="D19" s="916" t="s">
        <v>1993</v>
      </c>
      <c r="E19" s="231"/>
      <c r="F19" s="231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>
      <c r="A20" s="228" t="s">
        <v>1497</v>
      </c>
      <c r="B20" s="228"/>
      <c r="C20" s="228"/>
      <c r="D20" s="228"/>
      <c r="E20" s="231"/>
      <c r="F20" s="231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spans="1:26">
      <c r="A21" s="228" t="s">
        <v>1496</v>
      </c>
      <c r="B21" s="228"/>
      <c r="C21" s="228"/>
      <c r="D21" s="228"/>
      <c r="E21" s="231"/>
      <c r="F21" s="231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</row>
    <row r="22" spans="1:26">
      <c r="A22" s="228" t="s">
        <v>216</v>
      </c>
      <c r="B22" s="228"/>
      <c r="C22" s="228"/>
      <c r="D22" s="228"/>
      <c r="E22" s="231"/>
      <c r="F22" s="231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spans="1:26">
      <c r="A23" s="228"/>
      <c r="B23" s="228"/>
      <c r="C23" s="228"/>
      <c r="D23" s="228"/>
      <c r="E23" s="231"/>
      <c r="F23" s="231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spans="1:26">
      <c r="A24" s="227" t="s">
        <v>1654</v>
      </c>
      <c r="B24" s="228" t="s">
        <v>217</v>
      </c>
      <c r="C24" s="915" t="s">
        <v>210</v>
      </c>
      <c r="D24" s="915" t="s">
        <v>218</v>
      </c>
      <c r="E24" s="228"/>
      <c r="F24" s="228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>
      <c r="A25" s="228" t="s">
        <v>219</v>
      </c>
      <c r="B25" s="228"/>
      <c r="C25" s="230"/>
      <c r="D25" s="228"/>
      <c r="E25" s="228"/>
      <c r="F25" s="228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>
      <c r="A26" s="228"/>
      <c r="B26" s="232"/>
      <c r="C26" s="230"/>
      <c r="D26" s="515"/>
      <c r="E26" s="228"/>
      <c r="F26" s="228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26.05">
      <c r="A27" s="233" t="s">
        <v>1655</v>
      </c>
      <c r="B27" s="234" t="s">
        <v>220</v>
      </c>
      <c r="C27" s="914" t="s">
        <v>1667</v>
      </c>
      <c r="D27" s="516" t="s">
        <v>1991</v>
      </c>
      <c r="E27" s="234"/>
      <c r="F27" s="234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31.05" customHeight="1">
      <c r="A28" s="536" t="s">
        <v>1903</v>
      </c>
      <c r="B28" s="537" t="s">
        <v>221</v>
      </c>
      <c r="C28" s="680" t="s">
        <v>1667</v>
      </c>
      <c r="D28" s="547" t="s">
        <v>1922</v>
      </c>
      <c r="E28" s="537"/>
      <c r="F28" s="537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spans="1:26" ht="38.25">
      <c r="A29" s="538" t="s">
        <v>222</v>
      </c>
      <c r="B29" s="539"/>
      <c r="C29" s="540"/>
      <c r="D29" s="541"/>
      <c r="E29" s="539"/>
      <c r="F29" s="539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89.2">
      <c r="A30" s="235" t="s">
        <v>223</v>
      </c>
      <c r="B30" s="236" t="s">
        <v>224</v>
      </c>
      <c r="C30" s="237" t="s">
        <v>199</v>
      </c>
      <c r="D30" s="236"/>
      <c r="E30" s="238"/>
      <c r="F30" s="238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25.5">
      <c r="A31" s="239" t="s">
        <v>225</v>
      </c>
      <c r="B31" s="236">
        <v>9899114717</v>
      </c>
      <c r="C31" s="237" t="s">
        <v>226</v>
      </c>
      <c r="D31" s="236"/>
      <c r="E31" s="238"/>
      <c r="F31" s="238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>
      <c r="A32" s="240"/>
      <c r="B32" s="240"/>
      <c r="C32" s="241"/>
      <c r="D32" s="240"/>
      <c r="E32" s="240"/>
      <c r="F32" s="240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26.05">
      <c r="A33" s="242" t="s">
        <v>227</v>
      </c>
      <c r="B33" s="240" t="s">
        <v>208</v>
      </c>
      <c r="C33" s="517" t="s">
        <v>199</v>
      </c>
      <c r="D33" s="240" t="s">
        <v>228</v>
      </c>
      <c r="E33" s="240" t="s">
        <v>1563</v>
      </c>
      <c r="F33" s="240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>
      <c r="A34" s="240"/>
      <c r="B34" s="240"/>
      <c r="C34" s="241"/>
      <c r="D34" s="240"/>
      <c r="E34" s="240"/>
      <c r="F34" s="240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4.4">
      <c r="A35" s="243" t="s">
        <v>229</v>
      </c>
      <c r="B35" s="244" t="s">
        <v>230</v>
      </c>
      <c r="C35" s="241" t="s">
        <v>231</v>
      </c>
      <c r="D35" s="241" t="s">
        <v>232</v>
      </c>
      <c r="E35" s="245"/>
      <c r="F35" s="24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>
      <c r="A36" s="240"/>
      <c r="B36" s="240"/>
      <c r="C36" s="240"/>
      <c r="D36" s="240"/>
      <c r="E36" s="240"/>
      <c r="F36" s="240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26.05">
      <c r="A37" s="247" t="s">
        <v>233</v>
      </c>
      <c r="B37" s="241" t="s">
        <v>234</v>
      </c>
      <c r="C37" s="517" t="s">
        <v>2017</v>
      </c>
      <c r="D37" s="242" t="s">
        <v>235</v>
      </c>
      <c r="E37" s="241"/>
      <c r="F37" s="240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>
      <c r="A38" s="242"/>
      <c r="B38" s="240"/>
      <c r="C38" s="241"/>
      <c r="D38" s="242"/>
      <c r="E38" s="241"/>
      <c r="F38" s="240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26.05">
      <c r="A39" s="242" t="s">
        <v>236</v>
      </c>
      <c r="B39" s="240" t="s">
        <v>237</v>
      </c>
      <c r="C39" s="241" t="s">
        <v>238</v>
      </c>
      <c r="D39" s="242" t="s">
        <v>239</v>
      </c>
      <c r="E39" s="241"/>
      <c r="F39" s="240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>
      <c r="A40" s="242"/>
      <c r="B40" s="240"/>
      <c r="C40" s="241"/>
      <c r="D40" s="242"/>
      <c r="E40" s="241"/>
      <c r="F40" s="240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>
      <c r="A41" s="248" t="s">
        <v>240</v>
      </c>
      <c r="B41" s="241" t="s">
        <v>201</v>
      </c>
      <c r="C41" s="241" t="s">
        <v>241</v>
      </c>
      <c r="D41" s="242"/>
      <c r="E41" s="241"/>
      <c r="F41" s="240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>
      <c r="A42" s="249" t="s">
        <v>242</v>
      </c>
      <c r="B42" s="240"/>
      <c r="C42" s="241"/>
      <c r="D42" s="242"/>
      <c r="E42" s="241"/>
      <c r="F42" s="240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26.05">
      <c r="A43" s="242" t="s">
        <v>243</v>
      </c>
      <c r="B43" s="240" t="s">
        <v>208</v>
      </c>
      <c r="C43" s="931" t="s">
        <v>1923</v>
      </c>
      <c r="D43" s="240"/>
      <c r="E43" s="240"/>
      <c r="F43" s="240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>
      <c r="A44" s="250" t="s">
        <v>244</v>
      </c>
      <c r="B44" s="251" t="s">
        <v>201</v>
      </c>
      <c r="C44" s="509" t="s">
        <v>1493</v>
      </c>
      <c r="D44" s="250" t="s">
        <v>211</v>
      </c>
      <c r="E44" s="250"/>
      <c r="F44" s="250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>
      <c r="A45" s="250"/>
      <c r="B45" s="250"/>
      <c r="C45" s="250"/>
      <c r="D45" s="250"/>
      <c r="E45" s="250"/>
      <c r="F45" s="250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>
      <c r="A46" s="250" t="s">
        <v>245</v>
      </c>
      <c r="B46" s="509" t="s">
        <v>1661</v>
      </c>
      <c r="C46" s="509" t="s">
        <v>1662</v>
      </c>
      <c r="D46" s="250" t="s">
        <v>211</v>
      </c>
      <c r="E46" s="250"/>
      <c r="F46" s="25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>
      <c r="A47" s="250"/>
      <c r="B47" s="509" t="s">
        <v>1660</v>
      </c>
      <c r="C47" s="509" t="s">
        <v>231</v>
      </c>
      <c r="D47" s="250"/>
      <c r="E47" s="250"/>
      <c r="F47" s="250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51.55">
      <c r="A48" s="252" t="s">
        <v>246</v>
      </c>
      <c r="B48" s="250" t="s">
        <v>247</v>
      </c>
      <c r="C48" s="251" t="s">
        <v>248</v>
      </c>
      <c r="D48" s="250"/>
      <c r="E48" s="250"/>
      <c r="F48" s="250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>
      <c r="A49" s="252"/>
      <c r="B49" s="250"/>
      <c r="C49" s="251"/>
      <c r="D49" s="250"/>
      <c r="E49" s="250"/>
      <c r="F49" s="250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>
      <c r="A50" s="253" t="s">
        <v>249</v>
      </c>
      <c r="B50" s="250"/>
      <c r="C50" s="251">
        <v>1234</v>
      </c>
      <c r="D50" s="250"/>
      <c r="E50" s="250"/>
      <c r="F50" s="250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>
      <c r="A51" s="252"/>
      <c r="B51" s="250"/>
      <c r="C51" s="251"/>
      <c r="D51" s="250"/>
      <c r="E51" s="250"/>
      <c r="F51" s="250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>
      <c r="A52" s="554" t="s">
        <v>1570</v>
      </c>
      <c r="B52" s="552" t="s">
        <v>1569</v>
      </c>
      <c r="C52" s="553"/>
      <c r="D52" s="552"/>
      <c r="E52" s="552"/>
      <c r="F52" s="552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>
      <c r="A53" s="254" t="s">
        <v>250</v>
      </c>
      <c r="B53" s="229" t="s">
        <v>251</v>
      </c>
      <c r="C53" s="229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>
      <c r="A54" s="254" t="s">
        <v>252</v>
      </c>
      <c r="B54" s="229" t="s">
        <v>253</v>
      </c>
      <c r="C54" s="229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>
      <c r="A55" s="254" t="s">
        <v>254</v>
      </c>
      <c r="B55" s="116"/>
      <c r="C55" s="229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>
      <c r="A56" s="254" t="s">
        <v>255</v>
      </c>
      <c r="B56" s="229" t="s">
        <v>256</v>
      </c>
      <c r="C56" s="116" t="s">
        <v>257</v>
      </c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>
      <c r="A57" s="254" t="s">
        <v>258</v>
      </c>
      <c r="C57" s="229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>
      <c r="A58" s="254"/>
      <c r="B58" t="s">
        <v>1426</v>
      </c>
      <c r="C58" s="229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>
      <c r="A59" s="254"/>
      <c r="B59" s="116"/>
      <c r="C59" s="229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>
      <c r="A60" s="229" t="s">
        <v>259</v>
      </c>
      <c r="B60" s="116" t="s">
        <v>260</v>
      </c>
      <c r="C60" s="229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>
      <c r="A61" s="254" t="s">
        <v>261</v>
      </c>
      <c r="B61" s="116"/>
      <c r="C61" s="229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>
      <c r="A62" s="254"/>
      <c r="B62" s="116"/>
      <c r="C62" s="229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>
      <c r="A63" s="254" t="s">
        <v>1942</v>
      </c>
      <c r="B63" s="659" t="s">
        <v>1652</v>
      </c>
      <c r="C63" s="465" t="s">
        <v>1943</v>
      </c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>
      <c r="A64" s="254"/>
      <c r="B64" s="116"/>
      <c r="C64" s="229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>
      <c r="A65" s="116" t="s">
        <v>262</v>
      </c>
      <c r="B65" s="116" t="s">
        <v>263</v>
      </c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>
      <c r="A66" s="254"/>
      <c r="C66" s="229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>
      <c r="A67" s="254" t="s">
        <v>1924</v>
      </c>
      <c r="C67" s="229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>
      <c r="A68" s="254"/>
      <c r="C68" s="229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>
      <c r="A69" s="254" t="s">
        <v>2029</v>
      </c>
      <c r="B69" t="s">
        <v>2030</v>
      </c>
      <c r="C69" s="229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>
      <c r="C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>
      <c r="A71" s="255" t="s">
        <v>264</v>
      </c>
      <c r="B71" s="256" t="s">
        <v>201</v>
      </c>
      <c r="C71" s="229" t="s">
        <v>210</v>
      </c>
      <c r="D71" s="255" t="s">
        <v>211</v>
      </c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>
      <c r="A73" s="255" t="s">
        <v>265</v>
      </c>
      <c r="B73" s="256" t="s">
        <v>201</v>
      </c>
      <c r="C73" s="932" t="s">
        <v>266</v>
      </c>
      <c r="D73" s="255" t="s">
        <v>211</v>
      </c>
      <c r="E73" s="255"/>
      <c r="F73" s="255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>
      <c r="A75" s="255" t="s">
        <v>267</v>
      </c>
      <c r="B75" s="256" t="s">
        <v>201</v>
      </c>
      <c r="C75" s="465" t="s">
        <v>1925</v>
      </c>
      <c r="D75" s="255" t="s">
        <v>211</v>
      </c>
      <c r="E75" s="255"/>
      <c r="F75" s="255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>
      <c r="A76" s="255"/>
      <c r="B76" s="255"/>
      <c r="C76" s="255"/>
      <c r="D76" s="255"/>
      <c r="E76" s="255"/>
      <c r="F76" s="255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>
      <c r="A77" s="255" t="s">
        <v>268</v>
      </c>
      <c r="B77" s="256" t="s">
        <v>269</v>
      </c>
      <c r="C77" s="229" t="s">
        <v>199</v>
      </c>
      <c r="D77" s="255" t="s">
        <v>211</v>
      </c>
      <c r="E77" s="255"/>
      <c r="F77" s="255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>
      <c r="A78" s="255"/>
      <c r="B78" s="255"/>
      <c r="C78" s="255"/>
      <c r="D78" s="255"/>
      <c r="E78" s="255"/>
      <c r="F78" s="255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>
      <c r="A79" s="255" t="s">
        <v>270</v>
      </c>
      <c r="B79" s="256" t="s">
        <v>251</v>
      </c>
      <c r="C79" s="229" t="s">
        <v>199</v>
      </c>
      <c r="D79" s="255" t="s">
        <v>211</v>
      </c>
      <c r="E79" s="255"/>
      <c r="F79" s="255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>
      <c r="A80" s="255"/>
      <c r="B80" s="255"/>
      <c r="C80" s="255"/>
      <c r="D80" s="255"/>
      <c r="E80" s="255"/>
      <c r="F80" s="255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>
      <c r="A81" s="255" t="s">
        <v>271</v>
      </c>
      <c r="B81" s="256" t="s">
        <v>201</v>
      </c>
      <c r="C81" s="465" t="s">
        <v>210</v>
      </c>
      <c r="D81" s="255" t="s">
        <v>211</v>
      </c>
      <c r="E81" s="255"/>
      <c r="F81" s="255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>
      <c r="A82" s="255"/>
      <c r="B82" s="255"/>
      <c r="C82" s="255"/>
      <c r="D82" s="255"/>
      <c r="E82" s="255"/>
      <c r="F82" s="255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>
      <c r="A83" s="255" t="s">
        <v>272</v>
      </c>
      <c r="B83" s="256" t="s">
        <v>201</v>
      </c>
      <c r="C83" s="465" t="s">
        <v>210</v>
      </c>
      <c r="D83" s="255" t="s">
        <v>211</v>
      </c>
      <c r="E83" s="255"/>
      <c r="F83" s="255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>
      <c r="A84" s="255"/>
      <c r="B84" s="256"/>
      <c r="C84" s="256"/>
      <c r="D84" s="255"/>
      <c r="E84" s="255"/>
      <c r="F84" s="255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>
      <c r="A85" s="255" t="s">
        <v>273</v>
      </c>
      <c r="B85" s="256" t="s">
        <v>205</v>
      </c>
      <c r="C85" s="229" t="s">
        <v>199</v>
      </c>
      <c r="D85" s="255" t="s">
        <v>211</v>
      </c>
      <c r="E85" s="255"/>
      <c r="F85" s="255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>
      <c r="A86" s="255"/>
      <c r="B86" s="256"/>
      <c r="C86" s="256"/>
      <c r="D86" s="255"/>
      <c r="E86" s="255"/>
      <c r="F86" s="255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>
      <c r="A87" s="255" t="s">
        <v>274</v>
      </c>
      <c r="B87" s="256" t="s">
        <v>275</v>
      </c>
      <c r="C87" s="229" t="s">
        <v>276</v>
      </c>
      <c r="D87" s="255" t="s">
        <v>211</v>
      </c>
      <c r="E87" s="255"/>
      <c r="F87" s="255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>
      <c r="A88" s="255"/>
      <c r="B88" s="256"/>
      <c r="C88" s="256"/>
      <c r="D88" s="255"/>
      <c r="E88" s="255"/>
      <c r="F88" s="255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>
      <c r="A89" s="255" t="s">
        <v>277</v>
      </c>
      <c r="B89" s="256" t="s">
        <v>278</v>
      </c>
      <c r="C89" s="932" t="s">
        <v>1926</v>
      </c>
      <c r="D89" s="255" t="s">
        <v>211</v>
      </c>
      <c r="E89" s="255"/>
      <c r="F89" s="255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>
      <c r="A90" s="255"/>
      <c r="B90" s="256"/>
      <c r="C90" s="256"/>
      <c r="D90" s="255"/>
      <c r="E90" s="255"/>
      <c r="F90" s="255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>
      <c r="A91" s="255" t="s">
        <v>279</v>
      </c>
      <c r="B91" s="256" t="s">
        <v>201</v>
      </c>
      <c r="C91" s="256" t="s">
        <v>280</v>
      </c>
      <c r="D91" s="255"/>
      <c r="E91" s="255"/>
      <c r="F91" s="255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>
      <c r="A92" s="255"/>
      <c r="B92" s="256"/>
      <c r="C92" s="256"/>
      <c r="D92" s="255"/>
      <c r="E92" s="255"/>
      <c r="F92" s="255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26.05">
      <c r="A93" s="257" t="s">
        <v>281</v>
      </c>
      <c r="B93" s="256" t="s">
        <v>208</v>
      </c>
      <c r="C93" s="229" t="s">
        <v>199</v>
      </c>
      <c r="D93" s="255"/>
      <c r="E93" s="255"/>
      <c r="F93" s="255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>
      <c r="A94" s="255"/>
      <c r="B94" s="256"/>
      <c r="C94" s="256"/>
      <c r="D94" s="255"/>
      <c r="E94" s="255"/>
      <c r="F94" s="255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>
      <c r="A95" s="255" t="s">
        <v>282</v>
      </c>
      <c r="B95" s="256" t="s">
        <v>208</v>
      </c>
      <c r="C95" s="229" t="s">
        <v>199</v>
      </c>
      <c r="D95" s="255"/>
      <c r="E95" s="255"/>
      <c r="F95" s="255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>
      <c r="A96" s="255"/>
      <c r="B96" s="256"/>
      <c r="C96" s="229"/>
      <c r="D96" s="255"/>
      <c r="E96" s="255"/>
      <c r="F96" s="255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>
      <c r="A97" s="255" t="s">
        <v>1521</v>
      </c>
      <c r="B97" s="256" t="s">
        <v>208</v>
      </c>
      <c r="C97" s="465" t="s">
        <v>1520</v>
      </c>
      <c r="D97" s="255"/>
      <c r="E97" s="255"/>
      <c r="F97" s="255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>
      <c r="A99" s="10" t="s">
        <v>283</v>
      </c>
      <c r="B99" s="10" t="s">
        <v>194</v>
      </c>
      <c r="C99" s="229" t="s">
        <v>199</v>
      </c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>
      <c r="C100" s="229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>
      <c r="A101" s="10" t="s">
        <v>284</v>
      </c>
      <c r="B101" s="10" t="s">
        <v>194</v>
      </c>
      <c r="C101" s="467" t="s">
        <v>1927</v>
      </c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>
      <c r="C102" s="229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>
      <c r="A103" s="10" t="s">
        <v>285</v>
      </c>
      <c r="B103" s="10" t="s">
        <v>208</v>
      </c>
      <c r="C103" s="229" t="s">
        <v>199</v>
      </c>
      <c r="D103" s="10" t="s">
        <v>286</v>
      </c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>
      <c r="A105" s="229" t="s">
        <v>287</v>
      </c>
      <c r="B105" s="10" t="s">
        <v>288</v>
      </c>
      <c r="C105" s="229" t="s">
        <v>226</v>
      </c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>
      <c r="A107" s="10" t="s">
        <v>289</v>
      </c>
      <c r="B107" s="10" t="s">
        <v>208</v>
      </c>
      <c r="C107" s="229" t="s">
        <v>226</v>
      </c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>
      <c r="A109" s="10" t="s">
        <v>290</v>
      </c>
      <c r="B109" s="229" t="s">
        <v>201</v>
      </c>
      <c r="C109" s="229" t="s">
        <v>210</v>
      </c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>
      <c r="A111" s="10" t="s">
        <v>291</v>
      </c>
      <c r="B111" s="10" t="s">
        <v>292</v>
      </c>
      <c r="C111" s="229" t="s">
        <v>199</v>
      </c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>
      <c r="C112" s="229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53.2">
      <c r="A113" s="551" t="s">
        <v>293</v>
      </c>
      <c r="B113" s="10" t="s">
        <v>294</v>
      </c>
      <c r="C113" s="229" t="s">
        <v>199</v>
      </c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>
      <c r="A115" s="229" t="s">
        <v>295</v>
      </c>
      <c r="B115" s="10" t="s">
        <v>296</v>
      </c>
      <c r="C115" s="229" t="s">
        <v>199</v>
      </c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>
      <c r="A116" s="229"/>
      <c r="C116" s="229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>
      <c r="A117" s="229" t="s">
        <v>297</v>
      </c>
      <c r="B117" s="85">
        <v>9999658549</v>
      </c>
      <c r="C117" s="229" t="s">
        <v>298</v>
      </c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>
      <c r="A118" s="229"/>
      <c r="C118" s="229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>
      <c r="A119" s="229" t="s">
        <v>299</v>
      </c>
      <c r="B119" s="229" t="s">
        <v>300</v>
      </c>
      <c r="C119" s="229" t="s">
        <v>199</v>
      </c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>
      <c r="A121" s="229" t="s">
        <v>301</v>
      </c>
      <c r="B121" s="229" t="s">
        <v>302</v>
      </c>
      <c r="C121" s="229" t="s">
        <v>226</v>
      </c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>
      <c r="C122" s="229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>
      <c r="A123" s="10" t="s">
        <v>303</v>
      </c>
      <c r="B123" s="10" t="s">
        <v>304</v>
      </c>
      <c r="C123" s="229" t="s">
        <v>199</v>
      </c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>
      <c r="C124" s="229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>
      <c r="A125" s="10" t="s">
        <v>305</v>
      </c>
      <c r="B125" s="229" t="s">
        <v>306</v>
      </c>
      <c r="C125" s="229" t="s">
        <v>280</v>
      </c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>
      <c r="C126" s="229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>
      <c r="A127" s="10" t="s">
        <v>307</v>
      </c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>
      <c r="A128" s="10" t="s">
        <v>308</v>
      </c>
      <c r="B128" s="10" t="s">
        <v>309</v>
      </c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>
      <c r="A129" s="10" t="s">
        <v>310</v>
      </c>
      <c r="B129" s="10" t="s">
        <v>311</v>
      </c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>
      <c r="A130" s="10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>
      <c r="A131" s="10" t="s">
        <v>1959</v>
      </c>
      <c r="B131" s="10" t="s">
        <v>312</v>
      </c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>
      <c r="B132" s="10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>
      <c r="A133" s="10" t="s">
        <v>1941</v>
      </c>
      <c r="B133" t="s">
        <v>2028</v>
      </c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>
      <c r="B134" t="s">
        <v>2027</v>
      </c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>
      <c r="A136" s="116" t="s">
        <v>1729</v>
      </c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>
      <c r="A137" s="116" t="s">
        <v>313</v>
      </c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>
      <c r="A138" s="116"/>
      <c r="B138" s="10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>
      <c r="A139" s="116" t="s">
        <v>2025</v>
      </c>
      <c r="B139" s="465" t="s">
        <v>2024</v>
      </c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>
      <c r="A140" s="116"/>
      <c r="B140" s="465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>
      <c r="A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7.75">
      <c r="A142" s="258" t="s">
        <v>314</v>
      </c>
      <c r="B142" s="11" t="s">
        <v>315</v>
      </c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55">
      <c r="A143" s="259" t="s">
        <v>316</v>
      </c>
      <c r="B143" s="85">
        <v>9899114717</v>
      </c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55">
      <c r="A144" s="259" t="s">
        <v>317</v>
      </c>
      <c r="B144" s="85">
        <v>9899114717</v>
      </c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>
      <c r="C145" s="10">
        <v>2176000</v>
      </c>
      <c r="D145" s="10">
        <v>2176000</v>
      </c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>
      <c r="A146" s="11" t="s">
        <v>318</v>
      </c>
      <c r="B146" s="11" t="s">
        <v>319</v>
      </c>
      <c r="C146" s="10">
        <f>SUM(C145*3/10)</f>
        <v>652800</v>
      </c>
      <c r="D146" s="10">
        <f>SUM(D145*2/10)</f>
        <v>435200</v>
      </c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>
      <c r="A147" s="254" t="s">
        <v>320</v>
      </c>
      <c r="B147" s="116" t="s">
        <v>321</v>
      </c>
      <c r="C147" s="10">
        <f>SUM(C145:C146)</f>
        <v>2828800</v>
      </c>
      <c r="D147" s="10">
        <f>SUM(D145:D146)</f>
        <v>2611200</v>
      </c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26.05">
      <c r="A148" s="254" t="s">
        <v>322</v>
      </c>
      <c r="B148" s="116" t="s">
        <v>323</v>
      </c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>
      <c r="A150" s="10" t="s">
        <v>324</v>
      </c>
      <c r="B150" s="10" t="s">
        <v>325</v>
      </c>
      <c r="C150" s="10" t="s">
        <v>326</v>
      </c>
      <c r="D150" s="10">
        <v>4948</v>
      </c>
      <c r="E150" s="10">
        <v>12677</v>
      </c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>
      <c r="D151" s="10">
        <v>1250</v>
      </c>
      <c r="E151" s="10">
        <v>3000</v>
      </c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>
      <c r="A153" s="11" t="s">
        <v>327</v>
      </c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>
      <c r="A154" s="11" t="s">
        <v>328</v>
      </c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>
      <c r="A155" s="116" t="s">
        <v>329</v>
      </c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>
      <c r="A156" s="116" t="s">
        <v>330</v>
      </c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>
      <c r="A157" s="116" t="s">
        <v>330</v>
      </c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>
      <c r="A159" s="11" t="s">
        <v>331</v>
      </c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>
      <c r="A160" s="11" t="s">
        <v>328</v>
      </c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>
      <c r="A161" s="116" t="s">
        <v>329</v>
      </c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>
      <c r="A162" s="116" t="s">
        <v>332</v>
      </c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>
      <c r="A163" s="11" t="s">
        <v>333</v>
      </c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>
      <c r="A165" s="10" t="s">
        <v>334</v>
      </c>
      <c r="B165" s="10" t="s">
        <v>208</v>
      </c>
      <c r="C165" s="465" t="s">
        <v>199</v>
      </c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>
      <c r="A167" s="10" t="s">
        <v>335</v>
      </c>
      <c r="B167" s="10" t="s">
        <v>1693</v>
      </c>
      <c r="C167" s="465" t="s">
        <v>210</v>
      </c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>
      <c r="A168" s="10" t="s">
        <v>1944</v>
      </c>
      <c r="B168" s="10"/>
      <c r="C168" s="465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>
      <c r="A169" s="10"/>
      <c r="B169" s="10"/>
      <c r="C169" s="10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>
      <c r="A170" t="s">
        <v>1694</v>
      </c>
      <c r="B170" t="s">
        <v>1696</v>
      </c>
      <c r="C170" s="465" t="s">
        <v>1695</v>
      </c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>
      <c r="A172" s="10" t="s">
        <v>336</v>
      </c>
      <c r="B172" s="229" t="s">
        <v>201</v>
      </c>
      <c r="C172" s="465" t="s">
        <v>210</v>
      </c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>
      <c r="A174" s="10" t="s">
        <v>337</v>
      </c>
      <c r="B174" s="229" t="s">
        <v>251</v>
      </c>
      <c r="C174" s="465" t="s">
        <v>210</v>
      </c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7.75">
      <c r="A176" s="260" t="s">
        <v>338</v>
      </c>
      <c r="B176" s="229" t="s">
        <v>251</v>
      </c>
      <c r="C176" s="465" t="s">
        <v>199</v>
      </c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>
      <c r="B177" s="10" t="s">
        <v>339</v>
      </c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>
      <c r="A179" t="s">
        <v>1492</v>
      </c>
      <c r="B179" s="465" t="s">
        <v>210</v>
      </c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9.95">
      <c r="A180" s="261"/>
      <c r="B180" s="465"/>
      <c r="C180" s="465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4.4">
      <c r="A181" s="262" t="s">
        <v>340</v>
      </c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4.4">
      <c r="A182" s="262" t="s">
        <v>341</v>
      </c>
      <c r="B182" s="10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4.4">
      <c r="A183" s="262" t="s">
        <v>342</v>
      </c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4.4">
      <c r="A184" s="262" t="s">
        <v>343</v>
      </c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4.4">
      <c r="A185" s="262" t="s">
        <v>344</v>
      </c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4.4">
      <c r="A186" s="262" t="s">
        <v>345</v>
      </c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4.4">
      <c r="A187" s="262" t="s">
        <v>346</v>
      </c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4.4">
      <c r="A188" s="262" t="s">
        <v>347</v>
      </c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4.4">
      <c r="A189" s="262" t="s">
        <v>348</v>
      </c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>
      <c r="A191" s="11" t="s">
        <v>349</v>
      </c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>
      <c r="A192" s="11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>
      <c r="A193" s="263" t="s">
        <v>350</v>
      </c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>
      <c r="A195" s="11" t="s">
        <v>351</v>
      </c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>
      <c r="A196" s="263" t="s">
        <v>352</v>
      </c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>
      <c r="A197" s="263" t="s">
        <v>353</v>
      </c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3.85">
      <c r="A200" s="464" t="s">
        <v>1905</v>
      </c>
      <c r="B200" s="918" t="s">
        <v>2037</v>
      </c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>
      <c r="A201" s="10" t="s">
        <v>1906</v>
      </c>
      <c r="B201" s="10" t="s">
        <v>1931</v>
      </c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>
      <c r="A202" s="264" t="s">
        <v>354</v>
      </c>
      <c r="B202" s="10" t="s">
        <v>1928</v>
      </c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>
      <c r="A203" s="229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25.5">
      <c r="A204" s="159" t="s">
        <v>355</v>
      </c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>
      <c r="A207" s="10" t="s">
        <v>356</v>
      </c>
      <c r="B207" s="229" t="s">
        <v>357</v>
      </c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>
      <c r="A208" s="10" t="s">
        <v>358</v>
      </c>
      <c r="B208" s="229" t="s">
        <v>357</v>
      </c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>
      <c r="A210" s="10" t="s">
        <v>359</v>
      </c>
      <c r="B210" s="465" t="s">
        <v>1566</v>
      </c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>
      <c r="A213" s="10" t="s">
        <v>360</v>
      </c>
      <c r="B213" s="229" t="s">
        <v>361</v>
      </c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>
      <c r="A214" s="10"/>
      <c r="B214" s="229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>
      <c r="A215" s="10" t="s">
        <v>1934</v>
      </c>
      <c r="B215" s="467" t="s">
        <v>1935</v>
      </c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>
      <c r="A217" s="229" t="s">
        <v>362</v>
      </c>
      <c r="B217" s="229" t="s">
        <v>199</v>
      </c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>
      <c r="A219" s="10" t="s">
        <v>363</v>
      </c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>
      <c r="A220" s="229" t="s">
        <v>364</v>
      </c>
      <c r="B220" s="229" t="s">
        <v>365</v>
      </c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>
      <c r="A222" t="s">
        <v>1499</v>
      </c>
      <c r="B222" t="s">
        <v>1500</v>
      </c>
      <c r="C222" s="85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>
      <c r="C223" s="85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>
      <c r="A224" t="s">
        <v>1519</v>
      </c>
      <c r="B224" s="465" t="s">
        <v>201</v>
      </c>
      <c r="C224" s="85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>
      <c r="C225" s="85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>
      <c r="A226" t="s">
        <v>1782</v>
      </c>
      <c r="B226" s="465" t="s">
        <v>1783</v>
      </c>
      <c r="C226" s="85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>
      <c r="C227" s="85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>
      <c r="C228" s="85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>
      <c r="A229" t="s">
        <v>1528</v>
      </c>
      <c r="C229" s="85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>
      <c r="A230" t="s">
        <v>1529</v>
      </c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>
      <c r="A231" t="s">
        <v>1546</v>
      </c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>
      <c r="A232" t="s">
        <v>1530</v>
      </c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>
      <c r="A234" t="s">
        <v>1531</v>
      </c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>
      <c r="A235" t="s">
        <v>1532</v>
      </c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>
      <c r="A236" t="s">
        <v>1533</v>
      </c>
      <c r="C236" t="s">
        <v>1534</v>
      </c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>
      <c r="A237" t="s">
        <v>1535</v>
      </c>
      <c r="C237" t="s">
        <v>1536</v>
      </c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>
      <c r="A238" t="s">
        <v>1537</v>
      </c>
      <c r="B238" t="s">
        <v>1538</v>
      </c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>
      <c r="A240" t="s">
        <v>1539</v>
      </c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>
      <c r="A241" t="s">
        <v>1540</v>
      </c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>
      <c r="A243" t="s">
        <v>1541</v>
      </c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>
      <c r="A244" t="s">
        <v>1542</v>
      </c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>
      <c r="A245" t="s">
        <v>1543</v>
      </c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>
      <c r="A246" t="s">
        <v>1544</v>
      </c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>
      <c r="A248" t="s">
        <v>1545</v>
      </c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>
      <c r="A250" t="s">
        <v>1547</v>
      </c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>
      <c r="A253" t="s">
        <v>1658</v>
      </c>
      <c r="B253" t="s">
        <v>1659</v>
      </c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>
      <c r="A255" t="s">
        <v>1730</v>
      </c>
      <c r="B255" t="s">
        <v>1731</v>
      </c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>
      <c r="A258" t="s">
        <v>1732</v>
      </c>
      <c r="B258" s="465" t="s">
        <v>1733</v>
      </c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>
      <c r="B259" s="462" t="s">
        <v>229</v>
      </c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>
      <c r="A260" t="s">
        <v>1840</v>
      </c>
      <c r="B260" s="465" t="s">
        <v>1841</v>
      </c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>
      <c r="A262" s="464" t="s">
        <v>1884</v>
      </c>
      <c r="B262" s="464" t="s">
        <v>1939</v>
      </c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>
      <c r="A263" s="465" t="s">
        <v>1937</v>
      </c>
      <c r="B263" s="961" t="s">
        <v>1938</v>
      </c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>
      <c r="A264" s="464"/>
      <c r="B264" s="963" t="s">
        <v>1940</v>
      </c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>
      <c r="A265" s="464"/>
      <c r="B265" s="963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>
      <c r="A266" s="464" t="s">
        <v>2038</v>
      </c>
      <c r="B266" s="1034" t="s">
        <v>365</v>
      </c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>
      <c r="A267" s="464"/>
      <c r="B267" s="963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>
      <c r="A268" s="465" t="s">
        <v>2031</v>
      </c>
      <c r="B268" s="1034" t="s">
        <v>2026</v>
      </c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>
      <c r="A269" s="1035" t="s">
        <v>2033</v>
      </c>
      <c r="B269" s="1034" t="s">
        <v>2032</v>
      </c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4.95">
      <c r="B270" s="962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>
      <c r="A271" s="465" t="s">
        <v>1885</v>
      </c>
      <c r="B271" s="465" t="s">
        <v>365</v>
      </c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>
      <c r="A273" t="s">
        <v>1892</v>
      </c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>
      <c r="A275" t="s">
        <v>1894</v>
      </c>
      <c r="B275" s="465" t="s">
        <v>1893</v>
      </c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>
      <c r="A277" t="s">
        <v>1897</v>
      </c>
      <c r="B277" t="s">
        <v>1899</v>
      </c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>
      <c r="A278" t="s">
        <v>1898</v>
      </c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7:26"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7:26"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7:26"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7:26"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7:26"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7:26"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7:26"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7:26"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7:26"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7:26"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7:26"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7:26"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7:26"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7:26"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7:26"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7:26"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7:26"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7:26"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7:26"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7:26"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7:26"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7:26"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7:26"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7:26"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7:26"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7:26"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7:26"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7:26"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7:26"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7:26"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7:26"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7:26"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7:26"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7:26"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7:26"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7:26"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7:26"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7:26"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7:26"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7:26"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7:26"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7:26"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7:26"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7:26"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7:26"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7:26"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7:26"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7:26"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7:26"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7:26"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7:26"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7:26"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7:26"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7:26"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7:26"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7:26"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7:26"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7:26"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7:26"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7:26"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7:26"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7:26"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7:26"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7:26"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7:26"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7:26"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7:26"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7:26"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7:26"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7:26"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7:26"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7:26"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7:26"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7:26"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7:26"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7:26"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7:26"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7:26"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7:26"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7:26"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7:26"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7:26"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7:26"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7:26"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7:26"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7:26"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7:26"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7:26"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7:26"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7:26"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7:26"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7:26"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7:26"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7:26"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7:26"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7:26"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7:26"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7:26"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7:26"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7:26"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7:26"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7:26"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7:26"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7:26"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7:26"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7:26"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7:26"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7:26"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7:26"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7:26"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7:26"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7:26"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7:26"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7:26"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7:26"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7:26"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7:26"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7:26"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7:26"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7:26"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7:26"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7:26"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7:26"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7:26"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7:26"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7:26"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7:26"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7:26"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7:26"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7:26"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7:26"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7:26"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7:26"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7:26"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7:26"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7:26"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7:26"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7:26"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7:26"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7:26"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7:26"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7:26"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7:26"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7:26"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7:26"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7:26"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7:26"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7:26"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7:26"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7:26"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7:26"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7:26"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7:26"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7:26"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7:26"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7:26"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7:26"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7:26"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7:26"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7:26"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7:26"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7:26"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7:26"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7:26"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7:26"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7:26"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7:26"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7:26"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7:26"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7:26"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7:26"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7:26"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7:26"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7:26"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7:26"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7:26"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7:26"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7:26"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7:26"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7:26"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7:26"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7:26"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7:26"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7:26"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7:26"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7:26"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7:26"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7:26"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7:26"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7:26"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7:26"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7:26"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7:26"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7:26"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7:26"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7:26"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7:26"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7:26"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7:26"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7:26"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7:26"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7:26"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7:26"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7:26"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7:26"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7:26"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7:26"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7:26"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7:26"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7:26"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7:26"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7:26"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7:26"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7:26"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7:26"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7:26"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7:26"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7:26"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7:26"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7:26"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7:26"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7:26"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7:26"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7:26"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7:26"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7:26"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7:26"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7:26"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7:26"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7:26"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7:26"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7:26"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7:26"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7:26"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7:26"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7:26"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7:26"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7:26"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7:26"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7:26"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7:26"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7:26"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7:26"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7:26"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7:26"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7:26"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7:26"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7:26"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7:26"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7:26"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7:26"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7:26"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7:26"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7:26"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7:26"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7:26"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7:26"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7:26"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7:26"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7:26"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7:26"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7:26"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7:26"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7:26"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7:26"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7:26"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7:26"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7:26"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7:26"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7:26"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7:26"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7:26"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7:26"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7:26"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7:26"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7:26"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7:26"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7:26"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7:26"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7:26"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7:26"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7:26"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7:26"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7:26"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7:26"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7:26"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7:26"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7:26"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7:26"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7:26"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7:26"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7:26"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7:26"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7:26"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7:26"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7:26"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7:26"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7:26"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7:26"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7:26"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7:26"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7:26"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7:26"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7:26"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7:26"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7:26"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7:26"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7:26"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7:26"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7:26"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7:26"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7:26"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7:26"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7:26"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7:26"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7:26"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7:26"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7:26"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7:26"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7:26"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7:26"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7:26"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7:26"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7:26"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7:26"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7:26"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7:26"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7:26"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7:26"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7:26"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7:26"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7:26"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7:26"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7:26"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7:26"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7:26"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7:26"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7:26"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7:26"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7:26"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7:26"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7:26"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7:26"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7:26"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7:26"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7:26"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7:26"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7:26"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7:26"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7:26"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7:26"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7:26"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7:26"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7:26"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7:26"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7:26"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7:26"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7:26"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7:26"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7:26"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7:26"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7:26"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7:26"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7:26"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7:26"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7:26"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7:26"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7:26"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7:26"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7:26"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7:26"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7:26"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7:26"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7:26"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7:26"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7:26"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7:26"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7:26"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7:26"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7:26"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7:26"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7:26"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7:26"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7:26"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7:26"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7:26"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7:26"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7:26"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7:26"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7:26"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7:26"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7:26"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7:26"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7:26"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7:26"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7:26"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7:26"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7:26"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7:26"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7:26"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7:26"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7:26"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7:26"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7:26"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7:26"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7:26"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7:26"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7:26"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7:26"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7:26"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7:26"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7:26"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7:26"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7:26"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7:26"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7:26"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7:26"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7:26"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7:26"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7:26"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7:26"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7:26"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7:26"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7:26"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7:26"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7:26"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7:26"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7:26"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7:26"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7:26"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7:26"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7:26"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7:26"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7:26"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7:26"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7:26"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7:26"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7:26"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7:26"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7:26"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7:26"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7:26"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7:26"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7:26"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7:26"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7:26"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7:26"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7:26"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7:26"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7:26"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7:26"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7:26"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7:26"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7:26"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7:26"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7:26"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7:26"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7:26"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7:26"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7:26"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7:26"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7:26"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7:26"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7:26"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7:26"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7:26"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7:26"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7:26"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7:26"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7:26"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7:26"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7:26"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7:26"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7:26"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7:26"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7:26"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7:26"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7:26"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7:26"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7:26"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7:26"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7:26"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7:26"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7:26"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7:26"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7:26"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7:26"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7:26"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7:26"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7:26"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7:26"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7:26"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7:26"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7:26"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7:26"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7:26"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7:26"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7:26"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7:26"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7:26"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7:26"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7:26"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7:26"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7:26"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7:26"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7:26"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7:26"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7:26"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7:26"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7:26"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7:26"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7:26"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7:26"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7:26"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7:26"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7:26"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7:26"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7:26"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7:26"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7:26"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7:26"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7:26"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7:26"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7:26"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7:26"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7:26"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7:26"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7:26"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7:26"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7:26"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7:26"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7:26"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7:26"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7:26"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7:26"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7:26"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7:26"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7:26"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7:26"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7:26"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7:26"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7:26"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7:26"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7:26"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7:26"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7:26"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7:26"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7:26"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7:26"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7:26"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7:26"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7:26"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7:26"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7:26"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7:26"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7:26"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7:26"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7:26"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7:26"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7:26"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7:26"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7:26"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7:26"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7:26"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7:26"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7:26"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7:26"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7:26"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7:26"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7:26"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7:26"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7:26"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7:26"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7:26"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7:26"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7:26"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7:26"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7:26"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7:26"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7:26"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7:26"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7:26"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7:26"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7:26"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7:26"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7:26"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7:26"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7:26"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7:26"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7:26"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7:26"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7:26"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7:26"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7:26"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7:26"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7:26"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7:26"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7:26"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7:26"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7:26"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7:26"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7:26"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7:26"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7:26"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7:26"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7:26"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7:26"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7:26"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7:26"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7:26"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7:26"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7:26"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7:26"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7:26"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7:26"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7:26"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7:26"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7:26"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7:26"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7:26"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7:26"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7:26"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7:26"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7:26"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7:26"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7:26"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7:26"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7:26"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7:26"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7:26"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7:26"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7:26"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7:26"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7:26"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7:26"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7:26"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7:26"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7:26"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7:26"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7:26"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7:26"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7:26"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7:26"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7:26"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7:26"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7:26"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7:26"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7:26"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7:26"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7:26"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7:26"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7:26"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7:26"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7:26"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7:26"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7:26"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7:26"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7:26"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7:26"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7:26"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7:26"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7:26"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7:26"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7:26"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7:26"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7:26"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7:26"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7:26"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7:26"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7:26"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7:26"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7:26"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7:26"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7:26"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7:26"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7:26"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7:26"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7:26"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7:26"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7:26"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7:26"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7:26"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7:26"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7:26"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7:26"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7:26"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7:26"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7:26"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7:26"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7:26"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7:26"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7:26"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7:26"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7:26"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7:26"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7:26"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7:26"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7:26"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7:26"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7:26"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7:26"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7:26"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  <row r="991" spans="7:26">
      <c r="G991" s="116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</row>
    <row r="992" spans="7:26">
      <c r="G992" s="116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</row>
    <row r="993" spans="7:26">
      <c r="G993" s="116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</row>
    <row r="994" spans="7:26">
      <c r="G994" s="116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</row>
    <row r="995" spans="7:26">
      <c r="G995" s="116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</row>
    <row r="996" spans="7:26">
      <c r="G996" s="116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</row>
    <row r="997" spans="7:26">
      <c r="G997" s="116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</row>
    <row r="998" spans="7:26">
      <c r="G998" s="116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</row>
    <row r="999" spans="7:26">
      <c r="G999" s="116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</row>
    <row r="1000" spans="7:26">
      <c r="G1000" s="116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</row>
    <row r="1001" spans="7:26">
      <c r="G1001" s="116"/>
      <c r="H1001" s="116"/>
      <c r="I1001" s="116"/>
      <c r="J1001" s="116"/>
      <c r="K1001" s="116"/>
      <c r="L1001" s="116"/>
      <c r="M1001" s="116"/>
      <c r="N1001" s="116"/>
      <c r="O1001" s="116"/>
      <c r="P1001" s="116"/>
      <c r="Q1001" s="116"/>
      <c r="R1001" s="116"/>
      <c r="S1001" s="116"/>
      <c r="T1001" s="116"/>
      <c r="U1001" s="116"/>
      <c r="V1001" s="116"/>
      <c r="W1001" s="116"/>
      <c r="X1001" s="116"/>
      <c r="Y1001" s="116"/>
      <c r="Z1001" s="116"/>
    </row>
    <row r="1002" spans="7:26">
      <c r="G1002" s="116"/>
      <c r="H1002" s="116"/>
      <c r="I1002" s="116"/>
      <c r="J1002" s="116"/>
      <c r="K1002" s="116"/>
      <c r="L1002" s="116"/>
      <c r="M1002" s="116"/>
      <c r="N1002" s="116"/>
      <c r="O1002" s="116"/>
      <c r="P1002" s="116"/>
      <c r="Q1002" s="116"/>
      <c r="R1002" s="116"/>
      <c r="S1002" s="116"/>
      <c r="T1002" s="116"/>
      <c r="U1002" s="116"/>
      <c r="V1002" s="116"/>
      <c r="W1002" s="116"/>
      <c r="X1002" s="116"/>
      <c r="Y1002" s="116"/>
      <c r="Z1002" s="116"/>
    </row>
    <row r="1003" spans="7:26">
      <c r="G1003" s="116"/>
      <c r="H1003" s="116"/>
      <c r="I1003" s="116"/>
      <c r="J1003" s="116"/>
      <c r="K1003" s="116"/>
      <c r="L1003" s="116"/>
      <c r="M1003" s="116"/>
      <c r="N1003" s="116"/>
      <c r="O1003" s="116"/>
      <c r="P1003" s="116"/>
      <c r="Q1003" s="116"/>
      <c r="R1003" s="116"/>
      <c r="S1003" s="116"/>
      <c r="T1003" s="116"/>
      <c r="U1003" s="116"/>
      <c r="V1003" s="116"/>
      <c r="W1003" s="116"/>
      <c r="X1003" s="116"/>
      <c r="Y1003" s="116"/>
      <c r="Z1003" s="116"/>
    </row>
    <row r="1004" spans="7:26">
      <c r="G1004" s="116"/>
      <c r="H1004" s="116"/>
      <c r="I1004" s="116"/>
      <c r="J1004" s="116"/>
      <c r="K1004" s="116"/>
      <c r="L1004" s="116"/>
      <c r="M1004" s="116"/>
      <c r="N1004" s="116"/>
      <c r="O1004" s="116"/>
      <c r="P1004" s="116"/>
      <c r="Q1004" s="116"/>
      <c r="R1004" s="116"/>
      <c r="S1004" s="116"/>
      <c r="T1004" s="116"/>
      <c r="U1004" s="116"/>
      <c r="V1004" s="116"/>
      <c r="W1004" s="116"/>
      <c r="X1004" s="116"/>
      <c r="Y1004" s="116"/>
      <c r="Z1004" s="116"/>
    </row>
    <row r="1005" spans="7:26">
      <c r="G1005" s="116"/>
      <c r="H1005" s="116"/>
      <c r="I1005" s="116"/>
      <c r="J1005" s="116"/>
      <c r="K1005" s="116"/>
      <c r="L1005" s="116"/>
      <c r="M1005" s="116"/>
      <c r="N1005" s="116"/>
      <c r="O1005" s="116"/>
      <c r="P1005" s="116"/>
      <c r="Q1005" s="116"/>
      <c r="R1005" s="116"/>
      <c r="S1005" s="116"/>
      <c r="T1005" s="116"/>
      <c r="U1005" s="116"/>
      <c r="V1005" s="116"/>
      <c r="W1005" s="116"/>
      <c r="X1005" s="116"/>
      <c r="Y1005" s="116"/>
      <c r="Z1005" s="116"/>
    </row>
    <row r="1006" spans="7:26">
      <c r="G1006" s="116"/>
      <c r="H1006" s="116"/>
      <c r="I1006" s="116"/>
      <c r="J1006" s="116"/>
      <c r="K1006" s="116"/>
      <c r="L1006" s="116"/>
      <c r="M1006" s="116"/>
      <c r="N1006" s="116"/>
      <c r="O1006" s="116"/>
      <c r="P1006" s="116"/>
      <c r="Q1006" s="116"/>
      <c r="R1006" s="116"/>
      <c r="S1006" s="116"/>
      <c r="T1006" s="116"/>
      <c r="U1006" s="116"/>
      <c r="V1006" s="116"/>
      <c r="W1006" s="116"/>
      <c r="X1006" s="116"/>
      <c r="Y1006" s="116"/>
      <c r="Z1006" s="116"/>
    </row>
    <row r="1007" spans="7:26">
      <c r="G1007" s="116"/>
      <c r="H1007" s="116"/>
      <c r="I1007" s="116"/>
      <c r="J1007" s="116"/>
      <c r="K1007" s="116"/>
      <c r="L1007" s="116"/>
      <c r="M1007" s="116"/>
      <c r="N1007" s="116"/>
      <c r="O1007" s="116"/>
      <c r="P1007" s="116"/>
      <c r="Q1007" s="116"/>
      <c r="R1007" s="116"/>
      <c r="S1007" s="116"/>
      <c r="T1007" s="116"/>
      <c r="U1007" s="116"/>
      <c r="V1007" s="116"/>
      <c r="W1007" s="116"/>
      <c r="X1007" s="116"/>
      <c r="Y1007" s="116"/>
      <c r="Z1007" s="116"/>
    </row>
    <row r="1008" spans="7:26">
      <c r="G1008" s="116"/>
      <c r="H1008" s="116"/>
      <c r="I1008" s="116"/>
      <c r="J1008" s="116"/>
      <c r="K1008" s="116"/>
      <c r="L1008" s="116"/>
      <c r="M1008" s="116"/>
      <c r="N1008" s="116"/>
      <c r="O1008" s="116"/>
      <c r="P1008" s="116"/>
      <c r="Q1008" s="116"/>
      <c r="R1008" s="116"/>
      <c r="S1008" s="116"/>
      <c r="T1008" s="116"/>
      <c r="U1008" s="116"/>
      <c r="V1008" s="116"/>
      <c r="W1008" s="116"/>
      <c r="X1008" s="116"/>
      <c r="Y1008" s="116"/>
      <c r="Z1008" s="116"/>
    </row>
    <row r="1009" spans="7:26">
      <c r="G1009" s="116"/>
      <c r="H1009" s="116"/>
      <c r="I1009" s="116"/>
      <c r="J1009" s="116"/>
      <c r="K1009" s="116"/>
      <c r="L1009" s="116"/>
      <c r="M1009" s="116"/>
      <c r="N1009" s="116"/>
      <c r="O1009" s="116"/>
      <c r="P1009" s="116"/>
      <c r="Q1009" s="116"/>
      <c r="R1009" s="116"/>
      <c r="S1009" s="116"/>
      <c r="T1009" s="116"/>
      <c r="U1009" s="116"/>
      <c r="V1009" s="116"/>
      <c r="W1009" s="116"/>
      <c r="X1009" s="116"/>
      <c r="Y1009" s="116"/>
      <c r="Z1009" s="116"/>
    </row>
    <row r="1010" spans="7:26">
      <c r="G1010" s="116"/>
      <c r="H1010" s="116"/>
      <c r="I1010" s="116"/>
      <c r="J1010" s="116"/>
      <c r="K1010" s="116"/>
      <c r="L1010" s="116"/>
      <c r="M1010" s="116"/>
      <c r="N1010" s="116"/>
      <c r="O1010" s="116"/>
      <c r="P1010" s="116"/>
      <c r="Q1010" s="116"/>
      <c r="R1010" s="116"/>
      <c r="S1010" s="116"/>
      <c r="T1010" s="116"/>
      <c r="U1010" s="116"/>
      <c r="V1010" s="116"/>
      <c r="W1010" s="116"/>
      <c r="X1010" s="116"/>
      <c r="Y1010" s="116"/>
      <c r="Z1010" s="116"/>
    </row>
    <row r="1011" spans="7:26">
      <c r="G1011" s="116"/>
      <c r="H1011" s="116"/>
      <c r="I1011" s="116"/>
      <c r="J1011" s="116"/>
      <c r="K1011" s="116"/>
      <c r="L1011" s="116"/>
      <c r="M1011" s="116"/>
      <c r="N1011" s="116"/>
      <c r="O1011" s="116"/>
      <c r="P1011" s="116"/>
      <c r="Q1011" s="116"/>
      <c r="R1011" s="116"/>
      <c r="S1011" s="116"/>
      <c r="T1011" s="116"/>
      <c r="U1011" s="116"/>
      <c r="V1011" s="116"/>
      <c r="W1011" s="116"/>
      <c r="X1011" s="116"/>
      <c r="Y1011" s="116"/>
      <c r="Z1011" s="116"/>
    </row>
    <row r="1012" spans="7:26">
      <c r="G1012" s="116"/>
      <c r="H1012" s="116"/>
      <c r="I1012" s="116"/>
      <c r="J1012" s="116"/>
      <c r="K1012" s="116"/>
      <c r="L1012" s="116"/>
      <c r="M1012" s="116"/>
      <c r="N1012" s="116"/>
      <c r="O1012" s="116"/>
      <c r="P1012" s="116"/>
      <c r="Q1012" s="116"/>
      <c r="R1012" s="116"/>
      <c r="S1012" s="116"/>
      <c r="T1012" s="116"/>
      <c r="U1012" s="116"/>
      <c r="V1012" s="116"/>
      <c r="W1012" s="116"/>
      <c r="X1012" s="116"/>
      <c r="Y1012" s="116"/>
      <c r="Z1012" s="116"/>
    </row>
    <row r="1013" spans="7:26">
      <c r="G1013" s="116"/>
      <c r="H1013" s="116"/>
      <c r="I1013" s="116"/>
      <c r="J1013" s="116"/>
      <c r="K1013" s="116"/>
      <c r="L1013" s="116"/>
      <c r="M1013" s="116"/>
      <c r="N1013" s="116"/>
      <c r="O1013" s="116"/>
      <c r="P1013" s="116"/>
      <c r="Q1013" s="116"/>
      <c r="R1013" s="116"/>
      <c r="S1013" s="116"/>
      <c r="T1013" s="116"/>
      <c r="U1013" s="116"/>
      <c r="V1013" s="116"/>
      <c r="W1013" s="116"/>
      <c r="X1013" s="116"/>
      <c r="Y1013" s="116"/>
      <c r="Z1013" s="116"/>
    </row>
    <row r="1014" spans="7:26">
      <c r="G1014" s="116"/>
      <c r="H1014" s="116"/>
      <c r="I1014" s="116"/>
      <c r="J1014" s="116"/>
      <c r="K1014" s="116"/>
      <c r="L1014" s="116"/>
      <c r="M1014" s="116"/>
      <c r="N1014" s="116"/>
      <c r="O1014" s="116"/>
      <c r="P1014" s="116"/>
      <c r="Q1014" s="116"/>
      <c r="R1014" s="116"/>
      <c r="S1014" s="116"/>
      <c r="T1014" s="116"/>
      <c r="U1014" s="116"/>
      <c r="V1014" s="116"/>
      <c r="W1014" s="116"/>
      <c r="X1014" s="116"/>
      <c r="Y1014" s="116"/>
      <c r="Z1014" s="116"/>
    </row>
    <row r="1015" spans="7:26">
      <c r="G1015" s="116"/>
      <c r="H1015" s="116"/>
      <c r="I1015" s="116"/>
      <c r="J1015" s="116"/>
      <c r="K1015" s="116"/>
      <c r="L1015" s="116"/>
      <c r="M1015" s="116"/>
      <c r="N1015" s="116"/>
      <c r="O1015" s="116"/>
      <c r="P1015" s="116"/>
      <c r="Q1015" s="116"/>
      <c r="R1015" s="116"/>
      <c r="S1015" s="116"/>
      <c r="T1015" s="116"/>
      <c r="U1015" s="116"/>
      <c r="V1015" s="116"/>
      <c r="W1015" s="116"/>
      <c r="X1015" s="116"/>
      <c r="Y1015" s="116"/>
      <c r="Z1015" s="116"/>
    </row>
    <row r="1016" spans="7:26">
      <c r="G1016" s="116"/>
      <c r="H1016" s="116"/>
      <c r="I1016" s="116"/>
      <c r="J1016" s="116"/>
      <c r="K1016" s="116"/>
      <c r="L1016" s="116"/>
      <c r="M1016" s="116"/>
      <c r="N1016" s="116"/>
      <c r="O1016" s="116"/>
      <c r="P1016" s="116"/>
      <c r="Q1016" s="116"/>
      <c r="R1016" s="116"/>
      <c r="S1016" s="116"/>
      <c r="T1016" s="116"/>
      <c r="U1016" s="116"/>
      <c r="V1016" s="116"/>
      <c r="W1016" s="116"/>
      <c r="X1016" s="116"/>
      <c r="Y1016" s="116"/>
      <c r="Z1016" s="116"/>
    </row>
    <row r="1017" spans="7:26">
      <c r="G1017" s="116"/>
      <c r="H1017" s="116"/>
      <c r="I1017" s="116"/>
      <c r="J1017" s="116"/>
      <c r="K1017" s="116"/>
      <c r="L1017" s="116"/>
      <c r="M1017" s="116"/>
      <c r="N1017" s="116"/>
      <c r="O1017" s="116"/>
      <c r="P1017" s="116"/>
      <c r="Q1017" s="116"/>
      <c r="R1017" s="116"/>
      <c r="S1017" s="116"/>
      <c r="T1017" s="116"/>
      <c r="U1017" s="116"/>
      <c r="V1017" s="116"/>
      <c r="W1017" s="116"/>
      <c r="X1017" s="116"/>
      <c r="Y1017" s="116"/>
      <c r="Z1017" s="116"/>
    </row>
  </sheetData>
  <hyperlinks>
    <hyperlink ref="B258" r:id="rId1" xr:uid="{5A3B0A0F-924C-45E1-B2B9-172E3640110C}"/>
    <hyperlink ref="B226" r:id="rId2" xr:uid="{8D409852-7FE8-4EB8-9867-F284307D93FD}"/>
    <hyperlink ref="B260" r:id="rId3" xr:uid="{52BEA8DF-4A8F-4B9B-8611-D82876AABEA3}"/>
    <hyperlink ref="C3" r:id="rId4" xr:uid="{5D3F1243-2843-4F9E-B527-E87FAEF942F2}"/>
    <hyperlink ref="C37" r:id="rId5" xr:uid="{27812150-7CE8-495F-B778-87F60E6F882A}"/>
    <hyperlink ref="C174" r:id="rId6" xr:uid="{C1ED33F9-F1B0-4060-A4E0-E132D0AB9CC3}"/>
    <hyperlink ref="C27" r:id="rId7" xr:uid="{6A606BCA-8400-4135-8FA7-CA1DAC892880}"/>
    <hyperlink ref="C19" r:id="rId8" xr:uid="{22439014-B7FE-4ED3-BDC3-77DA2F1D8828}"/>
    <hyperlink ref="A271" r:id="rId9" display="https://partner.cloudskillsboost.google/users/sign_in" xr:uid="{237CC39A-275A-4D39-8650-5F18F23DA592}"/>
    <hyperlink ref="B271" r:id="rId10" xr:uid="{DBF2C0E3-40D7-43B9-9CF8-804423F23304}"/>
    <hyperlink ref="B275" r:id="rId11" xr:uid="{8F0D8D16-9DD2-4C03-98B3-111E5443DF5B}"/>
    <hyperlink ref="C14" r:id="rId12" xr:uid="{24DBBAB7-6CCF-4054-9A43-A40282C2C283}"/>
    <hyperlink ref="D28" r:id="rId13" xr:uid="{124A4F98-3486-47B3-A70E-1AC5B8BB07C2}"/>
    <hyperlink ref="C75" r:id="rId14" xr:uid="{D115D06D-73F3-4B39-BEC6-95F331048D73}"/>
    <hyperlink ref="C81" r:id="rId15" xr:uid="{519B35E0-2912-43B4-81AA-E3F386D1443C}"/>
    <hyperlink ref="C165" r:id="rId16" xr:uid="{1AD27361-EAB2-4AC6-99C8-89E331EE902F}"/>
    <hyperlink ref="C167" r:id="rId17" xr:uid="{DD668186-8B2A-46C6-9AC9-B5363A5B4D56}"/>
    <hyperlink ref="C172" r:id="rId18" xr:uid="{E41B7A83-9084-4BD8-BE66-7081C39584A4}"/>
    <hyperlink ref="C176" r:id="rId19" xr:uid="{4A3D7E4A-8412-4556-8A5E-FC7A20596A11}"/>
    <hyperlink ref="B179" r:id="rId20" xr:uid="{4884CC1B-B9F0-46D9-8A8E-874713FDCE6F}"/>
    <hyperlink ref="B6" r:id="rId21" xr:uid="{541FD859-BE60-4F6D-B6EF-5AA968268315}"/>
    <hyperlink ref="A113" r:id="rId22" xr:uid="{B61DF3AE-4519-4D3F-B6F5-2EFD81B381AF}"/>
    <hyperlink ref="A263" r:id="rId23" xr:uid="{FB3D7114-FDF6-43F4-88A1-7081C398056A}"/>
    <hyperlink ref="C63" r:id="rId24" xr:uid="{5846FAFA-B40B-48E0-966D-17C8F45F7EAC}"/>
    <hyperlink ref="D14" r:id="rId25" xr:uid="{51559BEC-A097-4FC9-AF8D-0554E8BD3E6E}"/>
    <hyperlink ref="D27" r:id="rId26" xr:uid="{B54A4878-AC4F-49A7-A895-F594C973B084}"/>
    <hyperlink ref="D19" r:id="rId27" xr:uid="{07B06E97-4B0C-456D-B11C-2BA5FFC40A92}"/>
    <hyperlink ref="B139" r:id="rId28" xr:uid="{3D3B392E-4C77-4180-B914-0A69ABEC75F4}"/>
    <hyperlink ref="B268" r:id="rId29" xr:uid="{722EC920-9941-4242-B1FB-F0BB31E1FD58}"/>
    <hyperlink ref="A268" r:id="rId30" xr:uid="{68EC929C-1481-417B-9891-CF7930C5A60A}"/>
    <hyperlink ref="B269" r:id="rId31" xr:uid="{F78F5D84-34D0-4E16-AAFF-6D85ADE1D0FB}"/>
    <hyperlink ref="B266" r:id="rId32" xr:uid="{427B187A-2830-4919-B10F-5EC382625233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DCF2-BF0B-45C7-B9D8-446A07CFF2D8}">
  <dimension ref="C3:H25"/>
  <sheetViews>
    <sheetView workbookViewId="0">
      <selection activeCell="G25" sqref="G25"/>
    </sheetView>
  </sheetViews>
  <sheetFormatPr defaultRowHeight="13.3"/>
  <cols>
    <col min="6" max="6" width="9.5546875" bestFit="1" customWidth="1"/>
    <col min="7" max="7" width="21.44140625" bestFit="1" customWidth="1"/>
  </cols>
  <sheetData>
    <row r="3" spans="3:6" ht="16.100000000000001">
      <c r="C3" s="985" t="s">
        <v>1236</v>
      </c>
      <c r="D3" s="985" t="s">
        <v>1960</v>
      </c>
      <c r="E3" s="985"/>
      <c r="F3" s="887">
        <v>4579172</v>
      </c>
    </row>
    <row r="4" spans="3:6" ht="16.100000000000001">
      <c r="C4" s="985"/>
      <c r="D4" s="985" t="s">
        <v>1961</v>
      </c>
      <c r="E4" s="985"/>
      <c r="F4" s="985"/>
    </row>
    <row r="5" spans="3:6" ht="16.100000000000001">
      <c r="C5" s="985"/>
      <c r="D5" s="985" t="s">
        <v>1962</v>
      </c>
      <c r="E5" s="985">
        <v>343438</v>
      </c>
      <c r="F5" s="985"/>
    </row>
    <row r="6" spans="3:6" ht="16.100000000000001">
      <c r="C6" s="985"/>
      <c r="D6" s="985" t="s">
        <v>1963</v>
      </c>
      <c r="E6" s="985">
        <v>600000</v>
      </c>
      <c r="F6" s="985"/>
    </row>
    <row r="7" spans="3:6" ht="16.100000000000001">
      <c r="C7" s="985" t="s">
        <v>1240</v>
      </c>
      <c r="D7" s="985" t="s">
        <v>1964</v>
      </c>
      <c r="E7" s="985"/>
      <c r="F7" s="985">
        <f>E5+E6</f>
        <v>943438</v>
      </c>
    </row>
    <row r="8" spans="3:6" ht="16.100000000000001">
      <c r="C8" s="985" t="s">
        <v>1254</v>
      </c>
      <c r="D8" s="986" t="s">
        <v>1965</v>
      </c>
      <c r="E8" s="985"/>
      <c r="F8" s="985">
        <f>F3-F7</f>
        <v>3635734</v>
      </c>
    </row>
    <row r="9" spans="3:6" ht="16.100000000000001">
      <c r="C9" s="985" t="s">
        <v>1257</v>
      </c>
      <c r="D9" s="985" t="s">
        <v>1966</v>
      </c>
      <c r="E9" s="985"/>
      <c r="F9" s="985">
        <v>75515</v>
      </c>
    </row>
    <row r="10" spans="3:6" ht="16.100000000000001">
      <c r="C10" s="985" t="s">
        <v>1260</v>
      </c>
      <c r="D10" s="986" t="s">
        <v>1967</v>
      </c>
      <c r="E10" s="985"/>
      <c r="F10" s="985">
        <f>F8+F9</f>
        <v>3711249</v>
      </c>
    </row>
    <row r="11" spans="3:6" ht="16.100000000000001">
      <c r="C11" s="985"/>
      <c r="D11" s="985" t="s">
        <v>1968</v>
      </c>
      <c r="E11" s="985"/>
      <c r="F11" s="985"/>
    </row>
    <row r="12" spans="3:6" ht="16.100000000000001">
      <c r="C12" s="985"/>
      <c r="D12" s="985" t="s">
        <v>1969</v>
      </c>
      <c r="E12" s="985">
        <v>50000</v>
      </c>
      <c r="F12" s="985"/>
    </row>
    <row r="13" spans="3:6" ht="16.100000000000001">
      <c r="C13" s="985"/>
      <c r="D13" s="985" t="s">
        <v>1970</v>
      </c>
      <c r="E13" s="985">
        <v>0</v>
      </c>
      <c r="F13" s="985"/>
    </row>
    <row r="14" spans="3:6" ht="16.100000000000001">
      <c r="C14" s="985"/>
      <c r="D14" s="985" t="s">
        <v>1363</v>
      </c>
      <c r="E14">
        <f>545016</f>
        <v>545016</v>
      </c>
      <c r="F14" s="985"/>
    </row>
    <row r="15" spans="3:6" ht="16.100000000000001">
      <c r="C15" s="985" t="s">
        <v>1263</v>
      </c>
      <c r="D15" s="985" t="s">
        <v>1971</v>
      </c>
      <c r="E15" s="985"/>
      <c r="F15" s="985">
        <f>SUM(E12:E14)</f>
        <v>595016</v>
      </c>
    </row>
    <row r="16" spans="3:6" ht="16.100000000000001">
      <c r="C16" s="985" t="s">
        <v>1265</v>
      </c>
      <c r="D16" s="986" t="s">
        <v>1972</v>
      </c>
      <c r="E16" s="985"/>
      <c r="F16" s="985">
        <f>F10-F15</f>
        <v>3116233</v>
      </c>
    </row>
    <row r="17" spans="3:8" ht="16.100000000000001">
      <c r="C17" s="985"/>
      <c r="D17" s="985" t="s">
        <v>1973</v>
      </c>
      <c r="E17" s="985"/>
      <c r="F17" s="985"/>
    </row>
    <row r="18" spans="3:8" ht="16.100000000000001">
      <c r="C18" s="985"/>
      <c r="D18" s="985" t="s">
        <v>1974</v>
      </c>
      <c r="E18" s="985">
        <v>150000</v>
      </c>
      <c r="F18" s="985"/>
    </row>
    <row r="19" spans="3:8" ht="16.100000000000001">
      <c r="C19" s="985"/>
      <c r="D19" s="985" t="s">
        <v>1975</v>
      </c>
      <c r="E19" s="985">
        <v>50000</v>
      </c>
      <c r="F19" s="985"/>
    </row>
    <row r="20" spans="3:8" ht="16.100000000000001">
      <c r="C20" s="985"/>
      <c r="D20" s="985" t="s">
        <v>1976</v>
      </c>
      <c r="E20">
        <v>109008</v>
      </c>
      <c r="F20" s="985"/>
    </row>
    <row r="21" spans="3:8" ht="16.100000000000001">
      <c r="C21" s="985" t="s">
        <v>1977</v>
      </c>
      <c r="D21" s="985" t="s">
        <v>1978</v>
      </c>
      <c r="E21" s="985"/>
      <c r="F21" s="985">
        <f>SUM(E18:E20)</f>
        <v>309008</v>
      </c>
    </row>
    <row r="22" spans="3:8" ht="16.100000000000001">
      <c r="C22" s="985" t="s">
        <v>1979</v>
      </c>
      <c r="D22" s="985" t="s">
        <v>1980</v>
      </c>
      <c r="E22" s="985"/>
      <c r="F22" s="986">
        <f>F16-F21</f>
        <v>2807225</v>
      </c>
    </row>
    <row r="23" spans="3:8" ht="16.100000000000001">
      <c r="C23" s="985"/>
      <c r="D23" s="985" t="s">
        <v>1267</v>
      </c>
      <c r="E23" s="985"/>
      <c r="F23" s="985"/>
    </row>
    <row r="25" spans="3:8">
      <c r="G25" t="s">
        <v>1981</v>
      </c>
      <c r="H25" t="s">
        <v>1982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76"/>
  <sheetViews>
    <sheetView topLeftCell="G28" zoomScale="92" zoomScaleNormal="100" workbookViewId="0">
      <selection activeCell="Q53" sqref="Q53"/>
    </sheetView>
  </sheetViews>
  <sheetFormatPr defaultRowHeight="13.3"/>
  <cols>
    <col min="1" max="2" width="18" style="795" bestFit="1" customWidth="1"/>
    <col min="4" max="4" width="10.5546875" bestFit="1" customWidth="1"/>
    <col min="5" max="5" width="50" bestFit="1" customWidth="1"/>
    <col min="6" max="6" width="13.44140625" bestFit="1" customWidth="1"/>
    <col min="7" max="7" width="12.44140625" bestFit="1" customWidth="1"/>
    <col min="8" max="9" width="8.88671875" style="795"/>
    <col min="10" max="10" width="11.44140625" style="795" customWidth="1"/>
    <col min="11" max="11" width="8.88671875" style="795"/>
    <col min="12" max="12" width="15.77734375" customWidth="1"/>
    <col min="14" max="14" width="8.33203125" customWidth="1"/>
    <col min="16" max="16" width="19" bestFit="1" customWidth="1"/>
    <col min="17" max="17" width="11.109375" bestFit="1" customWidth="1"/>
    <col min="18" max="18" width="8.5546875" style="795" customWidth="1"/>
    <col min="19" max="19" width="7.44140625" style="795" customWidth="1"/>
    <col min="20" max="21" width="12.6640625" bestFit="1" customWidth="1"/>
    <col min="22" max="22" width="10.5546875" bestFit="1" customWidth="1"/>
    <col min="23" max="23" width="11" bestFit="1" customWidth="1"/>
    <col min="24" max="24" width="18" bestFit="1" customWidth="1"/>
    <col min="25" max="25" width="30.6640625" bestFit="1" customWidth="1"/>
    <col min="26" max="26" width="8.88671875" hidden="1" customWidth="1"/>
    <col min="28" max="28" width="20.6640625" bestFit="1" customWidth="1"/>
  </cols>
  <sheetData>
    <row r="1" spans="1:25" ht="26.6">
      <c r="A1" s="793" t="s">
        <v>1574</v>
      </c>
      <c r="B1" s="793" t="s">
        <v>1574</v>
      </c>
      <c r="C1" s="580" t="s">
        <v>1621</v>
      </c>
      <c r="D1" s="580" t="s">
        <v>1620</v>
      </c>
      <c r="E1" s="579" t="s">
        <v>1571</v>
      </c>
      <c r="F1" s="579" t="s">
        <v>1583</v>
      </c>
      <c r="G1" s="581" t="s">
        <v>1720</v>
      </c>
      <c r="H1" s="803" t="s">
        <v>1599</v>
      </c>
      <c r="I1" s="799" t="s">
        <v>1605</v>
      </c>
      <c r="J1" s="863" t="s">
        <v>1588</v>
      </c>
      <c r="K1" s="793" t="s">
        <v>1607</v>
      </c>
      <c r="L1" s="579" t="s">
        <v>1584</v>
      </c>
      <c r="M1" s="585" t="s">
        <v>1604</v>
      </c>
      <c r="N1" s="581" t="s">
        <v>1715</v>
      </c>
      <c r="O1" s="584" t="s">
        <v>1592</v>
      </c>
      <c r="P1" s="585" t="s">
        <v>1573</v>
      </c>
      <c r="Q1" s="586" t="s">
        <v>1572</v>
      </c>
      <c r="R1" s="796" t="s">
        <v>1608</v>
      </c>
      <c r="S1" s="988" t="s">
        <v>1627</v>
      </c>
      <c r="T1" s="582" t="s">
        <v>1589</v>
      </c>
      <c r="U1" s="582" t="s">
        <v>1590</v>
      </c>
      <c r="V1" s="582" t="s">
        <v>1593</v>
      </c>
      <c r="W1" s="582" t="s">
        <v>1636</v>
      </c>
      <c r="X1" s="635" t="s">
        <v>1629</v>
      </c>
      <c r="Y1" s="582" t="s">
        <v>1626</v>
      </c>
    </row>
    <row r="2" spans="1:25">
      <c r="A2" s="1064" t="s">
        <v>1830</v>
      </c>
      <c r="B2" s="1114">
        <v>1</v>
      </c>
      <c r="C2" s="1125"/>
      <c r="D2" s="1125"/>
      <c r="E2" s="1015" t="s">
        <v>1719</v>
      </c>
      <c r="F2" s="1077" t="s">
        <v>1664</v>
      </c>
      <c r="G2" s="1121">
        <v>7</v>
      </c>
      <c r="H2" s="1123">
        <v>20218</v>
      </c>
      <c r="I2" s="1119">
        <v>0.82</v>
      </c>
      <c r="J2" s="1119" t="s">
        <v>1681</v>
      </c>
      <c r="K2" s="1098">
        <v>0</v>
      </c>
      <c r="L2" s="1100" t="s">
        <v>1610</v>
      </c>
      <c r="M2" s="1102"/>
      <c r="N2" s="1102"/>
      <c r="O2" s="1104"/>
      <c r="P2" s="1070">
        <v>499293351567</v>
      </c>
      <c r="Q2" s="808">
        <v>45326</v>
      </c>
      <c r="R2" s="809">
        <f t="shared" ref="R2:R12" ca="1" si="0">DAYS360(Q2,TODAY())</f>
        <v>568</v>
      </c>
      <c r="S2" s="989">
        <f ca="1">R2/365</f>
        <v>1.5561643835616439</v>
      </c>
      <c r="T2" s="686">
        <v>500000</v>
      </c>
      <c r="U2" s="1109">
        <f>SUM(T2:T3)</f>
        <v>700000</v>
      </c>
      <c r="V2" s="1117"/>
      <c r="W2" s="686">
        <f ca="1">ROUND((T2*FD_RATE_OF_INTEREST)/365 * R2,0)</f>
        <v>54466</v>
      </c>
      <c r="X2" s="810">
        <f ca="1">((U2/T2)^(1/S2)-1)*100</f>
        <v>24.137415416415784</v>
      </c>
      <c r="Y2" s="811"/>
    </row>
    <row r="3" spans="1:25">
      <c r="A3" s="1065"/>
      <c r="B3" s="1116"/>
      <c r="C3" s="1126"/>
      <c r="D3" s="1126"/>
      <c r="E3" s="1015" t="s">
        <v>1718</v>
      </c>
      <c r="F3" s="1079"/>
      <c r="G3" s="1122"/>
      <c r="H3" s="1124"/>
      <c r="I3" s="1120"/>
      <c r="J3" s="1120"/>
      <c r="K3" s="1099"/>
      <c r="L3" s="1101"/>
      <c r="M3" s="1103"/>
      <c r="N3" s="1103"/>
      <c r="O3" s="1105"/>
      <c r="P3" s="1072"/>
      <c r="Q3" s="808">
        <v>45389</v>
      </c>
      <c r="R3" s="809">
        <f t="shared" ca="1" si="0"/>
        <v>505</v>
      </c>
      <c r="S3" s="989">
        <f ca="1">R3/365</f>
        <v>1.3835616438356164</v>
      </c>
      <c r="T3" s="686">
        <v>200000</v>
      </c>
      <c r="U3" s="1110"/>
      <c r="V3" s="1118"/>
      <c r="W3" s="686">
        <f ca="1">ROUND((T3*FD_RATE_OF_INTEREST)/365 * R3,0)</f>
        <v>19370</v>
      </c>
      <c r="X3" s="810">
        <f ca="1">((U3/T3)^(1/S3)-1)*100</f>
        <v>-100</v>
      </c>
      <c r="Y3" s="811"/>
    </row>
    <row r="4" spans="1:25">
      <c r="A4" s="1065"/>
      <c r="B4" s="974">
        <v>2</v>
      </c>
      <c r="C4" s="975"/>
      <c r="D4" s="975"/>
      <c r="E4" s="1016" t="s">
        <v>2015</v>
      </c>
      <c r="F4" s="965" t="s">
        <v>1664</v>
      </c>
      <c r="G4" s="976">
        <v>1</v>
      </c>
      <c r="H4" s="973">
        <v>47929</v>
      </c>
      <c r="I4" s="972">
        <v>0.93</v>
      </c>
      <c r="J4" s="972" t="s">
        <v>1594</v>
      </c>
      <c r="K4" s="971">
        <v>0</v>
      </c>
      <c r="L4" s="970" t="s">
        <v>1610</v>
      </c>
      <c r="M4" s="967"/>
      <c r="N4" s="967"/>
      <c r="O4" s="968"/>
      <c r="P4" s="964" t="s">
        <v>1690</v>
      </c>
      <c r="Q4" s="649">
        <v>45327</v>
      </c>
      <c r="R4" s="809">
        <f t="shared" ca="1" si="0"/>
        <v>567</v>
      </c>
      <c r="S4" s="990">
        <f ca="1">R4/365</f>
        <v>1.5534246575342465</v>
      </c>
      <c r="T4" s="685">
        <v>500000</v>
      </c>
      <c r="U4" s="969">
        <f>SUM(T4:T4)</f>
        <v>500000</v>
      </c>
      <c r="V4" s="966"/>
      <c r="W4" s="652">
        <f ca="1">ROUND((T4*FD_RATE_OF_INTEREST)/365 * R4,0)</f>
        <v>54370</v>
      </c>
      <c r="X4" s="641">
        <f ca="1">((U4/T4)^(1/S4)-1)*100</f>
        <v>0</v>
      </c>
      <c r="Y4" s="639"/>
    </row>
    <row r="5" spans="1:25">
      <c r="A5" s="901"/>
      <c r="B5" s="761"/>
      <c r="C5" s="761"/>
      <c r="D5" s="761"/>
      <c r="E5" s="761"/>
      <c r="F5" s="761"/>
      <c r="G5" s="761"/>
      <c r="H5" s="797"/>
      <c r="I5" s="797"/>
      <c r="J5" s="797"/>
      <c r="K5" s="797"/>
      <c r="L5" s="761"/>
      <c r="M5" s="761"/>
      <c r="N5" s="761"/>
      <c r="O5" s="761"/>
      <c r="P5" s="761"/>
      <c r="Q5" s="761"/>
      <c r="R5" s="797"/>
      <c r="S5" s="991"/>
      <c r="T5" s="702">
        <f>SUM(T2:T4)</f>
        <v>1200000</v>
      </c>
      <c r="U5" s="812"/>
      <c r="V5" s="813"/>
      <c r="W5" s="813"/>
      <c r="X5" s="813"/>
      <c r="Y5" s="814"/>
    </row>
    <row r="6" spans="1:25">
      <c r="A6" s="1064" t="s">
        <v>1831</v>
      </c>
      <c r="B6" s="1114">
        <v>3</v>
      </c>
      <c r="C6" s="758"/>
      <c r="D6" s="758"/>
      <c r="E6" s="1017" t="s">
        <v>1668</v>
      </c>
      <c r="F6" s="1077" t="s">
        <v>1580</v>
      </c>
      <c r="G6" s="1159">
        <v>2</v>
      </c>
      <c r="H6" s="1162">
        <v>1296</v>
      </c>
      <c r="I6" s="1153">
        <v>0.75</v>
      </c>
      <c r="J6" s="1119" t="s">
        <v>1594</v>
      </c>
      <c r="K6" s="1114">
        <v>0</v>
      </c>
      <c r="L6" s="1100" t="s">
        <v>1610</v>
      </c>
      <c r="M6" s="1191"/>
      <c r="N6" s="1194"/>
      <c r="O6" s="1194"/>
      <c r="P6" s="1070">
        <v>5104862513</v>
      </c>
      <c r="Q6" s="815">
        <v>45300</v>
      </c>
      <c r="R6" s="809">
        <f t="shared" ca="1" si="0"/>
        <v>593</v>
      </c>
      <c r="S6" s="989">
        <f t="shared" ref="S6:S12" ca="1" si="1">R6/365</f>
        <v>1.6246575342465754</v>
      </c>
      <c r="T6" s="681">
        <v>200000</v>
      </c>
      <c r="U6" s="1111">
        <f>SUM(T6:T8)</f>
        <v>600000</v>
      </c>
      <c r="V6" s="1106"/>
      <c r="W6" s="686">
        <f t="shared" ref="W6:W12" ca="1" si="2">ROUND((T6*FD_RATE_OF_INTEREST)/365 * R6,0)</f>
        <v>22745</v>
      </c>
      <c r="X6" s="810">
        <f t="shared" ref="X6:X12" ca="1" si="3">((U6/T6)^(1/S6)-1)*100</f>
        <v>96.641406224718281</v>
      </c>
      <c r="Y6" s="682"/>
    </row>
    <row r="7" spans="1:25">
      <c r="A7" s="1065"/>
      <c r="B7" s="1115"/>
      <c r="C7" s="798"/>
      <c r="D7" s="798"/>
      <c r="E7" s="1017" t="s">
        <v>1669</v>
      </c>
      <c r="F7" s="1078"/>
      <c r="G7" s="1160"/>
      <c r="H7" s="1163"/>
      <c r="I7" s="1154"/>
      <c r="J7" s="1137"/>
      <c r="K7" s="1115"/>
      <c r="L7" s="1136"/>
      <c r="M7" s="1192"/>
      <c r="N7" s="1195"/>
      <c r="O7" s="1195"/>
      <c r="P7" s="1071"/>
      <c r="Q7" s="815">
        <v>45325</v>
      </c>
      <c r="R7" s="809">
        <f t="shared" ca="1" si="0"/>
        <v>569</v>
      </c>
      <c r="S7" s="989">
        <f t="shared" ca="1" si="1"/>
        <v>1.558904109589041</v>
      </c>
      <c r="T7" s="683">
        <v>100000</v>
      </c>
      <c r="U7" s="1112"/>
      <c r="V7" s="1107"/>
      <c r="W7" s="686">
        <f t="shared" ca="1" si="2"/>
        <v>10912</v>
      </c>
      <c r="X7" s="810">
        <f t="shared" ca="1" si="3"/>
        <v>-100</v>
      </c>
      <c r="Y7" s="682"/>
    </row>
    <row r="8" spans="1:25">
      <c r="A8" s="1065"/>
      <c r="B8" s="1116"/>
      <c r="C8" s="759"/>
      <c r="D8" s="759"/>
      <c r="E8" s="1017" t="s">
        <v>1717</v>
      </c>
      <c r="F8" s="1079"/>
      <c r="G8" s="1161"/>
      <c r="H8" s="1164"/>
      <c r="I8" s="1155"/>
      <c r="J8" s="1120"/>
      <c r="K8" s="1116"/>
      <c r="L8" s="1101"/>
      <c r="M8" s="1193"/>
      <c r="N8" s="1196"/>
      <c r="O8" s="1196"/>
      <c r="P8" s="1072"/>
      <c r="Q8" s="815">
        <v>45387</v>
      </c>
      <c r="R8" s="809">
        <f t="shared" ca="1" si="0"/>
        <v>507</v>
      </c>
      <c r="S8" s="989">
        <f t="shared" ca="1" si="1"/>
        <v>1.3890410958904109</v>
      </c>
      <c r="T8" s="683">
        <v>300000</v>
      </c>
      <c r="U8" s="1113"/>
      <c r="V8" s="1108"/>
      <c r="W8" s="686">
        <f t="shared" ca="1" si="2"/>
        <v>29170</v>
      </c>
      <c r="X8" s="810">
        <f t="shared" ca="1" si="3"/>
        <v>-100</v>
      </c>
      <c r="Y8" s="682"/>
    </row>
    <row r="9" spans="1:25">
      <c r="A9" s="1065"/>
      <c r="B9" s="1041">
        <v>4</v>
      </c>
      <c r="C9" s="1047"/>
      <c r="D9" s="1047"/>
      <c r="E9" s="1018" t="s">
        <v>1670</v>
      </c>
      <c r="F9" s="1041" t="s">
        <v>1580</v>
      </c>
      <c r="G9" s="1147">
        <v>4</v>
      </c>
      <c r="H9" s="1165">
        <v>16503</v>
      </c>
      <c r="I9" s="1156">
        <v>0.53</v>
      </c>
      <c r="J9" s="1056" t="s">
        <v>1594</v>
      </c>
      <c r="K9" s="1059">
        <v>0</v>
      </c>
      <c r="L9" s="1133" t="s">
        <v>1610</v>
      </c>
      <c r="M9" s="1147"/>
      <c r="N9" s="1150"/>
      <c r="O9" s="1141"/>
      <c r="P9" s="1073" t="s">
        <v>1578</v>
      </c>
      <c r="Q9" s="649">
        <v>44465</v>
      </c>
      <c r="R9" s="809">
        <f t="shared" ca="1" si="0"/>
        <v>1416</v>
      </c>
      <c r="S9" s="990">
        <f t="shared" ca="1" si="1"/>
        <v>3.8794520547945206</v>
      </c>
      <c r="T9" s="652">
        <v>150000</v>
      </c>
      <c r="U9" s="1130">
        <f>SUM(T9:T12)</f>
        <v>650000</v>
      </c>
      <c r="V9" s="1198"/>
      <c r="W9" s="652">
        <f t="shared" ca="1" si="2"/>
        <v>40734</v>
      </c>
      <c r="X9" s="641">
        <f t="shared" ca="1" si="3"/>
        <v>45.932690252833972</v>
      </c>
      <c r="Y9" s="639"/>
    </row>
    <row r="10" spans="1:25">
      <c r="A10" s="1065"/>
      <c r="B10" s="1042"/>
      <c r="C10" s="1048"/>
      <c r="D10" s="1048"/>
      <c r="E10" s="1018" t="s">
        <v>1671</v>
      </c>
      <c r="F10" s="1042"/>
      <c r="G10" s="1148"/>
      <c r="H10" s="1166"/>
      <c r="I10" s="1157"/>
      <c r="J10" s="1057"/>
      <c r="K10" s="1060"/>
      <c r="L10" s="1134"/>
      <c r="M10" s="1148"/>
      <c r="N10" s="1151"/>
      <c r="O10" s="1142"/>
      <c r="P10" s="1189"/>
      <c r="Q10" s="649">
        <v>45280</v>
      </c>
      <c r="R10" s="809">
        <f t="shared" ca="1" si="0"/>
        <v>612</v>
      </c>
      <c r="S10" s="990">
        <f t="shared" ca="1" si="1"/>
        <v>1.6767123287671233</v>
      </c>
      <c r="T10" s="652">
        <v>150000</v>
      </c>
      <c r="U10" s="1131"/>
      <c r="V10" s="1199"/>
      <c r="W10" s="652">
        <f t="shared" ca="1" si="2"/>
        <v>17605</v>
      </c>
      <c r="X10" s="641">
        <f t="shared" ca="1" si="3"/>
        <v>-100</v>
      </c>
      <c r="Y10" s="639"/>
    </row>
    <row r="11" spans="1:25">
      <c r="A11" s="1065"/>
      <c r="B11" s="1042"/>
      <c r="C11" s="1048"/>
      <c r="D11" s="1048"/>
      <c r="E11" s="1018" t="s">
        <v>1672</v>
      </c>
      <c r="F11" s="1042"/>
      <c r="G11" s="1148"/>
      <c r="H11" s="1166"/>
      <c r="I11" s="1157"/>
      <c r="J11" s="1057"/>
      <c r="K11" s="1060"/>
      <c r="L11" s="1134"/>
      <c r="M11" s="1148"/>
      <c r="N11" s="1151"/>
      <c r="O11" s="1142"/>
      <c r="P11" s="1189"/>
      <c r="Q11" s="649">
        <v>45325</v>
      </c>
      <c r="R11" s="809">
        <f t="shared" ca="1" si="0"/>
        <v>569</v>
      </c>
      <c r="S11" s="990">
        <f t="shared" ca="1" si="1"/>
        <v>1.558904109589041</v>
      </c>
      <c r="T11" s="685">
        <v>200000</v>
      </c>
      <c r="U11" s="1131"/>
      <c r="V11" s="1199"/>
      <c r="W11" s="652">
        <f t="shared" ca="1" si="2"/>
        <v>21825</v>
      </c>
      <c r="X11" s="641">
        <f t="shared" ca="1" si="3"/>
        <v>-100</v>
      </c>
      <c r="Y11" s="639"/>
    </row>
    <row r="12" spans="1:25">
      <c r="A12" s="1066"/>
      <c r="B12" s="1043"/>
      <c r="C12" s="1049"/>
      <c r="D12" s="1049"/>
      <c r="E12" s="1018" t="s">
        <v>1854</v>
      </c>
      <c r="F12" s="1043"/>
      <c r="G12" s="1149"/>
      <c r="H12" s="1167"/>
      <c r="I12" s="1158"/>
      <c r="J12" s="1058"/>
      <c r="K12" s="1061"/>
      <c r="L12" s="1135"/>
      <c r="M12" s="1149"/>
      <c r="N12" s="1152"/>
      <c r="O12" s="1143"/>
      <c r="P12" s="1074"/>
      <c r="Q12" s="649">
        <v>45449</v>
      </c>
      <c r="R12" s="809">
        <f t="shared" ca="1" si="0"/>
        <v>446</v>
      </c>
      <c r="S12" s="990">
        <f t="shared" ca="1" si="1"/>
        <v>1.2219178082191782</v>
      </c>
      <c r="T12" s="685">
        <v>150000</v>
      </c>
      <c r="U12" s="1132"/>
      <c r="V12" s="1200"/>
      <c r="W12" s="652">
        <f t="shared" ca="1" si="2"/>
        <v>12830</v>
      </c>
      <c r="X12" s="641">
        <f t="shared" ca="1" si="3"/>
        <v>-100</v>
      </c>
      <c r="Y12" s="639"/>
    </row>
    <row r="13" spans="1:25">
      <c r="A13" s="901"/>
      <c r="B13" s="794"/>
      <c r="C13" s="761"/>
      <c r="D13" s="761"/>
      <c r="E13" s="761"/>
      <c r="F13" s="761"/>
      <c r="G13" s="761"/>
      <c r="H13" s="797"/>
      <c r="I13" s="797"/>
      <c r="J13" s="797"/>
      <c r="K13" s="797"/>
      <c r="L13" s="761"/>
      <c r="M13" s="761"/>
      <c r="N13" s="761"/>
      <c r="O13" s="761"/>
      <c r="P13" s="761"/>
      <c r="Q13" s="761"/>
      <c r="R13" s="797"/>
      <c r="S13" s="991"/>
      <c r="T13" s="702">
        <f>SUM(T6:T12)</f>
        <v>1250000</v>
      </c>
      <c r="U13" s="812"/>
      <c r="V13" s="813"/>
      <c r="W13" s="813"/>
      <c r="X13" s="813"/>
      <c r="Y13" s="814"/>
    </row>
    <row r="14" spans="1:25">
      <c r="A14" s="1067" t="s">
        <v>1832</v>
      </c>
      <c r="B14" s="1077">
        <v>5</v>
      </c>
      <c r="C14" s="816"/>
      <c r="D14" s="816"/>
      <c r="E14" s="1019" t="s">
        <v>1673</v>
      </c>
      <c r="F14" s="1077" t="s">
        <v>1581</v>
      </c>
      <c r="G14" s="1144">
        <v>1</v>
      </c>
      <c r="H14" s="1168">
        <v>36528</v>
      </c>
      <c r="I14" s="1138">
        <v>0.38</v>
      </c>
      <c r="J14" s="1119" t="s">
        <v>1594</v>
      </c>
      <c r="K14" s="1098">
        <v>0</v>
      </c>
      <c r="L14" s="1100" t="s">
        <v>1610</v>
      </c>
      <c r="M14" s="1144"/>
      <c r="N14" s="817"/>
      <c r="O14" s="1138"/>
      <c r="P14" s="1070" t="s">
        <v>1578</v>
      </c>
      <c r="Q14" s="808">
        <v>44454</v>
      </c>
      <c r="R14" s="809">
        <f t="shared" ref="R14:R21" ca="1" si="4">DAYS360(Q14,TODAY())</f>
        <v>1427</v>
      </c>
      <c r="S14" s="989">
        <f t="shared" ref="S14:S21" ca="1" si="5">R14/365</f>
        <v>3.9095890410958902</v>
      </c>
      <c r="T14" s="686">
        <v>30000</v>
      </c>
      <c r="U14" s="1127">
        <f>SUM(T14:T19)</f>
        <v>900000</v>
      </c>
      <c r="V14" s="1184"/>
      <c r="W14" s="686">
        <f t="shared" ref="W14:W21" ca="1" si="6">ROUND((T14*FD_RATE_OF_INTEREST)/365 * R14,0)</f>
        <v>8210</v>
      </c>
      <c r="X14" s="810">
        <f t="shared" ref="X14:X19" ca="1" si="7">((U14/T14)^(1/S14)-1)*100</f>
        <v>138.68222773688424</v>
      </c>
      <c r="Y14" s="811"/>
    </row>
    <row r="15" spans="1:25">
      <c r="A15" s="1068"/>
      <c r="B15" s="1078"/>
      <c r="C15" s="818"/>
      <c r="D15" s="818"/>
      <c r="E15" s="1019" t="s">
        <v>1674</v>
      </c>
      <c r="F15" s="1078"/>
      <c r="G15" s="1145"/>
      <c r="H15" s="1169"/>
      <c r="I15" s="1139"/>
      <c r="J15" s="1137"/>
      <c r="K15" s="1171"/>
      <c r="L15" s="1136"/>
      <c r="M15" s="1145"/>
      <c r="N15" s="819"/>
      <c r="O15" s="1139"/>
      <c r="P15" s="1071"/>
      <c r="Q15" s="808">
        <v>45276</v>
      </c>
      <c r="R15" s="809">
        <f t="shared" ca="1" si="4"/>
        <v>616</v>
      </c>
      <c r="S15" s="989">
        <f t="shared" ca="1" si="5"/>
        <v>1.6876712328767123</v>
      </c>
      <c r="T15" s="686">
        <v>170000</v>
      </c>
      <c r="U15" s="1128"/>
      <c r="V15" s="1197"/>
      <c r="W15" s="686">
        <f t="shared" ca="1" si="6"/>
        <v>20083</v>
      </c>
      <c r="X15" s="810">
        <f t="shared" ca="1" si="7"/>
        <v>-100</v>
      </c>
      <c r="Y15" s="811"/>
    </row>
    <row r="16" spans="1:25">
      <c r="A16" s="1068"/>
      <c r="B16" s="1078"/>
      <c r="C16" s="818"/>
      <c r="D16" s="818"/>
      <c r="E16" s="1019" t="s">
        <v>1677</v>
      </c>
      <c r="F16" s="1078"/>
      <c r="G16" s="1145"/>
      <c r="H16" s="1169"/>
      <c r="I16" s="1139"/>
      <c r="J16" s="1137"/>
      <c r="K16" s="1171"/>
      <c r="L16" s="1136"/>
      <c r="M16" s="1145"/>
      <c r="N16" s="819"/>
      <c r="O16" s="1139"/>
      <c r="P16" s="1071"/>
      <c r="Q16" s="808">
        <v>45325</v>
      </c>
      <c r="R16" s="809">
        <f t="shared" ca="1" si="4"/>
        <v>569</v>
      </c>
      <c r="S16" s="989">
        <f t="shared" ca="1" si="5"/>
        <v>1.558904109589041</v>
      </c>
      <c r="T16" s="687">
        <v>200000</v>
      </c>
      <c r="U16" s="1128"/>
      <c r="V16" s="1197"/>
      <c r="W16" s="686">
        <f t="shared" ca="1" si="6"/>
        <v>21825</v>
      </c>
      <c r="X16" s="810">
        <f t="shared" ca="1" si="7"/>
        <v>-100</v>
      </c>
      <c r="Y16" s="811"/>
    </row>
    <row r="17" spans="1:25">
      <c r="A17" s="1068"/>
      <c r="B17" s="1078"/>
      <c r="C17" s="818"/>
      <c r="D17" s="818"/>
      <c r="E17" s="1019" t="s">
        <v>1853</v>
      </c>
      <c r="F17" s="1078"/>
      <c r="G17" s="1145"/>
      <c r="H17" s="1169"/>
      <c r="I17" s="1139"/>
      <c r="J17" s="1137"/>
      <c r="K17" s="1171"/>
      <c r="L17" s="1136"/>
      <c r="M17" s="1145"/>
      <c r="N17" s="819"/>
      <c r="O17" s="1139"/>
      <c r="P17" s="1071"/>
      <c r="Q17" s="808">
        <v>45449</v>
      </c>
      <c r="R17" s="809">
        <f t="shared" ca="1" si="4"/>
        <v>446</v>
      </c>
      <c r="S17" s="989">
        <f t="shared" ca="1" si="5"/>
        <v>1.2219178082191782</v>
      </c>
      <c r="T17" s="687">
        <v>200000</v>
      </c>
      <c r="U17" s="1128"/>
      <c r="V17" s="1197"/>
      <c r="W17" s="686">
        <f t="shared" ca="1" si="6"/>
        <v>17107</v>
      </c>
      <c r="X17" s="810">
        <f t="shared" ca="1" si="7"/>
        <v>-100</v>
      </c>
      <c r="Y17" s="811"/>
    </row>
    <row r="18" spans="1:25">
      <c r="A18" s="1068"/>
      <c r="B18" s="1078"/>
      <c r="C18" s="818"/>
      <c r="D18" s="818"/>
      <c r="E18" s="1019" t="s">
        <v>1945</v>
      </c>
      <c r="F18" s="1078"/>
      <c r="G18" s="1145"/>
      <c r="H18" s="1169"/>
      <c r="I18" s="1139"/>
      <c r="J18" s="1137"/>
      <c r="K18" s="1171"/>
      <c r="L18" s="1136"/>
      <c r="M18" s="1145"/>
      <c r="N18" s="819"/>
      <c r="O18" s="1139"/>
      <c r="P18" s="1071"/>
      <c r="Q18" s="808">
        <v>45575</v>
      </c>
      <c r="R18" s="809">
        <f t="shared" ca="1" si="4"/>
        <v>322</v>
      </c>
      <c r="S18" s="989">
        <f t="shared" ca="1" si="5"/>
        <v>0.88219178082191785</v>
      </c>
      <c r="T18" s="687">
        <v>200000</v>
      </c>
      <c r="U18" s="1128"/>
      <c r="V18" s="1197"/>
      <c r="W18" s="686">
        <f t="shared" ca="1" si="6"/>
        <v>12351</v>
      </c>
      <c r="X18" s="810">
        <f t="shared" ca="1" si="7"/>
        <v>-100</v>
      </c>
      <c r="Y18" s="811"/>
    </row>
    <row r="19" spans="1:25">
      <c r="A19" s="1068"/>
      <c r="B19" s="1079"/>
      <c r="C19" s="820"/>
      <c r="D19" s="820"/>
      <c r="E19" s="1019" t="s">
        <v>1946</v>
      </c>
      <c r="F19" s="1079"/>
      <c r="G19" s="1146"/>
      <c r="H19" s="1170"/>
      <c r="I19" s="1140"/>
      <c r="J19" s="1120"/>
      <c r="K19" s="1099"/>
      <c r="L19" s="1101"/>
      <c r="M19" s="1146"/>
      <c r="N19" s="821"/>
      <c r="O19" s="1140"/>
      <c r="P19" s="1072"/>
      <c r="Q19" s="808">
        <v>45637</v>
      </c>
      <c r="R19" s="809">
        <f t="shared" ca="1" si="4"/>
        <v>261</v>
      </c>
      <c r="S19" s="989">
        <f t="shared" ca="1" si="5"/>
        <v>0.71506849315068488</v>
      </c>
      <c r="T19" s="687">
        <v>100000</v>
      </c>
      <c r="U19" s="1129"/>
      <c r="V19" s="1185"/>
      <c r="W19" s="686">
        <f t="shared" ca="1" si="6"/>
        <v>5005</v>
      </c>
      <c r="X19" s="810">
        <f t="shared" ca="1" si="7"/>
        <v>-100</v>
      </c>
      <c r="Y19" s="811"/>
    </row>
    <row r="20" spans="1:25">
      <c r="A20" s="1068"/>
      <c r="B20" s="1075">
        <v>6</v>
      </c>
      <c r="C20" s="1086"/>
      <c r="D20" s="1086"/>
      <c r="E20" s="1020" t="s">
        <v>1868</v>
      </c>
      <c r="F20" s="1075" t="s">
        <v>1581</v>
      </c>
      <c r="G20" s="1088"/>
      <c r="H20" s="1090"/>
      <c r="I20" s="1092"/>
      <c r="J20" s="1094"/>
      <c r="K20" s="1096"/>
      <c r="L20" s="1180" t="s">
        <v>1610</v>
      </c>
      <c r="M20" s="1088"/>
      <c r="N20" s="1088"/>
      <c r="O20" s="1092"/>
      <c r="P20" s="1174">
        <v>5104862513</v>
      </c>
      <c r="Q20" s="903">
        <v>45474</v>
      </c>
      <c r="R20" s="809">
        <f t="shared" ca="1" si="4"/>
        <v>421</v>
      </c>
      <c r="S20" s="992">
        <f t="shared" ca="1" si="5"/>
        <v>1.1534246575342466</v>
      </c>
      <c r="T20" s="904">
        <v>300000</v>
      </c>
      <c r="U20" s="1178">
        <f>SUM(T20:T21)</f>
        <v>650000</v>
      </c>
      <c r="V20" s="1176"/>
      <c r="W20" s="652">
        <f t="shared" ca="1" si="6"/>
        <v>24222</v>
      </c>
      <c r="X20" s="905"/>
      <c r="Y20" s="906"/>
    </row>
    <row r="21" spans="1:25">
      <c r="A21" s="1069"/>
      <c r="B21" s="1076"/>
      <c r="C21" s="1087"/>
      <c r="D21" s="1087"/>
      <c r="E21" s="1020" t="s">
        <v>1869</v>
      </c>
      <c r="F21" s="1076"/>
      <c r="G21" s="1089"/>
      <c r="H21" s="1091"/>
      <c r="I21" s="1093"/>
      <c r="J21" s="1095"/>
      <c r="K21" s="1097"/>
      <c r="L21" s="1181"/>
      <c r="M21" s="1089"/>
      <c r="N21" s="1089"/>
      <c r="O21" s="1093"/>
      <c r="P21" s="1175"/>
      <c r="Q21" s="903">
        <v>45483</v>
      </c>
      <c r="R21" s="809">
        <f t="shared" ca="1" si="4"/>
        <v>412</v>
      </c>
      <c r="S21" s="992">
        <f t="shared" ca="1" si="5"/>
        <v>1.1287671232876713</v>
      </c>
      <c r="T21" s="904">
        <v>350000</v>
      </c>
      <c r="U21" s="1179"/>
      <c r="V21" s="1177"/>
      <c r="W21" s="652">
        <f t="shared" ca="1" si="6"/>
        <v>27655</v>
      </c>
      <c r="X21" s="905">
        <f ca="1">((U21/T21)^(1/S21)-1)*100</f>
        <v>-100</v>
      </c>
      <c r="Y21" s="906"/>
    </row>
    <row r="22" spans="1:25">
      <c r="A22" s="901"/>
      <c r="B22" s="794"/>
      <c r="C22" s="761"/>
      <c r="D22" s="761"/>
      <c r="E22" s="761"/>
      <c r="F22" s="761"/>
      <c r="G22" s="761"/>
      <c r="H22" s="797"/>
      <c r="I22" s="797"/>
      <c r="J22" s="797"/>
      <c r="K22" s="797"/>
      <c r="L22" s="761"/>
      <c r="M22" s="761"/>
      <c r="N22" s="761"/>
      <c r="O22" s="761"/>
      <c r="P22" s="761"/>
      <c r="Q22" s="761"/>
      <c r="R22" s="797"/>
      <c r="S22" s="991"/>
      <c r="T22" s="702">
        <f>SUM(T14:T21)</f>
        <v>1550000</v>
      </c>
      <c r="U22" s="812"/>
      <c r="V22" s="813"/>
      <c r="W22" s="813"/>
      <c r="X22" s="813"/>
      <c r="Y22" s="814"/>
    </row>
    <row r="23" spans="1:25">
      <c r="A23" s="1067" t="s">
        <v>1833</v>
      </c>
      <c r="B23" s="1077">
        <v>7</v>
      </c>
      <c r="C23" s="816"/>
      <c r="D23" s="822"/>
      <c r="E23" s="1021" t="s">
        <v>1675</v>
      </c>
      <c r="F23" s="1077" t="s">
        <v>1579</v>
      </c>
      <c r="G23" s="1121">
        <v>3</v>
      </c>
      <c r="H23" s="1123">
        <v>11207</v>
      </c>
      <c r="I23" s="1119">
        <v>0.77</v>
      </c>
      <c r="J23" s="1119" t="s">
        <v>1594</v>
      </c>
      <c r="K23" s="1098">
        <v>0</v>
      </c>
      <c r="L23" s="1100" t="s">
        <v>1610</v>
      </c>
      <c r="M23" s="1144"/>
      <c r="N23" s="1144"/>
      <c r="O23" s="1138"/>
      <c r="P23" s="1070">
        <v>5104862513</v>
      </c>
      <c r="Q23" s="808">
        <v>45173</v>
      </c>
      <c r="R23" s="809">
        <f ca="1">DAYS360(Q23,TODAY())</f>
        <v>718</v>
      </c>
      <c r="S23" s="989">
        <f ca="1">R23/365</f>
        <v>1.9671232876712328</v>
      </c>
      <c r="T23" s="686">
        <v>50000</v>
      </c>
      <c r="U23" s="1127">
        <f>SUM(T23:T24)</f>
        <v>500000</v>
      </c>
      <c r="V23" s="1184"/>
      <c r="W23" s="686">
        <f ca="1">ROUND((T23*FD_RATE_OF_INTEREST)/365 * R23,0)</f>
        <v>6885</v>
      </c>
      <c r="X23" s="810">
        <f ca="1">((U23/T23)^(1/S23)-1)*100</f>
        <v>222.37143018161146</v>
      </c>
      <c r="Y23" s="811"/>
    </row>
    <row r="24" spans="1:25">
      <c r="A24" s="1068"/>
      <c r="B24" s="1079"/>
      <c r="C24" s="820"/>
      <c r="D24" s="823"/>
      <c r="E24" s="1021" t="s">
        <v>1676</v>
      </c>
      <c r="F24" s="1079"/>
      <c r="G24" s="1122"/>
      <c r="H24" s="1124"/>
      <c r="I24" s="1120"/>
      <c r="J24" s="1120"/>
      <c r="K24" s="1099"/>
      <c r="L24" s="1101"/>
      <c r="M24" s="1146"/>
      <c r="N24" s="1146"/>
      <c r="O24" s="1140"/>
      <c r="P24" s="1072"/>
      <c r="Q24" s="808">
        <v>45326</v>
      </c>
      <c r="R24" s="809">
        <f ca="1">DAYS360(Q24,TODAY())</f>
        <v>568</v>
      </c>
      <c r="S24" s="989">
        <f ca="1">R24/365</f>
        <v>1.5561643835616439</v>
      </c>
      <c r="T24" s="687">
        <v>450000</v>
      </c>
      <c r="U24" s="1129"/>
      <c r="V24" s="1185"/>
      <c r="W24" s="686">
        <f ca="1">ROUND((T24*FD_RATE_OF_INTEREST)/365 * R24,0)</f>
        <v>49019</v>
      </c>
      <c r="X24" s="810">
        <f ca="1">((U24/T24)^(1/S24)-1)*100</f>
        <v>-100</v>
      </c>
      <c r="Y24" s="811"/>
    </row>
    <row r="25" spans="1:25">
      <c r="A25" s="1068"/>
      <c r="B25" s="1041">
        <v>8</v>
      </c>
      <c r="C25" s="1044"/>
      <c r="D25" s="1047"/>
      <c r="E25" s="1016" t="s">
        <v>1948</v>
      </c>
      <c r="F25" s="1041" t="s">
        <v>1579</v>
      </c>
      <c r="G25" s="1050">
        <v>11</v>
      </c>
      <c r="H25" s="1053">
        <v>24409</v>
      </c>
      <c r="I25" s="1056">
        <v>0.75</v>
      </c>
      <c r="J25" s="1056" t="s">
        <v>1594</v>
      </c>
      <c r="K25" s="1059">
        <v>0</v>
      </c>
      <c r="L25" s="1133" t="s">
        <v>1610</v>
      </c>
      <c r="M25" s="1150"/>
      <c r="N25" s="1150"/>
      <c r="O25" s="1141"/>
      <c r="P25" s="1073" t="s">
        <v>1582</v>
      </c>
      <c r="Q25" s="649">
        <v>45173</v>
      </c>
      <c r="R25" s="809">
        <f ca="1">DAYS360(Q25,TODAY())</f>
        <v>718</v>
      </c>
      <c r="S25" s="990">
        <f ca="1">R25/365</f>
        <v>1.9671232876712328</v>
      </c>
      <c r="T25" s="652">
        <v>50000</v>
      </c>
      <c r="U25" s="1130">
        <f>SUM(T25:T27)</f>
        <v>200000</v>
      </c>
      <c r="V25" s="1187"/>
      <c r="W25" s="652">
        <f ca="1">ROUND((T25*FD_RATE_OF_INTEREST)/365 * R25,0)</f>
        <v>6885</v>
      </c>
      <c r="X25" s="641">
        <f ca="1">((U25/T25)^(1/S25)-1)*100</f>
        <v>102.33039885374686</v>
      </c>
      <c r="Y25" s="639"/>
    </row>
    <row r="26" spans="1:25">
      <c r="A26" s="1068"/>
      <c r="B26" s="1042"/>
      <c r="C26" s="1045"/>
      <c r="D26" s="1048"/>
      <c r="E26" s="1016" t="s">
        <v>1949</v>
      </c>
      <c r="F26" s="1042"/>
      <c r="G26" s="1051"/>
      <c r="H26" s="1054"/>
      <c r="I26" s="1057"/>
      <c r="J26" s="1057"/>
      <c r="K26" s="1060"/>
      <c r="L26" s="1134"/>
      <c r="M26" s="1151"/>
      <c r="N26" s="1151"/>
      <c r="O26" s="1142"/>
      <c r="P26" s="1189"/>
      <c r="Q26" s="649">
        <v>45595</v>
      </c>
      <c r="R26" s="809">
        <f ca="1">DAYS360(Q26,TODAY())</f>
        <v>302</v>
      </c>
      <c r="S26" s="990"/>
      <c r="T26" s="652">
        <v>50000</v>
      </c>
      <c r="U26" s="1131"/>
      <c r="V26" s="1190"/>
      <c r="W26" s="652">
        <f ca="1">ROUND((T26*FD_RATE_OF_INTEREST)/365 * R26,0)</f>
        <v>2896</v>
      </c>
      <c r="X26" s="641"/>
      <c r="Y26" s="639"/>
    </row>
    <row r="27" spans="1:25">
      <c r="A27" s="1069"/>
      <c r="B27" s="1043"/>
      <c r="C27" s="1046"/>
      <c r="D27" s="1049"/>
      <c r="E27" s="1016" t="s">
        <v>1989</v>
      </c>
      <c r="F27" s="1043"/>
      <c r="G27" s="1052"/>
      <c r="H27" s="1055"/>
      <c r="I27" s="1058"/>
      <c r="J27" s="1058"/>
      <c r="K27" s="1061"/>
      <c r="L27" s="1135"/>
      <c r="M27" s="1152"/>
      <c r="N27" s="1152"/>
      <c r="O27" s="1143"/>
      <c r="P27" s="1074"/>
      <c r="Q27" s="649">
        <v>45725</v>
      </c>
      <c r="R27" s="809">
        <f ca="1">DAYS360(Q27,TODAY())</f>
        <v>173</v>
      </c>
      <c r="S27" s="990">
        <f ca="1">R27/365</f>
        <v>0.47397260273972602</v>
      </c>
      <c r="T27" s="652">
        <v>100000</v>
      </c>
      <c r="U27" s="1132"/>
      <c r="V27" s="1188"/>
      <c r="W27" s="652">
        <f ca="1">ROUND((T27*FD_RATE_OF_INTEREST)/365 * R27,0)</f>
        <v>3318</v>
      </c>
      <c r="X27" s="641">
        <f ca="1">((U27/T27)^(1/S27)-1)*100</f>
        <v>-100</v>
      </c>
      <c r="Y27" s="639"/>
    </row>
    <row r="28" spans="1:25">
      <c r="A28" s="901"/>
      <c r="B28" s="794"/>
      <c r="C28" s="761"/>
      <c r="D28" s="761"/>
      <c r="E28" s="761"/>
      <c r="F28" s="761"/>
      <c r="G28" s="761"/>
      <c r="H28" s="797"/>
      <c r="I28" s="797"/>
      <c r="J28" s="797"/>
      <c r="K28" s="797"/>
      <c r="L28" s="761"/>
      <c r="M28" s="761"/>
      <c r="N28" s="761"/>
      <c r="O28" s="761"/>
      <c r="P28" s="761"/>
      <c r="Q28" s="761"/>
      <c r="R28" s="797"/>
      <c r="S28" s="991"/>
      <c r="T28" s="702">
        <f>SUM(T23:T27)</f>
        <v>700000</v>
      </c>
      <c r="U28" s="812"/>
      <c r="V28" s="813"/>
      <c r="W28" s="813"/>
      <c r="X28" s="813"/>
      <c r="Y28" s="814"/>
    </row>
    <row r="29" spans="1:25">
      <c r="A29" s="1067" t="s">
        <v>1834</v>
      </c>
      <c r="B29" s="1077">
        <v>9</v>
      </c>
      <c r="C29" s="1080"/>
      <c r="D29" s="1083"/>
      <c r="E29" s="1021" t="s">
        <v>1779</v>
      </c>
      <c r="F29" s="1077" t="s">
        <v>1680</v>
      </c>
      <c r="G29" s="1121">
        <v>2</v>
      </c>
      <c r="H29" s="1123">
        <v>4148</v>
      </c>
      <c r="I29" s="1119">
        <v>1.3</v>
      </c>
      <c r="J29" s="1119" t="s">
        <v>1691</v>
      </c>
      <c r="K29" s="1098">
        <v>0</v>
      </c>
      <c r="L29" s="1100" t="s">
        <v>1610</v>
      </c>
      <c r="M29" s="1144"/>
      <c r="N29" s="1144"/>
      <c r="O29" s="1138"/>
      <c r="P29" s="1070" t="s">
        <v>1690</v>
      </c>
      <c r="Q29" s="808">
        <v>45327</v>
      </c>
      <c r="R29" s="809">
        <f ca="1">DAYS360(Q29,TODAY())</f>
        <v>567</v>
      </c>
      <c r="S29" s="989">
        <f ca="1">R29/365</f>
        <v>1.5534246575342465</v>
      </c>
      <c r="T29" s="687">
        <v>350000</v>
      </c>
      <c r="U29" s="1127">
        <f>SUM(T29:T31)</f>
        <v>850000</v>
      </c>
      <c r="V29" s="1117"/>
      <c r="W29" s="686">
        <f ca="1">ROUND((T29*FD_RATE_OF_INTEREST)/365 * R29,0)</f>
        <v>38059</v>
      </c>
      <c r="X29" s="810">
        <f ca="1">((U29/T29)^(1/S29)-1)*100</f>
        <v>77.037546481281467</v>
      </c>
      <c r="Y29" s="811"/>
    </row>
    <row r="30" spans="1:25">
      <c r="A30" s="1068"/>
      <c r="B30" s="1078"/>
      <c r="C30" s="1081"/>
      <c r="D30" s="1084"/>
      <c r="E30" s="1021" t="s">
        <v>1780</v>
      </c>
      <c r="F30" s="1078"/>
      <c r="G30" s="1172"/>
      <c r="H30" s="1173"/>
      <c r="I30" s="1137"/>
      <c r="J30" s="1137"/>
      <c r="K30" s="1171"/>
      <c r="L30" s="1136"/>
      <c r="M30" s="1145"/>
      <c r="N30" s="1145"/>
      <c r="O30" s="1139"/>
      <c r="P30" s="1071"/>
      <c r="Q30" s="808">
        <v>45413</v>
      </c>
      <c r="R30" s="809">
        <f ca="1">DAYS360(Q30,TODAY())</f>
        <v>481</v>
      </c>
      <c r="S30" s="989">
        <f ca="1">R30/365</f>
        <v>1.3178082191780822</v>
      </c>
      <c r="T30" s="687">
        <v>300000</v>
      </c>
      <c r="U30" s="1128"/>
      <c r="V30" s="1186"/>
      <c r="W30" s="686">
        <f t="shared" ref="W30:W33" ca="1" si="8">ROUND((T30*FD_RATE_OF_INTEREST)/365 * R30,0)</f>
        <v>27674</v>
      </c>
      <c r="X30" s="810">
        <f ca="1">((U30/T30)^(1/S30)-1)*100</f>
        <v>-100</v>
      </c>
      <c r="Y30" s="811"/>
    </row>
    <row r="31" spans="1:25">
      <c r="A31" s="1068"/>
      <c r="B31" s="1079"/>
      <c r="C31" s="1082"/>
      <c r="D31" s="1085"/>
      <c r="E31" s="1021" t="s">
        <v>1947</v>
      </c>
      <c r="F31" s="1079"/>
      <c r="G31" s="1122"/>
      <c r="H31" s="1124"/>
      <c r="I31" s="1120"/>
      <c r="J31" s="1120"/>
      <c r="K31" s="1099"/>
      <c r="L31" s="1101"/>
      <c r="M31" s="1146"/>
      <c r="N31" s="1146"/>
      <c r="O31" s="1140"/>
      <c r="P31" s="1072"/>
      <c r="Q31" s="808">
        <v>45484</v>
      </c>
      <c r="R31" s="809">
        <f ca="1">DAYS360(Q31,TODAY())</f>
        <v>411</v>
      </c>
      <c r="S31" s="989">
        <f ca="1">R31/365</f>
        <v>1.1260273972602739</v>
      </c>
      <c r="T31" s="687">
        <v>200000</v>
      </c>
      <c r="U31" s="1129"/>
      <c r="V31" s="1118"/>
      <c r="W31" s="686">
        <f t="shared" ca="1" si="8"/>
        <v>15764</v>
      </c>
      <c r="X31" s="810">
        <f ca="1">((U31/T31)^(1/S31)-1)*100</f>
        <v>-100</v>
      </c>
      <c r="Y31" s="811"/>
    </row>
    <row r="32" spans="1:25">
      <c r="A32" s="1068"/>
      <c r="B32" s="1041">
        <v>10</v>
      </c>
      <c r="C32" s="1044"/>
      <c r="D32" s="1047"/>
      <c r="E32" s="1022" t="s">
        <v>1870</v>
      </c>
      <c r="F32" s="1041" t="s">
        <v>1680</v>
      </c>
      <c r="G32" s="1050">
        <v>6</v>
      </c>
      <c r="H32" s="1053">
        <v>1322</v>
      </c>
      <c r="I32" s="1056">
        <v>0.77</v>
      </c>
      <c r="J32" s="1056" t="s">
        <v>1683</v>
      </c>
      <c r="K32" s="1059">
        <v>0</v>
      </c>
      <c r="L32" s="1133" t="s">
        <v>1610</v>
      </c>
      <c r="M32" s="1147"/>
      <c r="N32" s="1147"/>
      <c r="O32" s="1156"/>
      <c r="P32" s="1073">
        <v>5104862513</v>
      </c>
      <c r="Q32" s="649">
        <v>45328</v>
      </c>
      <c r="R32" s="809">
        <f ca="1">DAYS360(Q32,TODAY())</f>
        <v>566</v>
      </c>
      <c r="S32" s="990">
        <f ca="1">R32/365</f>
        <v>1.5506849315068494</v>
      </c>
      <c r="T32" s="685">
        <v>350000</v>
      </c>
      <c r="U32" s="1130">
        <f>SUM(T32:T33)</f>
        <v>850000</v>
      </c>
      <c r="V32" s="1187"/>
      <c r="W32" s="652">
        <f t="shared" ca="1" si="8"/>
        <v>37992</v>
      </c>
      <c r="X32" s="652"/>
      <c r="Y32" s="639"/>
    </row>
    <row r="33" spans="1:25">
      <c r="A33" s="1069"/>
      <c r="B33" s="1043"/>
      <c r="C33" s="1046"/>
      <c r="D33" s="1049"/>
      <c r="E33" s="1022" t="s">
        <v>1871</v>
      </c>
      <c r="F33" s="1043"/>
      <c r="G33" s="1052"/>
      <c r="H33" s="1055"/>
      <c r="I33" s="1058"/>
      <c r="J33" s="1058"/>
      <c r="K33" s="1061"/>
      <c r="L33" s="1135"/>
      <c r="M33" s="1149"/>
      <c r="N33" s="1149"/>
      <c r="O33" s="1158"/>
      <c r="P33" s="1074"/>
      <c r="Q33" s="649">
        <v>45483</v>
      </c>
      <c r="R33" s="809">
        <f ca="1">DAYS360(Q33,TODAY())</f>
        <v>412</v>
      </c>
      <c r="S33" s="990">
        <f ca="1">R33/365</f>
        <v>1.1287671232876713</v>
      </c>
      <c r="T33" s="685">
        <v>500000</v>
      </c>
      <c r="U33" s="1132"/>
      <c r="V33" s="1188"/>
      <c r="W33" s="652">
        <f t="shared" ca="1" si="8"/>
        <v>39507</v>
      </c>
      <c r="X33" s="652"/>
      <c r="Y33" s="639"/>
    </row>
    <row r="34" spans="1:25">
      <c r="A34" s="901"/>
      <c r="B34" s="794"/>
      <c r="C34" s="761"/>
      <c r="D34" s="761"/>
      <c r="E34" s="761"/>
      <c r="F34" s="761"/>
      <c r="G34" s="761"/>
      <c r="H34" s="797"/>
      <c r="I34" s="797"/>
      <c r="J34" s="797"/>
      <c r="K34" s="797"/>
      <c r="L34" s="761"/>
      <c r="M34" s="761"/>
      <c r="N34" s="761"/>
      <c r="O34" s="761"/>
      <c r="P34" s="761"/>
      <c r="Q34" s="761"/>
      <c r="R34" s="797"/>
      <c r="S34" s="991"/>
      <c r="T34" s="702">
        <f>SUM(T29:T33)</f>
        <v>1700000</v>
      </c>
      <c r="U34" s="812"/>
      <c r="V34" s="813"/>
      <c r="W34" s="813"/>
      <c r="X34" s="813"/>
      <c r="Y34" s="814"/>
    </row>
    <row r="35" spans="1:25">
      <c r="A35" s="1067" t="s">
        <v>1835</v>
      </c>
      <c r="B35" s="1077">
        <v>11</v>
      </c>
      <c r="C35" s="822"/>
      <c r="D35" s="822"/>
      <c r="E35" s="1015" t="s">
        <v>1685</v>
      </c>
      <c r="F35" s="1077" t="s">
        <v>1639</v>
      </c>
      <c r="G35" s="1121">
        <v>1</v>
      </c>
      <c r="H35" s="1123">
        <v>48294</v>
      </c>
      <c r="I35" s="1119">
        <v>0.62</v>
      </c>
      <c r="J35" s="1119" t="s">
        <v>1640</v>
      </c>
      <c r="K35" s="1098">
        <v>0</v>
      </c>
      <c r="L35" s="1100" t="s">
        <v>1610</v>
      </c>
      <c r="M35" s="1102"/>
      <c r="N35" s="1102"/>
      <c r="O35" s="1104"/>
      <c r="P35" s="1070">
        <v>14186256</v>
      </c>
      <c r="Q35" s="808">
        <v>45280</v>
      </c>
      <c r="R35" s="809">
        <f t="shared" ref="R35:R40" ca="1" si="9">DAYS360(Q35,TODAY())</f>
        <v>612</v>
      </c>
      <c r="S35" s="989">
        <f t="shared" ref="S35:S40" ca="1" si="10">R35/365</f>
        <v>1.6767123287671233</v>
      </c>
      <c r="T35" s="686">
        <v>100000</v>
      </c>
      <c r="U35" s="1127">
        <f>SUM(T35:T39)</f>
        <v>750000</v>
      </c>
      <c r="V35" s="1117"/>
      <c r="W35" s="686">
        <f t="shared" ref="W35:W40" ca="1" si="11">ROUND((T35*FD_RATE_OF_INTEREST)/365 * R35,0)</f>
        <v>11737</v>
      </c>
      <c r="X35" s="686">
        <f ca="1">((U35/T35)^(1/S35)-1)*100</f>
        <v>232.57615879646985</v>
      </c>
      <c r="Y35" s="811"/>
    </row>
    <row r="36" spans="1:25">
      <c r="A36" s="1068"/>
      <c r="B36" s="1078"/>
      <c r="C36" s="977"/>
      <c r="D36" s="977"/>
      <c r="E36" s="1015" t="s">
        <v>1686</v>
      </c>
      <c r="F36" s="1078"/>
      <c r="G36" s="1172"/>
      <c r="H36" s="1173"/>
      <c r="I36" s="1137"/>
      <c r="J36" s="1137"/>
      <c r="K36" s="1171"/>
      <c r="L36" s="1136"/>
      <c r="M36" s="1182"/>
      <c r="N36" s="1182"/>
      <c r="O36" s="1183"/>
      <c r="P36" s="1071"/>
      <c r="Q36" s="808">
        <v>45328</v>
      </c>
      <c r="R36" s="809">
        <f t="shared" ca="1" si="9"/>
        <v>566</v>
      </c>
      <c r="S36" s="989">
        <f t="shared" ca="1" si="10"/>
        <v>1.5506849315068494</v>
      </c>
      <c r="T36" s="687">
        <v>150000</v>
      </c>
      <c r="U36" s="1128"/>
      <c r="V36" s="1186"/>
      <c r="W36" s="686">
        <f t="shared" ca="1" si="11"/>
        <v>16282</v>
      </c>
      <c r="X36" s="686">
        <f t="shared" ref="X36:X39" ca="1" si="12">((U36/T36)^(1/S36)-1)*100</f>
        <v>-100</v>
      </c>
      <c r="Y36" s="811"/>
    </row>
    <row r="37" spans="1:25">
      <c r="A37" s="1068"/>
      <c r="B37" s="1078"/>
      <c r="C37" s="977"/>
      <c r="D37" s="977"/>
      <c r="E37" s="1015" t="s">
        <v>1953</v>
      </c>
      <c r="F37" s="1078"/>
      <c r="G37" s="1172"/>
      <c r="H37" s="1173"/>
      <c r="I37" s="1137"/>
      <c r="J37" s="1137"/>
      <c r="K37" s="1171"/>
      <c r="L37" s="1136"/>
      <c r="M37" s="1182"/>
      <c r="N37" s="1182"/>
      <c r="O37" s="1183"/>
      <c r="P37" s="1071"/>
      <c r="Q37" s="808">
        <v>45661</v>
      </c>
      <c r="R37" s="809">
        <f t="shared" ca="1" si="9"/>
        <v>238</v>
      </c>
      <c r="S37" s="989">
        <f t="shared" ca="1" si="10"/>
        <v>0.65205479452054793</v>
      </c>
      <c r="T37" s="687">
        <v>300000</v>
      </c>
      <c r="U37" s="1128"/>
      <c r="V37" s="1186"/>
      <c r="W37" s="686">
        <f t="shared" ca="1" si="11"/>
        <v>13693</v>
      </c>
      <c r="X37" s="686">
        <f t="shared" ca="1" si="12"/>
        <v>-100</v>
      </c>
      <c r="Y37" s="811"/>
    </row>
    <row r="38" spans="1:25">
      <c r="A38" s="1068"/>
      <c r="B38" s="1078"/>
      <c r="C38" s="977"/>
      <c r="D38" s="977"/>
      <c r="E38" s="1015" t="s">
        <v>1955</v>
      </c>
      <c r="F38" s="1078"/>
      <c r="G38" s="1172"/>
      <c r="H38" s="1173"/>
      <c r="I38" s="1137"/>
      <c r="J38" s="1137"/>
      <c r="K38" s="1171"/>
      <c r="L38" s="1136"/>
      <c r="M38" s="1182"/>
      <c r="N38" s="1182"/>
      <c r="O38" s="1183"/>
      <c r="P38" s="1071"/>
      <c r="Q38" s="808">
        <v>45668</v>
      </c>
      <c r="R38" s="809">
        <f t="shared" ca="1" si="9"/>
        <v>231</v>
      </c>
      <c r="S38" s="989">
        <f t="shared" ca="1" si="10"/>
        <v>0.63287671232876708</v>
      </c>
      <c r="T38" s="687">
        <v>100000</v>
      </c>
      <c r="U38" s="1128"/>
      <c r="V38" s="1186"/>
      <c r="W38" s="686">
        <f t="shared" ca="1" si="11"/>
        <v>4430</v>
      </c>
      <c r="X38" s="686">
        <f t="shared" ca="1" si="12"/>
        <v>-100</v>
      </c>
      <c r="Y38" s="811"/>
    </row>
    <row r="39" spans="1:25">
      <c r="A39" s="1068"/>
      <c r="B39" s="1079"/>
      <c r="C39" s="823"/>
      <c r="D39" s="823"/>
      <c r="E39" s="1015" t="s">
        <v>1988</v>
      </c>
      <c r="F39" s="1079"/>
      <c r="G39" s="1122"/>
      <c r="H39" s="1124"/>
      <c r="I39" s="1120"/>
      <c r="J39" s="1120"/>
      <c r="K39" s="1099"/>
      <c r="L39" s="1101"/>
      <c r="M39" s="1103"/>
      <c r="N39" s="1103"/>
      <c r="O39" s="1105"/>
      <c r="P39" s="1072"/>
      <c r="Q39" s="808">
        <v>45725</v>
      </c>
      <c r="R39" s="809">
        <f t="shared" ca="1" si="9"/>
        <v>173</v>
      </c>
      <c r="S39" s="989">
        <f t="shared" ca="1" si="10"/>
        <v>0.47397260273972602</v>
      </c>
      <c r="T39" s="687">
        <v>100000</v>
      </c>
      <c r="U39" s="1129"/>
      <c r="V39" s="1118"/>
      <c r="W39" s="686">
        <f t="shared" ca="1" si="11"/>
        <v>3318</v>
      </c>
      <c r="X39" s="686">
        <f t="shared" ca="1" si="12"/>
        <v>-100</v>
      </c>
      <c r="Y39" s="811"/>
    </row>
    <row r="40" spans="1:25">
      <c r="A40" s="1069"/>
      <c r="B40" s="760">
        <v>12</v>
      </c>
      <c r="C40" s="824"/>
      <c r="D40" s="825"/>
      <c r="E40" s="1026" t="s">
        <v>1692</v>
      </c>
      <c r="F40" s="700" t="s">
        <v>1639</v>
      </c>
      <c r="G40" s="826">
        <v>3</v>
      </c>
      <c r="H40" s="827">
        <v>2901</v>
      </c>
      <c r="I40" s="828">
        <v>0.77</v>
      </c>
      <c r="J40" s="828" t="s">
        <v>1691</v>
      </c>
      <c r="K40" s="829">
        <v>0</v>
      </c>
      <c r="L40" s="830" t="s">
        <v>1610</v>
      </c>
      <c r="M40" s="831"/>
      <c r="N40" s="831"/>
      <c r="O40" s="832"/>
      <c r="P40" s="833">
        <v>5104862513</v>
      </c>
      <c r="Q40" s="649">
        <v>45328</v>
      </c>
      <c r="R40" s="809">
        <f t="shared" ca="1" si="9"/>
        <v>566</v>
      </c>
      <c r="S40" s="990">
        <f t="shared" ca="1" si="10"/>
        <v>1.5506849315068494</v>
      </c>
      <c r="T40" s="685">
        <v>250000</v>
      </c>
      <c r="U40" s="652">
        <f>SUM(T40)</f>
        <v>250000</v>
      </c>
      <c r="V40" s="652"/>
      <c r="W40" s="652">
        <f t="shared" ca="1" si="11"/>
        <v>27137</v>
      </c>
      <c r="X40" s="652">
        <f ca="1">((U40/T40)^(1/S40)-1)*100</f>
        <v>0</v>
      </c>
      <c r="Y40" s="639"/>
    </row>
    <row r="41" spans="1:25">
      <c r="A41" s="901"/>
      <c r="B41" s="794"/>
      <c r="C41" s="761"/>
      <c r="D41" s="761"/>
      <c r="E41" s="761"/>
      <c r="F41" s="761"/>
      <c r="G41" s="761"/>
      <c r="H41" s="797"/>
      <c r="I41" s="797"/>
      <c r="J41" s="797"/>
      <c r="K41" s="797"/>
      <c r="L41" s="761"/>
      <c r="M41" s="761"/>
      <c r="N41" s="761"/>
      <c r="O41" s="761"/>
      <c r="P41" s="761"/>
      <c r="Q41" s="761"/>
      <c r="R41" s="797"/>
      <c r="S41" s="991"/>
      <c r="T41" s="702">
        <f>SUM(T35:T40)</f>
        <v>1000000</v>
      </c>
      <c r="U41" s="812"/>
      <c r="V41" s="813"/>
      <c r="W41" s="813"/>
      <c r="X41" s="813"/>
      <c r="Y41" s="814"/>
    </row>
    <row r="42" spans="1:25">
      <c r="A42" s="834"/>
      <c r="B42" s="834"/>
      <c r="C42" s="835"/>
      <c r="D42" s="835"/>
      <c r="E42" s="591" t="s">
        <v>1612</v>
      </c>
      <c r="F42" s="602"/>
      <c r="G42" s="603"/>
      <c r="H42" s="806"/>
      <c r="I42" s="802"/>
      <c r="J42" s="802"/>
      <c r="K42" s="834"/>
      <c r="L42" s="836"/>
      <c r="M42" s="837"/>
      <c r="N42" s="837"/>
      <c r="O42" s="606"/>
      <c r="P42" s="838"/>
      <c r="Q42" s="839"/>
      <c r="R42" s="834"/>
      <c r="S42" s="993"/>
      <c r="T42" s="600">
        <f>SUM(T5,T13,T22,T28,T34,T41)</f>
        <v>7400000</v>
      </c>
      <c r="U42" s="600">
        <f>SUM(U2:U41)</f>
        <v>7400000</v>
      </c>
      <c r="V42" s="600">
        <f>SUM(V5:V33)</f>
        <v>0</v>
      </c>
      <c r="W42" s="600">
        <f ca="1">SUM(W2:W41)</f>
        <v>725081</v>
      </c>
      <c r="X42" s="840"/>
      <c r="Y42" s="840"/>
    </row>
    <row r="43" spans="1:25">
      <c r="A43" s="841"/>
      <c r="B43" s="841">
        <v>13</v>
      </c>
      <c r="C43" s="689" t="s">
        <v>1622</v>
      </c>
      <c r="D43" s="689" t="s">
        <v>1602</v>
      </c>
      <c r="E43" s="1023" t="s">
        <v>1587</v>
      </c>
      <c r="F43" s="696" t="s">
        <v>1597</v>
      </c>
      <c r="G43" s="691">
        <v>5</v>
      </c>
      <c r="H43" s="804">
        <v>6533</v>
      </c>
      <c r="I43" s="800">
        <v>0.54</v>
      </c>
      <c r="J43" s="800">
        <v>0</v>
      </c>
      <c r="K43" s="842" t="s">
        <v>1586</v>
      </c>
      <c r="L43" s="843" t="s">
        <v>1576</v>
      </c>
      <c r="M43" s="844">
        <v>5000</v>
      </c>
      <c r="N43" s="844" t="s">
        <v>1598</v>
      </c>
      <c r="O43" s="845">
        <f ca="1">ROUNDUP(_xlfn.DAYS(NOW(), Q43)/30,0) -1</f>
        <v>60</v>
      </c>
      <c r="P43" s="846">
        <v>19920649444</v>
      </c>
      <c r="Q43" s="693">
        <v>44081</v>
      </c>
      <c r="R43" s="809">
        <f t="shared" ref="R43:R49" ca="1" si="13">DAYS360(Q43,TODAY())</f>
        <v>1795</v>
      </c>
      <c r="S43" s="994">
        <f t="shared" ref="S43:S49" ca="1" si="14">ROUND(R43/365,1)</f>
        <v>4.9000000000000004</v>
      </c>
      <c r="T43" s="694">
        <v>175000</v>
      </c>
      <c r="U43" s="694">
        <f t="shared" ref="U43:U49" si="15">T43</f>
        <v>175000</v>
      </c>
      <c r="V43" s="694"/>
      <c r="W43" s="694">
        <f t="shared" ref="W43:W49" ca="1" si="16">ROUND((T43*FD_RATE_OF_INTEREST)/365 * R43,0)</f>
        <v>60243</v>
      </c>
      <c r="X43" s="692" t="e">
        <f>XIRR(#REF!,#REF!)*100</f>
        <v>#REF!</v>
      </c>
      <c r="Y43" s="695" t="s">
        <v>1633</v>
      </c>
    </row>
    <row r="44" spans="1:25">
      <c r="A44" s="841"/>
      <c r="B44" s="841">
        <v>14</v>
      </c>
      <c r="C44" s="689" t="s">
        <v>1622</v>
      </c>
      <c r="D44" s="689" t="s">
        <v>1602</v>
      </c>
      <c r="E44" s="1023" t="s">
        <v>1585</v>
      </c>
      <c r="F44" s="696" t="s">
        <v>1597</v>
      </c>
      <c r="G44" s="691">
        <v>9</v>
      </c>
      <c r="H44" s="804">
        <v>18843</v>
      </c>
      <c r="I44" s="800">
        <v>0.65</v>
      </c>
      <c r="J44" s="800">
        <v>0</v>
      </c>
      <c r="K44" s="842" t="s">
        <v>1586</v>
      </c>
      <c r="L44" s="843" t="s">
        <v>1576</v>
      </c>
      <c r="M44" s="844">
        <v>5000</v>
      </c>
      <c r="N44" s="844" t="s">
        <v>1596</v>
      </c>
      <c r="O44" s="845">
        <f ca="1">ROUNDUP(_xlfn.DAYS(NOW(), Q44)/30,0)-2</f>
        <v>59</v>
      </c>
      <c r="P44" s="846">
        <v>79931183313</v>
      </c>
      <c r="Q44" s="693">
        <v>44081</v>
      </c>
      <c r="R44" s="809">
        <f t="shared" ca="1" si="13"/>
        <v>1795</v>
      </c>
      <c r="S44" s="994">
        <f t="shared" ca="1" si="14"/>
        <v>4.9000000000000004</v>
      </c>
      <c r="T44" s="694">
        <v>170000</v>
      </c>
      <c r="U44" s="694">
        <f t="shared" si="15"/>
        <v>170000</v>
      </c>
      <c r="V44" s="694"/>
      <c r="W44" s="694">
        <f t="shared" ca="1" si="16"/>
        <v>58522</v>
      </c>
      <c r="X44" s="692" t="e">
        <f>XIRR(#REF!,#REF!)*100</f>
        <v>#REF!</v>
      </c>
      <c r="Y44" s="695" t="s">
        <v>1630</v>
      </c>
    </row>
    <row r="45" spans="1:25">
      <c r="A45" s="841"/>
      <c r="B45" s="841">
        <v>15</v>
      </c>
      <c r="C45" s="689" t="s">
        <v>1622</v>
      </c>
      <c r="D45" s="689" t="s">
        <v>1602</v>
      </c>
      <c r="E45" s="1023" t="s">
        <v>1950</v>
      </c>
      <c r="F45" s="696" t="s">
        <v>1597</v>
      </c>
      <c r="G45" s="691">
        <v>6</v>
      </c>
      <c r="H45" s="804">
        <v>5615</v>
      </c>
      <c r="I45" s="800">
        <v>0.76</v>
      </c>
      <c r="J45" s="800">
        <v>0</v>
      </c>
      <c r="K45" s="841" t="s">
        <v>1586</v>
      </c>
      <c r="L45" s="843" t="s">
        <v>1576</v>
      </c>
      <c r="M45" s="844">
        <v>5000</v>
      </c>
      <c r="N45" s="844" t="s">
        <v>1596</v>
      </c>
      <c r="O45" s="845">
        <f ca="1">ROUNDUP(_xlfn.DAYS(NOW(), Q45)/30,0) - 1</f>
        <v>51</v>
      </c>
      <c r="P45" s="846">
        <v>5104862513</v>
      </c>
      <c r="Q45" s="693">
        <v>44353</v>
      </c>
      <c r="R45" s="809">
        <f t="shared" ca="1" si="13"/>
        <v>1526</v>
      </c>
      <c r="S45" s="994">
        <f t="shared" ca="1" si="14"/>
        <v>4.2</v>
      </c>
      <c r="T45" s="694">
        <v>150000</v>
      </c>
      <c r="U45" s="694">
        <f t="shared" si="15"/>
        <v>150000</v>
      </c>
      <c r="V45" s="694"/>
      <c r="W45" s="694">
        <f t="shared" ca="1" si="16"/>
        <v>43899</v>
      </c>
      <c r="X45" s="692" t="e">
        <f>XIRR(#REF!,#REF!)*100</f>
        <v>#REF!</v>
      </c>
      <c r="Y45" s="690" t="s">
        <v>1638</v>
      </c>
    </row>
    <row r="46" spans="1:25">
      <c r="A46" s="847"/>
      <c r="B46" s="847">
        <v>16</v>
      </c>
      <c r="C46" s="848"/>
      <c r="D46" s="848"/>
      <c r="E46" s="1024" t="s">
        <v>1781</v>
      </c>
      <c r="F46" s="697" t="s">
        <v>1579</v>
      </c>
      <c r="G46" s="567">
        <v>5</v>
      </c>
      <c r="H46" s="805">
        <v>41019</v>
      </c>
      <c r="I46" s="801">
        <v>0.69</v>
      </c>
      <c r="J46" s="801" t="s">
        <v>1595</v>
      </c>
      <c r="K46" s="847">
        <v>0</v>
      </c>
      <c r="L46" s="849" t="s">
        <v>1576</v>
      </c>
      <c r="M46" s="850">
        <v>15000</v>
      </c>
      <c r="N46" s="850" t="s">
        <v>1735</v>
      </c>
      <c r="O46" s="851">
        <f>DATEDIF(Q46, DATE(2025,2,1), "m")+1</f>
        <v>12</v>
      </c>
      <c r="P46" s="684">
        <v>499293351567</v>
      </c>
      <c r="Q46" s="852">
        <v>45329</v>
      </c>
      <c r="R46" s="809">
        <f t="shared" ca="1" si="13"/>
        <v>565</v>
      </c>
      <c r="S46" s="995">
        <f t="shared" ca="1" si="14"/>
        <v>1.5</v>
      </c>
      <c r="T46" s="688">
        <f>M46* O46 + (25000)</f>
        <v>205000</v>
      </c>
      <c r="U46" s="688">
        <f t="shared" si="15"/>
        <v>205000</v>
      </c>
      <c r="V46" s="688"/>
      <c r="W46" s="688">
        <f t="shared" ca="1" si="16"/>
        <v>22213</v>
      </c>
      <c r="X46" s="568" t="e">
        <f>XIRR(#REF!,#REF!)*100</f>
        <v>#REF!</v>
      </c>
      <c r="Y46" s="559"/>
    </row>
    <row r="47" spans="1:25">
      <c r="A47" s="847"/>
      <c r="B47" s="847">
        <v>17</v>
      </c>
      <c r="C47" s="848"/>
      <c r="D47" s="848"/>
      <c r="E47" s="1024" t="s">
        <v>1619</v>
      </c>
      <c r="F47" s="697" t="s">
        <v>1579</v>
      </c>
      <c r="G47" s="567">
        <v>3</v>
      </c>
      <c r="H47" s="805">
        <v>11207</v>
      </c>
      <c r="I47" s="801">
        <v>0.77</v>
      </c>
      <c r="J47" s="801" t="s">
        <v>1594</v>
      </c>
      <c r="K47" s="847">
        <v>0</v>
      </c>
      <c r="L47" s="849" t="s">
        <v>1576</v>
      </c>
      <c r="M47" s="850">
        <v>15000</v>
      </c>
      <c r="N47" s="850" t="s">
        <v>1735</v>
      </c>
      <c r="O47" s="851">
        <f>DATEDIF(Q47, DATE(2025,2,1), "m")+1</f>
        <v>11</v>
      </c>
      <c r="P47" s="853">
        <v>5104862513</v>
      </c>
      <c r="Q47" s="852">
        <v>45358</v>
      </c>
      <c r="R47" s="809">
        <f t="shared" ca="1" si="13"/>
        <v>535</v>
      </c>
      <c r="S47" s="995">
        <f t="shared" ca="1" si="14"/>
        <v>1.5</v>
      </c>
      <c r="T47" s="688">
        <f>M47* O47 + (65000)</f>
        <v>230000</v>
      </c>
      <c r="U47" s="688">
        <f t="shared" si="15"/>
        <v>230000</v>
      </c>
      <c r="V47" s="688"/>
      <c r="W47" s="688">
        <f t="shared" ca="1" si="16"/>
        <v>23599</v>
      </c>
      <c r="X47" s="568" t="e">
        <f>XIRR(#REF!,#REF!)*100</f>
        <v>#REF!</v>
      </c>
      <c r="Y47" s="560"/>
    </row>
    <row r="48" spans="1:25">
      <c r="A48" s="847"/>
      <c r="B48" s="847">
        <v>18</v>
      </c>
      <c r="C48" s="848"/>
      <c r="D48" s="848"/>
      <c r="E48" s="1024" t="s">
        <v>1637</v>
      </c>
      <c r="F48" s="697" t="s">
        <v>1579</v>
      </c>
      <c r="G48" s="567">
        <v>2</v>
      </c>
      <c r="H48" s="805">
        <v>5819</v>
      </c>
      <c r="I48" s="801">
        <v>0.32</v>
      </c>
      <c r="J48" s="801" t="s">
        <v>1594</v>
      </c>
      <c r="K48" s="847">
        <v>0</v>
      </c>
      <c r="L48" s="849" t="s">
        <v>1576</v>
      </c>
      <c r="M48" s="850">
        <v>15000</v>
      </c>
      <c r="N48" s="850" t="s">
        <v>1735</v>
      </c>
      <c r="O48" s="851">
        <f>DATEDIF(Q48, DATE(2025,2,1), "m")+1</f>
        <v>12</v>
      </c>
      <c r="P48" s="883" t="s">
        <v>1734</v>
      </c>
      <c r="Q48" s="852">
        <v>45329</v>
      </c>
      <c r="R48" s="809">
        <f t="shared" ca="1" si="13"/>
        <v>565</v>
      </c>
      <c r="S48" s="995">
        <f t="shared" ca="1" si="14"/>
        <v>1.5</v>
      </c>
      <c r="T48" s="688">
        <f>M48* O48</f>
        <v>180000</v>
      </c>
      <c r="U48" s="688">
        <f t="shared" si="15"/>
        <v>180000</v>
      </c>
      <c r="V48" s="688"/>
      <c r="W48" s="688">
        <f t="shared" ca="1" si="16"/>
        <v>19504</v>
      </c>
      <c r="X48" s="688"/>
      <c r="Y48" s="560"/>
    </row>
    <row r="49" spans="1:28">
      <c r="A49" s="847"/>
      <c r="B49" s="847">
        <v>19</v>
      </c>
      <c r="C49" s="848"/>
      <c r="D49" s="848"/>
      <c r="E49" s="1025" t="s">
        <v>1650</v>
      </c>
      <c r="F49" s="697" t="s">
        <v>1579</v>
      </c>
      <c r="G49" s="567">
        <v>2</v>
      </c>
      <c r="H49" s="805"/>
      <c r="I49" s="801"/>
      <c r="J49" s="801"/>
      <c r="K49" s="847"/>
      <c r="L49" s="849" t="s">
        <v>1576</v>
      </c>
      <c r="M49" s="850">
        <v>15000</v>
      </c>
      <c r="N49" s="850" t="s">
        <v>1735</v>
      </c>
      <c r="O49" s="851">
        <f>DATEDIF(Q49, DATE(2025,2,1), "m")+1</f>
        <v>7</v>
      </c>
      <c r="P49" s="883"/>
      <c r="Q49" s="852">
        <v>45480</v>
      </c>
      <c r="R49" s="809">
        <f t="shared" ca="1" si="13"/>
        <v>415</v>
      </c>
      <c r="S49" s="995">
        <f t="shared" ca="1" si="14"/>
        <v>1.1000000000000001</v>
      </c>
      <c r="T49" s="688">
        <f>M49* O49</f>
        <v>105000</v>
      </c>
      <c r="U49" s="688">
        <f t="shared" si="15"/>
        <v>105000</v>
      </c>
      <c r="V49" s="688"/>
      <c r="W49" s="688">
        <f t="shared" ca="1" si="16"/>
        <v>8357</v>
      </c>
      <c r="X49" s="688"/>
      <c r="Y49" s="560"/>
    </row>
    <row r="50" spans="1:28">
      <c r="A50" s="834"/>
      <c r="B50" s="834"/>
      <c r="C50" s="835"/>
      <c r="D50" s="835"/>
      <c r="E50" s="591" t="s">
        <v>1613</v>
      </c>
      <c r="F50" s="602"/>
      <c r="G50" s="603"/>
      <c r="H50" s="806"/>
      <c r="I50" s="802"/>
      <c r="J50" s="802"/>
      <c r="K50" s="834"/>
      <c r="L50" s="854"/>
      <c r="M50" s="855"/>
      <c r="N50" s="855"/>
      <c r="O50" s="856"/>
      <c r="P50" s="857"/>
      <c r="Q50" s="839"/>
      <c r="R50" s="834"/>
      <c r="S50" s="996"/>
      <c r="T50" s="600">
        <f>SUM(T43:T49)</f>
        <v>1215000</v>
      </c>
      <c r="U50" s="600">
        <f>SUM(U43:U49)</f>
        <v>1215000</v>
      </c>
      <c r="V50" s="600"/>
      <c r="W50" s="600">
        <f ca="1">SUM(W43:W49)</f>
        <v>236337</v>
      </c>
      <c r="X50" s="840"/>
      <c r="Y50" s="703" t="s">
        <v>1617</v>
      </c>
    </row>
    <row r="51" spans="1:28" ht="18.3">
      <c r="A51" s="858"/>
      <c r="B51" s="858"/>
      <c r="C51" s="636"/>
      <c r="D51" s="636"/>
      <c r="E51" s="859"/>
      <c r="F51" s="464"/>
      <c r="G51" s="701"/>
      <c r="H51" s="860"/>
      <c r="I51" s="861"/>
      <c r="J51" s="861"/>
      <c r="K51" s="858"/>
      <c r="L51" s="464"/>
      <c r="M51" s="610"/>
      <c r="N51" s="610"/>
      <c r="O51" s="699"/>
      <c r="P51" s="571"/>
      <c r="Q51" s="862"/>
      <c r="R51" s="858"/>
      <c r="S51" s="858"/>
      <c r="T51" s="575">
        <f>SUM(T50, T42)</f>
        <v>8615000</v>
      </c>
      <c r="U51" s="575">
        <f>SUM(U42,U50)</f>
        <v>8615000</v>
      </c>
      <c r="V51" s="575">
        <f>SUM(V42,V50)</f>
        <v>0</v>
      </c>
      <c r="W51" s="575">
        <f ca="1">SUM(W42,W50)</f>
        <v>961418</v>
      </c>
      <c r="X51" s="575"/>
      <c r="Y51" s="576">
        <f ca="1">V51/W51</f>
        <v>0</v>
      </c>
    </row>
    <row r="52" spans="1:28">
      <c r="E52" s="557" t="s">
        <v>1872</v>
      </c>
      <c r="K52"/>
    </row>
    <row r="53" spans="1:28">
      <c r="I53"/>
      <c r="J53"/>
      <c r="K53"/>
      <c r="Q53" s="1033" t="s">
        <v>2023</v>
      </c>
    </row>
    <row r="54" spans="1:28">
      <c r="E54" s="625" t="s">
        <v>1628</v>
      </c>
      <c r="F54" s="625" t="s">
        <v>520</v>
      </c>
      <c r="G54" s="913" t="s">
        <v>1883</v>
      </c>
      <c r="I54" s="572"/>
    </row>
    <row r="55" spans="1:28">
      <c r="E55" s="555" t="s">
        <v>1682</v>
      </c>
      <c r="F55" s="573">
        <f>T5</f>
        <v>1200000</v>
      </c>
      <c r="G55" s="704">
        <f t="shared" ref="G55:G61" si="17">F55/100000</f>
        <v>12</v>
      </c>
      <c r="I55"/>
      <c r="Q55" s="1202" t="s">
        <v>1891</v>
      </c>
      <c r="R55" s="1203"/>
      <c r="S55" s="1201" t="s">
        <v>1889</v>
      </c>
      <c r="T55" s="1037"/>
      <c r="U55" s="1201" t="s">
        <v>1904</v>
      </c>
      <c r="V55" s="1037"/>
      <c r="W55" s="1036">
        <v>45332</v>
      </c>
      <c r="X55" s="1037"/>
      <c r="Y55" s="1036" t="s">
        <v>1958</v>
      </c>
      <c r="Z55" s="1037"/>
      <c r="AA55" s="1036">
        <v>45694</v>
      </c>
      <c r="AB55" s="1037"/>
    </row>
    <row r="56" spans="1:28">
      <c r="E56" s="626" t="s">
        <v>1623</v>
      </c>
      <c r="F56" s="573">
        <f>T13</f>
        <v>1250000</v>
      </c>
      <c r="G56" s="704">
        <f t="shared" si="17"/>
        <v>12.5</v>
      </c>
      <c r="H56" s="807"/>
      <c r="I56"/>
      <c r="O56" s="464"/>
      <c r="Q56" s="1063" t="s">
        <v>1887</v>
      </c>
      <c r="R56" s="1063"/>
      <c r="S56" s="1038">
        <v>7305000</v>
      </c>
      <c r="T56" s="1038"/>
      <c r="U56" s="1038">
        <v>7365000</v>
      </c>
      <c r="V56" s="1038"/>
      <c r="W56" s="1038">
        <v>7425000</v>
      </c>
      <c r="X56" s="1038"/>
      <c r="Y56" s="1038">
        <v>8415000</v>
      </c>
      <c r="Z56" s="1038"/>
      <c r="AA56" s="1038">
        <v>8615000</v>
      </c>
      <c r="AB56" s="1038"/>
    </row>
    <row r="57" spans="1:28">
      <c r="E57" s="626" t="s">
        <v>1603</v>
      </c>
      <c r="F57" s="573">
        <f>T22</f>
        <v>1550000</v>
      </c>
      <c r="G57" s="704">
        <f t="shared" si="17"/>
        <v>15.5</v>
      </c>
      <c r="I57"/>
      <c r="Q57" s="1063" t="s">
        <v>1888</v>
      </c>
      <c r="R57" s="1063"/>
      <c r="S57" s="1038">
        <v>8744155</v>
      </c>
      <c r="T57" s="1038"/>
      <c r="U57" s="1038">
        <v>8904873</v>
      </c>
      <c r="V57" s="1038"/>
      <c r="W57" s="1038">
        <v>9149626</v>
      </c>
      <c r="X57" s="1038"/>
      <c r="Y57" s="1038">
        <v>9183617</v>
      </c>
      <c r="Z57" s="1038"/>
      <c r="AA57" s="1038">
        <v>9979674</v>
      </c>
      <c r="AB57" s="1038"/>
    </row>
    <row r="58" spans="1:28">
      <c r="E58" s="626" t="s">
        <v>1624</v>
      </c>
      <c r="F58" s="573">
        <f>SUM(T28,T46:T49)</f>
        <v>1420000</v>
      </c>
      <c r="G58" s="704">
        <f t="shared" si="17"/>
        <v>14.2</v>
      </c>
      <c r="I58"/>
      <c r="Q58" s="1063" t="s">
        <v>1886</v>
      </c>
      <c r="R58" s="1063"/>
      <c r="S58" s="1039">
        <f>SUM(S57-S56)</f>
        <v>1439155</v>
      </c>
      <c r="T58" s="1039"/>
      <c r="U58" s="1039">
        <f>SUM(U57-U56)</f>
        <v>1539873</v>
      </c>
      <c r="V58" s="1039"/>
      <c r="W58" s="1039">
        <f>SUM(W57-W56)</f>
        <v>1724626</v>
      </c>
      <c r="X58" s="1039"/>
      <c r="Y58" s="1039">
        <f>SUM(Y57-Y56)</f>
        <v>768617</v>
      </c>
      <c r="Z58" s="1039"/>
      <c r="AA58" s="1039">
        <f>SUM(AA57-AA56)</f>
        <v>1364674</v>
      </c>
      <c r="AB58" s="1039"/>
    </row>
    <row r="59" spans="1:28">
      <c r="E59" s="626" t="s">
        <v>1625</v>
      </c>
      <c r="F59" s="573">
        <f>T41</f>
        <v>1000000</v>
      </c>
      <c r="G59" s="704">
        <f t="shared" si="17"/>
        <v>10</v>
      </c>
      <c r="I59"/>
      <c r="Q59" s="1062" t="s">
        <v>1890</v>
      </c>
      <c r="R59" s="1062"/>
      <c r="S59" s="1040">
        <f>ROUND(SUM(S58/S56*100),2)</f>
        <v>19.7</v>
      </c>
      <c r="T59" s="1040"/>
      <c r="U59" s="1040">
        <f>ROUND(SUM(U58/U56*100),2)</f>
        <v>20.91</v>
      </c>
      <c r="V59" s="1040"/>
      <c r="W59" s="1040">
        <f>ROUND(SUM(W58/W56*100),2)</f>
        <v>23.23</v>
      </c>
      <c r="X59" s="1040"/>
      <c r="Y59" s="1040">
        <f>ROUND(SUM(Y58/Y56*100),2)</f>
        <v>9.1300000000000008</v>
      </c>
      <c r="Z59" s="1040"/>
      <c r="AA59" s="1040">
        <f>ROUND(SUM(AA58/AA56*100),2)</f>
        <v>15.84</v>
      </c>
      <c r="AB59" s="1040"/>
    </row>
    <row r="60" spans="1:28">
      <c r="E60" s="626" t="s">
        <v>1680</v>
      </c>
      <c r="F60" s="573">
        <f>T34</f>
        <v>1700000</v>
      </c>
      <c r="G60" s="704">
        <f t="shared" si="17"/>
        <v>17</v>
      </c>
      <c r="I60"/>
    </row>
    <row r="61" spans="1:28">
      <c r="E61" s="626" t="s">
        <v>1597</v>
      </c>
      <c r="F61" s="573">
        <f>SUM(T43:T45)</f>
        <v>495000</v>
      </c>
      <c r="G61" s="704">
        <f t="shared" si="17"/>
        <v>4.95</v>
      </c>
      <c r="H61" s="807"/>
      <c r="I61" s="572"/>
    </row>
    <row r="62" spans="1:28">
      <c r="E62" s="628" t="s">
        <v>32</v>
      </c>
      <c r="F62" s="627">
        <f>SUM(F55:F61)</f>
        <v>8615000</v>
      </c>
      <c r="G62" s="705">
        <f>SUM(G55:G61)</f>
        <v>86.15</v>
      </c>
      <c r="H62" s="807"/>
      <c r="I62" s="572"/>
    </row>
    <row r="63" spans="1:28">
      <c r="I63"/>
    </row>
    <row r="64" spans="1:28">
      <c r="I64"/>
      <c r="R64"/>
      <c r="S64"/>
    </row>
    <row r="65" spans="5:19">
      <c r="E65" s="625" t="s">
        <v>1628</v>
      </c>
      <c r="F65" s="625" t="s">
        <v>520</v>
      </c>
      <c r="G65" s="913" t="s">
        <v>1883</v>
      </c>
      <c r="H65"/>
      <c r="I65"/>
      <c r="J65"/>
      <c r="K65"/>
      <c r="R65"/>
      <c r="S65"/>
    </row>
    <row r="66" spans="5:19">
      <c r="E66" s="555" t="s">
        <v>1873</v>
      </c>
      <c r="F66" s="573">
        <f>SUM(U2, T46)</f>
        <v>905000</v>
      </c>
      <c r="G66" s="704">
        <f>F66/100000</f>
        <v>9.0500000000000007</v>
      </c>
      <c r="H66"/>
      <c r="I66"/>
      <c r="J66"/>
      <c r="K66"/>
      <c r="R66"/>
      <c r="S66"/>
    </row>
    <row r="67" spans="5:19">
      <c r="E67" s="555" t="s">
        <v>1874</v>
      </c>
      <c r="F67" s="573">
        <f>SUM(U4,U29)</f>
        <v>1350000</v>
      </c>
      <c r="G67" s="704">
        <f t="shared" ref="G67:G75" si="18">F67/100000</f>
        <v>13.5</v>
      </c>
      <c r="H67"/>
      <c r="I67"/>
      <c r="J67"/>
      <c r="K67"/>
      <c r="R67"/>
      <c r="S67"/>
    </row>
    <row r="68" spans="5:19">
      <c r="E68" s="555" t="s">
        <v>1875</v>
      </c>
      <c r="F68" s="573">
        <f>SUM(U6,U20,U23,U32,U40,T45, T47)</f>
        <v>3230000</v>
      </c>
      <c r="G68" s="704">
        <f t="shared" si="18"/>
        <v>32.299999999999997</v>
      </c>
      <c r="H68"/>
      <c r="I68"/>
      <c r="J68"/>
      <c r="K68"/>
      <c r="R68"/>
      <c r="S68"/>
    </row>
    <row r="69" spans="5:19">
      <c r="E69" s="555" t="s">
        <v>1876</v>
      </c>
      <c r="F69" s="573">
        <f>SUM(U9,U14)</f>
        <v>1550000</v>
      </c>
      <c r="G69" s="704">
        <f t="shared" si="18"/>
        <v>15.5</v>
      </c>
      <c r="H69"/>
      <c r="I69"/>
      <c r="J69"/>
      <c r="K69"/>
      <c r="R69"/>
      <c r="S69"/>
    </row>
    <row r="70" spans="5:19">
      <c r="E70" s="555" t="s">
        <v>1877</v>
      </c>
      <c r="F70" s="573">
        <f>SUM(U25)</f>
        <v>200000</v>
      </c>
      <c r="G70" s="704">
        <f t="shared" si="18"/>
        <v>2</v>
      </c>
      <c r="H70"/>
      <c r="I70"/>
      <c r="J70"/>
      <c r="K70"/>
      <c r="R70"/>
      <c r="S70"/>
    </row>
    <row r="71" spans="5:19">
      <c r="E71" s="555" t="s">
        <v>1878</v>
      </c>
      <c r="F71" s="573">
        <f>SUM(U35)</f>
        <v>750000</v>
      </c>
      <c r="G71" s="704">
        <f t="shared" si="18"/>
        <v>7.5</v>
      </c>
      <c r="H71"/>
      <c r="I71"/>
      <c r="J71"/>
      <c r="K71"/>
      <c r="R71"/>
      <c r="S71"/>
    </row>
    <row r="72" spans="5:19">
      <c r="E72" s="555" t="s">
        <v>1879</v>
      </c>
      <c r="F72" s="573">
        <f>SUM(T43)</f>
        <v>175000</v>
      </c>
      <c r="G72" s="704">
        <f t="shared" si="18"/>
        <v>1.75</v>
      </c>
    </row>
    <row r="73" spans="5:19">
      <c r="E73" s="555" t="s">
        <v>1880</v>
      </c>
      <c r="F73" s="573">
        <f>SUM(T44)</f>
        <v>170000</v>
      </c>
      <c r="G73" s="704">
        <f t="shared" si="18"/>
        <v>1.7</v>
      </c>
    </row>
    <row r="74" spans="5:19">
      <c r="E74" s="555" t="s">
        <v>1881</v>
      </c>
      <c r="F74" s="573">
        <f>SUM(T48)</f>
        <v>180000</v>
      </c>
      <c r="G74" s="704">
        <f t="shared" si="18"/>
        <v>1.8</v>
      </c>
    </row>
    <row r="75" spans="5:19">
      <c r="E75" s="555" t="s">
        <v>1882</v>
      </c>
      <c r="F75" s="573">
        <f>SUM(T49)</f>
        <v>105000</v>
      </c>
      <c r="G75" s="704">
        <f t="shared" si="18"/>
        <v>1.05</v>
      </c>
    </row>
    <row r="76" spans="5:19">
      <c r="E76" s="628" t="s">
        <v>32</v>
      </c>
      <c r="F76" s="627">
        <f>SUM(F66:F75)</f>
        <v>8615000</v>
      </c>
      <c r="G76" s="705">
        <f>SUM(G66:G75)</f>
        <v>86.149999999999991</v>
      </c>
    </row>
  </sheetData>
  <autoFilter ref="A1:Z76" xr:uid="{00000000-0001-0000-0500-000000000000}"/>
  <mergeCells count="187">
    <mergeCell ref="Y55:Z55"/>
    <mergeCell ref="Y56:Z56"/>
    <mergeCell ref="Y57:Z57"/>
    <mergeCell ref="Y58:Z58"/>
    <mergeCell ref="Y59:Z59"/>
    <mergeCell ref="U32:U33"/>
    <mergeCell ref="V35:V39"/>
    <mergeCell ref="M6:M8"/>
    <mergeCell ref="N6:N8"/>
    <mergeCell ref="O6:O8"/>
    <mergeCell ref="V14:V19"/>
    <mergeCell ref="V9:V12"/>
    <mergeCell ref="P9:P12"/>
    <mergeCell ref="P14:P19"/>
    <mergeCell ref="W55:X55"/>
    <mergeCell ref="W56:X56"/>
    <mergeCell ref="W57:X57"/>
    <mergeCell ref="W58:X58"/>
    <mergeCell ref="W59:X59"/>
    <mergeCell ref="S55:T55"/>
    <mergeCell ref="Q55:R55"/>
    <mergeCell ref="U55:V55"/>
    <mergeCell ref="U56:V56"/>
    <mergeCell ref="U57:V57"/>
    <mergeCell ref="O35:O39"/>
    <mergeCell ref="V23:V24"/>
    <mergeCell ref="V29:V31"/>
    <mergeCell ref="V32:V33"/>
    <mergeCell ref="O32:O33"/>
    <mergeCell ref="O29:O31"/>
    <mergeCell ref="L25:L27"/>
    <mergeCell ref="M25:M27"/>
    <mergeCell ref="N25:N27"/>
    <mergeCell ref="O25:O27"/>
    <mergeCell ref="P25:P27"/>
    <mergeCell ref="U25:U27"/>
    <mergeCell ref="V25:V27"/>
    <mergeCell ref="G35:G39"/>
    <mergeCell ref="H35:H39"/>
    <mergeCell ref="I35:I39"/>
    <mergeCell ref="J35:J39"/>
    <mergeCell ref="K35:K39"/>
    <mergeCell ref="L29:L31"/>
    <mergeCell ref="L32:L33"/>
    <mergeCell ref="M32:M33"/>
    <mergeCell ref="N32:N33"/>
    <mergeCell ref="N29:N31"/>
    <mergeCell ref="M29:M31"/>
    <mergeCell ref="I29:I31"/>
    <mergeCell ref="I32:I33"/>
    <mergeCell ref="J29:J31"/>
    <mergeCell ref="J32:J33"/>
    <mergeCell ref="K29:K31"/>
    <mergeCell ref="K32:K33"/>
    <mergeCell ref="L35:L39"/>
    <mergeCell ref="M35:M39"/>
    <mergeCell ref="N35:N39"/>
    <mergeCell ref="F29:F31"/>
    <mergeCell ref="F32:F33"/>
    <mergeCell ref="G29:G31"/>
    <mergeCell ref="G32:G33"/>
    <mergeCell ref="H29:H31"/>
    <mergeCell ref="H32:H33"/>
    <mergeCell ref="P20:P21"/>
    <mergeCell ref="V20:V21"/>
    <mergeCell ref="U20:U21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F20:F21"/>
    <mergeCell ref="L20:L21"/>
    <mergeCell ref="M20:M21"/>
    <mergeCell ref="N20:N21"/>
    <mergeCell ref="O20:O21"/>
    <mergeCell ref="U29:U31"/>
    <mergeCell ref="J6:J8"/>
    <mergeCell ref="J9:J12"/>
    <mergeCell ref="O14:O19"/>
    <mergeCell ref="O9:O12"/>
    <mergeCell ref="M14:M19"/>
    <mergeCell ref="M9:M12"/>
    <mergeCell ref="N9:N12"/>
    <mergeCell ref="L6:L8"/>
    <mergeCell ref="B6:B8"/>
    <mergeCell ref="B9:B12"/>
    <mergeCell ref="B14:B19"/>
    <mergeCell ref="F14:F19"/>
    <mergeCell ref="I6:I8"/>
    <mergeCell ref="I9:I12"/>
    <mergeCell ref="F6:F8"/>
    <mergeCell ref="F9:F12"/>
    <mergeCell ref="G9:G12"/>
    <mergeCell ref="G6:G8"/>
    <mergeCell ref="H6:H8"/>
    <mergeCell ref="H9:H12"/>
    <mergeCell ref="G14:G19"/>
    <mergeCell ref="H14:H19"/>
    <mergeCell ref="I14:I19"/>
    <mergeCell ref="K14:K19"/>
    <mergeCell ref="J2:J3"/>
    <mergeCell ref="B2:B3"/>
    <mergeCell ref="F2:F3"/>
    <mergeCell ref="G2:G3"/>
    <mergeCell ref="H2:H3"/>
    <mergeCell ref="I2:I3"/>
    <mergeCell ref="C2:C3"/>
    <mergeCell ref="D2:D3"/>
    <mergeCell ref="U35:U39"/>
    <mergeCell ref="U23:U24"/>
    <mergeCell ref="U14:U19"/>
    <mergeCell ref="U9:U12"/>
    <mergeCell ref="B23:B24"/>
    <mergeCell ref="B35:B39"/>
    <mergeCell ref="C9:C12"/>
    <mergeCell ref="D9:D12"/>
    <mergeCell ref="P35:P39"/>
    <mergeCell ref="P23:P24"/>
    <mergeCell ref="F23:F24"/>
    <mergeCell ref="F35:F39"/>
    <mergeCell ref="L9:L12"/>
    <mergeCell ref="L14:L19"/>
    <mergeCell ref="K9:K12"/>
    <mergeCell ref="J14:J19"/>
    <mergeCell ref="M2:M3"/>
    <mergeCell ref="N2:N3"/>
    <mergeCell ref="O2:O3"/>
    <mergeCell ref="V6:V8"/>
    <mergeCell ref="U2:U3"/>
    <mergeCell ref="P2:P3"/>
    <mergeCell ref="U6:U8"/>
    <mergeCell ref="K6:K8"/>
    <mergeCell ref="P6:P8"/>
    <mergeCell ref="V2:V3"/>
    <mergeCell ref="A2:A4"/>
    <mergeCell ref="A6:A12"/>
    <mergeCell ref="A23:A27"/>
    <mergeCell ref="A29:A33"/>
    <mergeCell ref="A35:A40"/>
    <mergeCell ref="A14:A21"/>
    <mergeCell ref="P29:P31"/>
    <mergeCell ref="P32:P33"/>
    <mergeCell ref="B20:B21"/>
    <mergeCell ref="B29:B31"/>
    <mergeCell ref="C29:C31"/>
    <mergeCell ref="D29:D31"/>
    <mergeCell ref="B32:B33"/>
    <mergeCell ref="C32:C33"/>
    <mergeCell ref="D32:D33"/>
    <mergeCell ref="C20:C21"/>
    <mergeCell ref="D20:D21"/>
    <mergeCell ref="G20:G21"/>
    <mergeCell ref="H20:H21"/>
    <mergeCell ref="I20:I21"/>
    <mergeCell ref="J20:J21"/>
    <mergeCell ref="K20:K21"/>
    <mergeCell ref="K2:K3"/>
    <mergeCell ref="L2:L3"/>
    <mergeCell ref="AA55:AB55"/>
    <mergeCell ref="AA56:AB56"/>
    <mergeCell ref="AA57:AB57"/>
    <mergeCell ref="AA58:AB58"/>
    <mergeCell ref="AA59:AB59"/>
    <mergeCell ref="B25:B27"/>
    <mergeCell ref="C25:C27"/>
    <mergeCell ref="D25:D27"/>
    <mergeCell ref="F25:F27"/>
    <mergeCell ref="G25:G27"/>
    <mergeCell ref="H25:H27"/>
    <mergeCell ref="I25:I27"/>
    <mergeCell ref="J25:J27"/>
    <mergeCell ref="K25:K27"/>
    <mergeCell ref="U58:V58"/>
    <mergeCell ref="Q59:R59"/>
    <mergeCell ref="U59:V59"/>
    <mergeCell ref="S59:T59"/>
    <mergeCell ref="Q56:R56"/>
    <mergeCell ref="Q57:R57"/>
    <mergeCell ref="S57:T57"/>
    <mergeCell ref="Q58:R58"/>
    <mergeCell ref="S56:T56"/>
    <mergeCell ref="S58:T58"/>
  </mergeCells>
  <conditionalFormatting sqref="R2:R4">
    <cfRule type="cellIs" dxfId="17" priority="1" operator="greaterThan">
      <formula>365</formula>
    </cfRule>
    <cfRule type="cellIs" dxfId="16" priority="2" operator="lessThan">
      <formula>365</formula>
    </cfRule>
  </conditionalFormatting>
  <conditionalFormatting sqref="R6:R12">
    <cfRule type="cellIs" dxfId="15" priority="65" operator="greaterThan">
      <formula>365</formula>
    </cfRule>
    <cfRule type="cellIs" dxfId="14" priority="66" operator="lessThan">
      <formula>365</formula>
    </cfRule>
  </conditionalFormatting>
  <conditionalFormatting sqref="R14:R21">
    <cfRule type="cellIs" dxfId="13" priority="49" operator="greaterThan">
      <formula>365</formula>
    </cfRule>
    <cfRule type="cellIs" dxfId="12" priority="50" operator="lessThan">
      <formula>365</formula>
    </cfRule>
  </conditionalFormatting>
  <conditionalFormatting sqref="R23:R27">
    <cfRule type="cellIs" dxfId="11" priority="41" operator="greaterThan">
      <formula>365</formula>
    </cfRule>
    <cfRule type="cellIs" dxfId="10" priority="42" operator="lessThan">
      <formula>365</formula>
    </cfRule>
  </conditionalFormatting>
  <conditionalFormatting sqref="R29:R33">
    <cfRule type="cellIs" dxfId="9" priority="31" operator="greaterThan">
      <formula>365</formula>
    </cfRule>
    <cfRule type="cellIs" dxfId="8" priority="32" operator="lessThan">
      <formula>365</formula>
    </cfRule>
  </conditionalFormatting>
  <conditionalFormatting sqref="R35:R40">
    <cfRule type="cellIs" dxfId="7" priority="21" operator="greaterThan">
      <formula>365</formula>
    </cfRule>
    <cfRule type="cellIs" dxfId="6" priority="22" operator="lessThan">
      <formula>365</formula>
    </cfRule>
  </conditionalFormatting>
  <conditionalFormatting sqref="R43:R49">
    <cfRule type="cellIs" dxfId="5" priority="7" operator="greaterThan">
      <formula>365</formula>
    </cfRule>
    <cfRule type="cellIs" dxfId="4" priority="8" operator="lessThan">
      <formula>365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0"/>
  <sheetViews>
    <sheetView topLeftCell="A9" zoomScale="99" workbookViewId="0">
      <selection activeCell="G19" sqref="G19"/>
    </sheetView>
  </sheetViews>
  <sheetFormatPr defaultRowHeight="13.3"/>
  <cols>
    <col min="4" max="4" width="57" bestFit="1" customWidth="1"/>
    <col min="5" max="5" width="12.77734375" bestFit="1" customWidth="1"/>
    <col min="6" max="7" width="9" bestFit="1" customWidth="1"/>
    <col min="8" max="8" width="10" bestFit="1" customWidth="1"/>
    <col min="9" max="9" width="9" bestFit="1" customWidth="1"/>
    <col min="11" max="11" width="9" bestFit="1" customWidth="1"/>
    <col min="13" max="13" width="9" bestFit="1" customWidth="1"/>
    <col min="14" max="14" width="13.21875" bestFit="1" customWidth="1"/>
    <col min="15" max="15" width="11.21875" bestFit="1" customWidth="1"/>
    <col min="16" max="17" width="9" bestFit="1" customWidth="1"/>
    <col min="18" max="18" width="12.77734375" bestFit="1" customWidth="1"/>
    <col min="19" max="19" width="12.77734375" style="483" bestFit="1" customWidth="1"/>
    <col min="20" max="20" width="9" bestFit="1" customWidth="1"/>
    <col min="21" max="21" width="11.44140625" bestFit="1" customWidth="1"/>
    <col min="22" max="22" width="10.33203125" customWidth="1"/>
  </cols>
  <sheetData>
    <row r="1" spans="1:22" ht="39.9">
      <c r="A1" s="579" t="s">
        <v>1574</v>
      </c>
      <c r="B1" s="580" t="s">
        <v>1621</v>
      </c>
      <c r="C1" s="580" t="s">
        <v>1620</v>
      </c>
      <c r="D1" s="907" t="s">
        <v>1571</v>
      </c>
      <c r="E1" s="579" t="s">
        <v>1583</v>
      </c>
      <c r="F1" s="582" t="s">
        <v>1599</v>
      </c>
      <c r="G1" s="583" t="s">
        <v>1605</v>
      </c>
      <c r="H1" s="584" t="s">
        <v>1588</v>
      </c>
      <c r="I1" s="579" t="s">
        <v>1607</v>
      </c>
      <c r="J1" s="579" t="s">
        <v>1584</v>
      </c>
      <c r="K1" s="585" t="s">
        <v>1604</v>
      </c>
      <c r="L1" s="581" t="s">
        <v>1609</v>
      </c>
      <c r="M1" s="584" t="s">
        <v>1592</v>
      </c>
      <c r="N1" s="585" t="s">
        <v>1573</v>
      </c>
      <c r="O1" s="586" t="s">
        <v>1572</v>
      </c>
      <c r="P1" s="587" t="s">
        <v>1608</v>
      </c>
      <c r="Q1" s="587" t="s">
        <v>1627</v>
      </c>
      <c r="R1" s="582" t="s">
        <v>1589</v>
      </c>
      <c r="S1" s="878" t="s">
        <v>1663</v>
      </c>
      <c r="T1" s="582" t="s">
        <v>1593</v>
      </c>
      <c r="U1" s="582" t="s">
        <v>1636</v>
      </c>
      <c r="V1" s="635" t="s">
        <v>1629</v>
      </c>
    </row>
    <row r="2" spans="1:22">
      <c r="A2" s="1210">
        <v>1</v>
      </c>
      <c r="B2" s="1212"/>
      <c r="C2" s="1222"/>
      <c r="D2" s="909" t="s">
        <v>1864</v>
      </c>
      <c r="E2" s="1224" t="s">
        <v>1664</v>
      </c>
      <c r="F2" s="1214">
        <v>44425</v>
      </c>
      <c r="G2" s="1216">
        <v>1.01</v>
      </c>
      <c r="H2" s="1218" t="s">
        <v>1594</v>
      </c>
      <c r="I2" s="1210">
        <v>0</v>
      </c>
      <c r="J2" s="1210" t="s">
        <v>1610</v>
      </c>
      <c r="K2" s="1228"/>
      <c r="L2" s="1253"/>
      <c r="M2" s="1255"/>
      <c r="N2" s="1251">
        <v>30936587</v>
      </c>
      <c r="O2" s="558">
        <v>45311</v>
      </c>
      <c r="P2" s="809">
        <f ca="1">DAYS360(O2,TODAY())</f>
        <v>582</v>
      </c>
      <c r="Q2" s="630">
        <f t="shared" ref="Q2:Q11" ca="1" si="0">P2/365</f>
        <v>1.5945205479452054</v>
      </c>
      <c r="R2" s="979">
        <v>175000</v>
      </c>
      <c r="S2" s="1245">
        <f>SUM(R2:R3)</f>
        <v>500000</v>
      </c>
      <c r="T2" s="980"/>
      <c r="U2" s="979">
        <f t="shared" ref="U2:U9" ca="1" si="1">ROUND((R2*7%)/365 * P2,0)</f>
        <v>19533</v>
      </c>
      <c r="V2" s="981">
        <f t="shared" ref="V2:V11" ca="1" si="2">((S2/R2)^(1/Q2)-1)*100</f>
        <v>93.168677984920677</v>
      </c>
    </row>
    <row r="3" spans="1:22">
      <c r="A3" s="1211"/>
      <c r="B3" s="1213"/>
      <c r="C3" s="1223"/>
      <c r="D3" s="909" t="s">
        <v>1863</v>
      </c>
      <c r="E3" s="1225"/>
      <c r="F3" s="1215"/>
      <c r="G3" s="1217"/>
      <c r="H3" s="1219"/>
      <c r="I3" s="1211"/>
      <c r="J3" s="1211"/>
      <c r="K3" s="1229"/>
      <c r="L3" s="1254"/>
      <c r="M3" s="1256"/>
      <c r="N3" s="1252"/>
      <c r="O3" s="558">
        <v>45483</v>
      </c>
      <c r="P3" s="809">
        <f t="shared" ref="P3:P11" ca="1" si="3">DAYS360(O3,TODAY())</f>
        <v>412</v>
      </c>
      <c r="Q3" s="630">
        <f t="shared" ca="1" si="0"/>
        <v>1.1287671232876713</v>
      </c>
      <c r="R3" s="979">
        <v>325000</v>
      </c>
      <c r="S3" s="1246"/>
      <c r="T3" s="980"/>
      <c r="U3" s="979">
        <f t="shared" ca="1" si="1"/>
        <v>25679</v>
      </c>
      <c r="V3" s="981"/>
    </row>
    <row r="4" spans="1:22">
      <c r="A4" s="1204">
        <v>2</v>
      </c>
      <c r="B4" s="1226"/>
      <c r="C4" s="1226"/>
      <c r="D4" s="908" t="s">
        <v>1862</v>
      </c>
      <c r="E4" s="1204" t="s">
        <v>1664</v>
      </c>
      <c r="F4" s="1230">
        <v>20218</v>
      </c>
      <c r="G4" s="1232">
        <v>0.82</v>
      </c>
      <c r="H4" s="1220" t="s">
        <v>1681</v>
      </c>
      <c r="I4" s="1204">
        <v>0</v>
      </c>
      <c r="J4" s="1204" t="s">
        <v>1610</v>
      </c>
      <c r="K4" s="1261"/>
      <c r="L4" s="1263"/>
      <c r="M4" s="1267"/>
      <c r="N4" s="1234">
        <v>477318016496</v>
      </c>
      <c r="O4" s="677">
        <v>45326</v>
      </c>
      <c r="P4" s="809">
        <f t="shared" ca="1" si="3"/>
        <v>568</v>
      </c>
      <c r="Q4" s="678">
        <f t="shared" ca="1" si="0"/>
        <v>1.5561643835616439</v>
      </c>
      <c r="R4" s="665">
        <v>500000</v>
      </c>
      <c r="S4" s="1247">
        <f>SUM(R4:R5)</f>
        <v>800000</v>
      </c>
      <c r="T4" s="698"/>
      <c r="U4" s="665">
        <f t="shared" ca="1" si="1"/>
        <v>54466</v>
      </c>
      <c r="V4" s="663">
        <f t="shared" ca="1" si="2"/>
        <v>35.259771938627857</v>
      </c>
    </row>
    <row r="5" spans="1:22">
      <c r="A5" s="1205"/>
      <c r="B5" s="1227"/>
      <c r="C5" s="1227"/>
      <c r="D5" s="664" t="s">
        <v>1861</v>
      </c>
      <c r="E5" s="1205"/>
      <c r="F5" s="1231"/>
      <c r="G5" s="1233"/>
      <c r="H5" s="1221"/>
      <c r="I5" s="1205"/>
      <c r="J5" s="1205"/>
      <c r="K5" s="1262"/>
      <c r="L5" s="1264"/>
      <c r="M5" s="1268"/>
      <c r="N5" s="1235"/>
      <c r="O5" s="677">
        <v>45483</v>
      </c>
      <c r="P5" s="809">
        <f t="shared" ca="1" si="3"/>
        <v>412</v>
      </c>
      <c r="Q5" s="678">
        <f t="shared" ca="1" si="0"/>
        <v>1.1287671232876713</v>
      </c>
      <c r="R5" s="665">
        <v>300000</v>
      </c>
      <c r="S5" s="1248"/>
      <c r="T5" s="698"/>
      <c r="U5" s="665">
        <f t="shared" ca="1" si="1"/>
        <v>23704</v>
      </c>
      <c r="V5" s="663"/>
    </row>
    <row r="6" spans="1:22">
      <c r="A6" s="1210">
        <v>3</v>
      </c>
      <c r="B6" s="1212"/>
      <c r="C6" s="1212"/>
      <c r="D6" s="1028" t="s">
        <v>1866</v>
      </c>
      <c r="E6" s="1210" t="s">
        <v>1680</v>
      </c>
      <c r="F6" s="1214">
        <v>1322</v>
      </c>
      <c r="G6" s="1216">
        <v>0.77</v>
      </c>
      <c r="H6" s="1218" t="s">
        <v>1683</v>
      </c>
      <c r="I6" s="1210">
        <v>0</v>
      </c>
      <c r="J6" s="1210" t="s">
        <v>1610</v>
      </c>
      <c r="K6" s="1228"/>
      <c r="L6" s="1253"/>
      <c r="M6" s="1255"/>
      <c r="N6" s="1251">
        <v>510536477524</v>
      </c>
      <c r="O6" s="1029">
        <v>45326</v>
      </c>
      <c r="P6" s="1030">
        <f t="shared" ca="1" si="3"/>
        <v>568</v>
      </c>
      <c r="Q6" s="1031">
        <f t="shared" ca="1" si="0"/>
        <v>1.5561643835616439</v>
      </c>
      <c r="R6" s="1032">
        <v>500000</v>
      </c>
      <c r="S6" s="1249">
        <f>SUM(R7)</f>
        <v>300000</v>
      </c>
      <c r="T6" s="980"/>
      <c r="U6" s="1032">
        <f t="shared" ca="1" si="1"/>
        <v>54466</v>
      </c>
      <c r="V6" s="981">
        <f t="shared" ca="1" si="2"/>
        <v>-27.982383531272383</v>
      </c>
    </row>
    <row r="7" spans="1:22">
      <c r="A7" s="1211"/>
      <c r="B7" s="1213"/>
      <c r="C7" s="1213"/>
      <c r="D7" s="909" t="s">
        <v>1865</v>
      </c>
      <c r="E7" s="1211"/>
      <c r="F7" s="1215"/>
      <c r="G7" s="1217"/>
      <c r="H7" s="1219"/>
      <c r="I7" s="1211"/>
      <c r="J7" s="1211"/>
      <c r="K7" s="1229"/>
      <c r="L7" s="1254"/>
      <c r="M7" s="1256"/>
      <c r="N7" s="1252"/>
      <c r="O7" s="558">
        <v>45483</v>
      </c>
      <c r="P7" s="809">
        <f t="shared" ca="1" si="3"/>
        <v>412</v>
      </c>
      <c r="Q7" s="630">
        <f t="shared" ca="1" si="0"/>
        <v>1.1287671232876713</v>
      </c>
      <c r="R7" s="979">
        <v>300000</v>
      </c>
      <c r="S7" s="1250"/>
      <c r="T7" s="980"/>
      <c r="U7" s="979">
        <f t="shared" ca="1" si="1"/>
        <v>23704</v>
      </c>
      <c r="V7" s="981"/>
    </row>
    <row r="8" spans="1:22">
      <c r="A8" s="1204">
        <v>4</v>
      </c>
      <c r="B8" s="1226"/>
      <c r="C8" s="1226"/>
      <c r="D8" s="664" t="s">
        <v>1920</v>
      </c>
      <c r="E8" s="1204" t="s">
        <v>1639</v>
      </c>
      <c r="F8" s="1230">
        <v>52007</v>
      </c>
      <c r="G8" s="1232">
        <v>0.6</v>
      </c>
      <c r="H8" s="1220" t="s">
        <v>1684</v>
      </c>
      <c r="I8" s="1204">
        <v>0</v>
      </c>
      <c r="J8" s="1204" t="s">
        <v>1610</v>
      </c>
      <c r="K8" s="1236"/>
      <c r="L8" s="1238"/>
      <c r="M8" s="1265"/>
      <c r="N8" s="1234">
        <v>1448891</v>
      </c>
      <c r="O8" s="677">
        <v>45326</v>
      </c>
      <c r="P8" s="809">
        <f t="shared" ca="1" si="3"/>
        <v>568</v>
      </c>
      <c r="Q8" s="678">
        <f t="shared" ca="1" si="0"/>
        <v>1.5561643835616439</v>
      </c>
      <c r="R8" s="665">
        <v>450000</v>
      </c>
      <c r="S8" s="1247">
        <f>SUM(R8,R9)</f>
        <v>640000</v>
      </c>
      <c r="T8" s="698"/>
      <c r="U8" s="665">
        <f t="shared" ca="1" si="1"/>
        <v>49019</v>
      </c>
      <c r="V8" s="663">
        <f t="shared" ca="1" si="2"/>
        <v>25.400062144638991</v>
      </c>
    </row>
    <row r="9" spans="1:22">
      <c r="A9" s="1205"/>
      <c r="B9" s="1227"/>
      <c r="C9" s="1227"/>
      <c r="D9" s="664" t="s">
        <v>1920</v>
      </c>
      <c r="E9" s="1205"/>
      <c r="F9" s="1231"/>
      <c r="G9" s="1233"/>
      <c r="H9" s="1221"/>
      <c r="I9" s="1205"/>
      <c r="J9" s="1205"/>
      <c r="K9" s="1237"/>
      <c r="L9" s="1239"/>
      <c r="M9" s="1266"/>
      <c r="N9" s="1235"/>
      <c r="O9" s="677">
        <v>45549</v>
      </c>
      <c r="P9" s="809">
        <f t="shared" ca="1" si="3"/>
        <v>348</v>
      </c>
      <c r="Q9" s="678">
        <f t="shared" ca="1" si="0"/>
        <v>0.95342465753424654</v>
      </c>
      <c r="R9" s="665">
        <v>190000</v>
      </c>
      <c r="S9" s="1248"/>
      <c r="T9" s="698"/>
      <c r="U9" s="665">
        <f t="shared" ca="1" si="1"/>
        <v>12681</v>
      </c>
      <c r="V9" s="663"/>
    </row>
    <row r="10" spans="1:22">
      <c r="A10" s="1210">
        <v>5</v>
      </c>
      <c r="B10" s="1212"/>
      <c r="C10" s="1212"/>
      <c r="D10" s="910" t="s">
        <v>1784</v>
      </c>
      <c r="E10" s="1210" t="s">
        <v>1581</v>
      </c>
      <c r="F10" s="1214">
        <v>4222</v>
      </c>
      <c r="G10" s="1216">
        <v>0.76</v>
      </c>
      <c r="H10" s="1218" t="s">
        <v>1683</v>
      </c>
      <c r="I10" s="1210">
        <v>0</v>
      </c>
      <c r="J10" s="1210" t="s">
        <v>1610</v>
      </c>
      <c r="K10" s="1240"/>
      <c r="L10" s="1257"/>
      <c r="M10" s="1259"/>
      <c r="N10" s="1251">
        <v>51054349325</v>
      </c>
      <c r="O10" s="558">
        <v>45328</v>
      </c>
      <c r="P10" s="809">
        <f t="shared" ca="1" si="3"/>
        <v>566</v>
      </c>
      <c r="Q10" s="630">
        <f t="shared" ca="1" si="0"/>
        <v>1.5506849315068494</v>
      </c>
      <c r="R10" s="982">
        <v>300000</v>
      </c>
      <c r="S10" s="1249">
        <f>SUM(R10:R11)</f>
        <v>450000</v>
      </c>
      <c r="T10" s="980"/>
      <c r="U10" s="979">
        <f t="shared" ref="U10" ca="1" si="4">ROUND((R10*6.5%)/365 * P10,0)</f>
        <v>30238</v>
      </c>
      <c r="V10" s="981">
        <f t="shared" ca="1" si="2"/>
        <v>29.884427375776411</v>
      </c>
    </row>
    <row r="11" spans="1:22">
      <c r="A11" s="1211"/>
      <c r="B11" s="1213"/>
      <c r="C11" s="1213"/>
      <c r="D11" s="910" t="s">
        <v>1785</v>
      </c>
      <c r="E11" s="1211"/>
      <c r="F11" s="1215"/>
      <c r="G11" s="1217"/>
      <c r="H11" s="1219"/>
      <c r="I11" s="1211"/>
      <c r="J11" s="1211"/>
      <c r="K11" s="1241"/>
      <c r="L11" s="1258"/>
      <c r="M11" s="1260"/>
      <c r="N11" s="1252"/>
      <c r="O11" s="558">
        <v>45427</v>
      </c>
      <c r="P11" s="809">
        <f t="shared" ca="1" si="3"/>
        <v>467</v>
      </c>
      <c r="Q11" s="630">
        <f t="shared" ca="1" si="0"/>
        <v>1.2794520547945205</v>
      </c>
      <c r="R11" s="982">
        <v>150000</v>
      </c>
      <c r="S11" s="1250"/>
      <c r="T11" s="980"/>
      <c r="U11" s="979">
        <f ca="1">ROUND((R11*7%)/365 * P11,0)</f>
        <v>13434</v>
      </c>
      <c r="V11" s="981">
        <f t="shared" ca="1" si="2"/>
        <v>-100</v>
      </c>
    </row>
    <row r="12" spans="1:22">
      <c r="A12" s="676"/>
      <c r="B12" s="667"/>
      <c r="C12" s="667"/>
      <c r="D12" s="666" t="s">
        <v>1612</v>
      </c>
      <c r="E12" s="666"/>
      <c r="F12" s="669"/>
      <c r="G12" s="670"/>
      <c r="H12" s="671"/>
      <c r="I12" s="676"/>
      <c r="J12" s="666"/>
      <c r="K12" s="672"/>
      <c r="L12" s="668"/>
      <c r="M12" s="671"/>
      <c r="N12" s="672"/>
      <c r="O12" s="673"/>
      <c r="P12" s="674"/>
      <c r="Q12" s="674"/>
      <c r="R12" s="679">
        <f>SUM(R2:R5, R7:R11)</f>
        <v>2690000</v>
      </c>
      <c r="S12" s="879">
        <f>SUM(S2:S11)</f>
        <v>2690000</v>
      </c>
      <c r="T12" s="669"/>
      <c r="U12" s="679">
        <f ca="1">SUM(U2:U5, U7:U11)</f>
        <v>252458</v>
      </c>
      <c r="V12" s="675"/>
    </row>
    <row r="13" spans="1:22">
      <c r="A13" s="658">
        <v>1</v>
      </c>
      <c r="B13" s="577"/>
      <c r="C13" s="577"/>
      <c r="D13" s="559" t="s">
        <v>1618</v>
      </c>
      <c r="E13" s="559" t="s">
        <v>1579</v>
      </c>
      <c r="F13" s="568">
        <v>41019</v>
      </c>
      <c r="G13" s="564">
        <v>0.69</v>
      </c>
      <c r="H13" s="560" t="s">
        <v>1595</v>
      </c>
      <c r="I13" s="658">
        <v>0</v>
      </c>
      <c r="J13" s="930" t="s">
        <v>1576</v>
      </c>
      <c r="K13" s="850">
        <v>7000</v>
      </c>
      <c r="L13" s="850" t="s">
        <v>1666</v>
      </c>
      <c r="M13" s="851">
        <f>DATEDIF(O13, DATE(2025,2,1), "m")+1</f>
        <v>13</v>
      </c>
      <c r="N13" s="563">
        <v>477314434643</v>
      </c>
      <c r="O13" s="558">
        <v>45298</v>
      </c>
      <c r="P13" s="809">
        <f t="shared" ref="P13:P16" ca="1" si="5">DAYS360(O13,TODAY())</f>
        <v>595</v>
      </c>
      <c r="Q13" s="630">
        <f ca="1">ROUND(P13/365,1)</f>
        <v>1.6</v>
      </c>
      <c r="R13" s="574">
        <f>K13* M13</f>
        <v>91000</v>
      </c>
      <c r="S13" s="880">
        <f>R13</f>
        <v>91000</v>
      </c>
      <c r="T13" s="574"/>
      <c r="U13" s="688">
        <f ca="1">ROUND((R13*7%)/365 * P13,0)</f>
        <v>10384</v>
      </c>
      <c r="V13" s="574"/>
    </row>
    <row r="14" spans="1:22">
      <c r="A14" s="658">
        <v>2</v>
      </c>
      <c r="B14" s="577"/>
      <c r="C14" s="577"/>
      <c r="D14" s="559" t="s">
        <v>1619</v>
      </c>
      <c r="E14" s="559" t="s">
        <v>1579</v>
      </c>
      <c r="F14" s="568">
        <v>11207</v>
      </c>
      <c r="G14" s="564">
        <v>0.77</v>
      </c>
      <c r="H14" s="560" t="s">
        <v>1594</v>
      </c>
      <c r="I14" s="658">
        <v>0</v>
      </c>
      <c r="J14" s="930" t="s">
        <v>1576</v>
      </c>
      <c r="K14" s="850">
        <v>7000</v>
      </c>
      <c r="L14" s="850" t="s">
        <v>1666</v>
      </c>
      <c r="M14" s="851">
        <f>DATEDIF(O14, DATE(2025,2,1), "m")+1</f>
        <v>13</v>
      </c>
      <c r="N14" s="562">
        <v>51050672641</v>
      </c>
      <c r="O14" s="558">
        <v>45298</v>
      </c>
      <c r="P14" s="809">
        <f t="shared" ca="1" si="5"/>
        <v>595</v>
      </c>
      <c r="Q14" s="630">
        <f ca="1">ROUND(P14/365,1)</f>
        <v>1.6</v>
      </c>
      <c r="R14" s="574">
        <f>K14* M14</f>
        <v>91000</v>
      </c>
      <c r="S14" s="880">
        <f t="shared" ref="S14:S16" si="6">R14</f>
        <v>91000</v>
      </c>
      <c r="T14" s="574"/>
      <c r="U14" s="688">
        <f ca="1">ROUND((R14*7%)/365 * P14,0)</f>
        <v>10384</v>
      </c>
      <c r="V14" s="574"/>
    </row>
    <row r="15" spans="1:22">
      <c r="A15" s="658">
        <v>3</v>
      </c>
      <c r="B15" s="577"/>
      <c r="C15" s="577"/>
      <c r="D15" s="559" t="s">
        <v>1650</v>
      </c>
      <c r="E15" s="559" t="s">
        <v>1579</v>
      </c>
      <c r="F15" s="568">
        <v>13231</v>
      </c>
      <c r="G15" s="564">
        <v>0.69</v>
      </c>
      <c r="H15" s="560" t="s">
        <v>1594</v>
      </c>
      <c r="I15" s="658">
        <v>0</v>
      </c>
      <c r="J15" s="930" t="s">
        <v>1576</v>
      </c>
      <c r="K15" s="850">
        <v>7000</v>
      </c>
      <c r="L15" s="850" t="s">
        <v>1666</v>
      </c>
      <c r="M15" s="851">
        <f>DATEDIF(O15, DATE(2025,2,1), "m")+1</f>
        <v>13</v>
      </c>
      <c r="N15" s="562">
        <v>20336717</v>
      </c>
      <c r="O15" s="558">
        <v>45298</v>
      </c>
      <c r="P15" s="809">
        <f t="shared" ca="1" si="5"/>
        <v>595</v>
      </c>
      <c r="Q15" s="630">
        <f ca="1">ROUND(P15/365,1)</f>
        <v>1.6</v>
      </c>
      <c r="R15" s="574">
        <f>K15* M15</f>
        <v>91000</v>
      </c>
      <c r="S15" s="880">
        <f t="shared" si="6"/>
        <v>91000</v>
      </c>
      <c r="T15" s="574"/>
      <c r="U15" s="688">
        <f ca="1">ROUND((R15*7%)/365 * P15,0)</f>
        <v>10384</v>
      </c>
      <c r="V15" s="574"/>
    </row>
    <row r="16" spans="1:22">
      <c r="A16" s="658">
        <v>4</v>
      </c>
      <c r="B16" s="577"/>
      <c r="C16" s="577"/>
      <c r="D16" s="559" t="s">
        <v>1651</v>
      </c>
      <c r="E16" s="559" t="s">
        <v>1579</v>
      </c>
      <c r="F16" s="568">
        <v>6346</v>
      </c>
      <c r="G16" s="564">
        <v>0.3</v>
      </c>
      <c r="H16" s="560" t="s">
        <v>1594</v>
      </c>
      <c r="I16" s="658">
        <v>0</v>
      </c>
      <c r="J16" s="930" t="s">
        <v>1576</v>
      </c>
      <c r="K16" s="850">
        <v>7000</v>
      </c>
      <c r="L16" s="850" t="s">
        <v>1666</v>
      </c>
      <c r="M16" s="851">
        <f>DATEDIF(O16, DATE(2025,1,1), "m")+1</f>
        <v>12</v>
      </c>
      <c r="N16" s="562">
        <v>26801841</v>
      </c>
      <c r="O16" s="558">
        <v>45298</v>
      </c>
      <c r="P16" s="809">
        <f t="shared" ca="1" si="5"/>
        <v>595</v>
      </c>
      <c r="Q16" s="630">
        <f ca="1">ROUND(P16/365,1)</f>
        <v>1.6</v>
      </c>
      <c r="R16" s="574">
        <f>K16* M16</f>
        <v>84000</v>
      </c>
      <c r="S16" s="880">
        <f t="shared" si="6"/>
        <v>84000</v>
      </c>
      <c r="T16" s="574"/>
      <c r="U16" s="688">
        <f ca="1">ROUND((R16*7%)/365 * P16,0)</f>
        <v>9585</v>
      </c>
      <c r="V16" s="574"/>
    </row>
    <row r="17" spans="1:22">
      <c r="A17" s="589"/>
      <c r="B17" s="590"/>
      <c r="C17" s="590"/>
      <c r="D17" s="591" t="s">
        <v>1613</v>
      </c>
      <c r="E17" s="602"/>
      <c r="F17" s="604"/>
      <c r="G17" s="605"/>
      <c r="H17" s="606"/>
      <c r="I17" s="596"/>
      <c r="J17" s="607"/>
      <c r="K17" s="608"/>
      <c r="L17" s="608"/>
      <c r="M17" s="609"/>
      <c r="N17" s="598"/>
      <c r="O17" s="599"/>
      <c r="P17" s="589"/>
      <c r="Q17" s="589"/>
      <c r="R17" s="600">
        <f>SUM(R13:R16)</f>
        <v>357000</v>
      </c>
      <c r="S17" s="881">
        <f>SUM(S13:S16)</f>
        <v>357000</v>
      </c>
      <c r="T17" s="600">
        <f>SUM(T13:T14)</f>
        <v>0</v>
      </c>
      <c r="U17" s="600">
        <f ca="1">SUM(U13:U16)</f>
        <v>40737</v>
      </c>
      <c r="V17" s="601"/>
    </row>
    <row r="18" spans="1:22" ht="18.3">
      <c r="D18" s="556"/>
      <c r="F18" s="569"/>
      <c r="G18" s="565"/>
      <c r="H18" s="561"/>
      <c r="N18" s="571"/>
      <c r="R18" s="575">
        <f>SUM(R17,R12)</f>
        <v>3047000</v>
      </c>
      <c r="S18" s="882">
        <f>SUM(S12,S17)</f>
        <v>3047000</v>
      </c>
      <c r="T18" s="575">
        <f>SUM(T12,T17)</f>
        <v>0</v>
      </c>
      <c r="U18" s="575">
        <f ca="1">SUM(U12,U17)</f>
        <v>293195</v>
      </c>
      <c r="V18" s="575"/>
    </row>
    <row r="19" spans="1:22">
      <c r="D19" s="911" t="s">
        <v>1867</v>
      </c>
    </row>
    <row r="21" spans="1:22">
      <c r="D21" s="625" t="s">
        <v>1628</v>
      </c>
      <c r="E21" s="625"/>
      <c r="H21" s="1202" t="s">
        <v>1891</v>
      </c>
      <c r="I21" s="1203"/>
      <c r="J21" s="1201" t="s">
        <v>1904</v>
      </c>
      <c r="K21" s="1037"/>
      <c r="L21" s="1201" t="s">
        <v>1921</v>
      </c>
      <c r="M21" s="1037"/>
      <c r="N21" s="1201" t="s">
        <v>1932</v>
      </c>
      <c r="O21" s="1037"/>
      <c r="P21" s="1206">
        <v>45752</v>
      </c>
      <c r="Q21" s="1037"/>
      <c r="R21" s="1206" t="s">
        <v>2014</v>
      </c>
      <c r="S21" s="1037"/>
    </row>
    <row r="22" spans="1:22">
      <c r="D22" s="626" t="s">
        <v>1665</v>
      </c>
      <c r="E22" s="573">
        <f>SUM(R2:R5)</f>
        <v>1300000</v>
      </c>
      <c r="H22" s="1063" t="s">
        <v>1887</v>
      </c>
      <c r="I22" s="1063"/>
      <c r="J22" s="1207">
        <v>3217000</v>
      </c>
      <c r="K22" s="1063"/>
      <c r="L22" s="1207">
        <f>3435000-190000</f>
        <v>3245000</v>
      </c>
      <c r="M22" s="1063"/>
      <c r="N22" s="1207">
        <v>3435000</v>
      </c>
      <c r="O22" s="1063"/>
      <c r="P22" s="1207">
        <v>3547000</v>
      </c>
      <c r="Q22" s="1063"/>
      <c r="R22" s="1207">
        <v>3547000</v>
      </c>
      <c r="S22" s="1063"/>
    </row>
    <row r="23" spans="1:22">
      <c r="B23" s="578"/>
      <c r="C23" s="578"/>
      <c r="D23" s="626" t="s">
        <v>1678</v>
      </c>
      <c r="E23" s="573">
        <f>SUM(R7)</f>
        <v>300000</v>
      </c>
      <c r="F23" s="570"/>
      <c r="G23" s="566"/>
      <c r="H23" s="1063" t="s">
        <v>1888</v>
      </c>
      <c r="I23" s="1063"/>
      <c r="J23" s="1207">
        <v>3623000</v>
      </c>
      <c r="K23" s="1063"/>
      <c r="L23" s="1207">
        <v>3664000</v>
      </c>
      <c r="M23" s="1063"/>
      <c r="N23" s="1207">
        <v>3940000</v>
      </c>
      <c r="O23" s="1063"/>
      <c r="P23" s="1207">
        <v>3644111</v>
      </c>
      <c r="Q23" s="1063"/>
      <c r="R23" s="1207">
        <v>3896598</v>
      </c>
      <c r="S23" s="1063"/>
      <c r="T23" s="572"/>
      <c r="U23" s="572"/>
      <c r="V23" s="572"/>
    </row>
    <row r="24" spans="1:22">
      <c r="B24" s="578"/>
      <c r="C24" s="578"/>
      <c r="D24" s="626" t="s">
        <v>1679</v>
      </c>
      <c r="E24" s="573">
        <f>SUM(R8:R9)</f>
        <v>640000</v>
      </c>
      <c r="F24" s="570"/>
      <c r="G24" s="566"/>
      <c r="H24" s="1063" t="s">
        <v>1886</v>
      </c>
      <c r="I24" s="1063"/>
      <c r="J24" s="1209">
        <f>SUM(J23-J22)</f>
        <v>406000</v>
      </c>
      <c r="K24" s="1062"/>
      <c r="L24" s="1209">
        <f>SUM(L23-L22)</f>
        <v>419000</v>
      </c>
      <c r="M24" s="1062"/>
      <c r="N24" s="1208">
        <f>SUM(N23-N22)</f>
        <v>505000</v>
      </c>
      <c r="O24" s="1040"/>
      <c r="P24" s="1208">
        <f>SUM(P23-P22)</f>
        <v>97111</v>
      </c>
      <c r="Q24" s="1040"/>
      <c r="R24" s="1208">
        <f>SUM(R23-R22)</f>
        <v>349598</v>
      </c>
      <c r="S24" s="1040"/>
      <c r="T24" s="572"/>
      <c r="U24" s="572"/>
      <c r="V24" s="572"/>
    </row>
    <row r="25" spans="1:22">
      <c r="B25" s="578"/>
      <c r="C25" s="578"/>
      <c r="D25" s="626" t="s">
        <v>1603</v>
      </c>
      <c r="E25" s="573">
        <f>SUM(R10:R11)</f>
        <v>450000</v>
      </c>
      <c r="F25" s="570"/>
      <c r="G25" s="566"/>
      <c r="H25" s="1062" t="s">
        <v>1890</v>
      </c>
      <c r="I25" s="1062"/>
      <c r="J25" s="1040">
        <f>ROUND(SUM(J24/J22*100),2)</f>
        <v>12.62</v>
      </c>
      <c r="K25" s="1040"/>
      <c r="L25" s="1040">
        <f>ROUND(SUM(L24/L22*100),2)</f>
        <v>12.91</v>
      </c>
      <c r="M25" s="1040"/>
      <c r="N25" s="1040">
        <f>ROUND(SUM(N24/N22*100),2)</f>
        <v>14.7</v>
      </c>
      <c r="O25" s="1040"/>
      <c r="P25" s="1040">
        <f>ROUND(SUM(P24/P22*100),2)</f>
        <v>2.74</v>
      </c>
      <c r="Q25" s="1040"/>
      <c r="R25" s="1040">
        <f>ROUND(SUM(R24/R22*100),2)</f>
        <v>9.86</v>
      </c>
      <c r="S25" s="1040"/>
      <c r="T25" s="572"/>
      <c r="U25" s="572"/>
      <c r="V25" s="572"/>
    </row>
    <row r="26" spans="1:22">
      <c r="D26" s="626" t="s">
        <v>1624</v>
      </c>
      <c r="E26" s="573">
        <f>R17</f>
        <v>357000</v>
      </c>
      <c r="K26" s="610"/>
    </row>
    <row r="27" spans="1:22">
      <c r="D27" s="628" t="s">
        <v>32</v>
      </c>
      <c r="E27" s="627">
        <f>SUM(E22:E26)</f>
        <v>3047000</v>
      </c>
    </row>
    <row r="28" spans="1:22">
      <c r="H28" s="1244" t="s">
        <v>2018</v>
      </c>
      <c r="I28" s="1244"/>
      <c r="J28" s="1244"/>
      <c r="K28" s="1244"/>
      <c r="L28" s="1244"/>
      <c r="M28" s="1244"/>
      <c r="N28" s="463" t="s">
        <v>2019</v>
      </c>
      <c r="O28" s="463" t="s">
        <v>2020</v>
      </c>
      <c r="P28" s="463" t="s">
        <v>2021</v>
      </c>
      <c r="Q28" s="463" t="s">
        <v>2022</v>
      </c>
      <c r="R28" s="463"/>
    </row>
    <row r="29" spans="1:22">
      <c r="H29" s="1242" t="s">
        <v>1866</v>
      </c>
      <c r="I29" s="1243"/>
      <c r="J29" s="1243"/>
      <c r="K29" s="1243"/>
      <c r="L29" s="1243"/>
      <c r="M29" s="1243"/>
      <c r="N29">
        <v>500000</v>
      </c>
      <c r="O29" s="1027">
        <v>45851</v>
      </c>
      <c r="P29">
        <v>13881.35</v>
      </c>
      <c r="Q29">
        <v>1735.17</v>
      </c>
    </row>
    <row r="30" spans="1:22">
      <c r="D30" s="634" t="s">
        <v>1647</v>
      </c>
      <c r="F30" s="483"/>
    </row>
    <row r="31" spans="1:22">
      <c r="D31" s="631" t="s">
        <v>1641</v>
      </c>
      <c r="E31" s="631"/>
      <c r="F31" s="633"/>
    </row>
    <row r="32" spans="1:22">
      <c r="C32" s="636"/>
      <c r="D32" s="632" t="s">
        <v>1642</v>
      </c>
      <c r="E32" s="464"/>
      <c r="F32" s="633"/>
    </row>
    <row r="33" spans="4:4">
      <c r="D33" t="s">
        <v>1643</v>
      </c>
    </row>
    <row r="34" spans="4:4">
      <c r="D34" s="464" t="s">
        <v>1648</v>
      </c>
    </row>
    <row r="35" spans="4:4">
      <c r="D35" s="464" t="s">
        <v>1649</v>
      </c>
    </row>
    <row r="37" spans="4:4">
      <c r="D37" s="463" t="s">
        <v>1646</v>
      </c>
    </row>
    <row r="38" spans="4:4">
      <c r="D38" s="464" t="s">
        <v>1687</v>
      </c>
    </row>
    <row r="39" spans="4:4">
      <c r="D39" s="464" t="s">
        <v>1645</v>
      </c>
    </row>
    <row r="40" spans="4:4">
      <c r="D40" t="s">
        <v>1644</v>
      </c>
    </row>
  </sheetData>
  <mergeCells count="102">
    <mergeCell ref="S2:S3"/>
    <mergeCell ref="S4:S5"/>
    <mergeCell ref="S6:S7"/>
    <mergeCell ref="S8:S9"/>
    <mergeCell ref="S10:S11"/>
    <mergeCell ref="N2:N3"/>
    <mergeCell ref="K2:K3"/>
    <mergeCell ref="L2:L3"/>
    <mergeCell ref="M2:M3"/>
    <mergeCell ref="L10:L11"/>
    <mergeCell ref="M10:M11"/>
    <mergeCell ref="N10:N11"/>
    <mergeCell ref="L6:L7"/>
    <mergeCell ref="M6:M7"/>
    <mergeCell ref="N6:N7"/>
    <mergeCell ref="K4:K5"/>
    <mergeCell ref="L4:L5"/>
    <mergeCell ref="M8:M9"/>
    <mergeCell ref="M4:M5"/>
    <mergeCell ref="N4:N5"/>
    <mergeCell ref="B8:B9"/>
    <mergeCell ref="C8:C9"/>
    <mergeCell ref="E8:E9"/>
    <mergeCell ref="F8:F9"/>
    <mergeCell ref="H29:M29"/>
    <mergeCell ref="H28:M28"/>
    <mergeCell ref="P21:Q21"/>
    <mergeCell ref="P22:Q22"/>
    <mergeCell ref="P23:Q23"/>
    <mergeCell ref="P24:Q24"/>
    <mergeCell ref="P25:Q25"/>
    <mergeCell ref="L23:M23"/>
    <mergeCell ref="N25:O25"/>
    <mergeCell ref="G10:G11"/>
    <mergeCell ref="A10:A11"/>
    <mergeCell ref="B10:B11"/>
    <mergeCell ref="C10:C11"/>
    <mergeCell ref="E10:E11"/>
    <mergeCell ref="F10:F11"/>
    <mergeCell ref="H10:H11"/>
    <mergeCell ref="I10:I11"/>
    <mergeCell ref="J10:J11"/>
    <mergeCell ref="K10:K11"/>
    <mergeCell ref="J6:J7"/>
    <mergeCell ref="K6:K7"/>
    <mergeCell ref="F4:F5"/>
    <mergeCell ref="G4:G5"/>
    <mergeCell ref="G8:G9"/>
    <mergeCell ref="H8:H9"/>
    <mergeCell ref="I8:I9"/>
    <mergeCell ref="J8:J9"/>
    <mergeCell ref="N8:N9"/>
    <mergeCell ref="K8:K9"/>
    <mergeCell ref="L8:L9"/>
    <mergeCell ref="A8:A9"/>
    <mergeCell ref="I2:I3"/>
    <mergeCell ref="J2:J3"/>
    <mergeCell ref="A6:A7"/>
    <mergeCell ref="B6:B7"/>
    <mergeCell ref="C6:C7"/>
    <mergeCell ref="E6:E7"/>
    <mergeCell ref="F6:F7"/>
    <mergeCell ref="G6:G7"/>
    <mergeCell ref="H6:H7"/>
    <mergeCell ref="I6:I7"/>
    <mergeCell ref="H4:H5"/>
    <mergeCell ref="I4:I5"/>
    <mergeCell ref="J4:J5"/>
    <mergeCell ref="B2:B3"/>
    <mergeCell ref="C2:C3"/>
    <mergeCell ref="A2:A3"/>
    <mergeCell ref="E2:E3"/>
    <mergeCell ref="F2:F3"/>
    <mergeCell ref="G2:G3"/>
    <mergeCell ref="H2:H3"/>
    <mergeCell ref="A4:A5"/>
    <mergeCell ref="B4:B5"/>
    <mergeCell ref="C4:C5"/>
    <mergeCell ref="E4:E5"/>
    <mergeCell ref="R21:S21"/>
    <mergeCell ref="R22:S22"/>
    <mergeCell ref="R23:S23"/>
    <mergeCell ref="R24:S24"/>
    <mergeCell ref="R25:S25"/>
    <mergeCell ref="H21:I21"/>
    <mergeCell ref="J21:K21"/>
    <mergeCell ref="L21:M21"/>
    <mergeCell ref="H24:I24"/>
    <mergeCell ref="J24:K24"/>
    <mergeCell ref="L24:M24"/>
    <mergeCell ref="N21:O21"/>
    <mergeCell ref="N22:O22"/>
    <mergeCell ref="N23:O23"/>
    <mergeCell ref="N24:O24"/>
    <mergeCell ref="H25:I25"/>
    <mergeCell ref="J25:K25"/>
    <mergeCell ref="L25:M25"/>
    <mergeCell ref="H22:I22"/>
    <mergeCell ref="J22:K22"/>
    <mergeCell ref="L22:M22"/>
    <mergeCell ref="H23:I23"/>
    <mergeCell ref="J23:K23"/>
  </mergeCells>
  <conditionalFormatting sqref="P2:P11">
    <cfRule type="cellIs" dxfId="3" priority="9" operator="greaterThan">
      <formula>365</formula>
    </cfRule>
    <cfRule type="cellIs" dxfId="2" priority="10" operator="lessThan">
      <formula>365</formula>
    </cfRule>
  </conditionalFormatting>
  <conditionalFormatting sqref="P13:P16">
    <cfRule type="cellIs" dxfId="1" priority="1" operator="greaterThan">
      <formula>365</formula>
    </cfRule>
    <cfRule type="cellIs" dxfId="0" priority="2" operator="lessThan">
      <formula>365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34A9-A855-418E-8371-7C17B961C986}">
  <dimension ref="C2:H28"/>
  <sheetViews>
    <sheetView topLeftCell="A5" workbookViewId="0">
      <selection activeCell="E28" sqref="E28"/>
    </sheetView>
  </sheetViews>
  <sheetFormatPr defaultRowHeight="13.3"/>
  <cols>
    <col min="3" max="3" width="11.6640625" customWidth="1"/>
    <col min="4" max="4" width="26.44140625" customWidth="1"/>
    <col min="7" max="7" width="21.88671875" bestFit="1" customWidth="1"/>
  </cols>
  <sheetData>
    <row r="2" spans="3:8">
      <c r="C2" s="463" t="s">
        <v>867</v>
      </c>
      <c r="D2" s="463" t="s">
        <v>1712</v>
      </c>
      <c r="E2" s="463" t="s">
        <v>67</v>
      </c>
      <c r="F2" s="463"/>
      <c r="G2" s="463" t="s">
        <v>1727</v>
      </c>
    </row>
    <row r="3" spans="3:8">
      <c r="C3" s="792">
        <v>45361</v>
      </c>
      <c r="D3" t="s">
        <v>1713</v>
      </c>
      <c r="E3" s="928">
        <v>5000</v>
      </c>
    </row>
    <row r="4" spans="3:8">
      <c r="C4" s="792">
        <v>45374</v>
      </c>
      <c r="D4" t="s">
        <v>1714</v>
      </c>
      <c r="E4" s="556">
        <v>2000</v>
      </c>
    </row>
    <row r="5" spans="3:8">
      <c r="C5" s="792">
        <v>45388</v>
      </c>
      <c r="D5" t="s">
        <v>1716</v>
      </c>
      <c r="E5" s="929">
        <v>260</v>
      </c>
    </row>
    <row r="8" spans="3:8">
      <c r="D8" t="s">
        <v>32</v>
      </c>
      <c r="E8" s="463">
        <f>SUM(E3:E5)</f>
        <v>7260</v>
      </c>
      <c r="G8" s="464" t="s">
        <v>1728</v>
      </c>
      <c r="H8" s="464" t="s">
        <v>1919</v>
      </c>
    </row>
    <row r="10" spans="3:8">
      <c r="C10" s="792">
        <v>45469</v>
      </c>
      <c r="D10" t="s">
        <v>1855</v>
      </c>
      <c r="E10" s="928">
        <v>450</v>
      </c>
    </row>
    <row r="11" spans="3:8">
      <c r="D11" t="s">
        <v>1829</v>
      </c>
      <c r="E11" s="556">
        <v>200</v>
      </c>
    </row>
    <row r="12" spans="3:8">
      <c r="D12" t="s">
        <v>1856</v>
      </c>
      <c r="E12" s="556">
        <v>450</v>
      </c>
    </row>
    <row r="13" spans="3:8">
      <c r="E13" s="556"/>
    </row>
    <row r="14" spans="3:8">
      <c r="C14" s="792">
        <v>45475</v>
      </c>
      <c r="D14" t="s">
        <v>1859</v>
      </c>
      <c r="E14" s="556">
        <v>350</v>
      </c>
    </row>
    <row r="15" spans="3:8">
      <c r="D15" t="s">
        <v>1858</v>
      </c>
      <c r="E15" s="929">
        <v>480</v>
      </c>
    </row>
    <row r="17" spans="3:8">
      <c r="E17" s="463">
        <f>SUM(E10:E15)</f>
        <v>1930</v>
      </c>
      <c r="G17" s="464" t="s">
        <v>1860</v>
      </c>
      <c r="H17" s="464" t="s">
        <v>1919</v>
      </c>
    </row>
    <row r="19" spans="3:8">
      <c r="C19" s="468">
        <v>45506</v>
      </c>
      <c r="D19" t="s">
        <v>1902</v>
      </c>
      <c r="E19" s="928">
        <v>1000</v>
      </c>
    </row>
    <row r="20" spans="3:8">
      <c r="E20" s="556"/>
    </row>
    <row r="21" spans="3:8">
      <c r="C21" s="463" t="s">
        <v>1895</v>
      </c>
      <c r="E21" s="556"/>
    </row>
    <row r="22" spans="3:8">
      <c r="C22" t="s">
        <v>1896</v>
      </c>
      <c r="E22" s="556">
        <v>10762</v>
      </c>
    </row>
    <row r="23" spans="3:8">
      <c r="C23" t="s">
        <v>1900</v>
      </c>
      <c r="E23" s="556">
        <v>11000</v>
      </c>
    </row>
    <row r="24" spans="3:8">
      <c r="C24" t="s">
        <v>1901</v>
      </c>
      <c r="E24" s="929">
        <v>15396</v>
      </c>
    </row>
    <row r="26" spans="3:8">
      <c r="E26" s="463">
        <f>SUM(E19:E24)</f>
        <v>38158</v>
      </c>
      <c r="G26" s="464" t="s">
        <v>1918</v>
      </c>
      <c r="H26" s="464" t="s">
        <v>1919</v>
      </c>
    </row>
    <row r="28" spans="3:8">
      <c r="D28" t="s">
        <v>2012</v>
      </c>
      <c r="E28" s="463">
        <v>14885</v>
      </c>
      <c r="G28" s="792">
        <v>45818</v>
      </c>
      <c r="H28" t="s">
        <v>2013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liabilities</vt:lpstr>
      <vt:lpstr>bills</vt:lpstr>
      <vt:lpstr>saving-investment chart</vt:lpstr>
      <vt:lpstr>savings</vt:lpstr>
      <vt:lpstr>pswd</vt:lpstr>
      <vt:lpstr>tax-on-salary</vt:lpstr>
      <vt:lpstr>mutual funds</vt:lpstr>
      <vt:lpstr>mutual funds - mother</vt:lpstr>
      <vt:lpstr>mother-medical-expenses</vt:lpstr>
      <vt:lpstr>mutual funds withdrawl</vt:lpstr>
      <vt:lpstr>epf-details</vt:lpstr>
      <vt:lpstr>salary</vt:lpstr>
      <vt:lpstr>kashmir-itinery</vt:lpstr>
      <vt:lpstr>leh-ladakh-itinery</vt:lpstr>
      <vt:lpstr>Interior</vt:lpstr>
      <vt:lpstr>Sal Increement</vt:lpstr>
      <vt:lpstr>Tenants-Elec-old</vt:lpstr>
      <vt:lpstr>Tenants-Elec1</vt:lpstr>
      <vt:lpstr>RBL CC Statements</vt:lpstr>
      <vt:lpstr>Sugar-Tests</vt:lpstr>
      <vt:lpstr>Home-Loan-Synd</vt:lpstr>
      <vt:lpstr>stellar-flat-cost</vt:lpstr>
      <vt:lpstr>kitchen-granite</vt:lpstr>
      <vt:lpstr>Sheet2</vt:lpstr>
      <vt:lpstr>vaccination</vt:lpstr>
      <vt:lpstr>bills_pending_dates</vt:lpstr>
      <vt:lpstr>canada</vt:lpstr>
      <vt:lpstr>Sheet1</vt:lpstr>
      <vt:lpstr>Sheet3</vt:lpstr>
      <vt:lpstr>innominds-offer</vt:lpstr>
      <vt:lpstr>innominds</vt:lpstr>
      <vt:lpstr>hydbd-noida</vt:lpstr>
      <vt:lpstr>enginee.ai password</vt:lpstr>
      <vt:lpstr>Sheet20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Rajpal Dhanai</dc:creator>
  <cp:lastModifiedBy>Rajpal Singh Dhanai</cp:lastModifiedBy>
  <dcterms:created xsi:type="dcterms:W3CDTF">2007-10-07T06:51:00Z</dcterms:created>
  <dcterms:modified xsi:type="dcterms:W3CDTF">2025-09-02T08:10:14Z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