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ward_8_osu_edu/Documents/Budgetsa 2021/"/>
    </mc:Choice>
  </mc:AlternateContent>
  <xr:revisionPtr revIDLastSave="13" documentId="8_{60E39601-E1ED-4A54-B480-3627E21BA7FD}" xr6:coauthVersionLast="45" xr6:coauthVersionMax="45" xr10:uidLastSave="{79AF2E72-E5EE-421A-9F0A-1858F9CBE723}"/>
  <bookViews>
    <workbookView xWindow="-120" yWindow="-120" windowWidth="29040" windowHeight="15840" xr2:uid="{00000000-000D-0000-FFFF-FFFF00000000}"/>
  </bookViews>
  <sheets>
    <sheet name="corn-cons" sheetId="1" r:id="rId1"/>
    <sheet name="machinery costs" sheetId="2" r:id="rId2"/>
    <sheet name="Quick Stats" sheetId="3" r:id="rId3"/>
  </sheets>
  <definedNames>
    <definedName name="_xlnm.Print_Area" localSheetId="0">'corn-cons'!$A$1:$N$115</definedName>
    <definedName name="_xlnm.Print_Area" localSheetId="1">'machinery costs'!$A$1:$P$19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F25" i="1"/>
  <c r="H24" i="1"/>
  <c r="F24" i="1"/>
  <c r="I6" i="3" l="1"/>
  <c r="G6" i="3"/>
  <c r="M8" i="1" l="1"/>
  <c r="K8" i="1"/>
  <c r="I11" i="3"/>
  <c r="G11" i="3"/>
  <c r="I14" i="3"/>
  <c r="G14" i="3"/>
  <c r="N5" i="2"/>
  <c r="L5" i="2"/>
  <c r="D5" i="3"/>
  <c r="P5" i="2"/>
  <c r="H9" i="2"/>
  <c r="I9" i="2"/>
  <c r="H8" i="2"/>
  <c r="I8" i="2" s="1"/>
  <c r="H7" i="2"/>
  <c r="I7" i="2" s="1"/>
  <c r="H6" i="2"/>
  <c r="I6" i="2"/>
  <c r="P13" i="2"/>
  <c r="P14" i="2"/>
  <c r="P15" i="2" s="1"/>
  <c r="H5" i="2"/>
  <c r="I5" i="2" s="1"/>
  <c r="H4" i="2"/>
  <c r="H11" i="2" s="1"/>
  <c r="I11" i="2" s="1"/>
  <c r="I4" i="2"/>
  <c r="H3" i="2"/>
  <c r="N30" i="1"/>
  <c r="M30" i="1"/>
  <c r="L30" i="1"/>
  <c r="H10" i="2"/>
  <c r="I10" i="2" s="1"/>
  <c r="I3" i="2"/>
  <c r="N31" i="1"/>
  <c r="M31" i="1"/>
  <c r="L31" i="1"/>
  <c r="M10" i="1"/>
  <c r="I5" i="3" s="1"/>
  <c r="I23" i="1"/>
  <c r="L23" i="1" s="1"/>
  <c r="I24" i="1"/>
  <c r="I25" i="1"/>
  <c r="N25" i="1" s="1"/>
  <c r="L10" i="1"/>
  <c r="L16" i="1" s="1"/>
  <c r="L45" i="1" s="1"/>
  <c r="I20" i="3"/>
  <c r="G20" i="3"/>
  <c r="G4" i="3"/>
  <c r="I4" i="3"/>
  <c r="N10" i="1"/>
  <c r="N16" i="1" s="1"/>
  <c r="N45" i="1" s="1"/>
  <c r="N44" i="1"/>
  <c r="I19" i="1"/>
  <c r="M19" i="1"/>
  <c r="I9" i="3" s="1"/>
  <c r="N26" i="1"/>
  <c r="M44" i="1"/>
  <c r="M26" i="1"/>
  <c r="L44" i="1"/>
  <c r="L26" i="1"/>
  <c r="K10" i="1"/>
  <c r="K16" i="1" s="1"/>
  <c r="K45" i="1" s="1"/>
  <c r="K44" i="1"/>
  <c r="K26" i="1"/>
  <c r="N19" i="1"/>
  <c r="K19" i="1"/>
  <c r="L19" i="1"/>
  <c r="G9" i="3" s="1"/>
  <c r="L25" i="1" l="1"/>
  <c r="L32" i="1"/>
  <c r="G12" i="3" s="1"/>
  <c r="K32" i="1"/>
  <c r="M7" i="2"/>
  <c r="N7" i="2"/>
  <c r="L7" i="2"/>
  <c r="L13" i="2"/>
  <c r="L10" i="2"/>
  <c r="N10" i="2"/>
  <c r="M10" i="2"/>
  <c r="M11" i="2"/>
  <c r="L11" i="2"/>
  <c r="N11" i="2"/>
  <c r="K23" i="1"/>
  <c r="N23" i="1"/>
  <c r="M23" i="1"/>
  <c r="N32" i="1"/>
  <c r="I12" i="3" s="1"/>
  <c r="M32" i="1"/>
  <c r="E25" i="1"/>
  <c r="K25" i="1" s="1"/>
  <c r="E24" i="1"/>
  <c r="G25" i="1"/>
  <c r="G24" i="1"/>
  <c r="M25" i="1"/>
  <c r="K31" i="1"/>
  <c r="K30" i="1"/>
  <c r="K24" i="1"/>
  <c r="G5" i="3"/>
  <c r="M24" i="1"/>
  <c r="N24" i="1"/>
  <c r="I10" i="3" s="1"/>
  <c r="L24" i="1"/>
  <c r="M16" i="1"/>
  <c r="M45" i="1" s="1"/>
  <c r="G18" i="3"/>
  <c r="N13" i="2" l="1"/>
  <c r="M13" i="2"/>
  <c r="M14" i="2" s="1"/>
  <c r="I18" i="3"/>
  <c r="G10" i="3"/>
  <c r="L46" i="1" l="1"/>
  <c r="K46" i="1"/>
  <c r="K50" i="1" s="1"/>
  <c r="N46" i="1"/>
  <c r="N50" i="1" s="1"/>
  <c r="M46" i="1"/>
  <c r="N33" i="1"/>
  <c r="M33" i="1"/>
  <c r="M38" i="1" s="1"/>
  <c r="M40" i="1" s="1"/>
  <c r="L33" i="1"/>
  <c r="K33" i="1"/>
  <c r="K38" i="1" s="1"/>
  <c r="K40" i="1" s="1"/>
  <c r="I16" i="3" l="1"/>
  <c r="M56" i="1"/>
  <c r="I13" i="3"/>
  <c r="N38" i="1"/>
  <c r="K56" i="1"/>
  <c r="K55" i="1"/>
  <c r="K41" i="1"/>
  <c r="K52" i="1"/>
  <c r="G13" i="3"/>
  <c r="L38" i="1"/>
  <c r="G15" i="3" s="1"/>
  <c r="M41" i="1"/>
  <c r="I19" i="3"/>
  <c r="M50" i="1"/>
  <c r="M52" i="1" s="1"/>
  <c r="M55" i="1"/>
  <c r="I24" i="3" s="1"/>
  <c r="G19" i="3"/>
  <c r="L50" i="1"/>
  <c r="L40" i="1" l="1"/>
  <c r="L52" i="1" s="1"/>
  <c r="G21" i="3" s="1"/>
  <c r="I21" i="3"/>
  <c r="M53" i="1"/>
  <c r="M57" i="1"/>
  <c r="M60" i="1" s="1"/>
  <c r="K53" i="1"/>
  <c r="K57" i="1"/>
  <c r="I15" i="3"/>
  <c r="N40" i="1"/>
  <c r="L56" i="1" l="1"/>
  <c r="L55" i="1"/>
  <c r="G24" i="3" s="1"/>
  <c r="L53" i="1"/>
  <c r="L57" i="1"/>
  <c r="L58" i="1" s="1"/>
  <c r="G16" i="3"/>
  <c r="L41" i="1"/>
  <c r="I23" i="3"/>
  <c r="M59" i="1"/>
  <c r="K60" i="1"/>
  <c r="K59" i="1"/>
  <c r="K58" i="1"/>
  <c r="N41" i="1"/>
  <c r="N55" i="1"/>
  <c r="N56" i="1"/>
  <c r="N52" i="1"/>
  <c r="M58" i="1"/>
  <c r="I25" i="3" s="1"/>
  <c r="G23" i="3" l="1"/>
  <c r="L60" i="1"/>
  <c r="L59" i="1"/>
  <c r="N53" i="1"/>
  <c r="N57" i="1"/>
  <c r="G25" i="3"/>
  <c r="N60" i="1" l="1"/>
  <c r="N59" i="1"/>
  <c r="N58" i="1"/>
</calcChain>
</file>

<file path=xl/sharedStrings.xml><?xml version="1.0" encoding="utf-8"?>
<sst xmlns="http://schemas.openxmlformats.org/spreadsheetml/2006/main" count="192" uniqueCount="180">
  <si>
    <t>ITEM</t>
  </si>
  <si>
    <t>EXPLANATION</t>
  </si>
  <si>
    <t>PRICE PER</t>
  </si>
  <si>
    <t>YOUR</t>
  </si>
  <si>
    <t>UNIT</t>
  </si>
  <si>
    <t>BUDGET</t>
  </si>
  <si>
    <t>RECEIPTS</t>
  </si>
  <si>
    <t>/bu</t>
  </si>
  <si>
    <t>VARIABLE  COSTS</t>
  </si>
  <si>
    <t>N (lbs.)</t>
  </si>
  <si>
    <t>/lb</t>
  </si>
  <si>
    <t>Lime(ton)</t>
  </si>
  <si>
    <t>/ton</t>
  </si>
  <si>
    <t xml:space="preserve">mo. </t>
  </si>
  <si>
    <t>TOTAL VARIABLE COSTS</t>
  </si>
  <si>
    <t>-Per Acre</t>
  </si>
  <si>
    <t>-Per Bushel</t>
  </si>
  <si>
    <t>FIXED COSTS</t>
  </si>
  <si>
    <t>hours</t>
  </si>
  <si>
    <t>/hr</t>
  </si>
  <si>
    <t>Rent</t>
  </si>
  <si>
    <t>of gross revenue</t>
  </si>
  <si>
    <t>TOTAL FIXED COSTS</t>
  </si>
  <si>
    <t>TOTAL COSTS</t>
  </si>
  <si>
    <t>RETURN ABOVE TOTAL COSTS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</si>
  <si>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</si>
  <si>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</si>
  <si>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TOTAL RECEIPTS</t>
  </si>
  <si>
    <t>Acres per Year</t>
  </si>
  <si>
    <t>/1000</t>
  </si>
  <si>
    <t>Machinery Cost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</si>
  <si>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</si>
  <si>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</si>
  <si>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</si>
  <si>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</si>
  <si>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gray are stand alone cells that require direct input from the user.</t>
  </si>
  <si>
    <t>These cells may be input manually, but macros will be overwritten!</t>
  </si>
  <si>
    <r>
      <t>YIELD (bu/A)</t>
    </r>
    <r>
      <rPr>
        <b/>
        <vertAlign val="superscript"/>
        <sz val="10"/>
        <rFont val="Arial"/>
        <family val="2"/>
      </rPr>
      <t>1</t>
    </r>
  </si>
  <si>
    <r>
      <t>Seed (kernels)</t>
    </r>
    <r>
      <rPr>
        <vertAlign val="superscript"/>
        <sz val="10"/>
        <rFont val="Arial"/>
        <family val="2"/>
      </rPr>
      <t>3</t>
    </r>
  </si>
  <si>
    <t>Herbicide</t>
  </si>
  <si>
    <t>Fungicide</t>
  </si>
  <si>
    <t>Insecticide</t>
  </si>
  <si>
    <t>Seed Cost Per Bag</t>
  </si>
  <si>
    <t>/bag</t>
  </si>
  <si>
    <t xml:space="preserve"> Includes seed treatment at low level.</t>
  </si>
  <si>
    <t xml:space="preserve">Labor rate includes cash wages plus benefits. </t>
  </si>
  <si>
    <t>RETURN TO LAND</t>
  </si>
  <si>
    <t>Updated:</t>
  </si>
  <si>
    <t>Assumes NH3(82-0-0):</t>
  </si>
  <si>
    <t>/ton     MAP(11-52-0):</t>
  </si>
  <si>
    <t>/ton     Potash(0-0-60):</t>
  </si>
  <si>
    <t>N cost includes cost of N-Serve.</t>
  </si>
  <si>
    <t>Item</t>
  </si>
  <si>
    <t>Corn Price</t>
  </si>
  <si>
    <t>Input</t>
  </si>
  <si>
    <t>/bushel</t>
  </si>
  <si>
    <t>Yield in bushels/acre</t>
  </si>
  <si>
    <t>Receipts</t>
  </si>
  <si>
    <t>Variable Costs</t>
  </si>
  <si>
    <t>Seed Cost</t>
  </si>
  <si>
    <t>Fixed Costs</t>
  </si>
  <si>
    <t>Land Rent</t>
  </si>
  <si>
    <t>Returns</t>
  </si>
  <si>
    <t>Return to Land</t>
  </si>
  <si>
    <t>Labor and Management</t>
  </si>
  <si>
    <t>Grain Cart</t>
  </si>
  <si>
    <t>Land charges vary throughout the state, check your local rates.</t>
  </si>
  <si>
    <t>37 ft. Chisel Plow</t>
  </si>
  <si>
    <t>310 HP Tractor</t>
  </si>
  <si>
    <t>Reflects 2000 acres, Conservation Tillage Corn/No-Till RR Soybeans</t>
  </si>
  <si>
    <t>RETURN TO LAND, LABOR AND MANAGEMENT</t>
  </si>
  <si>
    <t>Values highlighted in light blue are cells embedded with macros and will be calculated for the user based on data entered.</t>
  </si>
  <si>
    <t>Return to Total Costs</t>
  </si>
  <si>
    <t>60 ft. Field Cultivator</t>
  </si>
  <si>
    <t>16 Row Planter</t>
  </si>
  <si>
    <t>Corn Head 8 Row</t>
  </si>
  <si>
    <t>360 HP Tractor</t>
  </si>
  <si>
    <t>RETURN ABOVE VARIABLE AND LAND COSTS</t>
  </si>
  <si>
    <t>Starter Fertilizer</t>
  </si>
  <si>
    <t>Seed price based on traited seed corn, 80,000 kernels/bag.</t>
  </si>
  <si>
    <t>Management Charge is calculated as 5% of total receipts.</t>
  </si>
  <si>
    <t>Crop Insurance Indemnity</t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</si>
  <si>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</si>
  <si>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</si>
  <si>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</si>
  <si>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Machinery and Equipment Charge Reflects 2000 acres, conservation tillage corn/no-till RR soybean rotation. </t>
  </si>
  <si>
    <t>Return to Land equals total receipts minus total costs except land costs.</t>
  </si>
  <si>
    <t>Return Above Variable and Land Costs equals total receipts minus total variable and land costs.</t>
  </si>
  <si>
    <t>Return Above Total Costs equals total receipts minus total costs.</t>
  </si>
  <si>
    <t>Return Above Variable Costs equals total receipts minus total variable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</si>
  <si>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</si>
  <si>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</si>
  <si>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</si>
  <si>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</si>
  <si>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t>RETURN TO LABOR AND MANAGEMENT</t>
  </si>
  <si>
    <t>Return to Variable Costs</t>
  </si>
  <si>
    <t>Conservation Tillage Practices: N-Source - NH3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</si>
  <si>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</si>
  <si>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</si>
  <si>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r>
      <t>Drying</t>
    </r>
    <r>
      <rPr>
        <vertAlign val="superscript"/>
        <sz val="10"/>
        <rFont val="Arial"/>
        <family val="2"/>
      </rPr>
      <t>6</t>
    </r>
  </si>
  <si>
    <t>/per bushel</t>
  </si>
  <si>
    <t>Acre/Hr</t>
  </si>
  <si>
    <t>Hrs/Yr.</t>
  </si>
  <si>
    <t>Combine 375 HP</t>
  </si>
  <si>
    <r>
      <t>Hired Custom Work</t>
    </r>
    <r>
      <rPr>
        <vertAlign val="superscript"/>
        <sz val="10"/>
        <rFont val="Arial"/>
        <family val="2"/>
      </rPr>
      <t>12</t>
    </r>
  </si>
  <si>
    <t>Includes hired custom operations for dry bulk fertilizer application and anhydrous ammonia (NH3) application</t>
  </si>
  <si>
    <t>Hrs/Acre</t>
  </si>
  <si>
    <t>/cent/bu/point</t>
  </si>
  <si>
    <t>Times used</t>
  </si>
  <si>
    <t>Overhead/ Acre</t>
  </si>
  <si>
    <t>Boom Sprayer,Self Prop.</t>
  </si>
  <si>
    <t>Dep/Hr.</t>
  </si>
  <si>
    <t>Overhead/ Hr.</t>
  </si>
  <si>
    <t>Dep/ Acre</t>
  </si>
  <si>
    <t>% moisture at harvest</t>
  </si>
  <si>
    <t>software/hardware, business use of vehicle, transport of supplies and equipment, etc…</t>
  </si>
  <si>
    <r>
      <t>RETURN ABOVE VARIABLE COSTS</t>
    </r>
    <r>
      <rPr>
        <b/>
        <vertAlign val="superscript"/>
        <sz val="10"/>
        <rFont val="Arial"/>
        <family val="2"/>
      </rPr>
      <t>20</t>
    </r>
  </si>
  <si>
    <t>Fuel/ Acre</t>
  </si>
  <si>
    <t>Repairs/ Acre</t>
  </si>
  <si>
    <t>Repairs &amp; Maint /Hr.</t>
  </si>
  <si>
    <t>Gallons</t>
  </si>
  <si>
    <t>Total Dep &amp; Overhead/ A</t>
  </si>
  <si>
    <t>Totals/ A</t>
  </si>
  <si>
    <t>Diesel - On Farm/ Gal</t>
  </si>
  <si>
    <t>F&amp;L Cost/ A</t>
  </si>
  <si>
    <t>Fuel Cost/ A</t>
  </si>
  <si>
    <t>Machinery and Equipment Costs</t>
  </si>
  <si>
    <t>See 'machinery costs' tab for specific calculations.  Lubrication costs are assumed to be 10% of fuel costs</t>
  </si>
  <si>
    <t>See  'machinery costs' tab for specific calculations.</t>
  </si>
  <si>
    <r>
      <t>Hauling</t>
    </r>
    <r>
      <rPr>
        <vertAlign val="superscript"/>
        <sz val="10"/>
        <rFont val="Arial"/>
        <family val="2"/>
      </rPr>
      <t>7</t>
    </r>
  </si>
  <si>
    <t>Based on use of: preplant Corvus plus atrazine, post glyphosate with ammonium sulfate (AMS).</t>
  </si>
  <si>
    <t>Jeff Stachler, Extension Educator, OSU Extension Auglaize County</t>
  </si>
  <si>
    <r>
      <t>Corn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</si>
  <si>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4</t>
    </r>
  </si>
  <si>
    <r>
      <t>Chemicals</t>
    </r>
    <r>
      <rPr>
        <vertAlign val="superscript"/>
        <sz val="10"/>
        <rFont val="Arial"/>
        <family val="2"/>
      </rPr>
      <t>5</t>
    </r>
  </si>
  <si>
    <r>
      <t>Fuel, Oil, Grease</t>
    </r>
    <r>
      <rPr>
        <vertAlign val="superscript"/>
        <sz val="10"/>
        <rFont val="Arial"/>
        <family val="2"/>
      </rPr>
      <t>8</t>
    </r>
  </si>
  <si>
    <r>
      <t>Repairs</t>
    </r>
    <r>
      <rPr>
        <vertAlign val="superscript"/>
        <sz val="10"/>
        <rFont val="Arial"/>
        <family val="2"/>
      </rPr>
      <t>9</t>
    </r>
  </si>
  <si>
    <r>
      <t>Crop Insurance</t>
    </r>
    <r>
      <rPr>
        <vertAlign val="superscript"/>
        <sz val="10"/>
        <rFont val="Arial"/>
        <family val="2"/>
      </rPr>
      <t>10</t>
    </r>
  </si>
  <si>
    <r>
      <t>Miscellaneous</t>
    </r>
    <r>
      <rPr>
        <vertAlign val="superscript"/>
        <sz val="10"/>
        <rFont val="Arial"/>
        <family val="2"/>
      </rPr>
      <t>11</t>
    </r>
  </si>
  <si>
    <r>
      <t>Hired Labor</t>
    </r>
    <r>
      <rPr>
        <vertAlign val="superscript"/>
        <sz val="10"/>
        <rFont val="Arial"/>
        <family val="2"/>
      </rPr>
      <t>13</t>
    </r>
  </si>
  <si>
    <r>
      <t>Int. on Oper. Cap.</t>
    </r>
    <r>
      <rPr>
        <vertAlign val="superscript"/>
        <sz val="10"/>
        <rFont val="Arial"/>
        <family val="2"/>
      </rPr>
      <t>14</t>
    </r>
  </si>
  <si>
    <r>
      <t>Labor Charge</t>
    </r>
    <r>
      <rPr>
        <vertAlign val="superscript"/>
        <sz val="10"/>
        <rFont val="Arial"/>
        <family val="2"/>
      </rPr>
      <t>15</t>
    </r>
  </si>
  <si>
    <r>
      <t>Management Charge</t>
    </r>
    <r>
      <rPr>
        <vertAlign val="superscript"/>
        <sz val="10"/>
        <rFont val="Arial"/>
        <family val="2"/>
      </rPr>
      <t>16</t>
    </r>
  </si>
  <si>
    <r>
      <t>Mach. And Equip. Charge</t>
    </r>
    <r>
      <rPr>
        <vertAlign val="superscript"/>
        <sz val="10"/>
        <rFont val="Arial"/>
        <family val="2"/>
      </rPr>
      <t>17</t>
    </r>
  </si>
  <si>
    <r>
      <t>Land Charge</t>
    </r>
    <r>
      <rPr>
        <vertAlign val="superscript"/>
        <sz val="10"/>
        <rFont val="Arial"/>
        <family val="2"/>
      </rPr>
      <t>18</t>
    </r>
  </si>
  <si>
    <r>
      <t>Miscellaneous</t>
    </r>
    <r>
      <rPr>
        <vertAlign val="superscript"/>
        <sz val="10"/>
        <rFont val="Arial"/>
        <family val="2"/>
      </rPr>
      <t>19</t>
    </r>
  </si>
  <si>
    <t>Interest on all variable costs, except drying, hauling and crop insurance</t>
  </si>
  <si>
    <t>See 'machinery costs' tab for specific calculations.</t>
  </si>
  <si>
    <t>Peter Thomison, Extension Corn Specialist; Mark Loux, Extension Specialist, Weed Management in Field Crops</t>
  </si>
  <si>
    <t>ARC/PLC +MFP</t>
  </si>
  <si>
    <t>Fertilizer+Soil Amendment</t>
  </si>
  <si>
    <t>Chemicals (Crop Protection)</t>
  </si>
  <si>
    <t xml:space="preserve">Fuel </t>
  </si>
  <si>
    <t>Repairs</t>
  </si>
  <si>
    <t>Crop Insurance</t>
  </si>
  <si>
    <t>All Other</t>
  </si>
  <si>
    <t>Hauling based on Ohio Farm Custom Rates charge per bushel - Farm to Market - 30 miles, one-way</t>
  </si>
  <si>
    <t>Commodity Program Payment estimates were calculated by using a 40 year trend estimate for Ohio commodity specific yields and the</t>
  </si>
  <si>
    <t>Yield is based on Ohio NASS 20 Year Trend Yield for Ohio plus and minus 20%.</t>
  </si>
  <si>
    <t>Price is based on current CME December Futures less $0.20 basis.</t>
  </si>
  <si>
    <t>Grower or Market Premium</t>
  </si>
  <si>
    <t>Crop Insurance: Revenue Protection (with Trend Adjusted Yield Endorsement), Basic (without SCO), 80% coverage level.</t>
  </si>
  <si>
    <t>Dianne Shoemaker, Field Specialist, Dairy Production Economics</t>
  </si>
  <si>
    <t>Authors:</t>
  </si>
  <si>
    <t>Labor hours: FINBIN, Labor rate: Ohio Farm Custom Rates</t>
  </si>
  <si>
    <t>Total Costs / Acre</t>
  </si>
  <si>
    <t>Total Variable Costs / Acre</t>
  </si>
  <si>
    <t>CORN PRODUCTION BUDGET- 2021</t>
  </si>
  <si>
    <r>
      <t>ARC/PLC Payment (paid October 2022)</t>
    </r>
    <r>
      <rPr>
        <vertAlign val="superscript"/>
        <sz val="10"/>
        <rFont val="Arial"/>
        <family val="2"/>
      </rPr>
      <t>2</t>
    </r>
  </si>
  <si>
    <t>Ad Hoc Payment</t>
  </si>
  <si>
    <t xml:space="preserve">2021/2022 marketing year average price: USDA baseline: ARC-CO, ARC-IC &amp; PLC. </t>
  </si>
  <si>
    <t>Drying costs are based on Ohio Farm Custom Rates - 3.9 cents per bushel per point of moisture removed  - 5% moisture removed</t>
  </si>
  <si>
    <t>CORN BUDGET - 2021</t>
  </si>
  <si>
    <t>1/06/2021</t>
  </si>
  <si>
    <t>share of commodity specific base acres to the aggregate total. Both numbers were provided by the Farm Service Agency.</t>
  </si>
  <si>
    <t>Payments for corn, soybeans and wheat were weighted by the share of acres enrolled in ARC-CO, ARC-IC and PLC and then by the</t>
  </si>
  <si>
    <t xml:space="preserve">values of 25 ppm P/A and 125 ppm K/A. Fertilizer prices vary over time and area. Check with local sources for current prices. </t>
  </si>
  <si>
    <t>Assumes maintenance application of P &amp;K fertilizer needed, corn-soybean rotation, 3.8 O.M., 20 CEC, and soil test</t>
  </si>
  <si>
    <t>Nitrogen (N) rates based on Maximum Return to Nitrogen (MRTN). Corn Nitrogen Rate Calculator http://cnrc.agron.iastate.edu/</t>
  </si>
  <si>
    <t>Barry Ward, Leader, Production Business Management; Ben Brown, Asst. Prof. of Professional Practice-Agricultural 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</si>
</sst>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"/>
    <numFmt numFmtId="169" formatCode="&quot;$&quot;#,##0.000"/>
  </numFmts>
  <fonts count="2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sz val="8"/>
      <name val="Arial"/>
      <family val="2"/>
    </font>
    <font>
      <sz val="19"/>
      <name val="Arial"/>
      <family val="2"/>
    </font>
    <font>
      <b/>
      <sz val="19"/>
      <name val="Arial"/>
      <family val="2"/>
    </font>
    <font>
      <b/>
      <i/>
      <sz val="1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2" xfId="0" applyFont="1" applyBorder="1"/>
    <xf numFmtId="1" fontId="2" fillId="0" borderId="2" xfId="0" applyNumberFormat="1" applyFont="1" applyBorder="1"/>
    <xf numFmtId="0" fontId="4" fillId="0" borderId="0" xfId="0" applyFont="1"/>
    <xf numFmtId="1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9" fillId="0" borderId="0" xfId="0" applyFont="1"/>
    <xf numFmtId="0" fontId="10" fillId="0" borderId="0" xfId="0" applyFont="1"/>
    <xf numFmtId="2" fontId="10" fillId="0" borderId="0" xfId="0" applyNumberFormat="1" applyFont="1"/>
    <xf numFmtId="0" fontId="9" fillId="0" borderId="0" xfId="0" applyFont="1" applyAlignment="1"/>
    <xf numFmtId="0" fontId="10" fillId="0" borderId="0" xfId="0" applyFont="1" applyAlignment="1"/>
    <xf numFmtId="0" fontId="10" fillId="0" borderId="3" xfId="0" applyFont="1" applyBorder="1"/>
    <xf numFmtId="0" fontId="11" fillId="0" borderId="3" xfId="0" applyFont="1" applyBorder="1"/>
    <xf numFmtId="2" fontId="10" fillId="0" borderId="3" xfId="0" applyNumberFormat="1" applyFont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9" fontId="10" fillId="0" borderId="0" xfId="2" applyFont="1"/>
    <xf numFmtId="0" fontId="11" fillId="0" borderId="0" xfId="0" applyFont="1"/>
    <xf numFmtId="167" fontId="11" fillId="0" borderId="0" xfId="1" applyNumberFormat="1" applyFont="1" applyAlignment="1">
      <alignment horizontal="center"/>
    </xf>
    <xf numFmtId="9" fontId="10" fillId="0" borderId="0" xfId="2" applyFont="1" applyAlignment="1">
      <alignment horizontal="right"/>
    </xf>
    <xf numFmtId="167" fontId="10" fillId="0" borderId="0" xfId="1" applyNumberFormat="1" applyFont="1"/>
    <xf numFmtId="2" fontId="11" fillId="0" borderId="0" xfId="0" applyNumberFormat="1" applyFont="1"/>
    <xf numFmtId="167" fontId="11" fillId="0" borderId="0" xfId="0" applyNumberFormat="1" applyFont="1" applyAlignment="1">
      <alignment horizontal="right"/>
    </xf>
    <xf numFmtId="0" fontId="10" fillId="0" borderId="0" xfId="0" applyFont="1" applyFill="1"/>
    <xf numFmtId="9" fontId="11" fillId="0" borderId="0" xfId="2" applyFont="1" applyAlignment="1">
      <alignment horizontal="right"/>
    </xf>
    <xf numFmtId="165" fontId="0" fillId="0" borderId="0" xfId="0" applyNumberForma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0" fillId="0" borderId="0" xfId="0" applyFont="1" applyBorder="1"/>
    <xf numFmtId="164" fontId="2" fillId="0" borderId="0" xfId="0" applyNumberFormat="1" applyFont="1"/>
    <xf numFmtId="0" fontId="3" fillId="0" borderId="0" xfId="0" applyFont="1"/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/>
    <xf numFmtId="2" fontId="4" fillId="0" borderId="0" xfId="0" applyNumberFormat="1" applyFont="1"/>
    <xf numFmtId="1" fontId="4" fillId="0" borderId="0" xfId="0" applyNumberFormat="1" applyFont="1"/>
    <xf numFmtId="0" fontId="2" fillId="0" borderId="0" xfId="0" quotePrefix="1" applyFont="1"/>
    <xf numFmtId="0" fontId="9" fillId="0" borderId="0" xfId="0" applyFont="1" applyAlignment="1">
      <alignment horizontal="right"/>
    </xf>
    <xf numFmtId="49" fontId="2" fillId="0" borderId="0" xfId="0" applyNumberFormat="1" applyFont="1"/>
    <xf numFmtId="0" fontId="10" fillId="2" borderId="0" xfId="0" applyFont="1" applyFill="1"/>
    <xf numFmtId="0" fontId="10" fillId="3" borderId="0" xfId="0" applyFont="1" applyFill="1"/>
    <xf numFmtId="165" fontId="12" fillId="3" borderId="0" xfId="0" applyNumberFormat="1" applyFont="1" applyFill="1"/>
    <xf numFmtId="1" fontId="12" fillId="3" borderId="2" xfId="0" applyNumberFormat="1" applyFont="1" applyFill="1" applyBorder="1"/>
    <xf numFmtId="0" fontId="12" fillId="3" borderId="0" xfId="0" applyFont="1" applyFill="1" applyAlignment="1">
      <alignment horizontal="right"/>
    </xf>
    <xf numFmtId="0" fontId="12" fillId="3" borderId="0" xfId="0" applyFont="1" applyFill="1"/>
    <xf numFmtId="164" fontId="12" fillId="3" borderId="0" xfId="0" applyNumberFormat="1" applyFont="1" applyFill="1"/>
    <xf numFmtId="2" fontId="12" fillId="3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10" fontId="12" fillId="3" borderId="0" xfId="0" applyNumberFormat="1" applyFont="1" applyFill="1"/>
    <xf numFmtId="0" fontId="12" fillId="3" borderId="0" xfId="0" applyFont="1" applyFill="1" applyAlignment="1">
      <alignment horizontal="center"/>
    </xf>
    <xf numFmtId="9" fontId="12" fillId="3" borderId="0" xfId="2" applyFont="1" applyFill="1" applyAlignment="1">
      <alignment horizontal="center"/>
    </xf>
    <xf numFmtId="2" fontId="4" fillId="2" borderId="0" xfId="0" applyNumberFormat="1" applyFont="1" applyFill="1"/>
    <xf numFmtId="2" fontId="4" fillId="4" borderId="0" xfId="0" applyNumberFormat="1" applyFont="1" applyFill="1"/>
    <xf numFmtId="0" fontId="10" fillId="4" borderId="0" xfId="0" applyFont="1" applyFill="1"/>
    <xf numFmtId="0" fontId="10" fillId="3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0" fontId="0" fillId="0" borderId="3" xfId="0" applyBorder="1"/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166" fontId="10" fillId="3" borderId="1" xfId="0" applyNumberFormat="1" applyFont="1" applyFill="1" applyBorder="1" applyAlignment="1">
      <alignment horizontal="center"/>
    </xf>
    <xf numFmtId="4" fontId="2" fillId="0" borderId="0" xfId="0" applyNumberFormat="1" applyFont="1"/>
    <xf numFmtId="4" fontId="4" fillId="2" borderId="0" xfId="0" applyNumberFormat="1" applyFont="1" applyFill="1"/>
    <xf numFmtId="4" fontId="0" fillId="0" borderId="0" xfId="0" applyNumberFormat="1"/>
    <xf numFmtId="4" fontId="4" fillId="0" borderId="0" xfId="0" applyNumberFormat="1" applyFont="1"/>
    <xf numFmtId="4" fontId="4" fillId="4" borderId="0" xfId="0" applyNumberFormat="1" applyFont="1" applyFill="1"/>
    <xf numFmtId="4" fontId="2" fillId="0" borderId="0" xfId="0" quotePrefix="1" applyNumberFormat="1" applyFont="1"/>
    <xf numFmtId="4" fontId="4" fillId="0" borderId="0" xfId="0" quotePrefix="1" applyNumberFormat="1" applyFont="1"/>
    <xf numFmtId="0" fontId="10" fillId="0" borderId="3" xfId="0" applyFont="1" applyBorder="1" applyAlignment="1">
      <alignment horizontal="center" wrapText="1"/>
    </xf>
    <xf numFmtId="164" fontId="4" fillId="3" borderId="0" xfId="0" applyNumberFormat="1" applyFont="1" applyFill="1"/>
    <xf numFmtId="2" fontId="4" fillId="0" borderId="0" xfId="0" applyNumberFormat="1" applyFont="1" applyFill="1"/>
    <xf numFmtId="0" fontId="12" fillId="0" borderId="0" xfId="0" applyFont="1" applyFill="1"/>
    <xf numFmtId="0" fontId="10" fillId="0" borderId="0" xfId="0" quotePrefix="1" applyFont="1"/>
    <xf numFmtId="2" fontId="10" fillId="0" borderId="0" xfId="0" quotePrefix="1" applyNumberFormat="1" applyFont="1"/>
    <xf numFmtId="4" fontId="4" fillId="0" borderId="0" xfId="0" applyNumberFormat="1" applyFont="1" applyFill="1"/>
    <xf numFmtId="1" fontId="10" fillId="0" borderId="0" xfId="0" applyNumberFormat="1" applyFont="1" applyFill="1"/>
    <xf numFmtId="2" fontId="11" fillId="0" borderId="0" xfId="0" applyNumberFormat="1" applyFont="1" applyFill="1"/>
    <xf numFmtId="0" fontId="16" fillId="0" borderId="0" xfId="0" applyFont="1"/>
    <xf numFmtId="0" fontId="17" fillId="0" borderId="0" xfId="0" applyFont="1"/>
    <xf numFmtId="0" fontId="17" fillId="4" borderId="2" xfId="0" applyFont="1" applyFill="1" applyBorder="1"/>
    <xf numFmtId="0" fontId="17" fillId="4" borderId="1" xfId="0" applyFont="1" applyFill="1" applyBorder="1"/>
    <xf numFmtId="165" fontId="17" fillId="0" borderId="0" xfId="0" applyNumberFormat="1" applyFont="1"/>
    <xf numFmtId="0" fontId="17" fillId="4" borderId="0" xfId="0" applyFont="1" applyFill="1" applyBorder="1"/>
    <xf numFmtId="166" fontId="18" fillId="4" borderId="1" xfId="0" applyNumberFormat="1" applyFont="1" applyFill="1" applyBorder="1"/>
    <xf numFmtId="166" fontId="18" fillId="4" borderId="0" xfId="0" applyNumberFormat="1" applyFont="1" applyFill="1" applyBorder="1"/>
    <xf numFmtId="0" fontId="16" fillId="0" borderId="1" xfId="0" applyFont="1" applyFill="1" applyBorder="1"/>
    <xf numFmtId="165" fontId="15" fillId="4" borderId="1" xfId="0" applyNumberFormat="1" applyFont="1" applyFill="1" applyBorder="1"/>
    <xf numFmtId="165" fontId="15" fillId="4" borderId="5" xfId="0" applyNumberFormat="1" applyFont="1" applyFill="1" applyBorder="1"/>
    <xf numFmtId="165" fontId="15" fillId="4" borderId="0" xfId="0" applyNumberFormat="1" applyFont="1" applyFill="1" applyBorder="1"/>
    <xf numFmtId="165" fontId="15" fillId="4" borderId="6" xfId="0" applyNumberFormat="1" applyFont="1" applyFill="1" applyBorder="1"/>
    <xf numFmtId="165" fontId="15" fillId="4" borderId="2" xfId="0" applyNumberFormat="1" applyFont="1" applyFill="1" applyBorder="1"/>
    <xf numFmtId="165" fontId="15" fillId="4" borderId="7" xfId="0" applyNumberFormat="1" applyFont="1" applyFill="1" applyBorder="1"/>
    <xf numFmtId="0" fontId="17" fillId="0" borderId="0" xfId="0" applyFont="1" applyFill="1" applyBorder="1"/>
    <xf numFmtId="165" fontId="17" fillId="0" borderId="0" xfId="0" applyNumberFormat="1" applyFont="1" applyFill="1" applyBorder="1"/>
    <xf numFmtId="0" fontId="1" fillId="0" borderId="0" xfId="0" applyFont="1"/>
    <xf numFmtId="4" fontId="2" fillId="0" borderId="0" xfId="0" applyNumberFormat="1" applyFont="1" applyBorder="1"/>
    <xf numFmtId="4" fontId="2" fillId="2" borderId="0" xfId="0" applyNumberFormat="1" applyFont="1" applyFill="1" applyBorder="1"/>
    <xf numFmtId="0" fontId="4" fillId="0" borderId="0" xfId="0" applyFont="1" applyBorder="1"/>
    <xf numFmtId="0" fontId="17" fillId="5" borderId="1" xfId="0" applyFont="1" applyFill="1" applyBorder="1"/>
    <xf numFmtId="165" fontId="17" fillId="5" borderId="1" xfId="0" applyNumberFormat="1" applyFont="1" applyFill="1" applyBorder="1"/>
    <xf numFmtId="0" fontId="1" fillId="0" borderId="0" xfId="0" quotePrefix="1" applyFont="1"/>
    <xf numFmtId="2" fontId="4" fillId="7" borderId="0" xfId="0" applyNumberFormat="1" applyFont="1" applyFill="1"/>
    <xf numFmtId="0" fontId="17" fillId="8" borderId="1" xfId="0" applyFont="1" applyFill="1" applyBorder="1"/>
    <xf numFmtId="0" fontId="15" fillId="0" borderId="0" xfId="0" applyFont="1"/>
    <xf numFmtId="0" fontId="4" fillId="0" borderId="2" xfId="0" applyFont="1" applyBorder="1"/>
    <xf numFmtId="10" fontId="4" fillId="0" borderId="2" xfId="0" applyNumberFormat="1" applyFont="1" applyFill="1" applyBorder="1"/>
    <xf numFmtId="4" fontId="1" fillId="0" borderId="2" xfId="0" applyNumberFormat="1" applyFont="1" applyBorder="1"/>
    <xf numFmtId="165" fontId="12" fillId="0" borderId="0" xfId="0" applyNumberFormat="1" applyFont="1" applyFill="1"/>
    <xf numFmtId="0" fontId="17" fillId="5" borderId="2" xfId="0" applyFont="1" applyFill="1" applyBorder="1"/>
    <xf numFmtId="0" fontId="17" fillId="5" borderId="0" xfId="0" applyFont="1" applyFill="1" applyBorder="1"/>
    <xf numFmtId="7" fontId="18" fillId="4" borderId="2" xfId="0" applyNumberFormat="1" applyFont="1" applyFill="1" applyBorder="1"/>
    <xf numFmtId="2" fontId="4" fillId="8" borderId="0" xfId="0" applyNumberFormat="1" applyFont="1" applyFill="1"/>
    <xf numFmtId="0" fontId="0" fillId="0" borderId="1" xfId="0" applyBorder="1"/>
    <xf numFmtId="0" fontId="0" fillId="9" borderId="0" xfId="0" applyFill="1"/>
    <xf numFmtId="4" fontId="4" fillId="0" borderId="2" xfId="0" applyNumberFormat="1" applyFont="1" applyFill="1" applyBorder="1"/>
    <xf numFmtId="165" fontId="18" fillId="4" borderId="2" xfId="0" applyNumberFormat="1" applyFont="1" applyFill="1" applyBorder="1"/>
    <xf numFmtId="10" fontId="1" fillId="0" borderId="0" xfId="0" applyNumberFormat="1" applyFont="1"/>
    <xf numFmtId="10" fontId="0" fillId="0" borderId="0" xfId="0" applyNumberFormat="1"/>
    <xf numFmtId="4" fontId="1" fillId="0" borderId="0" xfId="0" applyNumberFormat="1" applyFont="1"/>
    <xf numFmtId="0" fontId="17" fillId="10" borderId="0" xfId="0" applyFont="1" applyFill="1"/>
    <xf numFmtId="165" fontId="0" fillId="0" borderId="0" xfId="0" applyNumberFormat="1" applyFill="1"/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7" fontId="10" fillId="0" borderId="0" xfId="1" applyNumberFormat="1" applyFont="1" applyFill="1"/>
    <xf numFmtId="0" fontId="11" fillId="0" borderId="0" xfId="0" applyFont="1" applyFill="1"/>
    <xf numFmtId="167" fontId="11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Alignment="1">
      <alignment horizontal="center"/>
    </xf>
    <xf numFmtId="3" fontId="10" fillId="0" borderId="1" xfId="0" applyNumberFormat="1" applyFont="1" applyFill="1" applyBorder="1"/>
    <xf numFmtId="3" fontId="10" fillId="0" borderId="0" xfId="0" applyNumberFormat="1" applyFont="1" applyBorder="1"/>
    <xf numFmtId="3" fontId="10" fillId="0" borderId="2" xfId="0" applyNumberFormat="1" applyFont="1" applyBorder="1"/>
    <xf numFmtId="4" fontId="10" fillId="0" borderId="2" xfId="0" applyNumberFormat="1" applyFont="1" applyFill="1" applyBorder="1" applyAlignment="1">
      <alignment horizontal="center"/>
    </xf>
    <xf numFmtId="2" fontId="4" fillId="5" borderId="0" xfId="0" applyNumberFormat="1" applyFont="1" applyFill="1"/>
    <xf numFmtId="168" fontId="10" fillId="0" borderId="1" xfId="0" applyNumberFormat="1" applyFont="1" applyFill="1" applyBorder="1" applyAlignment="1">
      <alignment horizontal="center"/>
    </xf>
    <xf numFmtId="168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168" fontId="12" fillId="2" borderId="0" xfId="0" applyNumberFormat="1" applyFont="1" applyFill="1"/>
    <xf numFmtId="2" fontId="10" fillId="0" borderId="2" xfId="0" applyNumberFormat="1" applyFont="1" applyBorder="1"/>
    <xf numFmtId="2" fontId="10" fillId="0" borderId="1" xfId="0" applyNumberFormat="1" applyFont="1" applyBorder="1"/>
    <xf numFmtId="2" fontId="10" fillId="0" borderId="0" xfId="0" applyNumberFormat="1" applyFont="1" applyAlignment="1">
      <alignment horizontal="center" wrapText="1"/>
    </xf>
    <xf numFmtId="0" fontId="10" fillId="0" borderId="1" xfId="0" applyFont="1" applyBorder="1"/>
    <xf numFmtId="166" fontId="10" fillId="3" borderId="2" xfId="0" applyNumberFormat="1" applyFont="1" applyFill="1" applyBorder="1" applyAlignment="1">
      <alignment horizontal="center"/>
    </xf>
    <xf numFmtId="168" fontId="10" fillId="0" borderId="2" xfId="0" applyNumberFormat="1" applyFont="1" applyFill="1" applyBorder="1" applyAlignment="1">
      <alignment horizontal="center"/>
    </xf>
    <xf numFmtId="4" fontId="2" fillId="0" borderId="2" xfId="0" applyNumberFormat="1" applyFont="1" applyBorder="1"/>
    <xf numFmtId="0" fontId="4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4" fontId="4" fillId="0" borderId="1" xfId="0" applyNumberFormat="1" applyFont="1" applyFill="1" applyBorder="1"/>
    <xf numFmtId="165" fontId="10" fillId="0" borderId="0" xfId="0" applyNumberFormat="1" applyFont="1"/>
    <xf numFmtId="165" fontId="10" fillId="0" borderId="1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65" fontId="10" fillId="0" borderId="0" xfId="0" quotePrefix="1" applyNumberFormat="1" applyFont="1" applyFill="1" applyBorder="1" applyAlignment="1">
      <alignment horizontal="center"/>
    </xf>
    <xf numFmtId="165" fontId="10" fillId="0" borderId="2" xfId="0" quotePrefix="1" applyNumberFormat="1" applyFont="1" applyFill="1" applyBorder="1" applyAlignment="1">
      <alignment horizontal="center"/>
    </xf>
    <xf numFmtId="165" fontId="10" fillId="0" borderId="0" xfId="0" applyNumberFormat="1" applyFont="1" applyFill="1"/>
    <xf numFmtId="165" fontId="11" fillId="0" borderId="0" xfId="0" applyNumberFormat="1" applyFont="1" applyFill="1"/>
    <xf numFmtId="165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right"/>
    </xf>
    <xf numFmtId="165" fontId="11" fillId="0" borderId="0" xfId="0" applyNumberFormat="1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165" fontId="10" fillId="0" borderId="2" xfId="0" applyNumberFormat="1" applyFont="1" applyBorder="1"/>
    <xf numFmtId="0" fontId="10" fillId="0" borderId="3" xfId="0" applyFont="1" applyBorder="1" applyAlignment="1">
      <alignment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Fill="1" applyAlignment="1">
      <alignment horizontal="left"/>
    </xf>
    <xf numFmtId="4" fontId="1" fillId="0" borderId="0" xfId="0" quotePrefix="1" applyNumberFormat="1" applyFont="1"/>
    <xf numFmtId="169" fontId="4" fillId="6" borderId="0" xfId="0" applyNumberFormat="1" applyFont="1" applyFill="1"/>
    <xf numFmtId="0" fontId="12" fillId="0" borderId="0" xfId="0" applyFont="1" applyFill="1" applyAlignment="1">
      <alignment horizontal="right"/>
    </xf>
    <xf numFmtId="10" fontId="12" fillId="0" borderId="0" xfId="0" applyNumberFormat="1" applyFont="1" applyFill="1"/>
    <xf numFmtId="16" fontId="1" fillId="0" borderId="0" xfId="0" applyNumberFormat="1" applyFont="1"/>
    <xf numFmtId="0" fontId="15" fillId="11" borderId="4" xfId="0" applyFont="1" applyFill="1" applyBorder="1"/>
    <xf numFmtId="0" fontId="17" fillId="11" borderId="5" xfId="0" applyFont="1" applyFill="1" applyBorder="1"/>
    <xf numFmtId="0" fontId="15" fillId="11" borderId="1" xfId="0" applyFont="1" applyFill="1" applyBorder="1"/>
    <xf numFmtId="0" fontId="17" fillId="11" borderId="1" xfId="0" applyFont="1" applyFill="1" applyBorder="1"/>
    <xf numFmtId="164" fontId="1" fillId="0" borderId="0" xfId="0" applyNumberFormat="1" applyFont="1" applyFill="1" applyBorder="1"/>
    <xf numFmtId="4" fontId="1" fillId="0" borderId="0" xfId="0" applyNumberFormat="1" applyFont="1" applyBorder="1"/>
    <xf numFmtId="49" fontId="4" fillId="0" borderId="0" xfId="0" applyNumberFormat="1" applyFont="1"/>
    <xf numFmtId="0" fontId="20" fillId="4" borderId="2" xfId="0" applyFont="1" applyFill="1" applyBorder="1"/>
    <xf numFmtId="0" fontId="20" fillId="4" borderId="0" xfId="0" applyFont="1" applyFill="1" applyBorder="1"/>
    <xf numFmtId="165" fontId="21" fillId="4" borderId="0" xfId="0" applyNumberFormat="1" applyFont="1" applyFill="1" applyBorder="1"/>
    <xf numFmtId="165" fontId="21" fillId="4" borderId="6" xfId="0" applyNumberFormat="1" applyFont="1" applyFill="1" applyBorder="1"/>
    <xf numFmtId="165" fontId="22" fillId="4" borderId="1" xfId="0" applyNumberFormat="1" applyFont="1" applyFill="1" applyBorder="1"/>
    <xf numFmtId="1" fontId="21" fillId="11" borderId="8" xfId="0" applyNumberFormat="1" applyFont="1" applyFill="1" applyBorder="1" applyAlignment="1"/>
    <xf numFmtId="0" fontId="21" fillId="11" borderId="2" xfId="0" applyFont="1" applyFill="1" applyBorder="1" applyAlignment="1"/>
    <xf numFmtId="1" fontId="21" fillId="11" borderId="7" xfId="0" applyNumberFormat="1" applyFont="1" applyFill="1" applyBorder="1" applyAlignment="1"/>
    <xf numFmtId="0" fontId="20" fillId="8" borderId="0" xfId="0" applyFont="1" applyFill="1" applyBorder="1"/>
    <xf numFmtId="3" fontId="12" fillId="0" borderId="0" xfId="0" applyNumberFormat="1" applyFont="1" applyFill="1"/>
    <xf numFmtId="166" fontId="10" fillId="3" borderId="0" xfId="0" applyNumberFormat="1" applyFont="1" applyFill="1"/>
    <xf numFmtId="166" fontId="10" fillId="0" borderId="0" xfId="0" applyNumberFormat="1" applyFont="1" applyFill="1"/>
    <xf numFmtId="4" fontId="4" fillId="5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</xf>
    <xf numFmtId="14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4" fillId="11" borderId="9" xfId="0" applyFont="1" applyFill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14" fillId="11" borderId="11" xfId="0" applyFont="1" applyFill="1" applyBorder="1" applyAlignment="1">
      <alignment horizontal="center"/>
    </xf>
    <xf numFmtId="0" fontId="14" fillId="11" borderId="12" xfId="0" applyFont="1" applyFill="1" applyBorder="1" applyAlignment="1">
      <alignment horizontal="center"/>
    </xf>
    <xf numFmtId="0" fontId="14" fillId="11" borderId="1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5050"/>
      <color rgb="FFB2B2B2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4</xdr:col>
      <xdr:colOff>510540</xdr:colOff>
      <xdr:row>4</xdr:row>
      <xdr:rowOff>97887</xdr:rowOff>
    </xdr:to>
    <xdr:pic>
      <xdr:nvPicPr>
        <xdr:cNvPr id="1634" name="Picture 2" descr="OSU Extension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1914525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"/>
  <sheetViews>
    <sheetView showGridLines="0" tabSelected="1" view="pageBreakPreview" zoomScaleNormal="100" zoomScaleSheetLayoutView="100" workbookViewId="0">
      <selection activeCell="G1" sqref="G1"/>
    </sheetView>
  </sheetViews>
  <sheetFormatPr defaultRowHeight="12.75" x14ac:dyDescent="0.2"/>
  <cols>
    <col min="1" max="1" width="2.85546875" customWidth="1"/>
    <col min="2" max="2" width="2.5703125" customWidth="1"/>
    <col min="4" max="4" width="7" customWidth="1"/>
    <col min="5" max="5" width="8.5703125" customWidth="1"/>
    <col min="6" max="9" width="9.42578125" customWidth="1"/>
    <col min="10" max="10" width="7" customWidth="1"/>
    <col min="11" max="11" width="8.5703125" customWidth="1"/>
    <col min="12" max="14" width="8.5703125" style="14" customWidth="1"/>
    <col min="15" max="15" width="8.7109375" customWidth="1"/>
  </cols>
  <sheetData>
    <row r="1" spans="1:16" ht="15.75" x14ac:dyDescent="0.25">
      <c r="A1" s="123"/>
      <c r="B1" s="123"/>
      <c r="C1" s="123"/>
      <c r="D1" s="123"/>
      <c r="E1" s="123"/>
      <c r="G1" s="39" t="s">
        <v>167</v>
      </c>
    </row>
    <row r="2" spans="1:16" ht="15.75" x14ac:dyDescent="0.25">
      <c r="A2" s="123"/>
      <c r="B2" s="123"/>
      <c r="C2" s="123"/>
      <c r="D2" s="123"/>
      <c r="E2" s="123"/>
      <c r="G2" s="39" t="s">
        <v>96</v>
      </c>
    </row>
    <row r="3" spans="1:16" ht="13.15" customHeight="1" x14ac:dyDescent="0.2">
      <c r="A3" s="123"/>
      <c r="B3" s="123"/>
      <c r="C3" s="123"/>
      <c r="D3" s="123"/>
      <c r="E3" s="123"/>
      <c r="G3" t="s">
        <v>69</v>
      </c>
    </row>
    <row r="4" spans="1:16" ht="15.6" customHeight="1" x14ac:dyDescent="0.2">
      <c r="A4" s="123"/>
      <c r="B4" s="123"/>
      <c r="C4" s="123"/>
      <c r="D4" s="123"/>
      <c r="E4" s="123"/>
    </row>
    <row r="5" spans="1:16" ht="15.6" customHeight="1" x14ac:dyDescent="0.2">
      <c r="A5" s="123"/>
      <c r="B5" s="123"/>
      <c r="C5" s="123"/>
      <c r="D5" s="123"/>
      <c r="E5" s="123"/>
      <c r="K5" s="42" t="s">
        <v>47</v>
      </c>
      <c r="M5" s="202" t="s">
        <v>173</v>
      </c>
      <c r="N5" s="203"/>
    </row>
    <row r="6" spans="1:16" ht="14.25" x14ac:dyDescent="0.2">
      <c r="A6" s="200" t="s">
        <v>0</v>
      </c>
      <c r="B6" s="200"/>
      <c r="C6" s="200"/>
      <c r="D6" s="200"/>
      <c r="E6" s="201" t="s">
        <v>1</v>
      </c>
      <c r="F6" s="201"/>
      <c r="G6" s="201"/>
      <c r="H6" s="40" t="s">
        <v>3</v>
      </c>
      <c r="I6" s="36" t="s">
        <v>2</v>
      </c>
      <c r="J6" s="3"/>
      <c r="K6" s="122"/>
      <c r="L6" s="35" t="s">
        <v>37</v>
      </c>
      <c r="M6" s="35"/>
      <c r="N6" s="3" t="s">
        <v>3</v>
      </c>
    </row>
    <row r="7" spans="1:16" x14ac:dyDescent="0.2">
      <c r="A7" s="4"/>
      <c r="B7" s="4"/>
      <c r="C7" s="4"/>
      <c r="D7" s="4"/>
      <c r="E7" s="4"/>
      <c r="F7" s="4"/>
      <c r="G7" s="4"/>
      <c r="H7" s="5" t="s">
        <v>31</v>
      </c>
      <c r="I7" s="5" t="s">
        <v>4</v>
      </c>
      <c r="J7" s="5"/>
      <c r="K7" s="6"/>
      <c r="L7" s="6"/>
      <c r="M7" s="6"/>
      <c r="N7" s="5" t="s">
        <v>5</v>
      </c>
    </row>
    <row r="8" spans="1:16" x14ac:dyDescent="0.2">
      <c r="A8" s="7"/>
      <c r="B8" s="7"/>
      <c r="C8" s="7"/>
      <c r="D8" s="7"/>
      <c r="E8" s="7"/>
      <c r="F8" s="7"/>
      <c r="G8" s="7"/>
      <c r="H8" s="41" t="s">
        <v>32</v>
      </c>
      <c r="I8" s="7"/>
      <c r="J8" s="7"/>
      <c r="K8" s="8">
        <f>L8-(L8*0.2)</f>
        <v>140.07999999999998</v>
      </c>
      <c r="L8" s="8">
        <v>175.1</v>
      </c>
      <c r="M8" s="8">
        <f>L8+(L8*0.2)</f>
        <v>210.12</v>
      </c>
      <c r="N8" s="50">
        <v>215</v>
      </c>
      <c r="O8" s="184"/>
      <c r="P8" s="184"/>
    </row>
    <row r="9" spans="1:16" x14ac:dyDescent="0.2">
      <c r="A9" s="9" t="s">
        <v>6</v>
      </c>
      <c r="B9" s="1"/>
      <c r="C9" s="1"/>
      <c r="D9" s="1"/>
      <c r="F9" s="1"/>
      <c r="G9" s="1"/>
      <c r="H9" s="1"/>
      <c r="I9" s="1"/>
      <c r="J9" s="1"/>
      <c r="K9" s="10"/>
      <c r="L9" s="10"/>
      <c r="M9" s="10"/>
      <c r="N9" s="10"/>
    </row>
    <row r="10" spans="1:16" ht="14.25" x14ac:dyDescent="0.2">
      <c r="A10" s="1"/>
      <c r="B10" s="104" t="s">
        <v>132</v>
      </c>
      <c r="C10" s="1"/>
      <c r="D10" s="1"/>
      <c r="F10" s="1"/>
      <c r="G10" s="1"/>
      <c r="H10" s="1"/>
      <c r="I10" s="49">
        <v>4</v>
      </c>
      <c r="J10" s="1" t="s">
        <v>7</v>
      </c>
      <c r="K10" s="71">
        <f>+$I$10*K8</f>
        <v>560.31999999999994</v>
      </c>
      <c r="L10" s="71">
        <f>+$I$10*L8</f>
        <v>700.4</v>
      </c>
      <c r="M10" s="71">
        <f>+$I$10*M8</f>
        <v>840.48</v>
      </c>
      <c r="N10" s="72">
        <f>+$I$10*N8</f>
        <v>860</v>
      </c>
    </row>
    <row r="11" spans="1:16" ht="14.25" x14ac:dyDescent="0.2">
      <c r="A11" s="1"/>
      <c r="B11" s="104" t="s">
        <v>168</v>
      </c>
      <c r="C11" s="1"/>
      <c r="D11" s="1"/>
      <c r="F11" s="1"/>
      <c r="G11" s="1"/>
      <c r="H11" s="1"/>
      <c r="I11" s="117"/>
      <c r="J11" s="1"/>
      <c r="K11" s="71">
        <v>12.75</v>
      </c>
      <c r="L11" s="71">
        <v>12.75</v>
      </c>
      <c r="M11" s="71">
        <v>12.75</v>
      </c>
      <c r="N11" s="199">
        <v>12.75</v>
      </c>
    </row>
    <row r="12" spans="1:16" x14ac:dyDescent="0.2">
      <c r="A12" s="1"/>
      <c r="B12" s="104" t="s">
        <v>81</v>
      </c>
      <c r="C12" s="1"/>
      <c r="D12" s="1"/>
      <c r="F12" s="1"/>
      <c r="G12" s="1"/>
      <c r="H12" s="1"/>
      <c r="I12" s="117"/>
      <c r="J12" s="1"/>
      <c r="K12" s="71">
        <v>0</v>
      </c>
      <c r="L12" s="71">
        <v>0</v>
      </c>
      <c r="M12" s="71">
        <v>0</v>
      </c>
      <c r="N12" s="199">
        <v>0</v>
      </c>
    </row>
    <row r="13" spans="1:16" x14ac:dyDescent="0.2">
      <c r="A13" s="1"/>
      <c r="B13" s="104" t="s">
        <v>169</v>
      </c>
      <c r="D13" s="1"/>
      <c r="E13" s="1"/>
      <c r="F13" s="117"/>
      <c r="G13" s="55"/>
      <c r="H13" s="55"/>
      <c r="I13" s="117"/>
      <c r="J13" s="44"/>
      <c r="K13" s="71">
        <v>0</v>
      </c>
      <c r="L13" s="71">
        <v>0</v>
      </c>
      <c r="M13" s="71">
        <v>0</v>
      </c>
      <c r="N13" s="199">
        <v>0</v>
      </c>
    </row>
    <row r="14" spans="1:16" x14ac:dyDescent="0.2">
      <c r="A14" s="1"/>
      <c r="B14" s="104" t="s">
        <v>160</v>
      </c>
      <c r="D14" s="1"/>
      <c r="E14" s="1"/>
      <c r="F14" s="117"/>
      <c r="G14" s="55"/>
      <c r="H14" s="55"/>
      <c r="I14" s="117"/>
      <c r="J14" s="44"/>
      <c r="K14" s="71">
        <v>0</v>
      </c>
      <c r="L14" s="71">
        <v>0</v>
      </c>
      <c r="M14" s="71">
        <v>0</v>
      </c>
      <c r="N14" s="199">
        <v>0</v>
      </c>
    </row>
    <row r="15" spans="1:16" x14ac:dyDescent="0.2">
      <c r="A15" s="1"/>
      <c r="B15" s="1"/>
      <c r="C15" s="1"/>
      <c r="D15" s="1"/>
      <c r="E15" s="13"/>
      <c r="F15" s="13"/>
      <c r="G15" s="13"/>
      <c r="H15" s="13"/>
      <c r="I15" s="11"/>
      <c r="J15" s="13"/>
      <c r="K15" s="71"/>
      <c r="L15" s="71"/>
      <c r="M15" s="71"/>
      <c r="N15" s="74"/>
    </row>
    <row r="16" spans="1:16" x14ac:dyDescent="0.2">
      <c r="A16" s="9" t="s">
        <v>27</v>
      </c>
      <c r="B16" s="1"/>
      <c r="C16" s="1"/>
      <c r="D16" s="1"/>
      <c r="E16" s="1"/>
      <c r="F16" s="1"/>
      <c r="G16" s="1"/>
      <c r="H16" s="1"/>
      <c r="I16" s="11"/>
      <c r="J16" s="1"/>
      <c r="K16" s="71">
        <f>SUM(K10:K13)</f>
        <v>573.06999999999994</v>
      </c>
      <c r="L16" s="71">
        <f>SUM(L10:L13)</f>
        <v>713.15</v>
      </c>
      <c r="M16" s="71">
        <f>SUM(M10:M13)</f>
        <v>853.23</v>
      </c>
      <c r="N16" s="72">
        <f>SUM(N10:N13)</f>
        <v>872.75</v>
      </c>
    </row>
    <row r="17" spans="1:20" ht="4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0"/>
      <c r="L17" s="10"/>
      <c r="M17" s="10"/>
      <c r="N17" s="43"/>
    </row>
    <row r="18" spans="1:20" x14ac:dyDescent="0.2">
      <c r="A18" s="9" t="s">
        <v>8</v>
      </c>
      <c r="B18" s="1"/>
      <c r="C18" s="1"/>
      <c r="D18" s="1"/>
      <c r="E18" s="1"/>
      <c r="F18" s="1"/>
      <c r="G18" s="1"/>
      <c r="H18" s="1"/>
      <c r="I18" s="1"/>
      <c r="J18" s="11"/>
      <c r="K18" s="10"/>
      <c r="L18" s="10"/>
      <c r="M18" s="10"/>
      <c r="N18" s="43"/>
    </row>
    <row r="19" spans="1:20" ht="14.25" x14ac:dyDescent="0.2">
      <c r="A19" s="1"/>
      <c r="B19" s="1" t="s">
        <v>38</v>
      </c>
      <c r="C19" s="1"/>
      <c r="D19" s="1"/>
      <c r="E19" s="1">
        <v>28000</v>
      </c>
      <c r="F19" s="1">
        <v>32000</v>
      </c>
      <c r="G19" s="1">
        <v>34000</v>
      </c>
      <c r="H19" s="52">
        <v>34000</v>
      </c>
      <c r="I19" s="49">
        <f>I20/80</f>
        <v>3.25</v>
      </c>
      <c r="J19" s="1" t="s">
        <v>29</v>
      </c>
      <c r="K19" s="2">
        <f>+$I$19*E19/1000</f>
        <v>91</v>
      </c>
      <c r="L19" s="2">
        <f>+$I$19*F19/1000</f>
        <v>104</v>
      </c>
      <c r="M19" s="2">
        <f>+$I$19*G19/1000</f>
        <v>110.5</v>
      </c>
      <c r="N19" s="60">
        <f>+$I$19*H19/1000</f>
        <v>110.5</v>
      </c>
      <c r="O19" s="126"/>
    </row>
    <row r="20" spans="1:20" x14ac:dyDescent="0.2">
      <c r="A20" s="1"/>
      <c r="B20" s="1"/>
      <c r="C20" s="1"/>
      <c r="D20" s="1"/>
      <c r="E20" s="1" t="s">
        <v>42</v>
      </c>
      <c r="F20" s="1"/>
      <c r="G20" s="1"/>
      <c r="H20" s="81"/>
      <c r="I20" s="49">
        <v>260</v>
      </c>
      <c r="J20" s="44" t="s">
        <v>43</v>
      </c>
      <c r="K20" s="2"/>
      <c r="L20" s="2"/>
      <c r="M20" s="2"/>
      <c r="N20" s="80"/>
    </row>
    <row r="21" spans="1:20" ht="14.25" x14ac:dyDescent="0.2">
      <c r="A21" s="1"/>
      <c r="B21" s="104" t="s">
        <v>133</v>
      </c>
      <c r="C21" s="1"/>
      <c r="D21" s="1"/>
      <c r="E21" s="1"/>
      <c r="F21" s="1"/>
      <c r="G21" s="1"/>
      <c r="H21" s="55"/>
      <c r="I21" s="56"/>
      <c r="J21" s="12"/>
      <c r="K21" s="2"/>
      <c r="L21" s="2"/>
      <c r="M21" s="2"/>
      <c r="N21" s="42"/>
    </row>
    <row r="22" spans="1:20" x14ac:dyDescent="0.2">
      <c r="A22" s="1"/>
      <c r="B22" s="1"/>
      <c r="C22" s="104" t="s">
        <v>78</v>
      </c>
      <c r="D22" s="1"/>
      <c r="E22" s="1"/>
      <c r="F22" s="1"/>
      <c r="G22" s="1"/>
      <c r="H22" s="55"/>
      <c r="I22" s="56"/>
      <c r="J22" s="12"/>
      <c r="K22" s="2">
        <v>0</v>
      </c>
      <c r="L22" s="2">
        <v>0</v>
      </c>
      <c r="M22" s="2">
        <v>0</v>
      </c>
      <c r="N22" s="121">
        <v>0</v>
      </c>
    </row>
    <row r="23" spans="1:20" x14ac:dyDescent="0.2">
      <c r="A23" s="1"/>
      <c r="B23" s="1"/>
      <c r="C23" s="1" t="s">
        <v>9</v>
      </c>
      <c r="D23" s="1"/>
      <c r="E23" s="38">
        <v>168</v>
      </c>
      <c r="F23" s="38">
        <v>186</v>
      </c>
      <c r="G23" s="38">
        <v>206</v>
      </c>
      <c r="H23" s="53">
        <v>206</v>
      </c>
      <c r="I23" s="54">
        <f>F76/1640</f>
        <v>0.27439024390243905</v>
      </c>
      <c r="J23" s="1" t="s">
        <v>10</v>
      </c>
      <c r="K23" s="2">
        <f>($I$23*E23)+10</f>
        <v>56.09756097560976</v>
      </c>
      <c r="L23" s="2">
        <f>($I$23*F23)+10</f>
        <v>61.036585365853661</v>
      </c>
      <c r="M23" s="2">
        <f>($I$23*G23)+10</f>
        <v>66.524390243902445</v>
      </c>
      <c r="N23" s="60">
        <f>($I$23*H23)+10</f>
        <v>66.524390243902445</v>
      </c>
      <c r="O23" s="104"/>
    </row>
    <row r="24" spans="1:20" ht="15.75" x14ac:dyDescent="0.3">
      <c r="A24" s="1"/>
      <c r="B24" s="1"/>
      <c r="C24" s="1" t="s">
        <v>25</v>
      </c>
      <c r="D24" s="1"/>
      <c r="E24" s="38">
        <f>K8*0.35</f>
        <v>49.027999999999992</v>
      </c>
      <c r="F24" s="38">
        <f>L8*0.35</f>
        <v>61.284999999999997</v>
      </c>
      <c r="G24" s="38">
        <f>M8*0.35</f>
        <v>73.542000000000002</v>
      </c>
      <c r="H24" s="79">
        <f>N8*0.35</f>
        <v>75.25</v>
      </c>
      <c r="I24" s="54">
        <f>I76/1040</f>
        <v>0.46153846153846156</v>
      </c>
      <c r="J24" s="1" t="s">
        <v>10</v>
      </c>
      <c r="K24" s="2">
        <f>+$I$24*E24</f>
        <v>22.62830769230769</v>
      </c>
      <c r="L24" s="2">
        <f>+$I$24*F24</f>
        <v>28.285384615384615</v>
      </c>
      <c r="M24" s="2">
        <f>+$I$24*G24</f>
        <v>33.942461538461544</v>
      </c>
      <c r="N24" s="60">
        <f>+$I$24*H24</f>
        <v>34.730769230769234</v>
      </c>
      <c r="O24" s="213"/>
    </row>
    <row r="25" spans="1:20" ht="15.75" x14ac:dyDescent="0.3">
      <c r="A25" s="1"/>
      <c r="B25" s="1"/>
      <c r="C25" s="1" t="s">
        <v>26</v>
      </c>
      <c r="D25" s="1"/>
      <c r="E25" s="38">
        <f>(K8*0.2)</f>
        <v>28.015999999999998</v>
      </c>
      <c r="F25" s="38">
        <f>(L8*0.2)</f>
        <v>35.020000000000003</v>
      </c>
      <c r="G25" s="38">
        <f>(M8*0.2)</f>
        <v>42.024000000000001</v>
      </c>
      <c r="H25" s="53">
        <f>(N8*0.2)</f>
        <v>43</v>
      </c>
      <c r="I25" s="54">
        <f>M76/1200</f>
        <v>0.27083333333333331</v>
      </c>
      <c r="J25" s="1" t="s">
        <v>10</v>
      </c>
      <c r="K25" s="2">
        <f>+$I$25*E25</f>
        <v>7.5876666666666654</v>
      </c>
      <c r="L25" s="2">
        <f>+$I$25*F25</f>
        <v>9.4845833333333331</v>
      </c>
      <c r="M25" s="2">
        <f>+$I$25*G25</f>
        <v>11.381499999999999</v>
      </c>
      <c r="N25" s="60">
        <f>+$I$25*H25</f>
        <v>11.645833333333332</v>
      </c>
      <c r="O25" s="213"/>
      <c r="P25" s="14"/>
      <c r="Q25" s="14"/>
      <c r="R25" s="14"/>
    </row>
    <row r="26" spans="1:20" x14ac:dyDescent="0.2">
      <c r="A26" s="1"/>
      <c r="B26" s="1"/>
      <c r="C26" s="1" t="s">
        <v>11</v>
      </c>
      <c r="D26" s="1"/>
      <c r="E26" s="1"/>
      <c r="F26" s="1">
        <v>0.25</v>
      </c>
      <c r="G26" s="1"/>
      <c r="H26" s="54">
        <v>0.25</v>
      </c>
      <c r="I26" s="52">
        <v>25</v>
      </c>
      <c r="J26" s="1" t="s">
        <v>12</v>
      </c>
      <c r="K26" s="2">
        <f>+F26*I26</f>
        <v>6.25</v>
      </c>
      <c r="L26" s="2">
        <f>+F26*I26</f>
        <v>6.25</v>
      </c>
      <c r="M26" s="2">
        <f>+F26*I26</f>
        <v>6.25</v>
      </c>
      <c r="N26" s="60">
        <f>+H26*I26</f>
        <v>6.25</v>
      </c>
    </row>
    <row r="27" spans="1:20" ht="14.25" x14ac:dyDescent="0.2">
      <c r="A27" s="1"/>
      <c r="B27" s="104" t="s">
        <v>134</v>
      </c>
      <c r="C27" s="1"/>
      <c r="D27" s="1" t="s">
        <v>39</v>
      </c>
      <c r="E27" s="1"/>
      <c r="F27" s="1"/>
      <c r="G27" s="1"/>
      <c r="H27" s="1"/>
      <c r="I27" s="1"/>
      <c r="J27" s="1"/>
      <c r="K27" s="2">
        <v>46.22</v>
      </c>
      <c r="L27" s="2">
        <v>46.22</v>
      </c>
      <c r="M27" s="2">
        <v>46.22</v>
      </c>
      <c r="N27" s="61">
        <v>46.22</v>
      </c>
      <c r="O27" s="104"/>
      <c r="P27" s="104"/>
    </row>
    <row r="28" spans="1:20" x14ac:dyDescent="0.2">
      <c r="A28" s="1"/>
      <c r="B28" s="1"/>
      <c r="C28" s="1"/>
      <c r="D28" s="1" t="s">
        <v>40</v>
      </c>
      <c r="E28" s="1"/>
      <c r="F28" s="1"/>
      <c r="G28" s="1"/>
      <c r="H28" s="1"/>
      <c r="I28" s="1"/>
      <c r="J28" s="1"/>
      <c r="K28" s="2">
        <v>0</v>
      </c>
      <c r="L28" s="2">
        <v>0</v>
      </c>
      <c r="M28" s="2">
        <v>0</v>
      </c>
      <c r="N28" s="61">
        <v>0</v>
      </c>
      <c r="P28" s="104"/>
    </row>
    <row r="29" spans="1:20" x14ac:dyDescent="0.2">
      <c r="A29" s="1"/>
      <c r="B29" s="1"/>
      <c r="C29" s="1"/>
      <c r="D29" s="1" t="s">
        <v>41</v>
      </c>
      <c r="E29" s="1"/>
      <c r="F29" s="1"/>
      <c r="G29" s="1"/>
      <c r="H29" s="1"/>
      <c r="I29" s="1"/>
      <c r="J29" s="1"/>
      <c r="K29" s="2">
        <v>0</v>
      </c>
      <c r="L29" s="2">
        <v>0</v>
      </c>
      <c r="M29" s="2">
        <v>0</v>
      </c>
      <c r="N29" s="61">
        <v>0</v>
      </c>
      <c r="P29" s="104"/>
      <c r="T29" s="104"/>
    </row>
    <row r="30" spans="1:20" ht="14.25" x14ac:dyDescent="0.2">
      <c r="A30" s="1"/>
      <c r="B30" s="104" t="s">
        <v>99</v>
      </c>
      <c r="C30" s="1"/>
      <c r="D30" s="1"/>
      <c r="E30" s="53">
        <v>20</v>
      </c>
      <c r="F30" s="104" t="s">
        <v>114</v>
      </c>
      <c r="H30" s="147">
        <v>3.9E-2</v>
      </c>
      <c r="I30" s="104" t="s">
        <v>107</v>
      </c>
      <c r="K30" s="2">
        <f>+$H$30*K8*($E$30-15)</f>
        <v>27.315599999999996</v>
      </c>
      <c r="L30" s="2">
        <f t="shared" ref="L30:N30" si="0">+$H$30*L8*($E$30-15)</f>
        <v>34.144500000000001</v>
      </c>
      <c r="M30" s="2">
        <f t="shared" si="0"/>
        <v>40.973399999999998</v>
      </c>
      <c r="N30" s="60">
        <f t="shared" si="0"/>
        <v>41.924999999999997</v>
      </c>
      <c r="O30" s="104"/>
      <c r="P30" s="104"/>
    </row>
    <row r="31" spans="1:20" ht="14.25" x14ac:dyDescent="0.2">
      <c r="A31" s="1"/>
      <c r="B31" s="104" t="s">
        <v>129</v>
      </c>
      <c r="C31" s="1"/>
      <c r="D31" s="1"/>
      <c r="E31" s="176">
        <v>0.155</v>
      </c>
      <c r="F31" s="110" t="s">
        <v>100</v>
      </c>
      <c r="G31" s="1"/>
      <c r="H31" s="196"/>
      <c r="I31" s="104"/>
      <c r="K31" s="2">
        <f>K8*$E$31</f>
        <v>21.712399999999999</v>
      </c>
      <c r="L31" s="2">
        <f t="shared" ref="L31:N31" si="1">L8*$E$31</f>
        <v>27.140499999999999</v>
      </c>
      <c r="M31" s="2">
        <f t="shared" si="1"/>
        <v>32.568600000000004</v>
      </c>
      <c r="N31" s="111">
        <f t="shared" si="1"/>
        <v>33.325000000000003</v>
      </c>
      <c r="O31" s="104"/>
      <c r="P31" s="104"/>
    </row>
    <row r="32" spans="1:20" ht="14.25" x14ac:dyDescent="0.2">
      <c r="A32" s="1"/>
      <c r="B32" s="104" t="s">
        <v>135</v>
      </c>
      <c r="C32" s="1"/>
      <c r="D32" s="1"/>
      <c r="E32" s="1"/>
      <c r="F32" s="1"/>
      <c r="G32" s="1"/>
      <c r="H32" s="1"/>
      <c r="I32" s="1"/>
      <c r="J32" s="1"/>
      <c r="K32" s="2">
        <f>'machinery costs'!P15</f>
        <v>11</v>
      </c>
      <c r="L32" s="2">
        <f>'machinery costs'!P15</f>
        <v>11</v>
      </c>
      <c r="M32" s="2">
        <f>'machinery costs'!P15</f>
        <v>11</v>
      </c>
      <c r="N32" s="111">
        <f>'machinery costs'!P15</f>
        <v>11</v>
      </c>
      <c r="O32" s="104"/>
      <c r="P32" s="128"/>
      <c r="Q32" s="73"/>
      <c r="R32" s="128"/>
      <c r="T32" s="179"/>
    </row>
    <row r="33" spans="1:20" ht="14.25" x14ac:dyDescent="0.2">
      <c r="A33" s="1"/>
      <c r="B33" s="104" t="s">
        <v>136</v>
      </c>
      <c r="C33" s="1"/>
      <c r="D33" s="1"/>
      <c r="E33" s="1"/>
      <c r="F33" s="1"/>
      <c r="G33" s="1"/>
      <c r="H33" s="1"/>
      <c r="I33" s="1"/>
      <c r="J33" s="1"/>
      <c r="K33" s="2">
        <f>'machinery costs'!N13</f>
        <v>25.537047479954939</v>
      </c>
      <c r="L33" s="2">
        <f>'machinery costs'!N13</f>
        <v>25.537047479954939</v>
      </c>
      <c r="M33" s="2">
        <f>'machinery costs'!N13</f>
        <v>25.537047479954939</v>
      </c>
      <c r="N33" s="111">
        <f>'machinery costs'!N13</f>
        <v>25.537047479954939</v>
      </c>
      <c r="O33" s="104"/>
      <c r="P33" s="104"/>
      <c r="T33" s="104"/>
    </row>
    <row r="34" spans="1:20" ht="14.25" x14ac:dyDescent="0.2">
      <c r="A34" s="1"/>
      <c r="B34" s="104" t="s">
        <v>137</v>
      </c>
      <c r="C34" s="1"/>
      <c r="D34" s="1"/>
      <c r="E34" s="1"/>
      <c r="F34" s="1"/>
      <c r="G34" s="1"/>
      <c r="H34" s="1"/>
      <c r="I34" s="1"/>
      <c r="J34" s="1"/>
      <c r="K34" s="2">
        <v>11</v>
      </c>
      <c r="L34" s="2">
        <v>13</v>
      </c>
      <c r="M34" s="2">
        <v>15</v>
      </c>
      <c r="N34" s="61">
        <v>15</v>
      </c>
      <c r="O34" s="104"/>
      <c r="P34" s="128"/>
    </row>
    <row r="35" spans="1:20" ht="14.25" x14ac:dyDescent="0.2">
      <c r="A35" s="1"/>
      <c r="B35" s="104" t="s">
        <v>138</v>
      </c>
      <c r="C35" s="1"/>
      <c r="D35" s="1"/>
      <c r="E35" s="1"/>
      <c r="F35" s="1"/>
      <c r="G35" s="1"/>
      <c r="H35" s="1"/>
      <c r="I35" s="1"/>
      <c r="J35" s="1"/>
      <c r="K35" s="2">
        <v>5.0999999999999996</v>
      </c>
      <c r="L35" s="2">
        <v>5.0999999999999996</v>
      </c>
      <c r="M35" s="2">
        <v>5.0999999999999996</v>
      </c>
      <c r="N35" s="61">
        <v>5.0999999999999996</v>
      </c>
      <c r="O35" s="104"/>
    </row>
    <row r="36" spans="1:20" ht="14.25" x14ac:dyDescent="0.2">
      <c r="A36" s="1"/>
      <c r="B36" s="104" t="s">
        <v>104</v>
      </c>
      <c r="C36" s="1"/>
      <c r="D36" s="1"/>
      <c r="E36" s="1"/>
      <c r="F36" s="1"/>
      <c r="G36" s="1"/>
      <c r="H36" s="1"/>
      <c r="I36" s="1"/>
      <c r="J36" s="1"/>
      <c r="K36" s="2">
        <v>22.2</v>
      </c>
      <c r="L36" s="2">
        <v>22.2</v>
      </c>
      <c r="M36" s="2">
        <v>22.2</v>
      </c>
      <c r="N36" s="143">
        <v>22.2</v>
      </c>
      <c r="O36" s="104"/>
      <c r="P36" s="128"/>
      <c r="Q36" s="73"/>
      <c r="R36" s="73"/>
    </row>
    <row r="37" spans="1:20" ht="14.25" x14ac:dyDescent="0.2">
      <c r="A37" s="1"/>
      <c r="B37" s="104" t="s">
        <v>139</v>
      </c>
      <c r="C37" s="1"/>
      <c r="D37" s="1"/>
      <c r="E37" s="1"/>
      <c r="F37" s="1"/>
      <c r="G37" s="1"/>
      <c r="H37" s="1"/>
      <c r="I37" s="1"/>
      <c r="J37" s="1"/>
      <c r="K37" s="2">
        <v>0</v>
      </c>
      <c r="L37" s="2">
        <v>0</v>
      </c>
      <c r="M37" s="2">
        <v>0</v>
      </c>
      <c r="N37" s="61">
        <v>0</v>
      </c>
      <c r="P37" s="104"/>
    </row>
    <row r="38" spans="1:20" ht="14.25" x14ac:dyDescent="0.2">
      <c r="A38" s="1"/>
      <c r="B38" s="104" t="s">
        <v>140</v>
      </c>
      <c r="C38" s="1"/>
      <c r="D38" s="1"/>
      <c r="E38" s="1"/>
      <c r="F38" s="51">
        <v>7</v>
      </c>
      <c r="G38" s="1" t="s">
        <v>13</v>
      </c>
      <c r="H38" s="1"/>
      <c r="I38" s="57">
        <v>0.04</v>
      </c>
      <c r="J38" s="1"/>
      <c r="K38" s="2">
        <f>(SUM(K19:K37)-K30-K31-K34)*$I$38*($F$38/12)</f>
        <v>6.851146932339244</v>
      </c>
      <c r="L38" s="2">
        <f t="shared" ref="L38:N38" si="2">(SUM(L19:L37)-L30-L31-L34)*$I$38*($F$38/12)</f>
        <v>7.4459840185389545</v>
      </c>
      <c r="M38" s="2">
        <f t="shared" si="2"/>
        <v>7.9019593161207755</v>
      </c>
      <c r="N38" s="60">
        <f t="shared" si="2"/>
        <v>7.9265209400523986</v>
      </c>
    </row>
    <row r="39" spans="1:20" x14ac:dyDescent="0.2">
      <c r="A39" s="1"/>
      <c r="B39" s="104"/>
      <c r="C39" s="1"/>
      <c r="D39" s="1"/>
      <c r="E39" s="1"/>
      <c r="F39" s="177"/>
      <c r="G39" s="55"/>
      <c r="H39" s="55"/>
      <c r="I39" s="178"/>
      <c r="J39" s="1"/>
      <c r="K39" s="2"/>
      <c r="L39" s="2"/>
      <c r="M39" s="2"/>
      <c r="N39" s="80"/>
    </row>
    <row r="40" spans="1:20" x14ac:dyDescent="0.2">
      <c r="A40" s="9" t="s">
        <v>14</v>
      </c>
      <c r="B40" s="1"/>
      <c r="C40" s="1"/>
      <c r="D40" s="1"/>
      <c r="E40" s="1"/>
      <c r="G40" s="186" t="s">
        <v>15</v>
      </c>
      <c r="H40" s="46"/>
      <c r="I40" s="1"/>
      <c r="J40" s="1"/>
      <c r="K40" s="2">
        <f>SUM(K19:K38)</f>
        <v>360.4997297468783</v>
      </c>
      <c r="L40" s="2">
        <f>SUM(L19:L38)</f>
        <v>400.84458481306552</v>
      </c>
      <c r="M40" s="2">
        <f>SUM(M19:M38)</f>
        <v>435.09935857843965</v>
      </c>
      <c r="N40" s="60">
        <f>SUM(N19:N38)</f>
        <v>437.88456122801233</v>
      </c>
    </row>
    <row r="41" spans="1:20" x14ac:dyDescent="0.2">
      <c r="A41" s="1"/>
      <c r="B41" s="1"/>
      <c r="C41" s="1"/>
      <c r="D41" s="1"/>
      <c r="E41" s="1"/>
      <c r="G41" s="186" t="s">
        <v>16</v>
      </c>
      <c r="H41" s="46"/>
      <c r="I41" s="1"/>
      <c r="J41" s="1"/>
      <c r="K41" s="2">
        <f>+K40/K8</f>
        <v>2.5735274824877097</v>
      </c>
      <c r="L41" s="2">
        <f>+L40/L8</f>
        <v>2.2892323518735895</v>
      </c>
      <c r="M41" s="2">
        <f>+M40/M8</f>
        <v>2.0707184398364729</v>
      </c>
      <c r="N41" s="60">
        <f>+N40/N8</f>
        <v>2.0366723778047087</v>
      </c>
      <c r="O41" s="128"/>
      <c r="P41" s="128"/>
      <c r="Q41" s="128"/>
      <c r="R41" s="84"/>
    </row>
    <row r="42" spans="1:20" ht="3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0"/>
      <c r="L42" s="10"/>
      <c r="M42" s="10"/>
      <c r="N42" s="43"/>
    </row>
    <row r="43" spans="1:20" x14ac:dyDescent="0.2">
      <c r="A43" s="9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0"/>
      <c r="L43" s="10"/>
      <c r="M43" s="10"/>
      <c r="N43" s="43"/>
      <c r="O43" s="127"/>
      <c r="P43" s="127"/>
      <c r="Q43" s="127"/>
      <c r="R43" s="127"/>
    </row>
    <row r="44" spans="1:20" ht="14.25" x14ac:dyDescent="0.2">
      <c r="A44" s="1"/>
      <c r="B44" s="104" t="s">
        <v>141</v>
      </c>
      <c r="C44" s="1"/>
      <c r="D44" s="1"/>
      <c r="E44" s="1"/>
      <c r="F44" s="58">
        <v>2.25</v>
      </c>
      <c r="G44" s="1" t="s">
        <v>18</v>
      </c>
      <c r="H44" s="1"/>
      <c r="I44" s="54">
        <v>17</v>
      </c>
      <c r="J44" s="1" t="s">
        <v>19</v>
      </c>
      <c r="K44" s="71">
        <f>+$F$44*$I$44</f>
        <v>38.25</v>
      </c>
      <c r="L44" s="71">
        <f>+$F$44*$I$44</f>
        <v>38.25</v>
      </c>
      <c r="M44" s="71">
        <f>+$F$44*$I$44</f>
        <v>38.25</v>
      </c>
      <c r="N44" s="72">
        <f>+$F$44*$I$44</f>
        <v>38.25</v>
      </c>
      <c r="P44" s="73"/>
    </row>
    <row r="45" spans="1:20" ht="14.25" x14ac:dyDescent="0.2">
      <c r="A45" s="1"/>
      <c r="B45" s="104" t="s">
        <v>142</v>
      </c>
      <c r="C45" s="1"/>
      <c r="D45" s="1"/>
      <c r="E45" s="1"/>
      <c r="F45" s="59">
        <v>0.05</v>
      </c>
      <c r="G45" s="1" t="s">
        <v>21</v>
      </c>
      <c r="H45" s="1"/>
      <c r="I45" s="1"/>
      <c r="J45" s="1"/>
      <c r="K45" s="105">
        <f>$F$45*K16</f>
        <v>28.653499999999998</v>
      </c>
      <c r="L45" s="105">
        <f>$F$45*L16</f>
        <v>35.657499999999999</v>
      </c>
      <c r="M45" s="105">
        <f>$F$45*M16</f>
        <v>42.661500000000004</v>
      </c>
      <c r="N45" s="106">
        <f>$F$45*N16</f>
        <v>43.637500000000003</v>
      </c>
    </row>
    <row r="46" spans="1:20" ht="14.25" x14ac:dyDescent="0.2">
      <c r="A46" s="1"/>
      <c r="B46" s="104" t="s">
        <v>143</v>
      </c>
      <c r="C46" s="1"/>
      <c r="D46" s="1"/>
      <c r="E46" s="1"/>
      <c r="F46" s="13"/>
      <c r="G46" s="1"/>
      <c r="H46" s="1"/>
      <c r="I46" s="1"/>
      <c r="J46" s="1"/>
      <c r="K46" s="175">
        <f>'machinery costs'!M14</f>
        <v>75.220891066042739</v>
      </c>
      <c r="L46" s="175">
        <f>'machinery costs'!M14</f>
        <v>75.220891066042739</v>
      </c>
      <c r="M46" s="175">
        <f>'machinery costs'!M14</f>
        <v>75.220891066042739</v>
      </c>
      <c r="N46" s="175">
        <f>'machinery costs'!M14</f>
        <v>75.220891066042739</v>
      </c>
      <c r="O46" s="104"/>
    </row>
    <row r="47" spans="1:20" ht="14.25" x14ac:dyDescent="0.2">
      <c r="A47" s="1"/>
      <c r="B47" s="104" t="s">
        <v>144</v>
      </c>
      <c r="C47" s="1"/>
      <c r="D47" s="1"/>
      <c r="E47" s="1"/>
      <c r="F47" s="13" t="s">
        <v>20</v>
      </c>
      <c r="G47" s="1"/>
      <c r="H47" s="1"/>
      <c r="I47" s="1"/>
      <c r="J47" s="1"/>
      <c r="K47" s="71">
        <v>155</v>
      </c>
      <c r="L47" s="71">
        <v>195</v>
      </c>
      <c r="M47" s="71">
        <v>242</v>
      </c>
      <c r="N47" s="75">
        <v>242</v>
      </c>
    </row>
    <row r="48" spans="1:20" ht="14.25" x14ac:dyDescent="0.2">
      <c r="A48" s="1"/>
      <c r="B48" s="104" t="s">
        <v>145</v>
      </c>
      <c r="C48" s="1"/>
      <c r="D48" s="1"/>
      <c r="E48" s="1"/>
      <c r="F48" s="13"/>
      <c r="G48" s="1"/>
      <c r="H48" s="1"/>
      <c r="I48" s="1"/>
      <c r="J48" s="1"/>
      <c r="K48" s="71">
        <v>20.5</v>
      </c>
      <c r="L48" s="71">
        <v>20.5</v>
      </c>
      <c r="M48" s="71">
        <v>20.5</v>
      </c>
      <c r="N48" s="75">
        <v>20.5</v>
      </c>
      <c r="O48" s="128"/>
    </row>
    <row r="49" spans="1:18" ht="5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76"/>
      <c r="L49" s="76"/>
      <c r="M49" s="76"/>
      <c r="N49" s="77"/>
    </row>
    <row r="50" spans="1:18" x14ac:dyDescent="0.2">
      <c r="A50" s="9" t="s">
        <v>22</v>
      </c>
      <c r="B50" s="1"/>
      <c r="C50" s="1"/>
      <c r="D50" s="1"/>
      <c r="E50" s="1"/>
      <c r="F50" s="1"/>
      <c r="G50" s="1"/>
      <c r="H50" s="1"/>
      <c r="I50" s="1"/>
      <c r="J50" s="1"/>
      <c r="K50" s="71">
        <f>SUM(K44:K49)</f>
        <v>317.62439106604273</v>
      </c>
      <c r="L50" s="71">
        <f>SUM(L44:L49)</f>
        <v>364.62839106604275</v>
      </c>
      <c r="M50" s="71">
        <f>SUM(M44:M49)</f>
        <v>418.63239106604271</v>
      </c>
      <c r="N50" s="72">
        <f>SUM(N44:N49)</f>
        <v>419.60839106604271</v>
      </c>
    </row>
    <row r="51" spans="1:18" ht="5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71"/>
      <c r="L51" s="71"/>
      <c r="M51" s="71"/>
      <c r="N51" s="74"/>
    </row>
    <row r="52" spans="1:18" x14ac:dyDescent="0.2">
      <c r="A52" s="9" t="s">
        <v>23</v>
      </c>
      <c r="B52" s="1"/>
      <c r="C52" s="1"/>
      <c r="D52" s="1"/>
      <c r="E52" s="1"/>
      <c r="F52" s="1"/>
      <c r="G52" s="186" t="s">
        <v>15</v>
      </c>
      <c r="H52" s="46"/>
      <c r="I52" s="1"/>
      <c r="J52" s="1"/>
      <c r="K52" s="71">
        <f>+K40+K50</f>
        <v>678.12412081292109</v>
      </c>
      <c r="L52" s="71">
        <f>+L40+L50</f>
        <v>765.47297587910828</v>
      </c>
      <c r="M52" s="71">
        <f>+M40+M50</f>
        <v>853.73174964448231</v>
      </c>
      <c r="N52" s="72">
        <f>+N40+N50</f>
        <v>857.49295229405504</v>
      </c>
      <c r="O52" s="73"/>
      <c r="P52" s="73"/>
      <c r="Q52" s="73"/>
      <c r="R52" s="73"/>
    </row>
    <row r="53" spans="1:18" x14ac:dyDescent="0.2">
      <c r="A53" s="9"/>
      <c r="B53" s="1"/>
      <c r="C53" s="1"/>
      <c r="D53" s="1"/>
      <c r="E53" s="1"/>
      <c r="F53" s="1"/>
      <c r="G53" s="186" t="s">
        <v>16</v>
      </c>
      <c r="H53" s="46"/>
      <c r="I53" s="1"/>
      <c r="J53" s="1"/>
      <c r="K53" s="71">
        <f>+K52/K8</f>
        <v>4.8409774472652849</v>
      </c>
      <c r="L53" s="71">
        <f>+L52/L8</f>
        <v>4.3716332146151249</v>
      </c>
      <c r="M53" s="71">
        <f>+M52/M8</f>
        <v>4.0630675311464035</v>
      </c>
      <c r="N53" s="72">
        <f>+N52/N8</f>
        <v>3.9883393129956048</v>
      </c>
      <c r="O53" s="73"/>
      <c r="P53" s="73"/>
      <c r="Q53" s="73"/>
      <c r="R53" s="73"/>
    </row>
    <row r="54" spans="1:18" ht="4.9000000000000004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71"/>
      <c r="L54" s="71"/>
      <c r="M54" s="71"/>
      <c r="N54" s="84"/>
    </row>
    <row r="55" spans="1:18" ht="14.25" x14ac:dyDescent="0.2">
      <c r="A55" s="155" t="s">
        <v>116</v>
      </c>
      <c r="B55" s="156"/>
      <c r="C55" s="156"/>
      <c r="D55" s="156"/>
      <c r="E55" s="156"/>
      <c r="F55" s="156"/>
      <c r="G55" s="156"/>
      <c r="H55" s="156"/>
      <c r="I55" s="156"/>
      <c r="J55" s="156"/>
      <c r="K55" s="157">
        <f>+K16-K40</f>
        <v>212.57027025312163</v>
      </c>
      <c r="L55" s="157">
        <f>+L16-L40</f>
        <v>312.30541518693445</v>
      </c>
      <c r="M55" s="157">
        <f>+M16-M40</f>
        <v>418.13064142156037</v>
      </c>
      <c r="N55" s="158">
        <f>+N16-N40</f>
        <v>434.86543877198767</v>
      </c>
      <c r="O55" s="73"/>
      <c r="P55" s="73"/>
      <c r="Q55" s="73"/>
      <c r="R55" s="73"/>
    </row>
    <row r="56" spans="1:18" x14ac:dyDescent="0.2">
      <c r="A56" s="9" t="s">
        <v>77</v>
      </c>
      <c r="B56" s="1"/>
      <c r="C56" s="1"/>
      <c r="D56" s="1"/>
      <c r="E56" s="1"/>
      <c r="F56" s="1"/>
      <c r="G56" s="1"/>
      <c r="H56" s="1"/>
      <c r="I56" s="1"/>
      <c r="J56" s="1"/>
      <c r="K56" s="71">
        <f>K16-(K40+K47)</f>
        <v>57.570270253121635</v>
      </c>
      <c r="L56" s="71">
        <f>L16-(L40+L47)</f>
        <v>117.30541518693451</v>
      </c>
      <c r="M56" s="71">
        <f>M16-(M40+M47)</f>
        <v>176.13064142156031</v>
      </c>
      <c r="N56" s="84">
        <f>N16-(N40+N47)</f>
        <v>192.86543877198767</v>
      </c>
      <c r="O56" s="73"/>
      <c r="P56" s="73"/>
      <c r="Q56" s="73"/>
      <c r="R56" s="73"/>
    </row>
    <row r="57" spans="1:18" x14ac:dyDescent="0.2">
      <c r="A57" s="114" t="s">
        <v>24</v>
      </c>
      <c r="B57" s="7"/>
      <c r="C57" s="7"/>
      <c r="D57" s="7"/>
      <c r="E57" s="7"/>
      <c r="F57" s="7"/>
      <c r="G57" s="7"/>
      <c r="H57" s="7"/>
      <c r="I57" s="7"/>
      <c r="J57" s="7"/>
      <c r="K57" s="154">
        <f>+K16-K52</f>
        <v>-105.05412081292116</v>
      </c>
      <c r="L57" s="154">
        <f>+L16-L52</f>
        <v>-52.322975879108299</v>
      </c>
      <c r="M57" s="154">
        <f>+M16-M52</f>
        <v>-0.5017496444822882</v>
      </c>
      <c r="N57" s="124">
        <f>+N16-N52</f>
        <v>15.257047705944956</v>
      </c>
      <c r="O57" s="73"/>
      <c r="P57" s="73"/>
      <c r="Q57" s="73"/>
      <c r="R57" s="73"/>
    </row>
    <row r="58" spans="1:18" x14ac:dyDescent="0.2">
      <c r="A58" s="107" t="s">
        <v>46</v>
      </c>
      <c r="B58" s="1"/>
      <c r="C58" s="1"/>
      <c r="D58" s="1"/>
      <c r="E58" s="1"/>
      <c r="F58" s="1"/>
      <c r="G58" s="1"/>
      <c r="H58" s="1"/>
      <c r="I58" s="1"/>
      <c r="J58" s="1"/>
      <c r="K58" s="71">
        <f>K57+K47</f>
        <v>49.945879187078845</v>
      </c>
      <c r="L58" s="71">
        <f>L57+L47</f>
        <v>142.6770241208917</v>
      </c>
      <c r="M58" s="71">
        <f>M57+M47</f>
        <v>241.49825035551771</v>
      </c>
      <c r="N58" s="84">
        <f>N57+N47</f>
        <v>257.25704770594496</v>
      </c>
      <c r="O58" s="73"/>
      <c r="P58" s="73"/>
      <c r="Q58" s="73"/>
      <c r="R58" s="73"/>
    </row>
    <row r="59" spans="1:18" x14ac:dyDescent="0.2">
      <c r="A59" s="107" t="s">
        <v>94</v>
      </c>
      <c r="B59" s="1"/>
      <c r="C59" s="1"/>
      <c r="D59" s="1"/>
      <c r="E59" s="1"/>
      <c r="F59" s="1"/>
      <c r="G59" s="1"/>
      <c r="H59" s="1"/>
      <c r="I59" s="1"/>
      <c r="J59" s="1"/>
      <c r="K59" s="71">
        <f>K57+K44+K45</f>
        <v>-38.150620812921161</v>
      </c>
      <c r="L59" s="71">
        <f>L57+L44+L45</f>
        <v>21.5845241208917</v>
      </c>
      <c r="M59" s="71">
        <f>M57+M44+M45</f>
        <v>80.409750355517716</v>
      </c>
      <c r="N59" s="84">
        <f>N57+N44+N45</f>
        <v>97.144547705944959</v>
      </c>
      <c r="O59" s="73"/>
      <c r="P59" s="73"/>
      <c r="Q59" s="73"/>
      <c r="R59" s="73"/>
    </row>
    <row r="60" spans="1:18" ht="12.75" customHeight="1" x14ac:dyDescent="0.2">
      <c r="A60" s="114" t="s">
        <v>70</v>
      </c>
      <c r="B60" s="7"/>
      <c r="C60" s="7"/>
      <c r="D60" s="7"/>
      <c r="E60" s="7"/>
      <c r="F60" s="7"/>
      <c r="G60" s="114"/>
      <c r="H60" s="115"/>
      <c r="I60" s="7"/>
      <c r="J60" s="7"/>
      <c r="K60" s="116">
        <f>K57+K44+K45+K47</f>
        <v>116.84937918707884</v>
      </c>
      <c r="L60" s="116">
        <f>L57+L44+L45+L47</f>
        <v>216.5845241208917</v>
      </c>
      <c r="M60" s="116">
        <f>M57+M44+M45+M47</f>
        <v>322.4097503555177</v>
      </c>
      <c r="N60" s="124">
        <f>N57+N44+N45+N47</f>
        <v>339.14454770594494</v>
      </c>
      <c r="O60" s="185"/>
      <c r="P60" s="73"/>
      <c r="Q60" s="73"/>
      <c r="R60" s="73"/>
    </row>
    <row r="61" spans="1:18" x14ac:dyDescent="0.2">
      <c r="A61" s="16" t="s">
        <v>33</v>
      </c>
      <c r="B61" s="16"/>
      <c r="C61" s="16"/>
      <c r="D61" s="48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04"/>
    </row>
    <row r="62" spans="1:18" x14ac:dyDescent="0.2">
      <c r="B62" s="16" t="s">
        <v>34</v>
      </c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"/>
    </row>
    <row r="63" spans="1:18" x14ac:dyDescent="0.2">
      <c r="A63" s="16" t="s">
        <v>71</v>
      </c>
      <c r="B63" s="16"/>
      <c r="C63" s="16"/>
      <c r="D63" s="47"/>
      <c r="E63" s="32"/>
      <c r="F63" s="16"/>
      <c r="G63" s="16"/>
      <c r="H63" s="16"/>
      <c r="I63" s="16"/>
      <c r="J63" s="16"/>
      <c r="K63" s="16"/>
      <c r="L63" s="17"/>
      <c r="M63" s="17"/>
      <c r="N63" s="17"/>
      <c r="O63" s="1"/>
    </row>
    <row r="64" spans="1:18" x14ac:dyDescent="0.2">
      <c r="A64" s="16"/>
      <c r="B64" s="16" t="s">
        <v>36</v>
      </c>
      <c r="C64" s="16"/>
      <c r="D64" s="32"/>
      <c r="E64" s="32"/>
      <c r="F64" s="16"/>
      <c r="G64" s="16"/>
      <c r="H64" s="16"/>
      <c r="I64" s="16"/>
      <c r="J64" s="16"/>
      <c r="K64" s="16"/>
      <c r="L64" s="17"/>
      <c r="M64" s="17"/>
      <c r="N64" s="17"/>
      <c r="O64" s="1"/>
    </row>
    <row r="65" spans="1:15" x14ac:dyDescent="0.2">
      <c r="A65" s="16" t="s">
        <v>35</v>
      </c>
      <c r="B65" s="16"/>
      <c r="C65" s="16"/>
      <c r="D65" s="62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"/>
    </row>
    <row r="66" spans="1:15" ht="13.5" x14ac:dyDescent="0.2">
      <c r="A66" s="15">
        <v>1</v>
      </c>
      <c r="B66" s="16" t="s">
        <v>158</v>
      </c>
      <c r="C66" s="16"/>
      <c r="D66" s="32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"/>
    </row>
    <row r="67" spans="1:15" x14ac:dyDescent="0.2">
      <c r="B67" s="16" t="s">
        <v>159</v>
      </c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"/>
    </row>
    <row r="68" spans="1:15" ht="13.5" x14ac:dyDescent="0.2">
      <c r="A68" s="15">
        <v>2</v>
      </c>
      <c r="B68" s="16" t="s">
        <v>157</v>
      </c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"/>
    </row>
    <row r="69" spans="1:15" ht="13.5" x14ac:dyDescent="0.2">
      <c r="A69" s="15"/>
      <c r="B69" s="16" t="s">
        <v>170</v>
      </c>
      <c r="C69" s="16"/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"/>
    </row>
    <row r="70" spans="1:15" ht="13.5" x14ac:dyDescent="0.2">
      <c r="A70" s="15"/>
      <c r="B70" s="16" t="s">
        <v>175</v>
      </c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"/>
    </row>
    <row r="71" spans="1:15" ht="13.5" x14ac:dyDescent="0.2">
      <c r="A71" s="15"/>
      <c r="B71" s="16" t="s">
        <v>174</v>
      </c>
      <c r="C71" s="16"/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"/>
    </row>
    <row r="72" spans="1:15" ht="13.5" x14ac:dyDescent="0.2">
      <c r="A72" s="15">
        <v>3</v>
      </c>
      <c r="B72" s="16" t="s">
        <v>79</v>
      </c>
      <c r="C72" s="16"/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6"/>
    </row>
    <row r="73" spans="1:15" ht="13.5" x14ac:dyDescent="0.2">
      <c r="A73" s="15"/>
      <c r="B73" s="16"/>
      <c r="C73" s="16" t="s">
        <v>44</v>
      </c>
      <c r="D73" s="16"/>
      <c r="E73" s="16"/>
      <c r="F73" s="16"/>
      <c r="G73" s="16"/>
      <c r="H73" s="16"/>
      <c r="I73" s="16"/>
      <c r="J73" s="16"/>
      <c r="K73" s="16"/>
      <c r="L73" s="17"/>
      <c r="M73" s="17"/>
      <c r="N73" s="17"/>
      <c r="O73" s="16"/>
    </row>
    <row r="74" spans="1:15" ht="13.5" x14ac:dyDescent="0.2">
      <c r="A74" s="15">
        <v>4</v>
      </c>
      <c r="B74" s="16" t="s">
        <v>177</v>
      </c>
      <c r="C74" s="16"/>
      <c r="D74" s="16"/>
      <c r="E74" s="16"/>
      <c r="F74" s="16"/>
      <c r="G74" s="16"/>
      <c r="H74" s="16"/>
      <c r="I74" s="16"/>
      <c r="J74" s="16"/>
      <c r="K74" s="16"/>
      <c r="L74" s="17"/>
      <c r="M74" s="17"/>
      <c r="N74" s="17"/>
      <c r="O74" s="16"/>
    </row>
    <row r="75" spans="1:15" x14ac:dyDescent="0.2">
      <c r="A75" s="16"/>
      <c r="B75" s="16"/>
      <c r="C75" s="16" t="s">
        <v>176</v>
      </c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6"/>
    </row>
    <row r="76" spans="1:15" x14ac:dyDescent="0.2">
      <c r="A76" s="16"/>
      <c r="B76" s="16"/>
      <c r="C76" s="16" t="s">
        <v>48</v>
      </c>
      <c r="D76" s="16"/>
      <c r="E76" s="16"/>
      <c r="F76" s="197">
        <v>450</v>
      </c>
      <c r="G76" s="82" t="s">
        <v>49</v>
      </c>
      <c r="H76" s="16"/>
      <c r="I76" s="197">
        <v>480</v>
      </c>
      <c r="J76" s="82" t="s">
        <v>50</v>
      </c>
      <c r="K76" s="82"/>
      <c r="L76" s="17"/>
      <c r="M76" s="197">
        <v>325</v>
      </c>
      <c r="N76" s="83" t="s">
        <v>12</v>
      </c>
      <c r="O76" s="16"/>
    </row>
    <row r="77" spans="1:15" x14ac:dyDescent="0.2">
      <c r="A77" s="16"/>
      <c r="B77" s="16"/>
      <c r="C77" s="16" t="s">
        <v>178</v>
      </c>
      <c r="D77" s="16"/>
      <c r="E77" s="16"/>
      <c r="F77" s="198"/>
      <c r="G77" s="82"/>
      <c r="H77" s="16"/>
      <c r="I77" s="198"/>
      <c r="J77" s="82"/>
      <c r="K77" s="82"/>
      <c r="L77" s="17"/>
      <c r="M77" s="198"/>
      <c r="N77" s="83"/>
      <c r="O77" s="16"/>
    </row>
    <row r="78" spans="1:15" x14ac:dyDescent="0.2">
      <c r="A78" s="16"/>
      <c r="B78" s="16"/>
      <c r="C78" s="16" t="s">
        <v>51</v>
      </c>
      <c r="D78" s="16"/>
      <c r="E78" s="16"/>
      <c r="F78" s="32"/>
      <c r="G78" s="82"/>
      <c r="H78" s="16"/>
      <c r="I78" s="32"/>
      <c r="J78" s="82"/>
      <c r="K78" s="82"/>
      <c r="L78" s="17"/>
      <c r="M78" s="85"/>
      <c r="N78" s="83"/>
      <c r="O78" s="16"/>
    </row>
    <row r="79" spans="1:15" ht="13.5" x14ac:dyDescent="0.2">
      <c r="A79" s="15">
        <v>5</v>
      </c>
      <c r="B79" s="16" t="s">
        <v>130</v>
      </c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6"/>
    </row>
    <row r="80" spans="1:15" ht="13.5" x14ac:dyDescent="0.2">
      <c r="A80" s="18">
        <v>6</v>
      </c>
      <c r="B80" s="19" t="s">
        <v>171</v>
      </c>
      <c r="C80" s="19"/>
      <c r="D80" s="19"/>
      <c r="E80" s="19"/>
      <c r="F80" s="16"/>
      <c r="G80" s="16"/>
      <c r="H80" s="16"/>
      <c r="I80" s="16"/>
      <c r="J80" s="16"/>
      <c r="K80" s="16"/>
      <c r="L80" s="17"/>
      <c r="M80" s="17"/>
      <c r="N80" s="17"/>
      <c r="O80" s="16"/>
    </row>
    <row r="81" spans="1:15" ht="13.5" x14ac:dyDescent="0.2">
      <c r="A81" s="45">
        <v>7</v>
      </c>
      <c r="B81" s="19" t="s">
        <v>156</v>
      </c>
      <c r="C81" s="19"/>
      <c r="D81" s="19"/>
      <c r="E81" s="19"/>
      <c r="F81" s="16"/>
      <c r="G81" s="16"/>
      <c r="H81" s="16"/>
      <c r="I81" s="16"/>
      <c r="J81" s="16"/>
      <c r="K81" s="16"/>
      <c r="L81" s="17"/>
      <c r="M81" s="17"/>
      <c r="N81" s="17"/>
      <c r="O81" s="16"/>
    </row>
    <row r="82" spans="1:15" ht="13.5" x14ac:dyDescent="0.2">
      <c r="A82" s="15">
        <v>8</v>
      </c>
      <c r="B82" s="16" t="s">
        <v>127</v>
      </c>
      <c r="C82" s="16"/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6"/>
    </row>
    <row r="83" spans="1:15" ht="13.5" x14ac:dyDescent="0.2">
      <c r="A83" s="15">
        <v>9</v>
      </c>
      <c r="B83" s="16" t="s">
        <v>147</v>
      </c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6"/>
    </row>
    <row r="84" spans="1:15" ht="13.5" x14ac:dyDescent="0.2">
      <c r="A84" s="15">
        <v>10</v>
      </c>
      <c r="B84" s="16" t="s">
        <v>161</v>
      </c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6"/>
    </row>
    <row r="85" spans="1:15" ht="13.5" x14ac:dyDescent="0.2">
      <c r="A85" s="15">
        <v>11</v>
      </c>
      <c r="B85" s="16" t="s">
        <v>82</v>
      </c>
      <c r="C85" s="16"/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6"/>
    </row>
    <row r="86" spans="1:15" ht="13.5" x14ac:dyDescent="0.2">
      <c r="A86" s="15"/>
      <c r="B86" s="16"/>
      <c r="C86" s="16" t="s">
        <v>115</v>
      </c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6"/>
    </row>
    <row r="87" spans="1:15" ht="13.5" x14ac:dyDescent="0.2">
      <c r="A87" s="15">
        <v>12</v>
      </c>
      <c r="B87" s="16" t="s">
        <v>105</v>
      </c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6"/>
    </row>
    <row r="88" spans="1:15" ht="13.5" x14ac:dyDescent="0.2">
      <c r="A88" s="15">
        <v>13</v>
      </c>
      <c r="B88" s="16" t="s">
        <v>83</v>
      </c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6"/>
    </row>
    <row r="89" spans="1:15" ht="13.5" x14ac:dyDescent="0.2">
      <c r="A89" s="15"/>
      <c r="B89" s="16"/>
      <c r="C89" s="16" t="s">
        <v>84</v>
      </c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6"/>
    </row>
    <row r="90" spans="1:15" x14ac:dyDescent="0.2">
      <c r="C90" s="16" t="s">
        <v>45</v>
      </c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6"/>
    </row>
    <row r="91" spans="1:15" ht="13.5" x14ac:dyDescent="0.2">
      <c r="A91" s="15">
        <v>14</v>
      </c>
      <c r="B91" s="16" t="s">
        <v>146</v>
      </c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6"/>
    </row>
    <row r="92" spans="1:15" ht="13.5" x14ac:dyDescent="0.2">
      <c r="A92" s="15">
        <v>15</v>
      </c>
      <c r="B92" s="16" t="s">
        <v>83</v>
      </c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6"/>
    </row>
    <row r="93" spans="1:15" x14ac:dyDescent="0.2">
      <c r="A93" s="16"/>
      <c r="B93" s="16"/>
      <c r="C93" s="16" t="s">
        <v>84</v>
      </c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6"/>
    </row>
    <row r="94" spans="1:15" ht="13.5" x14ac:dyDescent="0.2">
      <c r="A94" s="15"/>
      <c r="C94" s="16" t="s">
        <v>45</v>
      </c>
      <c r="D94" s="16"/>
      <c r="E94" s="16"/>
      <c r="F94" s="16"/>
      <c r="G94" s="16"/>
      <c r="H94" s="16"/>
      <c r="I94" s="16"/>
      <c r="J94" s="16"/>
      <c r="K94" s="16"/>
      <c r="L94" s="17"/>
      <c r="M94" s="17"/>
      <c r="N94" s="17"/>
      <c r="O94" s="16"/>
    </row>
    <row r="95" spans="1:15" ht="13.5" x14ac:dyDescent="0.2">
      <c r="A95" s="15"/>
      <c r="C95" s="16" t="s">
        <v>164</v>
      </c>
      <c r="D95" s="16"/>
      <c r="E95" s="16"/>
      <c r="F95" s="16"/>
      <c r="G95" s="16"/>
      <c r="H95" s="16"/>
      <c r="I95" s="16"/>
      <c r="J95" s="16"/>
      <c r="K95" s="16"/>
      <c r="L95" s="17"/>
      <c r="M95" s="17"/>
      <c r="N95" s="17"/>
      <c r="O95" s="16"/>
    </row>
    <row r="96" spans="1:15" ht="13.5" x14ac:dyDescent="0.2">
      <c r="A96" s="15">
        <v>16</v>
      </c>
      <c r="B96" s="16" t="s">
        <v>80</v>
      </c>
      <c r="C96" s="16"/>
      <c r="D96" s="16"/>
      <c r="E96" s="16"/>
      <c r="F96" s="16"/>
      <c r="G96" s="16"/>
      <c r="H96" s="16"/>
      <c r="I96" s="16"/>
      <c r="J96" s="16"/>
      <c r="K96" s="16"/>
      <c r="L96" s="17"/>
      <c r="M96" s="17"/>
      <c r="N96" s="17"/>
      <c r="O96" s="16"/>
    </row>
    <row r="97" spans="1:15" ht="13.5" x14ac:dyDescent="0.2">
      <c r="A97" s="15">
        <v>17</v>
      </c>
      <c r="B97" s="16" t="s">
        <v>85</v>
      </c>
      <c r="C97" s="16"/>
      <c r="D97" s="16"/>
      <c r="E97" s="16"/>
      <c r="F97" s="16"/>
      <c r="G97" s="16"/>
      <c r="H97" s="16"/>
      <c r="I97" s="16"/>
      <c r="J97" s="16"/>
      <c r="K97" s="16"/>
      <c r="L97" s="17"/>
      <c r="M97" s="17"/>
      <c r="N97" s="17"/>
      <c r="O97" s="16"/>
    </row>
    <row r="98" spans="1:15" ht="13.5" x14ac:dyDescent="0.2">
      <c r="A98" s="15"/>
      <c r="B98" s="16"/>
      <c r="C98" s="16" t="s">
        <v>128</v>
      </c>
      <c r="D98" s="16"/>
      <c r="E98" s="16"/>
      <c r="F98" s="16"/>
      <c r="G98" s="16"/>
      <c r="H98" s="16"/>
      <c r="I98" s="16"/>
      <c r="J98" s="16"/>
      <c r="K98" s="16"/>
      <c r="L98" s="17"/>
      <c r="M98" s="17"/>
      <c r="N98" s="17"/>
      <c r="O98" s="16"/>
    </row>
    <row r="99" spans="1:15" ht="13.5" x14ac:dyDescent="0.2">
      <c r="A99" s="15">
        <v>18</v>
      </c>
      <c r="B99" s="16" t="s">
        <v>97</v>
      </c>
      <c r="C99" s="16"/>
      <c r="D99" s="1"/>
      <c r="E99" s="1"/>
      <c r="F99" s="1"/>
      <c r="G99" s="1"/>
      <c r="H99" s="1"/>
      <c r="I99" s="1"/>
      <c r="J99" s="1"/>
      <c r="K99" s="1"/>
      <c r="L99" s="2"/>
      <c r="M99" s="2"/>
      <c r="N99" s="17"/>
      <c r="O99" s="16"/>
    </row>
    <row r="100" spans="1:15" ht="13.5" x14ac:dyDescent="0.2">
      <c r="A100" s="15"/>
      <c r="C100" s="16" t="s">
        <v>66</v>
      </c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17"/>
      <c r="O100" s="16"/>
    </row>
    <row r="101" spans="1:15" ht="13.5" x14ac:dyDescent="0.2">
      <c r="A101" s="15">
        <v>19</v>
      </c>
      <c r="B101" s="16" t="s">
        <v>82</v>
      </c>
      <c r="C101" s="16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17"/>
      <c r="O101" s="16"/>
    </row>
    <row r="102" spans="1:15" ht="13.5" x14ac:dyDescent="0.2">
      <c r="A102" s="15"/>
      <c r="B102" s="16"/>
      <c r="C102" s="16" t="s">
        <v>115</v>
      </c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17"/>
      <c r="O102" s="16"/>
    </row>
    <row r="103" spans="1:15" ht="13.5" x14ac:dyDescent="0.2">
      <c r="A103" s="15">
        <v>20</v>
      </c>
      <c r="B103" s="16" t="s">
        <v>89</v>
      </c>
      <c r="C103" s="16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17"/>
      <c r="O103" s="16"/>
    </row>
    <row r="104" spans="1:15" ht="13.5" x14ac:dyDescent="0.2">
      <c r="A104" s="15"/>
      <c r="B104" s="16" t="s">
        <v>87</v>
      </c>
      <c r="C104" s="16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17"/>
      <c r="O104" s="16"/>
    </row>
    <row r="105" spans="1:15" ht="13.5" x14ac:dyDescent="0.2">
      <c r="A105" s="15"/>
      <c r="B105" s="16" t="s">
        <v>88</v>
      </c>
      <c r="C105" s="16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17"/>
      <c r="O105" s="16"/>
    </row>
    <row r="106" spans="1:15" ht="13.5" x14ac:dyDescent="0.2">
      <c r="A106" s="15"/>
      <c r="B106" s="16" t="s">
        <v>86</v>
      </c>
      <c r="C106" s="16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17"/>
      <c r="O106" s="16"/>
    </row>
    <row r="107" spans="1:15" x14ac:dyDescent="0.2">
      <c r="B107" s="16" t="s">
        <v>90</v>
      </c>
      <c r="E107" s="16"/>
      <c r="F107" s="16"/>
      <c r="G107" s="16"/>
      <c r="H107" s="16"/>
      <c r="I107" s="16"/>
      <c r="J107" s="16"/>
      <c r="K107" s="16"/>
      <c r="L107" s="17"/>
      <c r="M107" s="17"/>
      <c r="N107" s="17"/>
      <c r="O107" s="16"/>
    </row>
    <row r="108" spans="1:15" ht="13.5" x14ac:dyDescent="0.2">
      <c r="A108" s="15"/>
      <c r="B108" s="16" t="s">
        <v>91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7"/>
      <c r="M108" s="17"/>
      <c r="N108" s="17"/>
      <c r="O108" s="16"/>
    </row>
    <row r="109" spans="1:15" ht="13.5" x14ac:dyDescent="0.2">
      <c r="A109" s="15"/>
      <c r="B109" s="16"/>
      <c r="C109" s="16" t="s">
        <v>92</v>
      </c>
      <c r="D109" s="16"/>
      <c r="E109" s="16"/>
      <c r="F109" s="16"/>
      <c r="G109" s="16"/>
      <c r="H109" s="16"/>
      <c r="I109" s="16"/>
      <c r="J109" s="16"/>
      <c r="K109" s="16"/>
      <c r="L109" s="17"/>
      <c r="M109" s="17"/>
      <c r="N109" s="17"/>
      <c r="O109" s="16"/>
    </row>
    <row r="110" spans="1:1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7"/>
      <c r="M110" s="17"/>
      <c r="N110" s="17"/>
      <c r="O110" s="16"/>
    </row>
    <row r="111" spans="1:15" x14ac:dyDescent="0.2">
      <c r="A111" s="16" t="s">
        <v>163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7"/>
      <c r="M111" s="17"/>
      <c r="N111" s="17"/>
      <c r="O111" s="16"/>
    </row>
    <row r="112" spans="1:15" x14ac:dyDescent="0.2">
      <c r="A112" s="16" t="s">
        <v>179</v>
      </c>
    </row>
    <row r="113" spans="1:8" x14ac:dyDescent="0.2">
      <c r="A113" s="16" t="s">
        <v>162</v>
      </c>
    </row>
    <row r="114" spans="1:8" x14ac:dyDescent="0.2">
      <c r="A114" s="16" t="s">
        <v>148</v>
      </c>
      <c r="B114" s="16"/>
      <c r="C114" s="16"/>
      <c r="D114" s="16"/>
      <c r="E114" s="16"/>
      <c r="F114" s="16"/>
      <c r="G114" s="16"/>
      <c r="H114" s="16"/>
    </row>
    <row r="115" spans="1:8" x14ac:dyDescent="0.2">
      <c r="A115" s="16" t="s">
        <v>131</v>
      </c>
      <c r="B115" s="16"/>
      <c r="C115" s="16"/>
    </row>
  </sheetData>
  <mergeCells count="3">
    <mergeCell ref="A6:D6"/>
    <mergeCell ref="E6:G6"/>
    <mergeCell ref="M5:N5"/>
  </mergeCells>
  <phoneticPr fontId="0" type="noConversion"/>
  <printOptions horizontalCentered="1"/>
  <pageMargins left="0.32" right="0.27" top="0.5" bottom="0.5" header="0.5" footer="0.5"/>
  <pageSetup scale="94" fitToHeight="2" orientation="portrait" r:id="rId1"/>
  <headerFooter alignWithMargins="0"/>
  <rowBreaks count="1" manualBreakCount="1">
    <brk id="60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workbookViewId="0">
      <selection activeCell="P16" sqref="P16"/>
    </sheetView>
  </sheetViews>
  <sheetFormatPr defaultRowHeight="12.75" x14ac:dyDescent="0.2"/>
  <cols>
    <col min="1" max="1" width="3.42578125" customWidth="1"/>
    <col min="2" max="2" width="7.85546875" customWidth="1"/>
    <col min="3" max="3" width="14.7109375" customWidth="1"/>
    <col min="4" max="4" width="17" customWidth="1"/>
    <col min="5" max="5" width="13.28515625" customWidth="1"/>
    <col min="6" max="6" width="13.85546875" customWidth="1"/>
    <col min="7" max="7" width="8.85546875" customWidth="1"/>
    <col min="8" max="8" width="11.85546875" customWidth="1"/>
    <col min="9" max="10" width="12.5703125" customWidth="1"/>
    <col min="11" max="11" width="11.7109375" customWidth="1"/>
  </cols>
  <sheetData>
    <row r="1" spans="1:17" x14ac:dyDescent="0.2">
      <c r="A1" s="21" t="s">
        <v>126</v>
      </c>
      <c r="B1" s="20"/>
      <c r="C1" s="65"/>
      <c r="D1" s="20"/>
      <c r="E1" s="20"/>
      <c r="F1" s="20"/>
      <c r="G1" s="65"/>
      <c r="H1" s="20"/>
      <c r="I1" s="20"/>
      <c r="J1" s="20"/>
      <c r="K1" s="20"/>
      <c r="L1" s="22"/>
      <c r="M1" s="22"/>
      <c r="N1" s="37"/>
      <c r="O1" s="37"/>
    </row>
    <row r="2" spans="1:17" ht="24" x14ac:dyDescent="0.2">
      <c r="A2" s="16"/>
      <c r="B2" s="16"/>
      <c r="C2" s="16"/>
      <c r="D2" s="23" t="s">
        <v>108</v>
      </c>
      <c r="E2" s="23" t="s">
        <v>30</v>
      </c>
      <c r="F2" s="23" t="s">
        <v>28</v>
      </c>
      <c r="G2" s="23" t="s">
        <v>101</v>
      </c>
      <c r="H2" s="78" t="s">
        <v>102</v>
      </c>
      <c r="I2" s="23" t="s">
        <v>106</v>
      </c>
      <c r="J2" s="23" t="s">
        <v>111</v>
      </c>
      <c r="K2" s="150" t="s">
        <v>112</v>
      </c>
      <c r="L2" s="146" t="s">
        <v>113</v>
      </c>
      <c r="M2" s="150" t="s">
        <v>109</v>
      </c>
      <c r="N2" s="172" t="s">
        <v>118</v>
      </c>
      <c r="O2" s="172" t="s">
        <v>119</v>
      </c>
      <c r="P2" s="172" t="s">
        <v>117</v>
      </c>
    </row>
    <row r="3" spans="1:17" x14ac:dyDescent="0.2">
      <c r="A3" s="68" t="s">
        <v>67</v>
      </c>
      <c r="B3" s="68"/>
      <c r="C3" s="68"/>
      <c r="D3" s="69">
        <v>1</v>
      </c>
      <c r="E3" s="70">
        <v>60000</v>
      </c>
      <c r="F3" s="139">
        <v>1000</v>
      </c>
      <c r="G3" s="137">
        <v>19.059999999999999</v>
      </c>
      <c r="H3" s="138">
        <f>F3/G3</f>
        <v>52.465897166841557</v>
      </c>
      <c r="I3" s="144">
        <f>H3/1000</f>
        <v>5.2465897166841559E-2</v>
      </c>
      <c r="J3" s="151"/>
      <c r="K3" s="149"/>
      <c r="L3" s="160">
        <v>3.11</v>
      </c>
      <c r="M3" s="160">
        <v>1.97</v>
      </c>
      <c r="N3" s="159">
        <v>0.86</v>
      </c>
      <c r="O3" s="159"/>
      <c r="P3" s="17">
        <v>0.71</v>
      </c>
    </row>
    <row r="4" spans="1:17" x14ac:dyDescent="0.2">
      <c r="A4" s="48" t="s">
        <v>73</v>
      </c>
      <c r="B4" s="48"/>
      <c r="C4" s="48"/>
      <c r="D4" s="63">
        <v>1</v>
      </c>
      <c r="E4" s="64">
        <v>90000</v>
      </c>
      <c r="F4" s="140">
        <v>1000</v>
      </c>
      <c r="G4" s="138">
        <v>43.27</v>
      </c>
      <c r="H4" s="138">
        <f t="shared" ref="H4:H9" si="0">F4/G4</f>
        <v>23.110700254217701</v>
      </c>
      <c r="I4" s="145">
        <f>H4/1000</f>
        <v>2.31107002542177E-2</v>
      </c>
      <c r="J4" s="16"/>
      <c r="K4" s="17"/>
      <c r="L4" s="161">
        <v>1.23</v>
      </c>
      <c r="M4" s="161">
        <v>0.75</v>
      </c>
      <c r="N4" s="159">
        <v>0.67</v>
      </c>
      <c r="O4" s="159"/>
      <c r="P4" s="17">
        <v>0.31</v>
      </c>
    </row>
    <row r="5" spans="1:17" x14ac:dyDescent="0.2">
      <c r="A5" s="48" t="s">
        <v>110</v>
      </c>
      <c r="B5" s="48"/>
      <c r="C5" s="48"/>
      <c r="D5" s="63">
        <v>2</v>
      </c>
      <c r="E5" s="64">
        <v>276000</v>
      </c>
      <c r="F5" s="140">
        <v>2000</v>
      </c>
      <c r="G5" s="138">
        <v>49.64</v>
      </c>
      <c r="H5" s="138">
        <f t="shared" si="0"/>
        <v>40.290088638195002</v>
      </c>
      <c r="I5" s="145">
        <f t="shared" ref="I5:I11" si="1">H5/1000</f>
        <v>4.0290088638194999E-2</v>
      </c>
      <c r="J5" s="16"/>
      <c r="K5" s="17"/>
      <c r="L5" s="161">
        <f>2.84*2</f>
        <v>5.68</v>
      </c>
      <c r="M5" s="161">
        <v>1.97</v>
      </c>
      <c r="N5" s="159">
        <f>0.65*2</f>
        <v>1.3</v>
      </c>
      <c r="O5" s="159"/>
      <c r="P5" s="17">
        <f>0.07*2</f>
        <v>0.14000000000000001</v>
      </c>
    </row>
    <row r="6" spans="1:17" x14ac:dyDescent="0.2">
      <c r="A6" s="48" t="s">
        <v>74</v>
      </c>
      <c r="B6" s="48"/>
      <c r="C6" s="48"/>
      <c r="D6" s="63">
        <v>1</v>
      </c>
      <c r="E6" s="64">
        <v>159000</v>
      </c>
      <c r="F6" s="140">
        <v>1000</v>
      </c>
      <c r="G6" s="138">
        <v>18.670000000000002</v>
      </c>
      <c r="H6" s="138">
        <f t="shared" si="0"/>
        <v>53.561863952865558</v>
      </c>
      <c r="I6" s="145">
        <f t="shared" si="1"/>
        <v>5.3561863952865559E-2</v>
      </c>
      <c r="J6" s="16"/>
      <c r="K6" s="17"/>
      <c r="L6" s="161">
        <v>6.22</v>
      </c>
      <c r="M6" s="161">
        <v>4.42</v>
      </c>
      <c r="N6" s="159">
        <v>2.5</v>
      </c>
      <c r="O6" s="159"/>
      <c r="P6" s="17">
        <v>0.4</v>
      </c>
    </row>
    <row r="7" spans="1:17" x14ac:dyDescent="0.2">
      <c r="A7" s="48" t="s">
        <v>103</v>
      </c>
      <c r="B7" s="48"/>
      <c r="C7" s="48"/>
      <c r="D7" s="63">
        <v>1</v>
      </c>
      <c r="E7" s="64">
        <v>366000</v>
      </c>
      <c r="F7" s="140">
        <v>1000</v>
      </c>
      <c r="G7" s="138">
        <v>6.79</v>
      </c>
      <c r="H7" s="138">
        <f t="shared" si="0"/>
        <v>147.27540500736376</v>
      </c>
      <c r="I7" s="145">
        <f t="shared" si="1"/>
        <v>0.14727540500736375</v>
      </c>
      <c r="J7" s="17">
        <v>68.12</v>
      </c>
      <c r="K7" s="17">
        <v>27.12</v>
      </c>
      <c r="L7" s="162">
        <f>I7*J7</f>
        <v>10.03240058910162</v>
      </c>
      <c r="M7" s="162">
        <f>I7*K7</f>
        <v>3.994108983799705</v>
      </c>
      <c r="N7" s="159">
        <f>I7*O7</f>
        <v>12.746686303387332</v>
      </c>
      <c r="O7" s="159">
        <v>86.55</v>
      </c>
      <c r="P7" s="17"/>
    </row>
    <row r="8" spans="1:17" x14ac:dyDescent="0.2">
      <c r="A8" s="48"/>
      <c r="B8" s="48" t="s">
        <v>75</v>
      </c>
      <c r="C8" s="48"/>
      <c r="D8" s="63">
        <v>1</v>
      </c>
      <c r="E8" s="64">
        <v>61000</v>
      </c>
      <c r="F8" s="140">
        <v>1000</v>
      </c>
      <c r="G8" s="138">
        <v>6.79</v>
      </c>
      <c r="H8" s="138">
        <f t="shared" si="0"/>
        <v>147.27540500736376</v>
      </c>
      <c r="I8" s="145">
        <f t="shared" si="1"/>
        <v>0.14727540500736375</v>
      </c>
      <c r="J8" s="17"/>
      <c r="K8" s="17"/>
      <c r="L8" s="161">
        <v>3.21</v>
      </c>
      <c r="M8" s="161">
        <v>1.41</v>
      </c>
      <c r="N8" s="159">
        <v>1.18</v>
      </c>
      <c r="O8" s="159"/>
      <c r="P8" s="17">
        <v>2</v>
      </c>
    </row>
    <row r="9" spans="1:17" x14ac:dyDescent="0.2">
      <c r="A9" s="48" t="s">
        <v>65</v>
      </c>
      <c r="B9" s="48"/>
      <c r="C9" s="48"/>
      <c r="D9" s="63">
        <v>1</v>
      </c>
      <c r="E9" s="64">
        <v>118000</v>
      </c>
      <c r="F9" s="140">
        <v>1000</v>
      </c>
      <c r="G9" s="138">
        <v>6.87</v>
      </c>
      <c r="H9" s="138">
        <f t="shared" si="0"/>
        <v>145.5604075691412</v>
      </c>
      <c r="I9" s="145">
        <f t="shared" si="1"/>
        <v>0.14556040756914121</v>
      </c>
      <c r="J9" s="17"/>
      <c r="K9" s="17"/>
      <c r="L9" s="161">
        <v>5.2</v>
      </c>
      <c r="M9" s="161">
        <v>2.78</v>
      </c>
      <c r="N9" s="159">
        <v>4.71</v>
      </c>
      <c r="O9" s="159"/>
      <c r="P9" s="17">
        <v>1.44</v>
      </c>
    </row>
    <row r="10" spans="1:17" x14ac:dyDescent="0.2">
      <c r="A10" s="48" t="s">
        <v>76</v>
      </c>
      <c r="B10" s="48"/>
      <c r="C10" s="48"/>
      <c r="D10" s="63">
        <v>2</v>
      </c>
      <c r="E10" s="64">
        <v>350000</v>
      </c>
      <c r="F10" s="140">
        <v>2000</v>
      </c>
      <c r="G10" s="138"/>
      <c r="H10" s="138">
        <f>H3+H6</f>
        <v>106.02776111970712</v>
      </c>
      <c r="I10" s="145">
        <f t="shared" si="1"/>
        <v>0.10602776111970712</v>
      </c>
      <c r="J10" s="17">
        <v>54.5</v>
      </c>
      <c r="K10" s="17">
        <v>28.38</v>
      </c>
      <c r="L10" s="162">
        <f>I10*J10</f>
        <v>5.7785129810240381</v>
      </c>
      <c r="M10" s="162">
        <f>I10*K10</f>
        <v>3.009067860577288</v>
      </c>
      <c r="N10" s="159">
        <f>I10*O10</f>
        <v>0.5937554622703598</v>
      </c>
      <c r="O10" s="159">
        <v>5.6</v>
      </c>
      <c r="P10" s="17"/>
    </row>
    <row r="11" spans="1:17" x14ac:dyDescent="0.2">
      <c r="A11" s="66" t="s">
        <v>68</v>
      </c>
      <c r="B11" s="66"/>
      <c r="C11" s="66"/>
      <c r="D11" s="67">
        <v>2</v>
      </c>
      <c r="E11" s="152">
        <v>362000</v>
      </c>
      <c r="F11" s="141">
        <v>2000</v>
      </c>
      <c r="G11" s="142"/>
      <c r="H11" s="142">
        <f>H4+H9</f>
        <v>168.67110782335891</v>
      </c>
      <c r="I11" s="153">
        <f t="shared" si="1"/>
        <v>0.1686711078233589</v>
      </c>
      <c r="J11" s="148">
        <v>56.37</v>
      </c>
      <c r="K11" s="148">
        <v>29.34</v>
      </c>
      <c r="L11" s="163">
        <f>I11*J11</f>
        <v>9.5079903480027408</v>
      </c>
      <c r="M11" s="163">
        <f>I11*K11</f>
        <v>4.9488103035373499</v>
      </c>
      <c r="N11" s="171">
        <f>I11*O11</f>
        <v>0.97660571429724796</v>
      </c>
      <c r="O11" s="171">
        <v>5.79</v>
      </c>
      <c r="P11" s="148"/>
    </row>
    <row r="12" spans="1:17" x14ac:dyDescent="0.2">
      <c r="B12" s="16"/>
      <c r="C12" s="16"/>
      <c r="D12" s="25"/>
      <c r="E12" s="24"/>
      <c r="F12" s="24"/>
      <c r="G12" s="24"/>
      <c r="H12" s="130"/>
      <c r="I12" s="131"/>
      <c r="J12" s="16"/>
      <c r="K12" s="17"/>
      <c r="L12" s="132"/>
      <c r="M12" s="164"/>
      <c r="N12" s="16"/>
      <c r="O12" s="16"/>
      <c r="P12" s="167"/>
      <c r="Q12" s="16"/>
    </row>
    <row r="13" spans="1:17" x14ac:dyDescent="0.2">
      <c r="A13" s="26"/>
      <c r="B13" s="26"/>
      <c r="C13" s="26"/>
      <c r="D13" s="26"/>
      <c r="E13" s="27"/>
      <c r="F13" s="27"/>
      <c r="G13" s="27"/>
      <c r="H13" s="132"/>
      <c r="I13" s="131"/>
      <c r="J13" s="16"/>
      <c r="K13" s="30" t="s">
        <v>122</v>
      </c>
      <c r="L13" s="132">
        <f>SUM(L3:L11)</f>
        <v>49.968903918128397</v>
      </c>
      <c r="M13" s="132">
        <f>SUM(M3:M11)</f>
        <v>25.251987147914345</v>
      </c>
      <c r="N13" s="168">
        <f t="shared" ref="N13" si="2">SUM(N3:N11)</f>
        <v>25.537047479954939</v>
      </c>
      <c r="O13" s="132" t="s">
        <v>120</v>
      </c>
      <c r="P13" s="136">
        <f>SUM(P3:P11)</f>
        <v>5</v>
      </c>
      <c r="Q13" s="16"/>
    </row>
    <row r="14" spans="1:17" x14ac:dyDescent="0.2">
      <c r="A14" s="26"/>
      <c r="B14" s="16"/>
      <c r="C14" s="16"/>
      <c r="D14" s="16"/>
      <c r="E14" s="33"/>
      <c r="F14" s="28"/>
      <c r="G14" s="28"/>
      <c r="H14" s="133"/>
      <c r="I14" s="134"/>
      <c r="J14" s="86"/>
      <c r="K14" s="86" t="s">
        <v>121</v>
      </c>
      <c r="L14" s="165"/>
      <c r="M14" s="166">
        <f>L13+M13</f>
        <v>75.220891066042739</v>
      </c>
      <c r="N14" s="173" t="s">
        <v>125</v>
      </c>
      <c r="P14" s="169">
        <f>P13*P16</f>
        <v>10</v>
      </c>
      <c r="Q14" s="16"/>
    </row>
    <row r="15" spans="1:17" x14ac:dyDescent="0.2">
      <c r="A15" s="16"/>
      <c r="B15" s="26"/>
      <c r="C15" s="26"/>
      <c r="D15" s="26"/>
      <c r="E15" s="31"/>
      <c r="F15" s="31"/>
      <c r="G15" s="31"/>
      <c r="H15" s="135"/>
      <c r="I15" s="136"/>
      <c r="N15" s="173" t="s">
        <v>124</v>
      </c>
      <c r="P15" s="170">
        <f>P14*1.1</f>
        <v>11</v>
      </c>
    </row>
    <row r="16" spans="1:17" x14ac:dyDescent="0.2">
      <c r="N16" s="174" t="s">
        <v>123</v>
      </c>
      <c r="O16" s="174"/>
      <c r="P16" s="169">
        <v>2</v>
      </c>
    </row>
    <row r="18" spans="2:15" x14ac:dyDescent="0.2">
      <c r="B18" s="16" t="s">
        <v>93</v>
      </c>
      <c r="C18" s="26"/>
      <c r="D18" s="26"/>
      <c r="E18" s="26"/>
      <c r="F18" s="26"/>
      <c r="G18" s="31"/>
      <c r="H18" s="31"/>
      <c r="I18" s="31"/>
      <c r="J18" s="29"/>
      <c r="K18" s="26"/>
      <c r="L18" s="30"/>
      <c r="M18" s="30"/>
      <c r="N18" s="30"/>
      <c r="O18" s="17"/>
    </row>
    <row r="19" spans="2:15" x14ac:dyDescent="0.2">
      <c r="B19" s="16" t="s">
        <v>98</v>
      </c>
      <c r="C19" s="26"/>
      <c r="D19" s="26"/>
      <c r="E19" s="26"/>
      <c r="F19" s="26"/>
      <c r="G19" s="31"/>
      <c r="H19" s="31"/>
      <c r="I19" s="31"/>
      <c r="J19" s="29"/>
      <c r="K19" s="26"/>
      <c r="L19" s="30"/>
      <c r="M19" s="30"/>
      <c r="N19" s="30"/>
      <c r="O19" s="17"/>
    </row>
  </sheetData>
  <phoneticPr fontId="13" type="noConversion"/>
  <pageMargins left="0.75" right="0.75" top="1" bottom="1" header="0.5" footer="0.5"/>
  <pageSetup scale="7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6"/>
  <sheetViews>
    <sheetView showGridLines="0" zoomScale="110" zoomScaleNormal="110" workbookViewId="0">
      <selection sqref="A1:I25"/>
    </sheetView>
  </sheetViews>
  <sheetFormatPr defaultRowHeight="12.75" x14ac:dyDescent="0.2"/>
  <cols>
    <col min="1" max="1" width="8.7109375" customWidth="1"/>
    <col min="2" max="2" width="9.7109375" customWidth="1"/>
    <col min="3" max="3" width="8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9.7109375" customWidth="1"/>
    <col min="9" max="9" width="14.7109375" customWidth="1"/>
  </cols>
  <sheetData>
    <row r="1" spans="1:9" x14ac:dyDescent="0.2">
      <c r="A1" s="204" t="s">
        <v>172</v>
      </c>
      <c r="B1" s="205"/>
      <c r="C1" s="205"/>
      <c r="D1" s="205"/>
      <c r="E1" s="205"/>
      <c r="F1" s="205"/>
      <c r="G1" s="205"/>
      <c r="H1" s="205"/>
      <c r="I1" s="206"/>
    </row>
    <row r="2" spans="1:9" ht="13.5" thickBot="1" x14ac:dyDescent="0.25">
      <c r="A2" s="207"/>
      <c r="B2" s="208"/>
      <c r="C2" s="208"/>
      <c r="D2" s="208"/>
      <c r="E2" s="208"/>
      <c r="F2" s="208"/>
      <c r="G2" s="208"/>
      <c r="H2" s="208"/>
      <c r="I2" s="209"/>
    </row>
    <row r="3" spans="1:9" ht="21" thickTop="1" x14ac:dyDescent="0.3">
      <c r="A3" s="210" t="s">
        <v>52</v>
      </c>
      <c r="B3" s="210"/>
      <c r="C3" s="210"/>
      <c r="D3" s="210" t="s">
        <v>54</v>
      </c>
      <c r="E3" s="210"/>
      <c r="F3" s="210"/>
      <c r="G3" s="211" t="s">
        <v>56</v>
      </c>
      <c r="H3" s="211"/>
      <c r="I3" s="212"/>
    </row>
    <row r="4" spans="1:9" ht="24" x14ac:dyDescent="0.35">
      <c r="A4" s="180" t="s">
        <v>57</v>
      </c>
      <c r="B4" s="181"/>
      <c r="C4" s="129"/>
      <c r="D4" s="129"/>
      <c r="E4" s="129"/>
      <c r="F4" s="129"/>
      <c r="G4" s="192">
        <f>'corn-cons'!$L$8</f>
        <v>175.1</v>
      </c>
      <c r="H4" s="193"/>
      <c r="I4" s="194">
        <f>'corn-cons'!$M$8</f>
        <v>210.12</v>
      </c>
    </row>
    <row r="5" spans="1:9" ht="23.25" x14ac:dyDescent="0.3">
      <c r="A5" s="92" t="s">
        <v>53</v>
      </c>
      <c r="B5" s="92"/>
      <c r="C5" s="90"/>
      <c r="D5" s="191">
        <f>'corn-cons'!I10</f>
        <v>4</v>
      </c>
      <c r="E5" s="90" t="s">
        <v>55</v>
      </c>
      <c r="F5" s="90"/>
      <c r="G5" s="96">
        <f>'corn-cons'!$L$10</f>
        <v>700.4</v>
      </c>
      <c r="H5" s="96"/>
      <c r="I5" s="97">
        <f>'corn-cons'!$M$10</f>
        <v>840.48</v>
      </c>
    </row>
    <row r="6" spans="1:9" ht="20.25" x14ac:dyDescent="0.3">
      <c r="A6" s="89" t="s">
        <v>149</v>
      </c>
      <c r="B6" s="89"/>
      <c r="C6" s="89"/>
      <c r="D6" s="125"/>
      <c r="E6" s="89"/>
      <c r="F6" s="89"/>
      <c r="G6" s="100">
        <f>'corn-cons'!$L$11</f>
        <v>12.75</v>
      </c>
      <c r="H6" s="100"/>
      <c r="I6" s="101">
        <f>'corn-cons'!$M$11</f>
        <v>12.75</v>
      </c>
    </row>
    <row r="7" spans="1:9" ht="7.5" customHeight="1" x14ac:dyDescent="0.3">
      <c r="F7" s="102"/>
      <c r="G7" s="103"/>
      <c r="H7" s="103"/>
      <c r="I7" s="103"/>
    </row>
    <row r="8" spans="1:9" ht="20.25" x14ac:dyDescent="0.3">
      <c r="A8" s="182" t="s">
        <v>58</v>
      </c>
      <c r="B8" s="183"/>
      <c r="C8" s="181"/>
      <c r="D8" s="91"/>
      <c r="E8" s="88"/>
      <c r="F8" s="88"/>
      <c r="G8" s="91"/>
      <c r="H8" s="91"/>
      <c r="I8" s="91"/>
    </row>
    <row r="9" spans="1:9" ht="20.25" x14ac:dyDescent="0.3">
      <c r="A9" s="92" t="s">
        <v>59</v>
      </c>
      <c r="B9" s="92"/>
      <c r="C9" s="92"/>
      <c r="D9" s="93"/>
      <c r="E9" s="90"/>
      <c r="F9" s="90"/>
      <c r="G9" s="96">
        <f>'corn-cons'!L19</f>
        <v>104</v>
      </c>
      <c r="H9" s="96"/>
      <c r="I9" s="97">
        <f>'corn-cons'!$M$19</f>
        <v>110.5</v>
      </c>
    </row>
    <row r="10" spans="1:9" ht="20.25" x14ac:dyDescent="0.3">
      <c r="A10" s="92" t="s">
        <v>150</v>
      </c>
      <c r="B10" s="92"/>
      <c r="C10" s="92"/>
      <c r="D10" s="94"/>
      <c r="E10" s="92"/>
      <c r="F10" s="92"/>
      <c r="G10" s="98">
        <f>'corn-cons'!L23+'corn-cons'!L24+'corn-cons'!L25+'corn-cons'!L26</f>
        <v>105.05655331457162</v>
      </c>
      <c r="H10" s="98"/>
      <c r="I10" s="98">
        <f>'corn-cons'!N23+'corn-cons'!N24+'corn-cons'!N25+'corn-cons'!N26</f>
        <v>119.150992808005</v>
      </c>
    </row>
    <row r="11" spans="1:9" ht="20.25" x14ac:dyDescent="0.3">
      <c r="A11" s="92" t="s">
        <v>151</v>
      </c>
      <c r="B11" s="92"/>
      <c r="C11" s="92"/>
      <c r="D11" s="94"/>
      <c r="E11" s="92"/>
      <c r="F11" s="92"/>
      <c r="G11" s="98">
        <f>'corn-cons'!L27</f>
        <v>46.22</v>
      </c>
      <c r="H11" s="98"/>
      <c r="I11" s="98">
        <f>'corn-cons'!N27</f>
        <v>46.22</v>
      </c>
    </row>
    <row r="12" spans="1:9" ht="20.25" x14ac:dyDescent="0.3">
      <c r="A12" s="92" t="s">
        <v>152</v>
      </c>
      <c r="B12" s="92"/>
      <c r="C12" s="92"/>
      <c r="D12" s="94"/>
      <c r="E12" s="92"/>
      <c r="F12" s="92"/>
      <c r="G12" s="98">
        <f>'corn-cons'!L32</f>
        <v>11</v>
      </c>
      <c r="H12" s="98"/>
      <c r="I12" s="98">
        <f>'corn-cons'!N32</f>
        <v>11</v>
      </c>
    </row>
    <row r="13" spans="1:9" ht="20.25" x14ac:dyDescent="0.3">
      <c r="A13" s="92" t="s">
        <v>153</v>
      </c>
      <c r="B13" s="92"/>
      <c r="C13" s="92"/>
      <c r="D13" s="92"/>
      <c r="E13" s="92"/>
      <c r="F13" s="92"/>
      <c r="G13" s="98">
        <f>'corn-cons'!L33</f>
        <v>25.537047479954939</v>
      </c>
      <c r="H13" s="98"/>
      <c r="I13" s="98">
        <f>'corn-cons'!N33</f>
        <v>25.537047479954939</v>
      </c>
    </row>
    <row r="14" spans="1:9" ht="20.25" x14ac:dyDescent="0.3">
      <c r="A14" s="92" t="s">
        <v>154</v>
      </c>
      <c r="B14" s="92"/>
      <c r="C14" s="92"/>
      <c r="D14" s="92"/>
      <c r="E14" s="92"/>
      <c r="F14" s="92"/>
      <c r="G14" s="98">
        <f>'corn-cons'!L34</f>
        <v>13</v>
      </c>
      <c r="H14" s="98"/>
      <c r="I14" s="98">
        <f>'corn-cons'!N34</f>
        <v>15</v>
      </c>
    </row>
    <row r="15" spans="1:9" ht="20.25" x14ac:dyDescent="0.3">
      <c r="A15" s="89" t="s">
        <v>155</v>
      </c>
      <c r="B15" s="89"/>
      <c r="C15" s="89"/>
      <c r="D15" s="120"/>
      <c r="E15" s="89"/>
      <c r="F15" s="89"/>
      <c r="G15" s="100">
        <f>'corn-cons'!L30+'corn-cons'!L31+'corn-cons'!L35+'corn-cons'!L36+'corn-cons'!L38</f>
        <v>96.030984018538945</v>
      </c>
      <c r="H15" s="100"/>
      <c r="I15" s="100">
        <f>'corn-cons'!N30+'corn-cons'!N31+'corn-cons'!N35+'corn-cons'!N36+'corn-cons'!N38</f>
        <v>110.4765209400524</v>
      </c>
    </row>
    <row r="16" spans="1:9" ht="20.25" customHeight="1" x14ac:dyDescent="0.3">
      <c r="C16" s="113" t="s">
        <v>166</v>
      </c>
      <c r="G16" s="100">
        <f>('corn-cons'!$L$40)</f>
        <v>400.84458481306552</v>
      </c>
      <c r="H16" s="34"/>
      <c r="I16" s="100">
        <f>('corn-cons'!$M$40)</f>
        <v>435.09935857843965</v>
      </c>
    </row>
    <row r="17" spans="1:9" ht="20.25" x14ac:dyDescent="0.3">
      <c r="A17" s="182" t="s">
        <v>60</v>
      </c>
      <c r="B17" s="181"/>
      <c r="C17" s="88"/>
      <c r="D17" s="88"/>
      <c r="E17" s="88"/>
      <c r="F17" s="102"/>
      <c r="G17" s="103"/>
      <c r="H17" s="103"/>
      <c r="I17" s="103"/>
    </row>
    <row r="18" spans="1:9" ht="20.25" x14ac:dyDescent="0.3">
      <c r="A18" s="108" t="s">
        <v>64</v>
      </c>
      <c r="B18" s="108"/>
      <c r="C18" s="108"/>
      <c r="D18" s="108"/>
      <c r="E18" s="108"/>
      <c r="F18" s="108"/>
      <c r="G18" s="96">
        <f>'corn-cons'!$L$44+'corn-cons'!L$45</f>
        <v>73.907499999999999</v>
      </c>
      <c r="H18" s="109"/>
      <c r="I18" s="97">
        <f>'corn-cons'!$M$44+'corn-cons'!$M$45</f>
        <v>80.911500000000004</v>
      </c>
    </row>
    <row r="19" spans="1:9" ht="20.25" x14ac:dyDescent="0.3">
      <c r="A19" s="119" t="s">
        <v>30</v>
      </c>
      <c r="B19" s="119"/>
      <c r="C19" s="119"/>
      <c r="D19" s="119"/>
      <c r="E19" s="119"/>
      <c r="F19" s="119"/>
      <c r="G19" s="98">
        <f>'corn-cons'!$L$46</f>
        <v>75.220891066042739</v>
      </c>
      <c r="H19" s="98"/>
      <c r="I19" s="99">
        <f>'corn-cons'!$M$46</f>
        <v>75.220891066042739</v>
      </c>
    </row>
    <row r="20" spans="1:9" ht="20.25" x14ac:dyDescent="0.3">
      <c r="A20" s="118" t="s">
        <v>61</v>
      </c>
      <c r="B20" s="118"/>
      <c r="C20" s="118"/>
      <c r="D20" s="118"/>
      <c r="E20" s="118"/>
      <c r="F20" s="118"/>
      <c r="G20" s="100">
        <f>'corn-cons'!$L$47</f>
        <v>195</v>
      </c>
      <c r="H20" s="100"/>
      <c r="I20" s="101">
        <f>'corn-cons'!$M$47</f>
        <v>242</v>
      </c>
    </row>
    <row r="21" spans="1:9" ht="21" customHeight="1" x14ac:dyDescent="0.3">
      <c r="C21" s="113" t="s">
        <v>165</v>
      </c>
      <c r="G21" s="98">
        <f>'corn-cons'!$L$52</f>
        <v>765.47297587910828</v>
      </c>
      <c r="H21" s="34"/>
      <c r="I21" s="98">
        <f>'corn-cons'!$M$52</f>
        <v>853.73174964448231</v>
      </c>
    </row>
    <row r="22" spans="1:9" ht="20.25" x14ac:dyDescent="0.3">
      <c r="A22" s="182" t="s">
        <v>62</v>
      </c>
      <c r="B22" s="181"/>
      <c r="C22" s="88"/>
      <c r="D22" s="88"/>
      <c r="E22" s="88"/>
      <c r="F22" s="88"/>
      <c r="G22" s="91"/>
      <c r="H22" s="91"/>
      <c r="I22" s="91"/>
    </row>
    <row r="23" spans="1:9" ht="20.25" x14ac:dyDescent="0.3">
      <c r="A23" s="112" t="s">
        <v>72</v>
      </c>
      <c r="B23" s="112"/>
      <c r="C23" s="112"/>
      <c r="D23" s="112"/>
      <c r="E23" s="112"/>
      <c r="F23" s="112"/>
      <c r="G23" s="96">
        <f>'corn-cons'!$L$57</f>
        <v>-52.322975879108299</v>
      </c>
      <c r="H23" s="96"/>
      <c r="I23" s="97">
        <f>'corn-cons'!$M$57</f>
        <v>-0.5017496444822882</v>
      </c>
    </row>
    <row r="24" spans="1:9" ht="24" x14ac:dyDescent="0.35">
      <c r="A24" s="195" t="s">
        <v>95</v>
      </c>
      <c r="B24" s="195"/>
      <c r="C24" s="195"/>
      <c r="D24" s="195"/>
      <c r="E24" s="195"/>
      <c r="F24" s="195"/>
      <c r="G24" s="189">
        <f>'corn-cons'!$L$55</f>
        <v>312.30541518693445</v>
      </c>
      <c r="H24" s="189"/>
      <c r="I24" s="190">
        <f>'corn-cons'!$M$55</f>
        <v>418.13064142156037</v>
      </c>
    </row>
    <row r="25" spans="1:9" ht="24" x14ac:dyDescent="0.35">
      <c r="A25" s="187" t="s">
        <v>63</v>
      </c>
      <c r="B25" s="187"/>
      <c r="C25" s="187"/>
      <c r="D25" s="187"/>
      <c r="E25" s="187"/>
      <c r="F25" s="188"/>
      <c r="G25" s="189">
        <f>'corn-cons'!$L$58</f>
        <v>142.6770241208917</v>
      </c>
      <c r="H25" s="189"/>
      <c r="I25" s="190">
        <f>'corn-cons'!$M$58</f>
        <v>241.49825035551771</v>
      </c>
    </row>
    <row r="26" spans="1:9" ht="15" x14ac:dyDescent="0.2">
      <c r="A26" s="87"/>
      <c r="B26" s="87"/>
      <c r="C26" s="87"/>
      <c r="D26" s="87"/>
      <c r="E26" s="87"/>
      <c r="F26" s="95"/>
      <c r="G26" s="95"/>
      <c r="H26" s="95"/>
      <c r="I26" s="95"/>
    </row>
    <row r="27" spans="1:9" ht="15" x14ac:dyDescent="0.2">
      <c r="A27" s="87"/>
      <c r="B27" s="87"/>
      <c r="C27" s="87"/>
      <c r="D27" s="87"/>
      <c r="E27" s="87"/>
      <c r="F27" s="87"/>
      <c r="G27" s="87"/>
      <c r="H27" s="87"/>
      <c r="I27" s="87"/>
    </row>
    <row r="28" spans="1:9" ht="15" x14ac:dyDescent="0.2">
      <c r="A28" s="87"/>
      <c r="B28" s="87"/>
      <c r="C28" s="87"/>
      <c r="D28" s="87"/>
      <c r="E28" s="87"/>
      <c r="F28" s="87"/>
      <c r="G28" s="87"/>
      <c r="H28" s="87"/>
      <c r="I28" s="87"/>
    </row>
    <row r="29" spans="1:9" ht="15" x14ac:dyDescent="0.2">
      <c r="A29" s="87"/>
      <c r="B29" s="87"/>
      <c r="C29" s="87"/>
      <c r="D29" s="87"/>
      <c r="E29" s="87"/>
      <c r="F29" s="87"/>
      <c r="G29" s="87"/>
      <c r="H29" s="87"/>
      <c r="I29" s="87"/>
    </row>
    <row r="30" spans="1:9" ht="15" x14ac:dyDescent="0.2">
      <c r="A30" s="87"/>
      <c r="B30" s="87"/>
      <c r="C30" s="87"/>
      <c r="D30" s="87"/>
      <c r="E30" s="87"/>
      <c r="F30" s="87"/>
      <c r="G30" s="87"/>
      <c r="H30" s="87"/>
      <c r="I30" s="87"/>
    </row>
    <row r="31" spans="1:9" ht="15" x14ac:dyDescent="0.2">
      <c r="A31" s="87"/>
      <c r="B31" s="87"/>
      <c r="C31" s="87"/>
      <c r="D31" s="87"/>
      <c r="E31" s="87"/>
      <c r="F31" s="87"/>
      <c r="G31" s="87"/>
      <c r="H31" s="87"/>
      <c r="I31" s="87"/>
    </row>
    <row r="32" spans="1:9" ht="15" x14ac:dyDescent="0.2">
      <c r="A32" s="87"/>
      <c r="B32" s="87"/>
      <c r="C32" s="87"/>
      <c r="D32" s="87"/>
      <c r="E32" s="87"/>
      <c r="F32" s="87"/>
      <c r="G32" s="87"/>
      <c r="H32" s="87"/>
      <c r="I32" s="87"/>
    </row>
    <row r="33" spans="1:9" ht="15" x14ac:dyDescent="0.2">
      <c r="A33" s="87"/>
      <c r="B33" s="87"/>
      <c r="C33" s="87"/>
      <c r="D33" s="87"/>
      <c r="E33" s="87"/>
      <c r="F33" s="87"/>
      <c r="G33" s="87"/>
      <c r="H33" s="87"/>
      <c r="I33" s="87"/>
    </row>
    <row r="34" spans="1:9" ht="15" x14ac:dyDescent="0.2">
      <c r="A34" s="87"/>
      <c r="B34" s="87"/>
      <c r="C34" s="87"/>
      <c r="D34" s="87"/>
      <c r="E34" s="87"/>
      <c r="F34" s="87"/>
      <c r="G34" s="87"/>
      <c r="H34" s="87"/>
      <c r="I34" s="87"/>
    </row>
    <row r="35" spans="1:9" ht="15" x14ac:dyDescent="0.2">
      <c r="A35" s="87"/>
      <c r="B35" s="87"/>
      <c r="C35" s="87"/>
      <c r="D35" s="87"/>
      <c r="E35" s="87"/>
      <c r="F35" s="87"/>
      <c r="G35" s="87"/>
      <c r="H35" s="87"/>
      <c r="I35" s="87"/>
    </row>
    <row r="36" spans="1:9" ht="15" x14ac:dyDescent="0.2">
      <c r="A36" s="87"/>
      <c r="B36" s="87"/>
      <c r="C36" s="87"/>
      <c r="D36" s="87"/>
      <c r="E36" s="87"/>
      <c r="F36" s="87"/>
      <c r="G36" s="87"/>
      <c r="H36" s="87"/>
      <c r="I36" s="87"/>
    </row>
    <row r="37" spans="1:9" ht="15" x14ac:dyDescent="0.2">
      <c r="A37" s="87"/>
      <c r="B37" s="87"/>
      <c r="C37" s="87"/>
      <c r="D37" s="87"/>
      <c r="E37" s="87"/>
      <c r="F37" s="87"/>
      <c r="G37" s="87"/>
      <c r="H37" s="87"/>
      <c r="I37" s="87"/>
    </row>
    <row r="38" spans="1:9" ht="15" x14ac:dyDescent="0.2">
      <c r="A38" s="87"/>
      <c r="B38" s="87"/>
      <c r="C38" s="87"/>
      <c r="D38" s="87"/>
      <c r="E38" s="87"/>
      <c r="F38" s="87"/>
      <c r="G38" s="87"/>
      <c r="H38" s="87"/>
      <c r="I38" s="87"/>
    </row>
    <row r="39" spans="1:9" ht="15" x14ac:dyDescent="0.2">
      <c r="A39" s="87"/>
      <c r="B39" s="87"/>
      <c r="C39" s="87"/>
      <c r="D39" s="87"/>
      <c r="E39" s="87"/>
      <c r="F39" s="87"/>
      <c r="G39" s="87"/>
      <c r="H39" s="87"/>
      <c r="I39" s="87"/>
    </row>
    <row r="40" spans="1:9" ht="15" x14ac:dyDescent="0.2">
      <c r="A40" s="87"/>
      <c r="B40" s="87"/>
      <c r="C40" s="87"/>
      <c r="D40" s="87"/>
      <c r="E40" s="87"/>
      <c r="F40" s="87"/>
      <c r="G40" s="87"/>
      <c r="H40" s="87"/>
      <c r="I40" s="87"/>
    </row>
    <row r="41" spans="1:9" ht="15" x14ac:dyDescent="0.2">
      <c r="A41" s="87"/>
      <c r="B41" s="87"/>
      <c r="C41" s="87"/>
      <c r="D41" s="87"/>
      <c r="E41" s="87"/>
      <c r="F41" s="87"/>
      <c r="G41" s="87"/>
      <c r="H41" s="87"/>
      <c r="I41" s="87"/>
    </row>
    <row r="42" spans="1:9" ht="15" x14ac:dyDescent="0.2">
      <c r="A42" s="87"/>
      <c r="B42" s="87"/>
      <c r="C42" s="87"/>
      <c r="D42" s="87"/>
      <c r="E42" s="87"/>
      <c r="F42" s="87"/>
      <c r="G42" s="87"/>
      <c r="H42" s="87"/>
      <c r="I42" s="87"/>
    </row>
    <row r="43" spans="1:9" ht="15" x14ac:dyDescent="0.2">
      <c r="A43" s="87"/>
      <c r="B43" s="87"/>
      <c r="C43" s="87"/>
      <c r="D43" s="87"/>
      <c r="E43" s="87"/>
      <c r="F43" s="87"/>
      <c r="G43" s="87"/>
      <c r="H43" s="87"/>
      <c r="I43" s="87"/>
    </row>
    <row r="44" spans="1:9" ht="15" x14ac:dyDescent="0.2">
      <c r="A44" s="87"/>
      <c r="B44" s="87"/>
      <c r="C44" s="87"/>
      <c r="D44" s="87"/>
      <c r="E44" s="87"/>
      <c r="F44" s="87"/>
      <c r="G44" s="87"/>
      <c r="H44" s="87"/>
      <c r="I44" s="87"/>
    </row>
    <row r="45" spans="1:9" ht="15" x14ac:dyDescent="0.2">
      <c r="A45" s="87"/>
      <c r="B45" s="87"/>
      <c r="C45" s="87"/>
      <c r="D45" s="87"/>
      <c r="E45" s="87"/>
      <c r="F45" s="87"/>
      <c r="G45" s="87"/>
      <c r="H45" s="87"/>
      <c r="I45" s="87"/>
    </row>
    <row r="46" spans="1:9" ht="15" x14ac:dyDescent="0.2">
      <c r="A46" s="87"/>
      <c r="B46" s="87"/>
      <c r="C46" s="87"/>
      <c r="D46" s="87"/>
      <c r="E46" s="87"/>
      <c r="F46" s="87"/>
      <c r="G46" s="87"/>
      <c r="H46" s="87"/>
      <c r="I46" s="87"/>
    </row>
    <row r="47" spans="1:9" ht="15" x14ac:dyDescent="0.2">
      <c r="A47" s="87"/>
      <c r="B47" s="87"/>
      <c r="C47" s="87"/>
      <c r="D47" s="87"/>
      <c r="E47" s="87"/>
      <c r="F47" s="87"/>
      <c r="G47" s="87"/>
      <c r="H47" s="87"/>
      <c r="I47" s="87"/>
    </row>
    <row r="48" spans="1:9" ht="15" x14ac:dyDescent="0.2">
      <c r="A48" s="87"/>
      <c r="B48" s="87"/>
      <c r="C48" s="87"/>
      <c r="D48" s="87"/>
      <c r="E48" s="87"/>
      <c r="F48" s="87"/>
      <c r="G48" s="87"/>
      <c r="H48" s="87"/>
      <c r="I48" s="87"/>
    </row>
    <row r="49" spans="1:9" ht="15" x14ac:dyDescent="0.2">
      <c r="A49" s="87"/>
      <c r="B49" s="87"/>
      <c r="C49" s="87"/>
      <c r="D49" s="87"/>
      <c r="E49" s="87"/>
      <c r="F49" s="87"/>
      <c r="G49" s="87"/>
      <c r="H49" s="87"/>
      <c r="I49" s="87"/>
    </row>
    <row r="50" spans="1:9" ht="15" x14ac:dyDescent="0.2">
      <c r="A50" s="87"/>
      <c r="B50" s="87"/>
      <c r="C50" s="87"/>
      <c r="D50" s="87"/>
      <c r="E50" s="87"/>
      <c r="F50" s="87"/>
      <c r="G50" s="87"/>
      <c r="H50" s="87"/>
      <c r="I50" s="87"/>
    </row>
    <row r="51" spans="1:9" ht="15" x14ac:dyDescent="0.2">
      <c r="A51" s="87"/>
      <c r="B51" s="87"/>
      <c r="C51" s="87"/>
      <c r="D51" s="87"/>
      <c r="E51" s="87"/>
      <c r="F51" s="87"/>
      <c r="G51" s="87"/>
      <c r="H51" s="87"/>
      <c r="I51" s="87"/>
    </row>
    <row r="52" spans="1:9" ht="15" x14ac:dyDescent="0.2">
      <c r="A52" s="87"/>
      <c r="B52" s="87"/>
      <c r="C52" s="87"/>
      <c r="D52" s="87"/>
      <c r="E52" s="87"/>
      <c r="F52" s="87"/>
      <c r="G52" s="87"/>
      <c r="H52" s="87"/>
      <c r="I52" s="87"/>
    </row>
    <row r="53" spans="1:9" ht="15" x14ac:dyDescent="0.2">
      <c r="A53" s="87"/>
      <c r="B53" s="87"/>
      <c r="C53" s="87"/>
      <c r="D53" s="87"/>
      <c r="E53" s="87"/>
      <c r="F53" s="87"/>
      <c r="G53" s="87"/>
      <c r="H53" s="87"/>
      <c r="I53" s="87"/>
    </row>
    <row r="54" spans="1:9" ht="15" x14ac:dyDescent="0.2">
      <c r="A54" s="87"/>
      <c r="B54" s="87"/>
      <c r="C54" s="87"/>
      <c r="D54" s="87"/>
      <c r="E54" s="87"/>
      <c r="F54" s="87"/>
      <c r="G54" s="87"/>
      <c r="H54" s="87"/>
      <c r="I54" s="87"/>
    </row>
    <row r="55" spans="1:9" ht="15" x14ac:dyDescent="0.2">
      <c r="A55" s="87"/>
      <c r="B55" s="87"/>
      <c r="C55" s="87"/>
      <c r="D55" s="87"/>
      <c r="E55" s="87"/>
      <c r="F55" s="87"/>
      <c r="G55" s="87"/>
      <c r="H55" s="87"/>
      <c r="I55" s="87"/>
    </row>
    <row r="56" spans="1:9" ht="15" x14ac:dyDescent="0.2">
      <c r="A56" s="87"/>
      <c r="B56" s="87"/>
      <c r="C56" s="87"/>
      <c r="D56" s="87"/>
      <c r="E56" s="87"/>
      <c r="F56" s="87"/>
      <c r="G56" s="87"/>
      <c r="H56" s="87"/>
      <c r="I56" s="87"/>
    </row>
    <row r="57" spans="1:9" ht="15" x14ac:dyDescent="0.2">
      <c r="A57" s="87"/>
      <c r="B57" s="87"/>
      <c r="C57" s="87"/>
      <c r="D57" s="87"/>
      <c r="E57" s="87"/>
      <c r="F57" s="87"/>
      <c r="G57" s="87"/>
      <c r="H57" s="87"/>
      <c r="I57" s="87"/>
    </row>
    <row r="58" spans="1:9" ht="15" x14ac:dyDescent="0.2">
      <c r="A58" s="87"/>
      <c r="B58" s="87"/>
      <c r="C58" s="87"/>
      <c r="D58" s="87"/>
      <c r="E58" s="87"/>
      <c r="F58" s="87"/>
      <c r="G58" s="87"/>
      <c r="H58" s="87"/>
      <c r="I58" s="87"/>
    </row>
    <row r="59" spans="1:9" ht="15" x14ac:dyDescent="0.2">
      <c r="A59" s="87"/>
      <c r="B59" s="87"/>
      <c r="C59" s="87"/>
      <c r="D59" s="87"/>
      <c r="E59" s="87"/>
      <c r="F59" s="87"/>
      <c r="G59" s="87"/>
      <c r="H59" s="87"/>
      <c r="I59" s="87"/>
    </row>
    <row r="60" spans="1:9" ht="15" x14ac:dyDescent="0.2">
      <c r="A60" s="87"/>
      <c r="B60" s="87"/>
      <c r="C60" s="87"/>
      <c r="D60" s="87"/>
      <c r="E60" s="87"/>
      <c r="F60" s="87"/>
      <c r="G60" s="87"/>
      <c r="H60" s="87"/>
      <c r="I60" s="87"/>
    </row>
    <row r="61" spans="1:9" ht="15" x14ac:dyDescent="0.2">
      <c r="A61" s="87"/>
      <c r="B61" s="87"/>
      <c r="C61" s="87"/>
      <c r="D61" s="87"/>
      <c r="E61" s="87"/>
      <c r="F61" s="87"/>
      <c r="G61" s="87"/>
      <c r="H61" s="87"/>
      <c r="I61" s="87"/>
    </row>
    <row r="62" spans="1:9" ht="15" x14ac:dyDescent="0.2">
      <c r="A62" s="87"/>
      <c r="B62" s="87"/>
      <c r="C62" s="87"/>
      <c r="D62" s="87"/>
      <c r="E62" s="87"/>
      <c r="F62" s="87"/>
      <c r="G62" s="87"/>
      <c r="H62" s="87"/>
      <c r="I62" s="87"/>
    </row>
    <row r="63" spans="1:9" ht="15" x14ac:dyDescent="0.2">
      <c r="A63" s="87"/>
      <c r="B63" s="87"/>
      <c r="C63" s="87"/>
      <c r="D63" s="87"/>
      <c r="E63" s="87"/>
      <c r="F63" s="87"/>
      <c r="G63" s="87"/>
      <c r="H63" s="87"/>
      <c r="I63" s="87"/>
    </row>
    <row r="64" spans="1:9" ht="15" x14ac:dyDescent="0.2">
      <c r="A64" s="87"/>
      <c r="B64" s="87"/>
      <c r="C64" s="87"/>
      <c r="D64" s="87"/>
      <c r="E64" s="87"/>
      <c r="F64" s="87"/>
      <c r="G64" s="87"/>
      <c r="H64" s="87"/>
      <c r="I64" s="87"/>
    </row>
    <row r="65" spans="1:9" ht="15" x14ac:dyDescent="0.2">
      <c r="A65" s="87"/>
      <c r="B65" s="87"/>
      <c r="C65" s="87"/>
      <c r="D65" s="87"/>
      <c r="E65" s="87"/>
      <c r="F65" s="87"/>
      <c r="G65" s="87"/>
      <c r="H65" s="87"/>
      <c r="I65" s="87"/>
    </row>
    <row r="66" spans="1:9" ht="15" x14ac:dyDescent="0.2">
      <c r="A66" s="87"/>
      <c r="B66" s="87"/>
      <c r="C66" s="87"/>
      <c r="D66" s="87"/>
      <c r="E66" s="87"/>
      <c r="F66" s="87"/>
      <c r="G66" s="87"/>
      <c r="H66" s="87"/>
      <c r="I66" s="87"/>
    </row>
    <row r="67" spans="1:9" ht="15" x14ac:dyDescent="0.2">
      <c r="A67" s="87"/>
      <c r="B67" s="87"/>
      <c r="C67" s="87"/>
      <c r="D67" s="87"/>
      <c r="E67" s="87"/>
      <c r="F67" s="87"/>
      <c r="G67" s="87"/>
      <c r="H67" s="87"/>
      <c r="I67" s="87"/>
    </row>
    <row r="68" spans="1:9" ht="15" x14ac:dyDescent="0.2">
      <c r="A68" s="87"/>
      <c r="B68" s="87"/>
      <c r="C68" s="87"/>
      <c r="D68" s="87"/>
      <c r="E68" s="87"/>
      <c r="F68" s="87"/>
      <c r="G68" s="87"/>
      <c r="H68" s="87"/>
      <c r="I68" s="87"/>
    </row>
    <row r="69" spans="1:9" ht="15" x14ac:dyDescent="0.2">
      <c r="A69" s="87"/>
      <c r="B69" s="87"/>
      <c r="C69" s="87"/>
      <c r="D69" s="87"/>
      <c r="E69" s="87"/>
      <c r="F69" s="87"/>
      <c r="G69" s="87"/>
      <c r="H69" s="87"/>
      <c r="I69" s="87"/>
    </row>
    <row r="70" spans="1:9" ht="15" x14ac:dyDescent="0.2">
      <c r="A70" s="87"/>
      <c r="B70" s="87"/>
      <c r="C70" s="87"/>
      <c r="D70" s="87"/>
      <c r="E70" s="87"/>
      <c r="F70" s="87"/>
      <c r="G70" s="87"/>
      <c r="H70" s="87"/>
      <c r="I70" s="87"/>
    </row>
    <row r="71" spans="1:9" ht="15" x14ac:dyDescent="0.2">
      <c r="A71" s="87"/>
      <c r="B71" s="87"/>
      <c r="C71" s="87"/>
      <c r="D71" s="87"/>
      <c r="E71" s="87"/>
      <c r="F71" s="87"/>
      <c r="G71" s="87"/>
      <c r="H71" s="87"/>
      <c r="I71" s="87"/>
    </row>
    <row r="72" spans="1:9" ht="15" x14ac:dyDescent="0.2">
      <c r="A72" s="87"/>
      <c r="B72" s="87"/>
      <c r="C72" s="87"/>
      <c r="D72" s="87"/>
      <c r="E72" s="87"/>
      <c r="F72" s="87"/>
      <c r="G72" s="87"/>
      <c r="H72" s="87"/>
      <c r="I72" s="87"/>
    </row>
    <row r="73" spans="1:9" ht="15" x14ac:dyDescent="0.2">
      <c r="A73" s="87"/>
      <c r="B73" s="87"/>
      <c r="C73" s="87"/>
      <c r="D73" s="87"/>
      <c r="E73" s="87"/>
      <c r="F73" s="87"/>
      <c r="G73" s="87"/>
      <c r="H73" s="87"/>
      <c r="I73" s="87"/>
    </row>
    <row r="74" spans="1:9" ht="15" x14ac:dyDescent="0.2">
      <c r="A74" s="87"/>
      <c r="B74" s="87"/>
      <c r="C74" s="87"/>
      <c r="D74" s="87"/>
      <c r="E74" s="87"/>
      <c r="F74" s="87"/>
      <c r="G74" s="87"/>
      <c r="H74" s="87"/>
      <c r="I74" s="87"/>
    </row>
    <row r="75" spans="1:9" ht="15" x14ac:dyDescent="0.2">
      <c r="A75" s="87"/>
      <c r="B75" s="87"/>
      <c r="C75" s="87"/>
      <c r="D75" s="87"/>
      <c r="E75" s="87"/>
      <c r="F75" s="87"/>
      <c r="G75" s="87"/>
      <c r="H75" s="87"/>
      <c r="I75" s="87"/>
    </row>
    <row r="76" spans="1:9" ht="15" x14ac:dyDescent="0.2">
      <c r="A76" s="87"/>
      <c r="B76" s="87"/>
      <c r="C76" s="87"/>
      <c r="D76" s="87"/>
      <c r="E76" s="87"/>
      <c r="F76" s="87"/>
      <c r="G76" s="87"/>
      <c r="H76" s="87"/>
      <c r="I76" s="87"/>
    </row>
    <row r="77" spans="1:9" ht="15" x14ac:dyDescent="0.2">
      <c r="A77" s="87"/>
      <c r="B77" s="87"/>
      <c r="C77" s="87"/>
      <c r="D77" s="87"/>
      <c r="E77" s="87"/>
      <c r="F77" s="87"/>
      <c r="G77" s="87"/>
      <c r="H77" s="87"/>
      <c r="I77" s="87"/>
    </row>
    <row r="78" spans="1:9" ht="15" x14ac:dyDescent="0.2">
      <c r="A78" s="87"/>
      <c r="B78" s="87"/>
      <c r="C78" s="87"/>
      <c r="D78" s="87"/>
      <c r="E78" s="87"/>
      <c r="F78" s="87"/>
      <c r="G78" s="87"/>
      <c r="H78" s="87"/>
      <c r="I78" s="87"/>
    </row>
    <row r="79" spans="1:9" ht="15" x14ac:dyDescent="0.2">
      <c r="A79" s="87"/>
      <c r="B79" s="87"/>
      <c r="C79" s="87"/>
      <c r="D79" s="87"/>
      <c r="E79" s="87"/>
      <c r="F79" s="87"/>
      <c r="G79" s="87"/>
      <c r="H79" s="87"/>
      <c r="I79" s="87"/>
    </row>
    <row r="80" spans="1:9" ht="15" x14ac:dyDescent="0.2">
      <c r="A80" s="87"/>
      <c r="B80" s="87"/>
      <c r="C80" s="87"/>
      <c r="D80" s="87"/>
      <c r="E80" s="87"/>
      <c r="F80" s="87"/>
      <c r="G80" s="87"/>
      <c r="H80" s="87"/>
      <c r="I80" s="87"/>
    </row>
    <row r="81" spans="1:9" ht="15" x14ac:dyDescent="0.2">
      <c r="A81" s="87"/>
      <c r="B81" s="87"/>
      <c r="C81" s="87"/>
      <c r="D81" s="87"/>
      <c r="E81" s="87"/>
      <c r="F81" s="87"/>
      <c r="G81" s="87"/>
      <c r="H81" s="87"/>
      <c r="I81" s="87"/>
    </row>
    <row r="82" spans="1:9" ht="15" x14ac:dyDescent="0.2">
      <c r="A82" s="87"/>
      <c r="B82" s="87"/>
      <c r="C82" s="87"/>
      <c r="D82" s="87"/>
      <c r="E82" s="87"/>
      <c r="F82" s="87"/>
      <c r="G82" s="87"/>
      <c r="H82" s="87"/>
      <c r="I82" s="87"/>
    </row>
    <row r="83" spans="1:9" ht="15" x14ac:dyDescent="0.2">
      <c r="A83" s="87"/>
      <c r="B83" s="87"/>
      <c r="C83" s="87"/>
      <c r="D83" s="87"/>
      <c r="E83" s="87"/>
      <c r="F83" s="87"/>
      <c r="G83" s="87"/>
      <c r="H83" s="87"/>
      <c r="I83" s="87"/>
    </row>
    <row r="84" spans="1:9" ht="15" x14ac:dyDescent="0.2">
      <c r="A84" s="87"/>
      <c r="B84" s="87"/>
      <c r="C84" s="87"/>
      <c r="D84" s="87"/>
      <c r="E84" s="87"/>
      <c r="F84" s="87"/>
      <c r="G84" s="87"/>
      <c r="H84" s="87"/>
      <c r="I84" s="87"/>
    </row>
    <row r="85" spans="1:9" ht="15" x14ac:dyDescent="0.2">
      <c r="A85" s="87"/>
      <c r="B85" s="87"/>
      <c r="C85" s="87"/>
      <c r="D85" s="87"/>
      <c r="E85" s="87"/>
      <c r="F85" s="87"/>
      <c r="G85" s="87"/>
      <c r="H85" s="87"/>
      <c r="I85" s="87"/>
    </row>
    <row r="86" spans="1:9" ht="15" x14ac:dyDescent="0.2">
      <c r="A86" s="87"/>
      <c r="B86" s="87"/>
      <c r="C86" s="87"/>
      <c r="D86" s="87"/>
      <c r="E86" s="87"/>
      <c r="F86" s="87"/>
      <c r="G86" s="87"/>
      <c r="H86" s="87"/>
      <c r="I86" s="87"/>
    </row>
    <row r="87" spans="1:9" ht="15" x14ac:dyDescent="0.2">
      <c r="A87" s="87"/>
      <c r="B87" s="87"/>
      <c r="C87" s="87"/>
      <c r="D87" s="87"/>
      <c r="E87" s="87"/>
      <c r="F87" s="87"/>
      <c r="G87" s="87"/>
      <c r="H87" s="87"/>
      <c r="I87" s="87"/>
    </row>
    <row r="88" spans="1:9" ht="15" x14ac:dyDescent="0.2">
      <c r="A88" s="87"/>
      <c r="B88" s="87"/>
      <c r="C88" s="87"/>
      <c r="D88" s="87"/>
      <c r="E88" s="87"/>
      <c r="F88" s="87"/>
      <c r="G88" s="87"/>
      <c r="H88" s="87"/>
      <c r="I88" s="87"/>
    </row>
    <row r="89" spans="1:9" ht="15" x14ac:dyDescent="0.2">
      <c r="A89" s="87"/>
      <c r="B89" s="87"/>
      <c r="C89" s="87"/>
      <c r="D89" s="87"/>
      <c r="E89" s="87"/>
      <c r="F89" s="87"/>
      <c r="G89" s="87"/>
      <c r="H89" s="87"/>
      <c r="I89" s="87"/>
    </row>
    <row r="90" spans="1:9" ht="15" x14ac:dyDescent="0.2">
      <c r="A90" s="87"/>
      <c r="B90" s="87"/>
      <c r="C90" s="87"/>
      <c r="D90" s="87"/>
      <c r="E90" s="87"/>
      <c r="F90" s="87"/>
      <c r="G90" s="87"/>
      <c r="H90" s="87"/>
      <c r="I90" s="87"/>
    </row>
    <row r="91" spans="1:9" ht="15" x14ac:dyDescent="0.2">
      <c r="A91" s="87"/>
      <c r="B91" s="87"/>
      <c r="C91" s="87"/>
      <c r="D91" s="87"/>
      <c r="E91" s="87"/>
      <c r="F91" s="87"/>
      <c r="G91" s="87"/>
      <c r="H91" s="87"/>
      <c r="I91" s="87"/>
    </row>
    <row r="92" spans="1:9" ht="15" x14ac:dyDescent="0.2">
      <c r="A92" s="87"/>
      <c r="B92" s="87"/>
      <c r="C92" s="87"/>
      <c r="D92" s="87"/>
      <c r="E92" s="87"/>
      <c r="F92" s="87"/>
      <c r="G92" s="87"/>
      <c r="H92" s="87"/>
      <c r="I92" s="87"/>
    </row>
    <row r="93" spans="1:9" ht="15" x14ac:dyDescent="0.2">
      <c r="A93" s="87"/>
      <c r="B93" s="87"/>
      <c r="C93" s="87"/>
      <c r="D93" s="87"/>
      <c r="E93" s="87"/>
      <c r="F93" s="87"/>
      <c r="G93" s="87"/>
      <c r="H93" s="87"/>
      <c r="I93" s="87"/>
    </row>
    <row r="94" spans="1:9" ht="15" x14ac:dyDescent="0.2">
      <c r="A94" s="87"/>
      <c r="B94" s="87"/>
      <c r="C94" s="87"/>
      <c r="D94" s="87"/>
      <c r="E94" s="87"/>
      <c r="F94" s="87"/>
      <c r="G94" s="87"/>
      <c r="H94" s="87"/>
      <c r="I94" s="87"/>
    </row>
    <row r="95" spans="1:9" ht="15" x14ac:dyDescent="0.2">
      <c r="A95" s="87"/>
      <c r="B95" s="87"/>
      <c r="C95" s="87"/>
      <c r="D95" s="87"/>
      <c r="E95" s="87"/>
      <c r="F95" s="87"/>
      <c r="G95" s="87"/>
      <c r="H95" s="87"/>
      <c r="I95" s="87"/>
    </row>
    <row r="96" spans="1:9" ht="15" x14ac:dyDescent="0.2">
      <c r="A96" s="87"/>
      <c r="B96" s="87"/>
      <c r="C96" s="87"/>
      <c r="D96" s="87"/>
      <c r="E96" s="87"/>
      <c r="F96" s="87"/>
      <c r="G96" s="87"/>
      <c r="H96" s="87"/>
      <c r="I96" s="87"/>
    </row>
    <row r="97" spans="1:9" ht="15" x14ac:dyDescent="0.2">
      <c r="A97" s="87"/>
      <c r="B97" s="87"/>
      <c r="C97" s="87"/>
      <c r="D97" s="87"/>
      <c r="E97" s="87"/>
      <c r="F97" s="87"/>
      <c r="G97" s="87"/>
      <c r="H97" s="87"/>
      <c r="I97" s="87"/>
    </row>
    <row r="98" spans="1:9" ht="15" x14ac:dyDescent="0.2">
      <c r="A98" s="87"/>
      <c r="B98" s="87"/>
      <c r="C98" s="87"/>
      <c r="D98" s="87"/>
      <c r="E98" s="87"/>
      <c r="F98" s="87"/>
      <c r="G98" s="87"/>
      <c r="H98" s="87"/>
      <c r="I98" s="87"/>
    </row>
    <row r="99" spans="1:9" ht="15" x14ac:dyDescent="0.2">
      <c r="A99" s="87"/>
      <c r="B99" s="87"/>
      <c r="C99" s="87"/>
      <c r="D99" s="87"/>
      <c r="E99" s="87"/>
      <c r="F99" s="87"/>
      <c r="G99" s="87"/>
      <c r="H99" s="87"/>
      <c r="I99" s="87"/>
    </row>
    <row r="100" spans="1:9" ht="15" x14ac:dyDescent="0.2">
      <c r="A100" s="87"/>
      <c r="B100" s="87"/>
      <c r="C100" s="87"/>
      <c r="D100" s="87"/>
      <c r="E100" s="87"/>
      <c r="F100" s="87"/>
      <c r="G100" s="87"/>
      <c r="H100" s="87"/>
      <c r="I100" s="87"/>
    </row>
    <row r="101" spans="1:9" ht="15" x14ac:dyDescent="0.2">
      <c r="A101" s="87"/>
      <c r="B101" s="87"/>
      <c r="C101" s="87"/>
      <c r="D101" s="87"/>
      <c r="E101" s="87"/>
      <c r="F101" s="87"/>
      <c r="G101" s="87"/>
      <c r="H101" s="87"/>
      <c r="I101" s="87"/>
    </row>
    <row r="102" spans="1:9" ht="15" x14ac:dyDescent="0.2">
      <c r="A102" s="87"/>
      <c r="B102" s="87"/>
      <c r="C102" s="87"/>
      <c r="D102" s="87"/>
      <c r="E102" s="87"/>
      <c r="F102" s="87"/>
      <c r="G102" s="87"/>
      <c r="H102" s="87"/>
      <c r="I102" s="87"/>
    </row>
    <row r="103" spans="1:9" ht="15" x14ac:dyDescent="0.2">
      <c r="A103" s="87"/>
      <c r="B103" s="87"/>
      <c r="C103" s="87"/>
      <c r="D103" s="87"/>
      <c r="E103" s="87"/>
      <c r="F103" s="87"/>
      <c r="G103" s="87"/>
      <c r="H103" s="87"/>
      <c r="I103" s="87"/>
    </row>
    <row r="104" spans="1:9" ht="15" x14ac:dyDescent="0.2">
      <c r="A104" s="87"/>
      <c r="B104" s="87"/>
      <c r="C104" s="87"/>
      <c r="D104" s="87"/>
      <c r="E104" s="87"/>
      <c r="F104" s="87"/>
      <c r="G104" s="87"/>
      <c r="H104" s="87"/>
      <c r="I104" s="87"/>
    </row>
    <row r="105" spans="1:9" ht="15" x14ac:dyDescent="0.2">
      <c r="A105" s="87"/>
      <c r="B105" s="87"/>
      <c r="C105" s="87"/>
      <c r="D105" s="87"/>
      <c r="E105" s="87"/>
      <c r="F105" s="87"/>
      <c r="G105" s="87"/>
      <c r="H105" s="87"/>
      <c r="I105" s="87"/>
    </row>
    <row r="106" spans="1:9" ht="15" x14ac:dyDescent="0.2">
      <c r="A106" s="87"/>
      <c r="B106" s="87"/>
      <c r="C106" s="87"/>
      <c r="D106" s="87"/>
      <c r="E106" s="87"/>
      <c r="F106" s="87"/>
      <c r="G106" s="87"/>
      <c r="H106" s="87"/>
      <c r="I106" s="87"/>
    </row>
    <row r="107" spans="1:9" ht="15" x14ac:dyDescent="0.2">
      <c r="A107" s="87"/>
      <c r="B107" s="87"/>
      <c r="C107" s="87"/>
      <c r="D107" s="87"/>
      <c r="E107" s="87"/>
      <c r="F107" s="87"/>
      <c r="G107" s="87"/>
      <c r="H107" s="87"/>
      <c r="I107" s="87"/>
    </row>
    <row r="108" spans="1:9" ht="15" x14ac:dyDescent="0.2">
      <c r="A108" s="87"/>
      <c r="B108" s="87"/>
      <c r="C108" s="87"/>
      <c r="D108" s="87"/>
      <c r="E108" s="87"/>
      <c r="F108" s="87"/>
      <c r="G108" s="87"/>
      <c r="H108" s="87"/>
      <c r="I108" s="87"/>
    </row>
    <row r="109" spans="1:9" ht="15" x14ac:dyDescent="0.2">
      <c r="A109" s="87"/>
      <c r="B109" s="87"/>
      <c r="C109" s="87"/>
      <c r="D109" s="87"/>
      <c r="E109" s="87"/>
      <c r="F109" s="87"/>
      <c r="G109" s="87"/>
      <c r="H109" s="87"/>
      <c r="I109" s="87"/>
    </row>
    <row r="110" spans="1:9" ht="15" x14ac:dyDescent="0.2">
      <c r="A110" s="87"/>
      <c r="B110" s="87"/>
      <c r="C110" s="87"/>
      <c r="D110" s="87"/>
      <c r="E110" s="87"/>
      <c r="F110" s="87"/>
      <c r="G110" s="87"/>
      <c r="H110" s="87"/>
      <c r="I110" s="87"/>
    </row>
    <row r="111" spans="1:9" ht="15" x14ac:dyDescent="0.2">
      <c r="A111" s="87"/>
      <c r="B111" s="87"/>
      <c r="C111" s="87"/>
      <c r="D111" s="87"/>
      <c r="E111" s="87"/>
      <c r="F111" s="87"/>
      <c r="G111" s="87"/>
      <c r="H111" s="87"/>
      <c r="I111" s="87"/>
    </row>
    <row r="112" spans="1:9" ht="15" x14ac:dyDescent="0.2">
      <c r="A112" s="87"/>
      <c r="B112" s="87"/>
      <c r="C112" s="87"/>
      <c r="D112" s="87"/>
      <c r="E112" s="87"/>
      <c r="F112" s="87"/>
      <c r="G112" s="87"/>
      <c r="H112" s="87"/>
      <c r="I112" s="87"/>
    </row>
    <row r="113" spans="1:9" ht="15" x14ac:dyDescent="0.2">
      <c r="A113" s="87"/>
      <c r="B113" s="87"/>
      <c r="C113" s="87"/>
      <c r="D113" s="87"/>
      <c r="E113" s="87"/>
      <c r="F113" s="87"/>
      <c r="G113" s="87"/>
      <c r="H113" s="87"/>
      <c r="I113" s="87"/>
    </row>
    <row r="114" spans="1:9" ht="15" x14ac:dyDescent="0.2">
      <c r="A114" s="87"/>
      <c r="B114" s="87"/>
      <c r="C114" s="87"/>
      <c r="D114" s="87"/>
      <c r="E114" s="87"/>
      <c r="F114" s="87"/>
      <c r="G114" s="87"/>
      <c r="H114" s="87"/>
      <c r="I114" s="87"/>
    </row>
    <row r="115" spans="1:9" ht="15" x14ac:dyDescent="0.2">
      <c r="A115" s="87"/>
      <c r="B115" s="87"/>
      <c r="C115" s="87"/>
      <c r="D115" s="87"/>
      <c r="E115" s="87"/>
      <c r="F115" s="87"/>
      <c r="G115" s="87"/>
      <c r="H115" s="87"/>
      <c r="I115" s="87"/>
    </row>
    <row r="116" spans="1:9" ht="15" x14ac:dyDescent="0.2">
      <c r="A116" s="87"/>
      <c r="B116" s="87"/>
      <c r="C116" s="87"/>
      <c r="D116" s="87"/>
      <c r="E116" s="87"/>
      <c r="F116" s="87"/>
      <c r="G116" s="87"/>
      <c r="H116" s="87"/>
      <c r="I116" s="87"/>
    </row>
    <row r="117" spans="1:9" ht="15" x14ac:dyDescent="0.2">
      <c r="A117" s="87"/>
      <c r="B117" s="87"/>
      <c r="C117" s="87"/>
      <c r="D117" s="87"/>
      <c r="E117" s="87"/>
      <c r="F117" s="87"/>
      <c r="G117" s="87"/>
      <c r="H117" s="87"/>
      <c r="I117" s="87"/>
    </row>
    <row r="118" spans="1:9" ht="15" x14ac:dyDescent="0.2">
      <c r="A118" s="87"/>
      <c r="B118" s="87"/>
      <c r="C118" s="87"/>
      <c r="D118" s="87"/>
      <c r="E118" s="87"/>
      <c r="F118" s="87"/>
      <c r="G118" s="87"/>
      <c r="H118" s="87"/>
      <c r="I118" s="87"/>
    </row>
    <row r="119" spans="1:9" ht="15" x14ac:dyDescent="0.2">
      <c r="A119" s="87"/>
      <c r="B119" s="87"/>
      <c r="C119" s="87"/>
      <c r="D119" s="87"/>
      <c r="E119" s="87"/>
      <c r="F119" s="87"/>
      <c r="G119" s="87"/>
      <c r="H119" s="87"/>
      <c r="I119" s="87"/>
    </row>
    <row r="120" spans="1:9" ht="15" x14ac:dyDescent="0.2">
      <c r="A120" s="87"/>
      <c r="B120" s="87"/>
      <c r="C120" s="87"/>
      <c r="D120" s="87"/>
      <c r="E120" s="87"/>
      <c r="F120" s="87"/>
      <c r="G120" s="87"/>
      <c r="H120" s="87"/>
      <c r="I120" s="87"/>
    </row>
    <row r="121" spans="1:9" ht="15" x14ac:dyDescent="0.2">
      <c r="A121" s="87"/>
      <c r="B121" s="87"/>
      <c r="C121" s="87"/>
      <c r="D121" s="87"/>
      <c r="E121" s="87"/>
      <c r="F121" s="87"/>
      <c r="G121" s="87"/>
      <c r="H121" s="87"/>
      <c r="I121" s="87"/>
    </row>
    <row r="122" spans="1:9" ht="15" x14ac:dyDescent="0.2">
      <c r="A122" s="87"/>
      <c r="B122" s="87"/>
      <c r="C122" s="87"/>
      <c r="D122" s="87"/>
      <c r="E122" s="87"/>
      <c r="F122" s="87"/>
      <c r="G122" s="87"/>
      <c r="H122" s="87"/>
      <c r="I122" s="87"/>
    </row>
    <row r="123" spans="1:9" ht="15" x14ac:dyDescent="0.2">
      <c r="A123" s="87"/>
      <c r="B123" s="87"/>
      <c r="C123" s="87"/>
      <c r="D123" s="87"/>
      <c r="E123" s="87"/>
      <c r="F123" s="87"/>
      <c r="G123" s="87"/>
      <c r="H123" s="87"/>
      <c r="I123" s="87"/>
    </row>
    <row r="124" spans="1:9" ht="15" x14ac:dyDescent="0.2">
      <c r="A124" s="87"/>
      <c r="B124" s="87"/>
      <c r="C124" s="87"/>
      <c r="D124" s="87"/>
      <c r="E124" s="87"/>
      <c r="F124" s="87"/>
      <c r="G124" s="87"/>
      <c r="H124" s="87"/>
      <c r="I124" s="87"/>
    </row>
    <row r="125" spans="1:9" ht="15" x14ac:dyDescent="0.2">
      <c r="A125" s="87"/>
      <c r="B125" s="87"/>
      <c r="C125" s="87"/>
      <c r="D125" s="87"/>
      <c r="E125" s="87"/>
      <c r="F125" s="87"/>
      <c r="G125" s="87"/>
      <c r="H125" s="87"/>
      <c r="I125" s="87"/>
    </row>
    <row r="126" spans="1:9" ht="15" x14ac:dyDescent="0.2">
      <c r="A126" s="87"/>
      <c r="B126" s="87"/>
      <c r="C126" s="87"/>
      <c r="D126" s="87"/>
      <c r="E126" s="87"/>
      <c r="F126" s="87"/>
      <c r="G126" s="87"/>
      <c r="H126" s="87"/>
      <c r="I126" s="87"/>
    </row>
  </sheetData>
  <mergeCells count="4">
    <mergeCell ref="A1:I2"/>
    <mergeCell ref="A3:C3"/>
    <mergeCell ref="D3:F3"/>
    <mergeCell ref="G3:I3"/>
  </mergeCells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corn-cons</vt:lpstr>
      <vt:lpstr>machinery costs</vt:lpstr>
      <vt:lpstr>Quick Stats</vt:lpstr>
      <vt:lpstr>'corn-cons'!Print_Area</vt:lpstr>
      <vt:lpstr>'machinery costs'!Print_Area</vt:lpstr>
    </vt:vector>
  </TitlesOfParts>
  <Company>Dept. of Ag., Env., &amp; Dev.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Ward, Barry</cp:lastModifiedBy>
  <cp:lastPrinted>2020-09-22T15:22:55Z</cp:lastPrinted>
  <dcterms:created xsi:type="dcterms:W3CDTF">2002-12-27T15:34:03Z</dcterms:created>
  <dcterms:modified xsi:type="dcterms:W3CDTF">2021-01-07T03:03:40Z</dcterms:modified>
</cp:coreProperties>
</file>