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rawser.35\Documents\Farm Management\"/>
    </mc:Choice>
  </mc:AlternateContent>
  <bookViews>
    <workbookView xWindow="0" yWindow="-156" windowWidth="15480" windowHeight="10272"/>
  </bookViews>
  <sheets>
    <sheet name="corn-cons" sheetId="1" r:id="rId1"/>
    <sheet name="machinery costs" sheetId="2" r:id="rId2"/>
    <sheet name="Quick Stats" sheetId="3" r:id="rId3"/>
    <sheet name="QuickStats Totals" sheetId="4" r:id="rId4"/>
  </sheets>
  <definedNames>
    <definedName name="_xlnm.Print_Area" localSheetId="0">'corn-cons'!$A$1:$N$108</definedName>
    <definedName name="_xlnm.Print_Area" localSheetId="1">'machinery costs'!$A$1:$P$19</definedName>
  </definedNames>
  <calcPr calcId="162913"/>
</workbook>
</file>

<file path=xl/calcChain.xml><?xml version="1.0" encoding="utf-8"?>
<calcChain xmlns="http://schemas.openxmlformats.org/spreadsheetml/2006/main">
  <c r="F23" i="1" l="1"/>
  <c r="H24" i="1"/>
  <c r="G24" i="1"/>
  <c r="F24" i="1"/>
  <c r="E24" i="1"/>
  <c r="H23" i="1"/>
  <c r="G23" i="1"/>
  <c r="E23" i="1"/>
  <c r="P5" i="2" l="1"/>
  <c r="N5" i="2" l="1"/>
  <c r="L5" i="2"/>
  <c r="D14" i="3" l="1"/>
  <c r="H9" i="2" l="1"/>
  <c r="I9" i="2" s="1"/>
  <c r="H8" i="2"/>
  <c r="I8" i="2" s="1"/>
  <c r="H7" i="2"/>
  <c r="I7" i="2" s="1"/>
  <c r="H6" i="2"/>
  <c r="I6" i="2" s="1"/>
  <c r="P13" i="2"/>
  <c r="P14" i="2" s="1"/>
  <c r="P15" i="2" s="1"/>
  <c r="K31" i="1" s="1"/>
  <c r="H5" i="2"/>
  <c r="I5" i="2" s="1"/>
  <c r="H4" i="2"/>
  <c r="H3" i="2"/>
  <c r="N29" i="1"/>
  <c r="M29" i="1"/>
  <c r="L29" i="1"/>
  <c r="K29" i="1"/>
  <c r="I4" i="2" l="1"/>
  <c r="H11" i="2"/>
  <c r="I10" i="2"/>
  <c r="N10" i="2" s="1"/>
  <c r="H10" i="2"/>
  <c r="L31" i="1"/>
  <c r="M31" i="1"/>
  <c r="N31" i="1"/>
  <c r="I3" i="2"/>
  <c r="L10" i="2"/>
  <c r="N7" i="2"/>
  <c r="M7" i="2"/>
  <c r="L7" i="2"/>
  <c r="I11" i="2"/>
  <c r="M10" i="2" l="1"/>
  <c r="M11" i="2"/>
  <c r="M13" i="2" s="1"/>
  <c r="L11" i="2"/>
  <c r="L13" i="2" s="1"/>
  <c r="N11" i="2"/>
  <c r="N13" i="2" s="1"/>
  <c r="N32" i="1" l="1"/>
  <c r="K32" i="1"/>
  <c r="M32" i="1"/>
  <c r="L32" i="1"/>
  <c r="M14" i="2"/>
  <c r="N45" i="1" l="1"/>
  <c r="L45" i="1"/>
  <c r="K45" i="1"/>
  <c r="M45" i="1"/>
  <c r="N30" i="1"/>
  <c r="M30" i="1"/>
  <c r="L30" i="1"/>
  <c r="K30" i="1"/>
  <c r="I6" i="3" l="1"/>
  <c r="G6" i="3"/>
  <c r="M10" i="1" l="1"/>
  <c r="M15" i="1" s="1"/>
  <c r="I22" i="1"/>
  <c r="I23" i="1"/>
  <c r="I24" i="1"/>
  <c r="L10" i="1"/>
  <c r="L15" i="1" s="1"/>
  <c r="H22" i="1"/>
  <c r="G22" i="1"/>
  <c r="F22" i="1"/>
  <c r="E22" i="1"/>
  <c r="D5" i="4"/>
  <c r="H4" i="4"/>
  <c r="G4" i="4"/>
  <c r="I19" i="3"/>
  <c r="G19" i="3"/>
  <c r="G4" i="3"/>
  <c r="I4" i="3"/>
  <c r="D5" i="3"/>
  <c r="I13" i="3"/>
  <c r="G13" i="3"/>
  <c r="D12" i="3"/>
  <c r="D11" i="3"/>
  <c r="D10" i="3"/>
  <c r="D9" i="3"/>
  <c r="N10" i="1"/>
  <c r="N15" i="1" s="1"/>
  <c r="N44" i="1" s="1"/>
  <c r="N43" i="1"/>
  <c r="I18" i="1"/>
  <c r="M18" i="1" s="1"/>
  <c r="I9" i="3" s="1"/>
  <c r="N25" i="1"/>
  <c r="M43" i="1"/>
  <c r="M25" i="1"/>
  <c r="L43" i="1"/>
  <c r="L25" i="1"/>
  <c r="K10" i="1"/>
  <c r="K15" i="1" s="1"/>
  <c r="K44" i="1" s="1"/>
  <c r="K43" i="1"/>
  <c r="K25" i="1"/>
  <c r="N23" i="1" l="1"/>
  <c r="M22" i="1"/>
  <c r="I10" i="3" s="1"/>
  <c r="N18" i="1"/>
  <c r="K18" i="1"/>
  <c r="L18" i="1"/>
  <c r="G9" i="3" s="1"/>
  <c r="M24" i="1"/>
  <c r="I12" i="3" s="1"/>
  <c r="K24" i="1"/>
  <c r="N24" i="1"/>
  <c r="L23" i="1"/>
  <c r="G11" i="3" s="1"/>
  <c r="G14" i="3"/>
  <c r="I14" i="3"/>
  <c r="L24" i="1"/>
  <c r="G12" i="3" s="1"/>
  <c r="K22" i="1"/>
  <c r="K23" i="1"/>
  <c r="M23" i="1"/>
  <c r="L22" i="1"/>
  <c r="G10" i="3" s="1"/>
  <c r="N22" i="1"/>
  <c r="H5" i="4"/>
  <c r="I5" i="3"/>
  <c r="M44" i="1"/>
  <c r="L44" i="1"/>
  <c r="G5" i="3"/>
  <c r="G5" i="4"/>
  <c r="L37" i="1" l="1"/>
  <c r="L39" i="1" s="1"/>
  <c r="G8" i="4" s="1"/>
  <c r="N37" i="1"/>
  <c r="K37" i="1"/>
  <c r="I11" i="3"/>
  <c r="M37" i="1"/>
  <c r="M39" i="1" s="1"/>
  <c r="H8" i="4" s="1"/>
  <c r="I17" i="3"/>
  <c r="G17" i="3"/>
  <c r="N39" i="1" l="1"/>
  <c r="N55" i="1" s="1"/>
  <c r="K39" i="1"/>
  <c r="K55" i="1" s="1"/>
  <c r="K49" i="1"/>
  <c r="M54" i="1"/>
  <c r="H16" i="4" s="1"/>
  <c r="M55" i="1"/>
  <c r="H17" i="4" s="1"/>
  <c r="I15" i="3"/>
  <c r="H9" i="4"/>
  <c r="M40" i="1"/>
  <c r="G15" i="3"/>
  <c r="L40" i="1"/>
  <c r="L55" i="1"/>
  <c r="G17" i="4" s="1"/>
  <c r="G9" i="4"/>
  <c r="L54" i="1"/>
  <c r="G16" i="4" s="1"/>
  <c r="K51" i="1" l="1"/>
  <c r="K52" i="1" s="1"/>
  <c r="K40" i="1"/>
  <c r="K54" i="1"/>
  <c r="N54" i="1"/>
  <c r="N40" i="1"/>
  <c r="N49" i="1"/>
  <c r="N51" i="1" s="1"/>
  <c r="N52" i="1" s="1"/>
  <c r="G18" i="3"/>
  <c r="L49" i="1"/>
  <c r="I18" i="3"/>
  <c r="M49" i="1"/>
  <c r="I23" i="3"/>
  <c r="G23" i="3"/>
  <c r="K56" i="1" l="1"/>
  <c r="K59" i="1" s="1"/>
  <c r="N56" i="1"/>
  <c r="N58" i="1" s="1"/>
  <c r="H11" i="4"/>
  <c r="M51" i="1"/>
  <c r="G11" i="4"/>
  <c r="L51" i="1"/>
  <c r="K58" i="1" l="1"/>
  <c r="K57" i="1"/>
  <c r="N57" i="1"/>
  <c r="N59" i="1"/>
  <c r="H13" i="4"/>
  <c r="M56" i="1"/>
  <c r="M52" i="1"/>
  <c r="L56" i="1"/>
  <c r="L52" i="1"/>
  <c r="G13" i="4"/>
  <c r="L57" i="1" l="1"/>
  <c r="G18" i="4"/>
  <c r="L58" i="1"/>
  <c r="G20" i="4" s="1"/>
  <c r="L59" i="1"/>
  <c r="G21" i="4" s="1"/>
  <c r="G22" i="3"/>
  <c r="H14" i="4"/>
  <c r="I20" i="3"/>
  <c r="H18" i="4"/>
  <c r="M59" i="1"/>
  <c r="H21" i="4" s="1"/>
  <c r="M58" i="1"/>
  <c r="H20" i="4" s="1"/>
  <c r="I22" i="3"/>
  <c r="M57" i="1"/>
  <c r="G14" i="4"/>
  <c r="G20" i="3"/>
  <c r="I24" i="3" l="1"/>
  <c r="H19" i="4"/>
  <c r="G24" i="3"/>
  <c r="G19" i="4"/>
</calcChain>
</file>

<file path=xl/sharedStrings.xml><?xml version="1.0" encoding="utf-8"?>
<sst xmlns="http://schemas.openxmlformats.org/spreadsheetml/2006/main" count="212" uniqueCount="184">
  <si>
    <t>ITEM</t>
  </si>
  <si>
    <t>EXPLANATION</t>
  </si>
  <si>
    <t>PRICE PER</t>
  </si>
  <si>
    <t>YOUR</t>
  </si>
  <si>
    <t>UNIT</t>
  </si>
  <si>
    <t>BUDGET</t>
  </si>
  <si>
    <t>RECEIPTS</t>
  </si>
  <si>
    <t>/bu</t>
  </si>
  <si>
    <t>VARIABLE  COSTS</t>
  </si>
  <si>
    <t>N (lbs.)</t>
  </si>
  <si>
    <t>/lb</t>
  </si>
  <si>
    <t>Lime(ton)</t>
  </si>
  <si>
    <t>/ton</t>
  </si>
  <si>
    <t xml:space="preserve">mo. </t>
  </si>
  <si>
    <t>TOTAL VARIABLE COSTS</t>
  </si>
  <si>
    <t>-Per Acre</t>
  </si>
  <si>
    <t>-Per Bushel</t>
  </si>
  <si>
    <t>FIXED COSTS</t>
  </si>
  <si>
    <t>hours</t>
  </si>
  <si>
    <t>/hr</t>
  </si>
  <si>
    <t>Rent</t>
  </si>
  <si>
    <t>of gross revenue</t>
  </si>
  <si>
    <t>TOTAL FIXED COSTS</t>
  </si>
  <si>
    <t>TOTAL COSTS</t>
  </si>
  <si>
    <t>RETURN ABOVE TOTAL COSTS</t>
  </si>
  <si>
    <t xml:space="preserve">Assumes only maintenance application of fertilizer needed, corn-soybean rotation, 3.8 O.M., 20 CEC, </t>
  </si>
  <si>
    <r>
      <t>P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>(lbs)</t>
    </r>
  </si>
  <si>
    <r>
      <t>K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O(lbs)</t>
    </r>
  </si>
  <si>
    <t>TOTAL RECEIPTS</t>
  </si>
  <si>
    <t>Acres per Year</t>
  </si>
  <si>
    <t>/1000</t>
  </si>
  <si>
    <t>Machinery Cost</t>
  </si>
  <si>
    <t>PROD.</t>
  </si>
  <si>
    <t>NUMBERS</t>
  </si>
  <si>
    <t xml:space="preserve">Values highlighted in gold may be changed to assist in computing "Your Budget" Column using macros embeded within  </t>
  </si>
  <si>
    <t>the spreadsheet.</t>
  </si>
  <si>
    <t>Values highlighted in gray are stand alone cells that require direct input from the user.</t>
  </si>
  <si>
    <t>These cells may be input manually, but macros will be overwritten!</t>
  </si>
  <si>
    <r>
      <t>YIELD (bu/A)</t>
    </r>
    <r>
      <rPr>
        <b/>
        <vertAlign val="superscript"/>
        <sz val="10"/>
        <rFont val="Arial"/>
        <family val="2"/>
      </rPr>
      <t>1</t>
    </r>
  </si>
  <si>
    <r>
      <t>Seed (kernels)</t>
    </r>
    <r>
      <rPr>
        <vertAlign val="superscript"/>
        <sz val="10"/>
        <rFont val="Arial"/>
        <family val="2"/>
      </rPr>
      <t>3</t>
    </r>
  </si>
  <si>
    <t>Herbicide</t>
  </si>
  <si>
    <t>Fungicide</t>
  </si>
  <si>
    <t>Insecticide</t>
  </si>
  <si>
    <t>Seed Cost Per Bag</t>
  </si>
  <si>
    <t>/bag</t>
  </si>
  <si>
    <t xml:space="preserve"> Includes seed treatment at low level.</t>
  </si>
  <si>
    <t xml:space="preserve">Labor rate includes cash wages plus benefits. </t>
  </si>
  <si>
    <t>RETURN TO LAND</t>
  </si>
  <si>
    <t>Updated:</t>
  </si>
  <si>
    <t>Assumes NH3(82-0-0):</t>
  </si>
  <si>
    <t>/ton     MAP(11-52-0):</t>
  </si>
  <si>
    <t>/ton     Potash(0-0-60):</t>
  </si>
  <si>
    <t>N cost includes cost of N-Serve.</t>
  </si>
  <si>
    <t>Item</t>
  </si>
  <si>
    <t>Corn Price</t>
  </si>
  <si>
    <t>Input</t>
  </si>
  <si>
    <t>/bushel</t>
  </si>
  <si>
    <t>Yield in bushels/acre</t>
  </si>
  <si>
    <t>Receipts</t>
  </si>
  <si>
    <t>Variable Costs</t>
  </si>
  <si>
    <t>Seed Cost</t>
  </si>
  <si>
    <t>Chemicals</t>
  </si>
  <si>
    <t>Fixed Costs</t>
  </si>
  <si>
    <t>Land Rent</t>
  </si>
  <si>
    <t xml:space="preserve">Fuel/Diesel </t>
  </si>
  <si>
    <t>/gallon</t>
  </si>
  <si>
    <t>Returns</t>
  </si>
  <si>
    <t>Return to Land</t>
  </si>
  <si>
    <r>
      <t>Nitrogen (NH</t>
    </r>
    <r>
      <rPr>
        <vertAlign val="subscript"/>
        <sz val="16"/>
        <rFont val="Arial"/>
        <family val="2"/>
      </rPr>
      <t>3</t>
    </r>
    <r>
      <rPr>
        <sz val="16"/>
        <rFont val="Arial"/>
        <family val="2"/>
      </rPr>
      <t>)</t>
    </r>
  </si>
  <si>
    <r>
      <t>P</t>
    </r>
    <r>
      <rPr>
        <vertAlign val="subscript"/>
        <sz val="16"/>
        <rFont val="Arial"/>
        <family val="2"/>
      </rPr>
      <t>2</t>
    </r>
    <r>
      <rPr>
        <sz val="16"/>
        <rFont val="Arial"/>
        <family val="2"/>
      </rPr>
      <t>0</t>
    </r>
    <r>
      <rPr>
        <vertAlign val="subscript"/>
        <sz val="16"/>
        <rFont val="Arial"/>
        <family val="2"/>
      </rPr>
      <t xml:space="preserve">5   </t>
    </r>
    <r>
      <rPr>
        <sz val="16"/>
        <rFont val="Arial"/>
        <family val="2"/>
      </rPr>
      <t>(MAP)</t>
    </r>
  </si>
  <si>
    <r>
      <t>K</t>
    </r>
    <r>
      <rPr>
        <vertAlign val="subscript"/>
        <sz val="16"/>
        <rFont val="Arial"/>
        <family val="2"/>
      </rPr>
      <t>2</t>
    </r>
    <r>
      <rPr>
        <sz val="16"/>
        <rFont val="Arial"/>
        <family val="2"/>
      </rPr>
      <t>0   (Potash)</t>
    </r>
  </si>
  <si>
    <t>Labor and Management</t>
  </si>
  <si>
    <t>miles</t>
  </si>
  <si>
    <t>Grain Cart</t>
  </si>
  <si>
    <t>Land charges vary throughout the state, check your local rates.</t>
  </si>
  <si>
    <t>37 ft. Chisel Plow</t>
  </si>
  <si>
    <t>310 HP Tractor</t>
  </si>
  <si>
    <t>Reflects 2000 acres, Conservation Tillage Corn/No-Till RR Soybeans</t>
  </si>
  <si>
    <t>RETURN TO LAND, LABOR AND MANAGEMENT</t>
  </si>
  <si>
    <t>Grower or Market Premium</t>
  </si>
  <si>
    <t>Yield is based on Ohio Ag Stats Trend Yield for Ohio (1970-Present), plus and minus 20%</t>
  </si>
  <si>
    <t>Values highlighted in light blue are cells embedded with macros and will be calculated for the user based on data entered.</t>
  </si>
  <si>
    <t>Return to Total Costs</t>
  </si>
  <si>
    <t>60 ft. Field Cultivator</t>
  </si>
  <si>
    <t>16 Row Planter</t>
  </si>
  <si>
    <t>Corn Head 8 Row</t>
  </si>
  <si>
    <t>360 HP Tractor</t>
  </si>
  <si>
    <t>RETURN ABOVE VARIABLE AND LAND COSTS</t>
  </si>
  <si>
    <t>Starter Fertilizer</t>
  </si>
  <si>
    <t>Seed price based on traited seed corn, 80,000 kernels/bag.</t>
  </si>
  <si>
    <t xml:space="preserve">Fertilizer prices vary over time and by area.  Check with local sources for current prices. </t>
  </si>
  <si>
    <t>Management Charge is calculated as 5% of total receipts.</t>
  </si>
  <si>
    <t>Crop Insurance Indemnity</t>
  </si>
  <si>
    <t>Breakeven Cost / Bu</t>
  </si>
  <si>
    <t>Total Variable Costs</t>
  </si>
  <si>
    <t>Toptal Fixed Costs</t>
  </si>
  <si>
    <t>Total Costs</t>
  </si>
  <si>
    <t>Variable Costs / Bu</t>
  </si>
  <si>
    <t>Return Above Variable Costs</t>
  </si>
  <si>
    <t>Return Above Variable  and Land Costs</t>
  </si>
  <si>
    <t>Return Above Total Costs</t>
  </si>
  <si>
    <t>Return to Labor and Management</t>
  </si>
  <si>
    <t>Return to Land, Labor and Management</t>
  </si>
  <si>
    <t>and soil test values of 25 ppm P/A and 125 ppm K/A.</t>
  </si>
  <si>
    <t>Crop Insurance: Revenue Protection (with Trend Adjusted Yield Endorsement), Basic (without SCO), 75% coverage level.</t>
  </si>
  <si>
    <r>
      <t>ARC/PLC Payment</t>
    </r>
    <r>
      <rPr>
        <vertAlign val="superscript"/>
        <sz val="10"/>
        <rFont val="Arial"/>
        <family val="2"/>
      </rPr>
      <t>2</t>
    </r>
  </si>
  <si>
    <t xml:space="preserve">Includes marketing, farm insurance, dues and professional fees, supplies, utilities, soil tests, small tools, </t>
  </si>
  <si>
    <t xml:space="preserve">Part or all of labor may be a variable cost if paid labor varies with acres farmed.  </t>
  </si>
  <si>
    <t>Labor is considered a fixed cost if labor costs do not change with acres farmed.</t>
  </si>
  <si>
    <t xml:space="preserve">Machinery and Equipment Charge Reflects 2000 acres, conservation tillage corn/no-till RR soybean rotation. </t>
  </si>
  <si>
    <t>Return to Land equals total receipts minus total costs except land costs.</t>
  </si>
  <si>
    <t>Return Above Variable and Land Costs equals total receipts minus total variable and land costs.</t>
  </si>
  <si>
    <t>Return Above Total Costs equals total receipts minus total costs.</t>
  </si>
  <si>
    <t>Return Above Variable Costs equals total receipts minus total variable costs.</t>
  </si>
  <si>
    <t>Return to Labor and Management equals total receipts minus total expenses except operator labor and management cost.</t>
  </si>
  <si>
    <t xml:space="preserve">Return to Land, Labor and Management equals total receipts minus total expenses </t>
  </si>
  <si>
    <t>except operator labor and management and land costs.</t>
  </si>
  <si>
    <t xml:space="preserve">Machinery cost estimates, fuel estimates and cost calculations based on information from industry sources and </t>
  </si>
  <si>
    <t>RETURN TO LABOR AND MANAGEMENT</t>
  </si>
  <si>
    <t>Return to Variable Costs</t>
  </si>
  <si>
    <t>Conservation Tillage Practices: N-Source - NH3</t>
  </si>
  <si>
    <t>Yield in bu/acre</t>
  </si>
  <si>
    <t>CORN SELECTED BUDGET STATS - 2017</t>
  </si>
  <si>
    <t>ARC/PLC</t>
  </si>
  <si>
    <t>Average based on "Ohio Cropland Values and Cash Rents" factsheet found at: http://ohioline.osu.edu/</t>
  </si>
  <si>
    <t>the "Farm Machinery Cost Estimates". See the reference online at:   http://wlazarus.cfans.umn.edu/william-f-lazarus-farm-machinery-management</t>
  </si>
  <si>
    <r>
      <t>Drying</t>
    </r>
    <r>
      <rPr>
        <vertAlign val="superscript"/>
        <sz val="10"/>
        <rFont val="Arial"/>
        <family val="2"/>
      </rPr>
      <t>6</t>
    </r>
  </si>
  <si>
    <t>/per bushel</t>
  </si>
  <si>
    <t>Acre/Hr</t>
  </si>
  <si>
    <t>Hrs/Yr.</t>
  </si>
  <si>
    <t>Combine 375 HP</t>
  </si>
  <si>
    <r>
      <t>Hired Custom Work</t>
    </r>
    <r>
      <rPr>
        <vertAlign val="superscript"/>
        <sz val="10"/>
        <rFont val="Arial"/>
        <family val="2"/>
      </rPr>
      <t>12</t>
    </r>
  </si>
  <si>
    <t>Includes hired custom operations for dry bulk fertilizer application and anhydrous ammonia (NH3) application</t>
  </si>
  <si>
    <t>Hrs/Acre</t>
  </si>
  <si>
    <t>/cent/bu/point</t>
  </si>
  <si>
    <t>Times used</t>
  </si>
  <si>
    <t>Overhead/ Acre</t>
  </si>
  <si>
    <t>Boom Sprayer,Self Prop.</t>
  </si>
  <si>
    <t>Dep/Hr.</t>
  </si>
  <si>
    <t>Overhead/ Hr.</t>
  </si>
  <si>
    <t>Dep/ Acre</t>
  </si>
  <si>
    <t>% moisture at harvest</t>
  </si>
  <si>
    <t>software/hardware, business use of vehicle, transport of supplies and equipment, etc…</t>
  </si>
  <si>
    <r>
      <t>RETURN ABOVE VARIABLE COSTS</t>
    </r>
    <r>
      <rPr>
        <b/>
        <vertAlign val="superscript"/>
        <sz val="10"/>
        <rFont val="Arial"/>
        <family val="2"/>
      </rPr>
      <t>20</t>
    </r>
  </si>
  <si>
    <t>Fuel/ Acre</t>
  </si>
  <si>
    <t>Repairs/ Acre</t>
  </si>
  <si>
    <t>Repairs &amp; Maint /Hr.</t>
  </si>
  <si>
    <t>Gallons</t>
  </si>
  <si>
    <t>Total Dep &amp; Overhead/ A</t>
  </si>
  <si>
    <t>Totals/ A</t>
  </si>
  <si>
    <t>Diesel - On Farm/ Gal</t>
  </si>
  <si>
    <t>F&amp;L Cost/ A</t>
  </si>
  <si>
    <t>Fuel Cost/ A</t>
  </si>
  <si>
    <t>Machinery and Equipment Costs</t>
  </si>
  <si>
    <t>See 'machinery costs' tab for specific calculations.  Lubrication costs are assumed to be 10% of fuel costs</t>
  </si>
  <si>
    <t>See  'machinery costs' tab for specific calculations.</t>
  </si>
  <si>
    <r>
      <t>Hauling</t>
    </r>
    <r>
      <rPr>
        <vertAlign val="superscript"/>
        <sz val="10"/>
        <rFont val="Arial"/>
        <family val="2"/>
      </rPr>
      <t>7</t>
    </r>
  </si>
  <si>
    <t>Based on use of: preplant Corvus plus atrazine, post glyphosate with ammonium sulfate (AMS).</t>
  </si>
  <si>
    <t>Jeff Stachler, Extension Educator, OSU Extension Auglaize County</t>
  </si>
  <si>
    <r>
      <t>Corn</t>
    </r>
    <r>
      <rPr>
        <vertAlign val="superscript"/>
        <sz val="10"/>
        <rFont val="Arial"/>
        <family val="2"/>
      </rPr>
      <t>1</t>
    </r>
  </si>
  <si>
    <r>
      <t>Fertilizer</t>
    </r>
    <r>
      <rPr>
        <vertAlign val="superscript"/>
        <sz val="10"/>
        <rFont val="Arial"/>
        <family val="2"/>
      </rPr>
      <t>4</t>
    </r>
  </si>
  <si>
    <r>
      <t>Chemicals</t>
    </r>
    <r>
      <rPr>
        <vertAlign val="superscript"/>
        <sz val="10"/>
        <rFont val="Arial"/>
        <family val="2"/>
      </rPr>
      <t>5</t>
    </r>
  </si>
  <si>
    <r>
      <t>Fuel, Oil, Grease</t>
    </r>
    <r>
      <rPr>
        <vertAlign val="superscript"/>
        <sz val="10"/>
        <rFont val="Arial"/>
        <family val="2"/>
      </rPr>
      <t>8</t>
    </r>
  </si>
  <si>
    <r>
      <t>Repairs</t>
    </r>
    <r>
      <rPr>
        <vertAlign val="superscript"/>
        <sz val="10"/>
        <rFont val="Arial"/>
        <family val="2"/>
      </rPr>
      <t>9</t>
    </r>
  </si>
  <si>
    <r>
      <t>Crop Insurance</t>
    </r>
    <r>
      <rPr>
        <vertAlign val="superscript"/>
        <sz val="10"/>
        <rFont val="Arial"/>
        <family val="2"/>
      </rPr>
      <t>10</t>
    </r>
  </si>
  <si>
    <r>
      <t>Miscellaneous</t>
    </r>
    <r>
      <rPr>
        <vertAlign val="superscript"/>
        <sz val="10"/>
        <rFont val="Arial"/>
        <family val="2"/>
      </rPr>
      <t>11</t>
    </r>
  </si>
  <si>
    <r>
      <t>Hired Labor</t>
    </r>
    <r>
      <rPr>
        <vertAlign val="superscript"/>
        <sz val="10"/>
        <rFont val="Arial"/>
        <family val="2"/>
      </rPr>
      <t>13</t>
    </r>
  </si>
  <si>
    <r>
      <t>Int. on Oper. Cap.</t>
    </r>
    <r>
      <rPr>
        <vertAlign val="superscript"/>
        <sz val="10"/>
        <rFont val="Arial"/>
        <family val="2"/>
      </rPr>
      <t>14</t>
    </r>
  </si>
  <si>
    <r>
      <t>Labor Charge</t>
    </r>
    <r>
      <rPr>
        <vertAlign val="superscript"/>
        <sz val="10"/>
        <rFont val="Arial"/>
        <family val="2"/>
      </rPr>
      <t>15</t>
    </r>
  </si>
  <si>
    <r>
      <t>Management Charge</t>
    </r>
    <r>
      <rPr>
        <vertAlign val="superscript"/>
        <sz val="10"/>
        <rFont val="Arial"/>
        <family val="2"/>
      </rPr>
      <t>16</t>
    </r>
  </si>
  <si>
    <r>
      <t>Mach. And Equip. Charge</t>
    </r>
    <r>
      <rPr>
        <vertAlign val="superscript"/>
        <sz val="10"/>
        <rFont val="Arial"/>
        <family val="2"/>
      </rPr>
      <t>17</t>
    </r>
  </si>
  <si>
    <r>
      <t>Land Charge</t>
    </r>
    <r>
      <rPr>
        <vertAlign val="superscript"/>
        <sz val="10"/>
        <rFont val="Arial"/>
        <family val="2"/>
      </rPr>
      <t>18</t>
    </r>
  </si>
  <si>
    <r>
      <t>Miscellaneous</t>
    </r>
    <r>
      <rPr>
        <vertAlign val="superscript"/>
        <sz val="10"/>
        <rFont val="Arial"/>
        <family val="2"/>
      </rPr>
      <t>19</t>
    </r>
  </si>
  <si>
    <t>Hauling based on Ohio Farm Custom Rates charge per bushel - Farm to Market</t>
  </si>
  <si>
    <t>Interest on all variable costs, except drying, hauling and crop insurance</t>
  </si>
  <si>
    <t>Price is based on current CME December Futures less $0.20 basis</t>
  </si>
  <si>
    <t>See 'machinery costs' tab for specific calculations.</t>
  </si>
  <si>
    <t>Drying costs are based on Ohio Farm Custom Rates - 6.3 cents per bushel per point of moisture removed  - 3% moisture removed</t>
  </si>
  <si>
    <t>CORN PRODUCTION BUDGET- 2019</t>
  </si>
  <si>
    <t>CORN SELECTED BUDGET STATS - 2019</t>
  </si>
  <si>
    <t>Peter Thomison, Extension Corn Specialist; Mark Loux, Extension Specialist, Weed Management in Field Crops</t>
  </si>
  <si>
    <t>Authors: Barry Ward, Leader, Production Business Management</t>
  </si>
  <si>
    <t>5/2/2019</t>
  </si>
  <si>
    <t>Assumes a PLC Program Choice, 50/50 Corn/Soybean Program Acres, payment on 85% of program acres.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</si>
</sst>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7" formatCode="&quot;$&quot;#,##0.00_);\(&quot;$&quot;#,##0.00\)"/>
    <numFmt numFmtId="43" formatCode="_(* #,##0.00_);_(* \(#,##0.00\);_(* &quot;-&quot;??_);_(@_)"/>
    <numFmt numFmtId="164" formatCode="0.0"/>
    <numFmt numFmtId="165" formatCode="&quot;$&quot;#,##0.00"/>
    <numFmt numFmtId="166" formatCode="&quot;$&quot;#,##0"/>
    <numFmt numFmtId="167" formatCode="_(* #,##0_);_(* \(#,##0\);_(* &quot;-&quot;??_);_(@_)"/>
    <numFmt numFmtId="168" formatCode="0.000"/>
    <numFmt numFmtId="169" formatCode="&quot;$&quot;#,##0.000"/>
  </numFmts>
  <fonts count="22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sz val="8"/>
      <name val="Arial"/>
      <family val="2"/>
    </font>
    <font>
      <vertAlign val="subscript"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sz val="22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sz val="16"/>
      <name val="Arial"/>
      <family val="2"/>
    </font>
    <font>
      <b/>
      <i/>
      <sz val="16"/>
      <name val="Arial"/>
      <family val="2"/>
    </font>
    <font>
      <vertAlign val="subscript"/>
      <sz val="16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6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7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4" fillId="0" borderId="1" xfId="0" applyFont="1" applyBorder="1" applyAlignment="1">
      <alignment horizontal="center"/>
    </xf>
    <xf numFmtId="0" fontId="2" fillId="0" borderId="0" xfId="0" applyFont="1" applyBorder="1"/>
    <xf numFmtId="0" fontId="4" fillId="0" borderId="0" xfId="0" applyFont="1" applyBorder="1" applyAlignment="1">
      <alignment horizontal="center"/>
    </xf>
    <xf numFmtId="2" fontId="2" fillId="0" borderId="0" xfId="0" applyNumberFormat="1" applyFont="1" applyBorder="1"/>
    <xf numFmtId="0" fontId="2" fillId="0" borderId="2" xfId="0" applyFont="1" applyBorder="1"/>
    <xf numFmtId="1" fontId="2" fillId="0" borderId="2" xfId="0" applyNumberFormat="1" applyFont="1" applyBorder="1"/>
    <xf numFmtId="0" fontId="4" fillId="0" borderId="0" xfId="0" applyFont="1"/>
    <xf numFmtId="1" fontId="2" fillId="0" borderId="0" xfId="0" applyNumberFormat="1" applyFont="1"/>
    <xf numFmtId="165" fontId="2" fillId="0" borderId="0" xfId="0" applyNumberFormat="1" applyFont="1"/>
    <xf numFmtId="0" fontId="6" fillId="0" borderId="0" xfId="0" applyFont="1"/>
    <xf numFmtId="0" fontId="2" fillId="0" borderId="0" xfId="0" applyFont="1" applyAlignment="1">
      <alignment horizontal="center"/>
    </xf>
    <xf numFmtId="2" fontId="0" fillId="0" borderId="0" xfId="0" applyNumberFormat="1"/>
    <xf numFmtId="0" fontId="9" fillId="0" borderId="0" xfId="0" applyFont="1"/>
    <xf numFmtId="0" fontId="10" fillId="0" borderId="0" xfId="0" applyFont="1"/>
    <xf numFmtId="2" fontId="10" fillId="0" borderId="0" xfId="0" applyNumberFormat="1" applyFont="1"/>
    <xf numFmtId="0" fontId="9" fillId="0" borderId="0" xfId="0" applyFont="1" applyAlignment="1"/>
    <xf numFmtId="0" fontId="10" fillId="0" borderId="0" xfId="0" applyFont="1" applyAlignment="1"/>
    <xf numFmtId="0" fontId="10" fillId="0" borderId="3" xfId="0" applyFont="1" applyBorder="1"/>
    <xf numFmtId="0" fontId="11" fillId="0" borderId="3" xfId="0" applyFont="1" applyBorder="1"/>
    <xf numFmtId="2" fontId="10" fillId="0" borderId="3" xfId="0" applyNumberFormat="1" applyFont="1" applyBorder="1"/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9" fontId="10" fillId="0" borderId="0" xfId="2" applyFont="1"/>
    <xf numFmtId="0" fontId="11" fillId="0" borderId="0" xfId="0" applyFont="1"/>
    <xf numFmtId="167" fontId="11" fillId="0" borderId="0" xfId="1" applyNumberFormat="1" applyFont="1" applyAlignment="1">
      <alignment horizontal="center"/>
    </xf>
    <xf numFmtId="9" fontId="10" fillId="0" borderId="0" xfId="2" applyFont="1" applyAlignment="1">
      <alignment horizontal="right"/>
    </xf>
    <xf numFmtId="167" fontId="10" fillId="0" borderId="0" xfId="1" applyNumberFormat="1" applyFont="1"/>
    <xf numFmtId="2" fontId="11" fillId="0" borderId="0" xfId="0" applyNumberFormat="1" applyFont="1"/>
    <xf numFmtId="167" fontId="11" fillId="0" borderId="0" xfId="0" applyNumberFormat="1" applyFont="1" applyAlignment="1">
      <alignment horizontal="right"/>
    </xf>
    <xf numFmtId="0" fontId="10" fillId="0" borderId="0" xfId="0" applyFont="1" applyFill="1"/>
    <xf numFmtId="9" fontId="11" fillId="0" borderId="0" xfId="2" applyFont="1" applyAlignment="1">
      <alignment horizontal="right"/>
    </xf>
    <xf numFmtId="165" fontId="0" fillId="0" borderId="0" xfId="0" applyNumberFormat="1"/>
    <xf numFmtId="2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0" fillId="0" borderId="0" xfId="0" applyFont="1" applyBorder="1"/>
    <xf numFmtId="164" fontId="2" fillId="0" borderId="0" xfId="0" applyNumberFormat="1" applyFont="1"/>
    <xf numFmtId="0" fontId="3" fillId="0" borderId="0" xfId="0" applyFont="1"/>
    <xf numFmtId="0" fontId="4" fillId="0" borderId="1" xfId="0" applyFont="1" applyBorder="1" applyAlignment="1" applyProtection="1">
      <alignment horizontal="center"/>
    </xf>
    <xf numFmtId="0" fontId="4" fillId="0" borderId="2" xfId="0" applyFont="1" applyBorder="1" applyAlignment="1"/>
    <xf numFmtId="2" fontId="4" fillId="0" borderId="0" xfId="0" applyNumberFormat="1" applyFont="1"/>
    <xf numFmtId="1" fontId="4" fillId="0" borderId="0" xfId="0" applyNumberFormat="1" applyFont="1"/>
    <xf numFmtId="0" fontId="2" fillId="0" borderId="0" xfId="0" quotePrefix="1" applyFont="1"/>
    <xf numFmtId="0" fontId="9" fillId="0" borderId="0" xfId="0" applyFont="1" applyAlignment="1">
      <alignment horizontal="right"/>
    </xf>
    <xf numFmtId="49" fontId="2" fillId="0" borderId="0" xfId="0" applyNumberFormat="1" applyFont="1"/>
    <xf numFmtId="0" fontId="10" fillId="2" borderId="0" xfId="0" applyFont="1" applyFill="1"/>
    <xf numFmtId="0" fontId="10" fillId="3" borderId="0" xfId="0" applyFont="1" applyFill="1"/>
    <xf numFmtId="165" fontId="12" fillId="3" borderId="0" xfId="0" applyNumberFormat="1" applyFont="1" applyFill="1"/>
    <xf numFmtId="1" fontId="12" fillId="3" borderId="2" xfId="0" applyNumberFormat="1" applyFont="1" applyFill="1" applyBorder="1"/>
    <xf numFmtId="0" fontId="12" fillId="3" borderId="0" xfId="0" applyFont="1" applyFill="1" applyAlignment="1">
      <alignment horizontal="right"/>
    </xf>
    <xf numFmtId="0" fontId="12" fillId="3" borderId="0" xfId="0" applyFont="1" applyFill="1"/>
    <xf numFmtId="164" fontId="12" fillId="3" borderId="0" xfId="0" applyNumberFormat="1" applyFont="1" applyFill="1"/>
    <xf numFmtId="2" fontId="12" fillId="3" borderId="0" xfId="0" applyNumberFormat="1" applyFont="1" applyFill="1"/>
    <xf numFmtId="0" fontId="2" fillId="0" borderId="0" xfId="0" applyFont="1" applyFill="1"/>
    <xf numFmtId="0" fontId="4" fillId="0" borderId="0" xfId="0" applyFont="1" applyFill="1"/>
    <xf numFmtId="10" fontId="12" fillId="3" borderId="0" xfId="0" applyNumberFormat="1" applyFont="1" applyFill="1"/>
    <xf numFmtId="0" fontId="12" fillId="3" borderId="0" xfId="0" applyFont="1" applyFill="1" applyAlignment="1">
      <alignment horizontal="center"/>
    </xf>
    <xf numFmtId="9" fontId="12" fillId="3" borderId="0" xfId="2" applyFont="1" applyFill="1" applyAlignment="1">
      <alignment horizontal="center"/>
    </xf>
    <xf numFmtId="2" fontId="4" fillId="2" borderId="0" xfId="0" applyNumberFormat="1" applyFont="1" applyFill="1"/>
    <xf numFmtId="2" fontId="4" fillId="4" borderId="0" xfId="0" applyNumberFormat="1" applyFont="1" applyFill="1"/>
    <xf numFmtId="0" fontId="10" fillId="4" borderId="0" xfId="0" applyFont="1" applyFill="1"/>
    <xf numFmtId="0" fontId="10" fillId="3" borderId="0" xfId="0" applyFont="1" applyFill="1" applyAlignment="1">
      <alignment horizontal="center"/>
    </xf>
    <xf numFmtId="166" fontId="10" fillId="3" borderId="0" xfId="0" applyNumberFormat="1" applyFont="1" applyFill="1" applyAlignment="1">
      <alignment horizontal="center"/>
    </xf>
    <xf numFmtId="0" fontId="0" fillId="0" borderId="3" xfId="0" applyBorder="1"/>
    <xf numFmtId="0" fontId="10" fillId="3" borderId="2" xfId="0" applyFont="1" applyFill="1" applyBorder="1"/>
    <xf numFmtId="0" fontId="10" fillId="3" borderId="2" xfId="0" applyFont="1" applyFill="1" applyBorder="1" applyAlignment="1">
      <alignment horizontal="center"/>
    </xf>
    <xf numFmtId="0" fontId="10" fillId="3" borderId="1" xfId="0" applyFont="1" applyFill="1" applyBorder="1"/>
    <xf numFmtId="0" fontId="10" fillId="3" borderId="1" xfId="0" applyFont="1" applyFill="1" applyBorder="1" applyAlignment="1">
      <alignment horizontal="center"/>
    </xf>
    <xf numFmtId="166" fontId="10" fillId="3" borderId="1" xfId="0" applyNumberFormat="1" applyFont="1" applyFill="1" applyBorder="1" applyAlignment="1">
      <alignment horizontal="center"/>
    </xf>
    <xf numFmtId="4" fontId="2" fillId="0" borderId="0" xfId="0" applyNumberFormat="1" applyFont="1"/>
    <xf numFmtId="4" fontId="4" fillId="2" borderId="0" xfId="0" applyNumberFormat="1" applyFont="1" applyFill="1"/>
    <xf numFmtId="4" fontId="0" fillId="0" borderId="0" xfId="0" applyNumberFormat="1"/>
    <xf numFmtId="4" fontId="4" fillId="0" borderId="0" xfId="0" applyNumberFormat="1" applyFont="1"/>
    <xf numFmtId="4" fontId="4" fillId="4" borderId="0" xfId="0" applyNumberFormat="1" applyFont="1" applyFill="1"/>
    <xf numFmtId="4" fontId="2" fillId="0" borderId="0" xfId="0" quotePrefix="1" applyNumberFormat="1" applyFont="1"/>
    <xf numFmtId="4" fontId="4" fillId="0" borderId="0" xfId="0" quotePrefix="1" applyNumberFormat="1" applyFont="1"/>
    <xf numFmtId="0" fontId="10" fillId="0" borderId="3" xfId="0" applyFont="1" applyBorder="1" applyAlignment="1">
      <alignment horizontal="center" wrapText="1"/>
    </xf>
    <xf numFmtId="164" fontId="4" fillId="3" borderId="0" xfId="0" applyNumberFormat="1" applyFont="1" applyFill="1"/>
    <xf numFmtId="2" fontId="4" fillId="0" borderId="0" xfId="0" applyNumberFormat="1" applyFont="1" applyFill="1"/>
    <xf numFmtId="0" fontId="12" fillId="0" borderId="0" xfId="0" applyFont="1" applyFill="1"/>
    <xf numFmtId="0" fontId="10" fillId="0" borderId="0" xfId="0" quotePrefix="1" applyFont="1"/>
    <xf numFmtId="2" fontId="10" fillId="0" borderId="0" xfId="0" quotePrefix="1" applyNumberFormat="1" applyFont="1"/>
    <xf numFmtId="1" fontId="10" fillId="3" borderId="0" xfId="0" applyNumberFormat="1" applyFont="1" applyFill="1"/>
    <xf numFmtId="4" fontId="4" fillId="0" borderId="0" xfId="0" applyNumberFormat="1" applyFont="1" applyFill="1"/>
    <xf numFmtId="1" fontId="10" fillId="0" borderId="0" xfId="0" applyNumberFormat="1" applyFont="1" applyFill="1"/>
    <xf numFmtId="2" fontId="11" fillId="0" borderId="0" xfId="0" applyNumberFormat="1" applyFont="1" applyFill="1"/>
    <xf numFmtId="0" fontId="16" fillId="0" borderId="0" xfId="0" applyFont="1"/>
    <xf numFmtId="0" fontId="15" fillId="5" borderId="4" xfId="0" applyFont="1" applyFill="1" applyBorder="1"/>
    <xf numFmtId="0" fontId="17" fillId="5" borderId="5" xfId="0" applyFont="1" applyFill="1" applyBorder="1"/>
    <xf numFmtId="0" fontId="17" fillId="0" borderId="0" xfId="0" applyFont="1"/>
    <xf numFmtId="0" fontId="17" fillId="4" borderId="2" xfId="0" applyFont="1" applyFill="1" applyBorder="1"/>
    <xf numFmtId="0" fontId="17" fillId="4" borderId="3" xfId="0" applyFont="1" applyFill="1" applyBorder="1"/>
    <xf numFmtId="165" fontId="18" fillId="4" borderId="3" xfId="0" applyNumberFormat="1" applyFont="1" applyFill="1" applyBorder="1"/>
    <xf numFmtId="0" fontId="17" fillId="4" borderId="1" xfId="0" applyFont="1" applyFill="1" applyBorder="1"/>
    <xf numFmtId="165" fontId="17" fillId="0" borderId="0" xfId="0" applyNumberFormat="1" applyFont="1"/>
    <xf numFmtId="0" fontId="15" fillId="5" borderId="1" xfId="0" applyFont="1" applyFill="1" applyBorder="1"/>
    <xf numFmtId="0" fontId="17" fillId="4" borderId="0" xfId="0" applyFont="1" applyFill="1" applyBorder="1"/>
    <xf numFmtId="166" fontId="18" fillId="4" borderId="1" xfId="0" applyNumberFormat="1" applyFont="1" applyFill="1" applyBorder="1"/>
    <xf numFmtId="166" fontId="18" fillId="4" borderId="0" xfId="0" applyNumberFormat="1" applyFont="1" applyFill="1" applyBorder="1"/>
    <xf numFmtId="0" fontId="17" fillId="5" borderId="1" xfId="0" applyFont="1" applyFill="1" applyBorder="1"/>
    <xf numFmtId="0" fontId="17" fillId="0" borderId="1" xfId="0" applyFont="1" applyFill="1" applyBorder="1"/>
    <xf numFmtId="0" fontId="16" fillId="0" borderId="1" xfId="0" applyFont="1" applyFill="1" applyBorder="1"/>
    <xf numFmtId="165" fontId="15" fillId="4" borderId="1" xfId="0" applyNumberFormat="1" applyFont="1" applyFill="1" applyBorder="1"/>
    <xf numFmtId="165" fontId="15" fillId="4" borderId="5" xfId="0" applyNumberFormat="1" applyFont="1" applyFill="1" applyBorder="1"/>
    <xf numFmtId="165" fontId="17" fillId="0" borderId="1" xfId="0" applyNumberFormat="1" applyFont="1" applyFill="1" applyBorder="1"/>
    <xf numFmtId="165" fontId="15" fillId="4" borderId="0" xfId="0" applyNumberFormat="1" applyFont="1" applyFill="1" applyBorder="1"/>
    <xf numFmtId="165" fontId="15" fillId="4" borderId="6" xfId="0" applyNumberFormat="1" applyFont="1" applyFill="1" applyBorder="1"/>
    <xf numFmtId="165" fontId="15" fillId="4" borderId="2" xfId="0" applyNumberFormat="1" applyFont="1" applyFill="1" applyBorder="1"/>
    <xf numFmtId="165" fontId="15" fillId="4" borderId="7" xfId="0" applyNumberFormat="1" applyFont="1" applyFill="1" applyBorder="1"/>
    <xf numFmtId="0" fontId="17" fillId="0" borderId="0" xfId="0" applyFont="1" applyFill="1" applyBorder="1"/>
    <xf numFmtId="165" fontId="17" fillId="0" borderId="0" xfId="0" applyNumberFormat="1" applyFont="1" applyFill="1" applyBorder="1"/>
    <xf numFmtId="0" fontId="1" fillId="0" borderId="0" xfId="0" applyFont="1"/>
    <xf numFmtId="4" fontId="2" fillId="0" borderId="0" xfId="0" applyNumberFormat="1" applyFont="1" applyBorder="1"/>
    <xf numFmtId="4" fontId="2" fillId="2" borderId="0" xfId="0" applyNumberFormat="1" applyFont="1" applyFill="1" applyBorder="1"/>
    <xf numFmtId="0" fontId="4" fillId="0" borderId="0" xfId="0" applyFont="1" applyBorder="1"/>
    <xf numFmtId="0" fontId="17" fillId="7" borderId="1" xfId="0" applyFont="1" applyFill="1" applyBorder="1"/>
    <xf numFmtId="165" fontId="17" fillId="7" borderId="1" xfId="0" applyNumberFormat="1" applyFont="1" applyFill="1" applyBorder="1"/>
    <xf numFmtId="0" fontId="1" fillId="0" borderId="0" xfId="0" quotePrefix="1" applyFont="1"/>
    <xf numFmtId="3" fontId="12" fillId="3" borderId="0" xfId="0" applyNumberFormat="1" applyFont="1" applyFill="1"/>
    <xf numFmtId="2" fontId="4" fillId="9" borderId="0" xfId="0" applyNumberFormat="1" applyFont="1" applyFill="1"/>
    <xf numFmtId="0" fontId="17" fillId="10" borderId="1" xfId="0" applyFont="1" applyFill="1" applyBorder="1"/>
    <xf numFmtId="1" fontId="15" fillId="11" borderId="8" xfId="0" applyNumberFormat="1" applyFont="1" applyFill="1" applyBorder="1" applyAlignment="1"/>
    <xf numFmtId="1" fontId="15" fillId="11" borderId="7" xfId="0" applyNumberFormat="1" applyFont="1" applyFill="1" applyBorder="1" applyAlignment="1"/>
    <xf numFmtId="0" fontId="15" fillId="0" borderId="0" xfId="0" applyFont="1"/>
    <xf numFmtId="0" fontId="4" fillId="0" borderId="2" xfId="0" applyFont="1" applyBorder="1"/>
    <xf numFmtId="10" fontId="4" fillId="0" borderId="2" xfId="0" applyNumberFormat="1" applyFont="1" applyFill="1" applyBorder="1"/>
    <xf numFmtId="4" fontId="1" fillId="0" borderId="2" xfId="0" applyNumberFormat="1" applyFont="1" applyBorder="1"/>
    <xf numFmtId="165" fontId="12" fillId="0" borderId="0" xfId="0" applyNumberFormat="1" applyFont="1" applyFill="1"/>
    <xf numFmtId="0" fontId="17" fillId="7" borderId="2" xfId="0" applyFont="1" applyFill="1" applyBorder="1"/>
    <xf numFmtId="0" fontId="17" fillId="7" borderId="0" xfId="0" applyFont="1" applyFill="1" applyBorder="1"/>
    <xf numFmtId="7" fontId="18" fillId="4" borderId="2" xfId="0" applyNumberFormat="1" applyFont="1" applyFill="1" applyBorder="1"/>
    <xf numFmtId="2" fontId="4" fillId="10" borderId="0" xfId="0" applyNumberFormat="1" applyFont="1" applyFill="1"/>
    <xf numFmtId="0" fontId="17" fillId="0" borderId="9" xfId="0" applyFont="1" applyFill="1" applyBorder="1"/>
    <xf numFmtId="0" fontId="17" fillId="0" borderId="3" xfId="0" applyFont="1" applyFill="1" applyBorder="1"/>
    <xf numFmtId="165" fontId="15" fillId="0" borderId="3" xfId="0" applyNumberFormat="1" applyFont="1" applyFill="1" applyBorder="1"/>
    <xf numFmtId="0" fontId="15" fillId="5" borderId="3" xfId="0" applyFont="1" applyFill="1" applyBorder="1"/>
    <xf numFmtId="0" fontId="17" fillId="5" borderId="10" xfId="0" applyFont="1" applyFill="1" applyBorder="1"/>
    <xf numFmtId="7" fontId="18" fillId="4" borderId="3" xfId="0" applyNumberFormat="1" applyFont="1" applyFill="1" applyBorder="1"/>
    <xf numFmtId="165" fontId="15" fillId="4" borderId="3" xfId="0" applyNumberFormat="1" applyFont="1" applyFill="1" applyBorder="1"/>
    <xf numFmtId="165" fontId="15" fillId="4" borderId="10" xfId="0" applyNumberFormat="1" applyFont="1" applyFill="1" applyBorder="1"/>
    <xf numFmtId="165" fontId="15" fillId="4" borderId="11" xfId="0" applyNumberFormat="1" applyFont="1" applyFill="1" applyBorder="1"/>
    <xf numFmtId="0" fontId="21" fillId="10" borderId="1" xfId="0" applyFont="1" applyFill="1" applyBorder="1"/>
    <xf numFmtId="0" fontId="21" fillId="4" borderId="2" xfId="0" applyFont="1" applyFill="1" applyBorder="1"/>
    <xf numFmtId="0" fontId="21" fillId="10" borderId="0" xfId="0" applyFont="1" applyFill="1" applyBorder="1"/>
    <xf numFmtId="0" fontId="17" fillId="10" borderId="0" xfId="0" applyFont="1" applyFill="1" applyBorder="1"/>
    <xf numFmtId="0" fontId="21" fillId="4" borderId="0" xfId="0" applyFont="1" applyFill="1" applyBorder="1"/>
    <xf numFmtId="0" fontId="0" fillId="0" borderId="1" xfId="0" applyBorder="1"/>
    <xf numFmtId="0" fontId="0" fillId="12" borderId="0" xfId="0" applyFill="1"/>
    <xf numFmtId="4" fontId="4" fillId="0" borderId="2" xfId="0" applyNumberFormat="1" applyFont="1" applyFill="1" applyBorder="1"/>
    <xf numFmtId="165" fontId="18" fillId="4" borderId="1" xfId="0" applyNumberFormat="1" applyFont="1" applyFill="1" applyBorder="1"/>
    <xf numFmtId="165" fontId="18" fillId="4" borderId="2" xfId="0" applyNumberFormat="1" applyFont="1" applyFill="1" applyBorder="1"/>
    <xf numFmtId="10" fontId="1" fillId="0" borderId="0" xfId="0" applyNumberFormat="1" applyFont="1"/>
    <xf numFmtId="10" fontId="0" fillId="0" borderId="0" xfId="0" applyNumberFormat="1"/>
    <xf numFmtId="4" fontId="1" fillId="0" borderId="0" xfId="0" applyNumberFormat="1" applyFont="1"/>
    <xf numFmtId="0" fontId="17" fillId="13" borderId="0" xfId="0" applyFont="1" applyFill="1"/>
    <xf numFmtId="165" fontId="0" fillId="0" borderId="0" xfId="0" applyNumberFormat="1" applyFill="1"/>
    <xf numFmtId="0" fontId="11" fillId="0" borderId="0" xfId="0" applyFont="1" applyFill="1" applyAlignment="1">
      <alignment horizontal="center"/>
    </xf>
    <xf numFmtId="165" fontId="11" fillId="0" borderId="0" xfId="0" applyNumberFormat="1" applyFont="1" applyFill="1" applyAlignment="1">
      <alignment horizontal="center"/>
    </xf>
    <xf numFmtId="167" fontId="10" fillId="0" borderId="0" xfId="1" applyNumberFormat="1" applyFont="1" applyFill="1"/>
    <xf numFmtId="0" fontId="11" fillId="0" borderId="0" xfId="0" applyFont="1" applyFill="1"/>
    <xf numFmtId="167" fontId="11" fillId="0" borderId="0" xfId="0" applyNumberFormat="1" applyFont="1" applyFill="1" applyAlignment="1">
      <alignment horizontal="right"/>
    </xf>
    <xf numFmtId="2" fontId="11" fillId="0" borderId="0" xfId="0" applyNumberFormat="1" applyFont="1" applyFill="1" applyAlignment="1">
      <alignment horizontal="right"/>
    </xf>
    <xf numFmtId="4" fontId="10" fillId="0" borderId="1" xfId="0" applyNumberFormat="1" applyFont="1" applyFill="1" applyBorder="1" applyAlignment="1">
      <alignment horizontal="center"/>
    </xf>
    <xf numFmtId="4" fontId="10" fillId="0" borderId="0" xfId="0" applyNumberFormat="1" applyFont="1" applyFill="1" applyAlignment="1">
      <alignment horizontal="center"/>
    </xf>
    <xf numFmtId="3" fontId="10" fillId="0" borderId="1" xfId="0" applyNumberFormat="1" applyFont="1" applyFill="1" applyBorder="1"/>
    <xf numFmtId="3" fontId="10" fillId="0" borderId="0" xfId="0" applyNumberFormat="1" applyFont="1" applyBorder="1"/>
    <xf numFmtId="3" fontId="10" fillId="0" borderId="2" xfId="0" applyNumberFormat="1" applyFont="1" applyBorder="1"/>
    <xf numFmtId="4" fontId="10" fillId="0" borderId="2" xfId="0" applyNumberFormat="1" applyFont="1" applyFill="1" applyBorder="1" applyAlignment="1">
      <alignment horizontal="center"/>
    </xf>
    <xf numFmtId="2" fontId="4" fillId="7" borderId="0" xfId="0" applyNumberFormat="1" applyFont="1" applyFill="1"/>
    <xf numFmtId="168" fontId="10" fillId="0" borderId="1" xfId="0" applyNumberFormat="1" applyFont="1" applyFill="1" applyBorder="1" applyAlignment="1">
      <alignment horizontal="center"/>
    </xf>
    <xf numFmtId="168" fontId="10" fillId="0" borderId="0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 wrapText="1"/>
    </xf>
    <xf numFmtId="168" fontId="12" fillId="2" borderId="0" xfId="0" applyNumberFormat="1" applyFont="1" applyFill="1"/>
    <xf numFmtId="2" fontId="10" fillId="0" borderId="2" xfId="0" applyNumberFormat="1" applyFont="1" applyBorder="1"/>
    <xf numFmtId="2" fontId="10" fillId="0" borderId="1" xfId="0" applyNumberFormat="1" applyFont="1" applyBorder="1"/>
    <xf numFmtId="2" fontId="10" fillId="0" borderId="0" xfId="0" applyNumberFormat="1" applyFont="1" applyAlignment="1">
      <alignment horizontal="center" wrapText="1"/>
    </xf>
    <xf numFmtId="0" fontId="10" fillId="0" borderId="1" xfId="0" applyFont="1" applyBorder="1"/>
    <xf numFmtId="166" fontId="10" fillId="3" borderId="2" xfId="0" applyNumberFormat="1" applyFont="1" applyFill="1" applyBorder="1" applyAlignment="1">
      <alignment horizontal="center"/>
    </xf>
    <xf numFmtId="168" fontId="10" fillId="0" borderId="2" xfId="0" applyNumberFormat="1" applyFont="1" applyFill="1" applyBorder="1" applyAlignment="1">
      <alignment horizontal="center"/>
    </xf>
    <xf numFmtId="4" fontId="2" fillId="0" borderId="2" xfId="0" applyNumberFormat="1" applyFont="1" applyBorder="1"/>
    <xf numFmtId="0" fontId="4" fillId="0" borderId="1" xfId="0" applyFont="1" applyBorder="1"/>
    <xf numFmtId="0" fontId="2" fillId="0" borderId="1" xfId="0" applyFont="1" applyBorder="1"/>
    <xf numFmtId="4" fontId="2" fillId="0" borderId="1" xfId="0" applyNumberFormat="1" applyFont="1" applyBorder="1"/>
    <xf numFmtId="4" fontId="4" fillId="0" borderId="1" xfId="0" applyNumberFormat="1" applyFont="1" applyFill="1" applyBorder="1"/>
    <xf numFmtId="165" fontId="10" fillId="0" borderId="0" xfId="0" applyNumberFormat="1" applyFont="1"/>
    <xf numFmtId="165" fontId="10" fillId="0" borderId="1" xfId="0" applyNumberFormat="1" applyFont="1" applyFill="1" applyBorder="1" applyAlignment="1">
      <alignment horizontal="center"/>
    </xf>
    <xf numFmtId="165" fontId="10" fillId="0" borderId="0" xfId="0" applyNumberFormat="1" applyFont="1" applyFill="1" applyBorder="1" applyAlignment="1">
      <alignment horizontal="center"/>
    </xf>
    <xf numFmtId="165" fontId="10" fillId="0" borderId="0" xfId="0" quotePrefix="1" applyNumberFormat="1" applyFont="1" applyFill="1" applyBorder="1" applyAlignment="1">
      <alignment horizontal="center"/>
    </xf>
    <xf numFmtId="165" fontId="10" fillId="0" borderId="2" xfId="0" quotePrefix="1" applyNumberFormat="1" applyFont="1" applyFill="1" applyBorder="1" applyAlignment="1">
      <alignment horizontal="center"/>
    </xf>
    <xf numFmtId="165" fontId="10" fillId="0" borderId="0" xfId="0" applyNumberFormat="1" applyFont="1" applyFill="1"/>
    <xf numFmtId="165" fontId="11" fillId="0" borderId="0" xfId="0" applyNumberFormat="1" applyFont="1" applyFill="1"/>
    <xf numFmtId="165" fontId="11" fillId="0" borderId="0" xfId="0" applyNumberFormat="1" applyFont="1" applyAlignment="1">
      <alignment horizontal="center"/>
    </xf>
    <xf numFmtId="2" fontId="10" fillId="0" borderId="0" xfId="0" applyNumberFormat="1" applyFont="1" applyAlignment="1">
      <alignment horizontal="right"/>
    </xf>
    <xf numFmtId="165" fontId="11" fillId="0" borderId="0" xfId="0" applyNumberFormat="1" applyFont="1" applyFill="1" applyAlignment="1">
      <alignment horizontal="right"/>
    </xf>
    <xf numFmtId="165" fontId="11" fillId="0" borderId="0" xfId="0" applyNumberFormat="1" applyFont="1" applyAlignment="1">
      <alignment horizontal="right"/>
    </xf>
    <xf numFmtId="165" fontId="11" fillId="0" borderId="0" xfId="0" applyNumberFormat="1" applyFont="1"/>
    <xf numFmtId="165" fontId="10" fillId="0" borderId="2" xfId="0" applyNumberFormat="1" applyFont="1" applyBorder="1"/>
    <xf numFmtId="0" fontId="10" fillId="0" borderId="3" xfId="0" applyFont="1" applyBorder="1" applyAlignment="1">
      <alignment wrapText="1"/>
    </xf>
    <xf numFmtId="0" fontId="11" fillId="0" borderId="0" xfId="0" applyFont="1" applyAlignment="1">
      <alignment horizontal="left"/>
    </xf>
    <xf numFmtId="2" fontId="11" fillId="0" borderId="0" xfId="0" applyNumberFormat="1" applyFont="1" applyFill="1" applyAlignment="1">
      <alignment horizontal="left"/>
    </xf>
    <xf numFmtId="4" fontId="1" fillId="0" borderId="0" xfId="0" quotePrefix="1" applyNumberFormat="1" applyFont="1"/>
    <xf numFmtId="169" fontId="4" fillId="8" borderId="0" xfId="0" applyNumberFormat="1" applyFont="1" applyFill="1"/>
    <xf numFmtId="0" fontId="12" fillId="0" borderId="0" xfId="0" applyFont="1" applyFill="1" applyAlignment="1">
      <alignment horizontal="right"/>
    </xf>
    <xf numFmtId="10" fontId="12" fillId="0" borderId="0" xfId="0" applyNumberFormat="1" applyFont="1" applyFill="1"/>
    <xf numFmtId="16" fontId="1" fillId="0" borderId="0" xfId="0" applyNumberFormat="1" applyFont="1"/>
    <xf numFmtId="1" fontId="15" fillId="14" borderId="8" xfId="0" applyNumberFormat="1" applyFont="1" applyFill="1" applyBorder="1" applyAlignment="1"/>
    <xf numFmtId="0" fontId="15" fillId="14" borderId="2" xfId="0" applyFont="1" applyFill="1" applyBorder="1" applyAlignment="1"/>
    <xf numFmtId="1" fontId="15" fillId="14" borderId="7" xfId="0" applyNumberFormat="1" applyFont="1" applyFill="1" applyBorder="1" applyAlignment="1"/>
    <xf numFmtId="0" fontId="15" fillId="14" borderId="4" xfId="0" applyFont="1" applyFill="1" applyBorder="1"/>
    <xf numFmtId="0" fontId="17" fillId="14" borderId="5" xfId="0" applyFont="1" applyFill="1" applyBorder="1"/>
    <xf numFmtId="0" fontId="15" fillId="14" borderId="1" xfId="0" applyFont="1" applyFill="1" applyBorder="1"/>
    <xf numFmtId="0" fontId="17" fillId="14" borderId="1" xfId="0" applyFont="1" applyFill="1" applyBorder="1"/>
    <xf numFmtId="164" fontId="1" fillId="0" borderId="0" xfId="0" applyNumberFormat="1" applyFont="1" applyFill="1" applyBorder="1"/>
    <xf numFmtId="4" fontId="1" fillId="0" borderId="0" xfId="0" applyNumberFormat="1" applyFont="1" applyBorder="1"/>
    <xf numFmtId="0" fontId="1" fillId="15" borderId="0" xfId="0" applyFont="1" applyFill="1"/>
    <xf numFmtId="49" fontId="4" fillId="0" borderId="0" xfId="0" applyNumberFormat="1" applyFo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 applyProtection="1">
      <alignment horizontal="center"/>
    </xf>
    <xf numFmtId="14" fontId="4" fillId="0" borderId="0" xfId="0" quotePrefix="1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14" fillId="14" borderId="12" xfId="0" applyFont="1" applyFill="1" applyBorder="1" applyAlignment="1">
      <alignment horizontal="center"/>
    </xf>
    <xf numFmtId="0" fontId="14" fillId="14" borderId="0" xfId="0" applyFont="1" applyFill="1" applyBorder="1" applyAlignment="1">
      <alignment horizontal="center"/>
    </xf>
    <xf numFmtId="0" fontId="14" fillId="14" borderId="13" xfId="0" applyFont="1" applyFill="1" applyBorder="1" applyAlignment="1">
      <alignment horizontal="center"/>
    </xf>
    <xf numFmtId="0" fontId="14" fillId="14" borderId="14" xfId="0" applyFont="1" applyFill="1" applyBorder="1" applyAlignment="1">
      <alignment horizontal="center"/>
    </xf>
    <xf numFmtId="0" fontId="14" fillId="14" borderId="15" xfId="0" applyFont="1" applyFill="1" applyBorder="1" applyAlignment="1">
      <alignment horizontal="center"/>
    </xf>
    <xf numFmtId="0" fontId="14" fillId="14" borderId="16" xfId="0" applyFont="1" applyFill="1" applyBorder="1" applyAlignment="1">
      <alignment horizontal="center"/>
    </xf>
    <xf numFmtId="0" fontId="15" fillId="4" borderId="3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/>
    </xf>
    <xf numFmtId="0" fontId="15" fillId="4" borderId="5" xfId="0" applyFont="1" applyFill="1" applyBorder="1" applyAlignment="1">
      <alignment horizontal="center"/>
    </xf>
    <xf numFmtId="0" fontId="14" fillId="6" borderId="12" xfId="0" applyFont="1" applyFill="1" applyBorder="1" applyAlignment="1">
      <alignment horizontal="center"/>
    </xf>
    <xf numFmtId="0" fontId="14" fillId="6" borderId="0" xfId="0" applyFont="1" applyFill="1" applyBorder="1" applyAlignment="1">
      <alignment horizontal="center"/>
    </xf>
    <xf numFmtId="0" fontId="14" fillId="6" borderId="13" xfId="0" applyFont="1" applyFill="1" applyBorder="1" applyAlignment="1">
      <alignment horizontal="center"/>
    </xf>
    <xf numFmtId="0" fontId="14" fillId="6" borderId="14" xfId="0" applyFont="1" applyFill="1" applyBorder="1" applyAlignment="1">
      <alignment horizontal="center"/>
    </xf>
    <xf numFmtId="0" fontId="14" fillId="6" borderId="15" xfId="0" applyFont="1" applyFill="1" applyBorder="1" applyAlignment="1">
      <alignment horizontal="center"/>
    </xf>
    <xf numFmtId="0" fontId="14" fillId="6" borderId="16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colors>
    <mruColors>
      <color rgb="FFFF5050"/>
      <color rgb="FFB2B2B2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57150</xdr:rowOff>
    </xdr:from>
    <xdr:to>
      <xdr:col>4</xdr:col>
      <xdr:colOff>514350</xdr:colOff>
      <xdr:row>4</xdr:row>
      <xdr:rowOff>76200</xdr:rowOff>
    </xdr:to>
    <xdr:pic>
      <xdr:nvPicPr>
        <xdr:cNvPr id="1634" name="Picture 2" descr="OSU Extensio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1914525" cy="80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"/>
  <sheetViews>
    <sheetView showGridLines="0" tabSelected="1" view="pageBreakPreview" zoomScale="120" zoomScaleNormal="100" zoomScaleSheetLayoutView="120" workbookViewId="0">
      <selection activeCell="G1" sqref="G1"/>
    </sheetView>
  </sheetViews>
  <sheetFormatPr defaultRowHeight="13.2" x14ac:dyDescent="0.25"/>
  <cols>
    <col min="1" max="1" width="2.88671875" customWidth="1"/>
    <col min="2" max="2" width="2.5546875" customWidth="1"/>
    <col min="4" max="4" width="7" customWidth="1"/>
    <col min="5" max="5" width="8.5546875" customWidth="1"/>
    <col min="6" max="9" width="9.44140625" customWidth="1"/>
    <col min="10" max="10" width="7" customWidth="1"/>
    <col min="11" max="11" width="8.5546875" customWidth="1"/>
    <col min="12" max="14" width="8.5546875" style="14" customWidth="1"/>
    <col min="15" max="15" width="8.6640625" customWidth="1"/>
  </cols>
  <sheetData>
    <row r="1" spans="1:16" ht="15.6" x14ac:dyDescent="0.3">
      <c r="A1" s="149"/>
      <c r="B1" s="149"/>
      <c r="C1" s="149"/>
      <c r="D1" s="149"/>
      <c r="E1" s="149"/>
      <c r="G1" s="39" t="s">
        <v>178</v>
      </c>
    </row>
    <row r="2" spans="1:16" ht="15.6" x14ac:dyDescent="0.3">
      <c r="A2" s="149"/>
      <c r="B2" s="149"/>
      <c r="C2" s="149"/>
      <c r="D2" s="149"/>
      <c r="E2" s="149"/>
      <c r="G2" s="39" t="s">
        <v>120</v>
      </c>
    </row>
    <row r="3" spans="1:16" ht="15.75" customHeight="1" x14ac:dyDescent="0.25">
      <c r="A3" s="149"/>
      <c r="B3" s="149"/>
      <c r="C3" s="149"/>
      <c r="D3" s="149"/>
      <c r="E3" s="149"/>
      <c r="G3" t="s">
        <v>77</v>
      </c>
    </row>
    <row r="4" spans="1:16" ht="15.75" customHeight="1" x14ac:dyDescent="0.25">
      <c r="A4" s="149"/>
      <c r="B4" s="149"/>
      <c r="C4" s="149"/>
      <c r="D4" s="149"/>
      <c r="E4" s="149"/>
    </row>
    <row r="5" spans="1:16" ht="15.75" customHeight="1" x14ac:dyDescent="0.25">
      <c r="A5" s="149"/>
      <c r="B5" s="149"/>
      <c r="C5" s="149"/>
      <c r="D5" s="149"/>
      <c r="E5" s="149"/>
      <c r="K5" s="42" t="s">
        <v>48</v>
      </c>
      <c r="M5" s="220" t="s">
        <v>182</v>
      </c>
      <c r="N5" s="221"/>
    </row>
    <row r="6" spans="1:16" ht="15.6" x14ac:dyDescent="0.25">
      <c r="A6" s="218" t="s">
        <v>0</v>
      </c>
      <c r="B6" s="218"/>
      <c r="C6" s="218"/>
      <c r="D6" s="218"/>
      <c r="E6" s="219" t="s">
        <v>1</v>
      </c>
      <c r="F6" s="219"/>
      <c r="G6" s="219"/>
      <c r="H6" s="40" t="s">
        <v>3</v>
      </c>
      <c r="I6" s="36" t="s">
        <v>2</v>
      </c>
      <c r="J6" s="3"/>
      <c r="K6" s="148"/>
      <c r="L6" s="35" t="s">
        <v>38</v>
      </c>
      <c r="M6" s="35"/>
      <c r="N6" s="3" t="s">
        <v>3</v>
      </c>
    </row>
    <row r="7" spans="1:16" x14ac:dyDescent="0.25">
      <c r="A7" s="4"/>
      <c r="B7" s="4"/>
      <c r="C7" s="4"/>
      <c r="D7" s="4"/>
      <c r="E7" s="4"/>
      <c r="F7" s="4"/>
      <c r="G7" s="4"/>
      <c r="H7" s="5" t="s">
        <v>32</v>
      </c>
      <c r="I7" s="5" t="s">
        <v>4</v>
      </c>
      <c r="J7" s="5"/>
      <c r="K7" s="6"/>
      <c r="L7" s="6"/>
      <c r="M7" s="6"/>
      <c r="N7" s="5" t="s">
        <v>5</v>
      </c>
    </row>
    <row r="8" spans="1:16" x14ac:dyDescent="0.25">
      <c r="A8" s="7"/>
      <c r="B8" s="7"/>
      <c r="C8" s="7"/>
      <c r="D8" s="7"/>
      <c r="E8" s="7"/>
      <c r="F8" s="7"/>
      <c r="G8" s="7"/>
      <c r="H8" s="41" t="s">
        <v>33</v>
      </c>
      <c r="I8" s="7"/>
      <c r="J8" s="7"/>
      <c r="K8" s="8">
        <v>136.19999999999999</v>
      </c>
      <c r="L8" s="8">
        <v>170.2</v>
      </c>
      <c r="M8" s="8">
        <v>204.2</v>
      </c>
      <c r="N8" s="50">
        <v>210</v>
      </c>
      <c r="O8" s="214"/>
      <c r="P8" s="214"/>
    </row>
    <row r="9" spans="1:16" x14ac:dyDescent="0.25">
      <c r="A9" s="9" t="s">
        <v>6</v>
      </c>
      <c r="B9" s="1"/>
      <c r="C9" s="1"/>
      <c r="D9" s="1"/>
      <c r="F9" s="1"/>
      <c r="G9" s="1"/>
      <c r="H9" s="1"/>
      <c r="I9" s="1"/>
      <c r="J9" s="1"/>
      <c r="K9" s="10"/>
      <c r="L9" s="10"/>
      <c r="M9" s="10"/>
      <c r="N9" s="10"/>
    </row>
    <row r="10" spans="1:16" ht="15.6" x14ac:dyDescent="0.25">
      <c r="A10" s="1"/>
      <c r="B10" s="113" t="s">
        <v>159</v>
      </c>
      <c r="C10" s="1"/>
      <c r="D10" s="1"/>
      <c r="F10" s="1"/>
      <c r="G10" s="1"/>
      <c r="H10" s="1"/>
      <c r="I10" s="49">
        <v>3.6</v>
      </c>
      <c r="J10" s="1" t="s">
        <v>7</v>
      </c>
      <c r="K10" s="71">
        <f>+$I$10*K8</f>
        <v>490.32</v>
      </c>
      <c r="L10" s="71">
        <f>+$I$10*L8</f>
        <v>612.72</v>
      </c>
      <c r="M10" s="71">
        <f>+$I$10*M8</f>
        <v>735.12</v>
      </c>
      <c r="N10" s="72">
        <f>+$I$10*N8</f>
        <v>756</v>
      </c>
    </row>
    <row r="11" spans="1:16" ht="15.6" x14ac:dyDescent="0.25">
      <c r="A11" s="1"/>
      <c r="B11" s="113" t="s">
        <v>105</v>
      </c>
      <c r="C11" s="1"/>
      <c r="D11" s="1"/>
      <c r="F11" s="1"/>
      <c r="G11" s="1"/>
      <c r="H11" s="1"/>
      <c r="I11" s="129"/>
      <c r="J11" s="1"/>
      <c r="K11" s="71">
        <v>15.934950000000004</v>
      </c>
      <c r="L11" s="71">
        <v>19.914862500000005</v>
      </c>
      <c r="M11" s="71">
        <v>23.894775000000006</v>
      </c>
      <c r="N11" s="85">
        <v>24.766875000000002</v>
      </c>
    </row>
    <row r="12" spans="1:16" x14ac:dyDescent="0.25">
      <c r="A12" s="1"/>
      <c r="B12" s="113" t="s">
        <v>92</v>
      </c>
      <c r="C12" s="1"/>
      <c r="D12" s="1"/>
      <c r="F12" s="1"/>
      <c r="G12" s="1"/>
      <c r="H12" s="1"/>
      <c r="I12" s="129"/>
      <c r="J12" s="1"/>
      <c r="K12" s="71">
        <v>0</v>
      </c>
      <c r="L12" s="71">
        <v>0</v>
      </c>
      <c r="M12" s="71">
        <v>0</v>
      </c>
      <c r="N12" s="85">
        <v>0</v>
      </c>
    </row>
    <row r="13" spans="1:16" x14ac:dyDescent="0.25">
      <c r="A13" s="1"/>
      <c r="B13" s="113" t="s">
        <v>79</v>
      </c>
      <c r="D13" s="1"/>
      <c r="E13" s="1"/>
      <c r="F13" s="129"/>
      <c r="G13" s="55"/>
      <c r="H13" s="55"/>
      <c r="I13" s="129"/>
      <c r="J13" s="44"/>
      <c r="K13" s="71">
        <v>0</v>
      </c>
      <c r="L13" s="71">
        <v>0</v>
      </c>
      <c r="M13" s="71">
        <v>0</v>
      </c>
      <c r="N13" s="85">
        <v>0</v>
      </c>
    </row>
    <row r="14" spans="1:16" x14ac:dyDescent="0.25">
      <c r="A14" s="1"/>
      <c r="B14" s="1"/>
      <c r="C14" s="1"/>
      <c r="D14" s="1"/>
      <c r="E14" s="13"/>
      <c r="F14" s="13"/>
      <c r="G14" s="13"/>
      <c r="H14" s="13"/>
      <c r="I14" s="11"/>
      <c r="J14" s="13"/>
      <c r="K14" s="71"/>
      <c r="L14" s="71"/>
      <c r="M14" s="71"/>
      <c r="N14" s="74"/>
    </row>
    <row r="15" spans="1:16" x14ac:dyDescent="0.25">
      <c r="A15" s="9" t="s">
        <v>28</v>
      </c>
      <c r="B15" s="1"/>
      <c r="C15" s="1"/>
      <c r="D15" s="1"/>
      <c r="E15" s="1"/>
      <c r="F15" s="1"/>
      <c r="G15" s="1"/>
      <c r="H15" s="1"/>
      <c r="I15" s="11"/>
      <c r="J15" s="1"/>
      <c r="K15" s="71">
        <f>SUM(K10:K13)</f>
        <v>506.25495000000001</v>
      </c>
      <c r="L15" s="71">
        <f>SUM(L10:L13)</f>
        <v>632.63486250000005</v>
      </c>
      <c r="M15" s="71">
        <f>SUM(M10:M13)</f>
        <v>759.01477499999999</v>
      </c>
      <c r="N15" s="72">
        <f>SUM(N10:N13)</f>
        <v>780.76687500000003</v>
      </c>
    </row>
    <row r="16" spans="1:16" ht="4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0"/>
      <c r="L16" s="10"/>
      <c r="M16" s="10"/>
      <c r="N16" s="43"/>
    </row>
    <row r="17" spans="1:20" x14ac:dyDescent="0.25">
      <c r="A17" s="9" t="s">
        <v>8</v>
      </c>
      <c r="B17" s="1"/>
      <c r="C17" s="1"/>
      <c r="D17" s="1"/>
      <c r="E17" s="1"/>
      <c r="F17" s="1"/>
      <c r="G17" s="1"/>
      <c r="H17" s="1"/>
      <c r="I17" s="1"/>
      <c r="J17" s="11"/>
      <c r="K17" s="10"/>
      <c r="L17" s="10"/>
      <c r="M17" s="10"/>
      <c r="N17" s="43"/>
    </row>
    <row r="18" spans="1:20" ht="15.6" x14ac:dyDescent="0.25">
      <c r="A18" s="1"/>
      <c r="B18" s="1" t="s">
        <v>39</v>
      </c>
      <c r="C18" s="1"/>
      <c r="D18" s="1"/>
      <c r="E18" s="1">
        <v>28000</v>
      </c>
      <c r="F18" s="1">
        <v>32000</v>
      </c>
      <c r="G18" s="1">
        <v>34000</v>
      </c>
      <c r="H18" s="52">
        <v>34000</v>
      </c>
      <c r="I18" s="49">
        <f>I19/80</f>
        <v>3.375</v>
      </c>
      <c r="J18" s="1" t="s">
        <v>30</v>
      </c>
      <c r="K18" s="2">
        <f>+$I$18*E18/1000</f>
        <v>94.5</v>
      </c>
      <c r="L18" s="2">
        <f>+$I$18*F18/1000</f>
        <v>108</v>
      </c>
      <c r="M18" s="2">
        <f>+$I$18*G18/1000</f>
        <v>114.75</v>
      </c>
      <c r="N18" s="60">
        <f>+$I$18*H18/1000</f>
        <v>114.75</v>
      </c>
      <c r="O18" s="153"/>
    </row>
    <row r="19" spans="1:20" x14ac:dyDescent="0.25">
      <c r="A19" s="1"/>
      <c r="B19" s="1"/>
      <c r="C19" s="1"/>
      <c r="D19" s="1"/>
      <c r="E19" s="1" t="s">
        <v>43</v>
      </c>
      <c r="F19" s="1"/>
      <c r="G19" s="1"/>
      <c r="H19" s="81"/>
      <c r="I19" s="49">
        <v>270</v>
      </c>
      <c r="J19" s="44" t="s">
        <v>44</v>
      </c>
      <c r="K19" s="2"/>
      <c r="L19" s="2"/>
      <c r="M19" s="2"/>
      <c r="N19" s="80"/>
    </row>
    <row r="20" spans="1:20" ht="15.6" x14ac:dyDescent="0.25">
      <c r="A20" s="1"/>
      <c r="B20" s="113" t="s">
        <v>160</v>
      </c>
      <c r="C20" s="1"/>
      <c r="D20" s="1"/>
      <c r="E20" s="1"/>
      <c r="F20" s="1"/>
      <c r="G20" s="1"/>
      <c r="H20" s="55"/>
      <c r="I20" s="56"/>
      <c r="J20" s="12"/>
      <c r="K20" s="2"/>
      <c r="L20" s="2"/>
      <c r="M20" s="2"/>
      <c r="N20" s="42"/>
    </row>
    <row r="21" spans="1:20" x14ac:dyDescent="0.25">
      <c r="A21" s="1"/>
      <c r="B21" s="1"/>
      <c r="C21" s="113" t="s">
        <v>88</v>
      </c>
      <c r="D21" s="1"/>
      <c r="E21" s="1"/>
      <c r="F21" s="1"/>
      <c r="G21" s="1"/>
      <c r="H21" s="55"/>
      <c r="I21" s="56"/>
      <c r="J21" s="12"/>
      <c r="K21" s="2">
        <v>0</v>
      </c>
      <c r="L21" s="2">
        <v>0</v>
      </c>
      <c r="M21" s="2">
        <v>0</v>
      </c>
      <c r="N21" s="133">
        <v>0</v>
      </c>
    </row>
    <row r="22" spans="1:20" x14ac:dyDescent="0.25">
      <c r="A22" s="1"/>
      <c r="B22" s="1"/>
      <c r="C22" s="1" t="s">
        <v>9</v>
      </c>
      <c r="D22" s="1"/>
      <c r="E22" s="38">
        <f>-27+(1.36*K8)-30</f>
        <v>128.232</v>
      </c>
      <c r="F22" s="38">
        <f>-27+(1.36*L8)-30</f>
        <v>174.47200000000001</v>
      </c>
      <c r="G22" s="38">
        <f>-27+(1.36*M8)-30</f>
        <v>220.71199999999999</v>
      </c>
      <c r="H22" s="53">
        <f>-27+(1.36*N8)-30</f>
        <v>228.60000000000002</v>
      </c>
      <c r="I22" s="54">
        <f>F73/1640</f>
        <v>0.36585365853658536</v>
      </c>
      <c r="J22" s="1" t="s">
        <v>10</v>
      </c>
      <c r="K22" s="2">
        <f>($I$22*E22)+10</f>
        <v>56.914146341463415</v>
      </c>
      <c r="L22" s="2">
        <f>($I$22*F22)+10</f>
        <v>73.831219512195133</v>
      </c>
      <c r="M22" s="2">
        <f>($I$22*G22)+10</f>
        <v>90.748292682926817</v>
      </c>
      <c r="N22" s="60">
        <f>($I$22*H22)+10</f>
        <v>93.634146341463421</v>
      </c>
      <c r="O22" s="113"/>
    </row>
    <row r="23" spans="1:20" ht="15.6" x14ac:dyDescent="0.35">
      <c r="A23" s="1"/>
      <c r="B23" s="1"/>
      <c r="C23" s="1" t="s">
        <v>26</v>
      </c>
      <c r="D23" s="1"/>
      <c r="E23" s="38">
        <f>K8*0.34</f>
        <v>46.308</v>
      </c>
      <c r="F23" s="38">
        <f>L8*0.34</f>
        <v>57.868000000000002</v>
      </c>
      <c r="G23" s="38">
        <f>M8*0.34</f>
        <v>69.427999999999997</v>
      </c>
      <c r="H23" s="79">
        <f>N8*0.34</f>
        <v>71.400000000000006</v>
      </c>
      <c r="I23" s="54">
        <f>I73/1040</f>
        <v>0.50480769230769229</v>
      </c>
      <c r="J23" s="1" t="s">
        <v>10</v>
      </c>
      <c r="K23" s="2">
        <f>+$I$23*E23</f>
        <v>23.376634615384614</v>
      </c>
      <c r="L23" s="2">
        <f>+$I$23*F23</f>
        <v>29.212211538461538</v>
      </c>
      <c r="M23" s="2">
        <f>+$I$23*G23</f>
        <v>35.04778846153846</v>
      </c>
      <c r="N23" s="60">
        <f>+$I$23*H23</f>
        <v>36.043269230769234</v>
      </c>
      <c r="O23" s="216"/>
    </row>
    <row r="24" spans="1:20" ht="15.6" x14ac:dyDescent="0.35">
      <c r="A24" s="1"/>
      <c r="B24" s="1"/>
      <c r="C24" s="1" t="s">
        <v>27</v>
      </c>
      <c r="D24" s="1"/>
      <c r="E24" s="38">
        <f>(K8*0.19)</f>
        <v>25.877999999999997</v>
      </c>
      <c r="F24" s="38">
        <f>(L8*0.19)</f>
        <v>32.338000000000001</v>
      </c>
      <c r="G24" s="38">
        <f>(M8*0.19)</f>
        <v>38.798000000000002</v>
      </c>
      <c r="H24" s="53">
        <f>(N8*0.19)</f>
        <v>39.9</v>
      </c>
      <c r="I24" s="54">
        <f>M73/1200</f>
        <v>0.31666666666666665</v>
      </c>
      <c r="J24" s="1" t="s">
        <v>10</v>
      </c>
      <c r="K24" s="2">
        <f>+$I$24*E24</f>
        <v>8.1946999999999992</v>
      </c>
      <c r="L24" s="2">
        <f>+$I$24*F24</f>
        <v>10.240366666666667</v>
      </c>
      <c r="M24" s="2">
        <f>+$I$24*G24</f>
        <v>12.286033333333334</v>
      </c>
      <c r="N24" s="60">
        <f>+$I$24*H24</f>
        <v>12.635</v>
      </c>
      <c r="O24" s="216"/>
      <c r="P24" s="14"/>
      <c r="Q24" s="14"/>
      <c r="R24" s="14"/>
    </row>
    <row r="25" spans="1:20" x14ac:dyDescent="0.25">
      <c r="A25" s="1"/>
      <c r="B25" s="1"/>
      <c r="C25" s="1" t="s">
        <v>11</v>
      </c>
      <c r="D25" s="1"/>
      <c r="E25" s="1"/>
      <c r="F25" s="1">
        <v>0.25</v>
      </c>
      <c r="G25" s="1"/>
      <c r="H25" s="54">
        <v>0.25</v>
      </c>
      <c r="I25" s="52">
        <v>25</v>
      </c>
      <c r="J25" s="1" t="s">
        <v>12</v>
      </c>
      <c r="K25" s="2">
        <f>+F25*I25</f>
        <v>6.25</v>
      </c>
      <c r="L25" s="2">
        <f>+F25*I25</f>
        <v>6.25</v>
      </c>
      <c r="M25" s="2">
        <f>+F25*I25</f>
        <v>6.25</v>
      </c>
      <c r="N25" s="60">
        <f>+H25*I25</f>
        <v>6.25</v>
      </c>
    </row>
    <row r="26" spans="1:20" ht="15.6" x14ac:dyDescent="0.25">
      <c r="A26" s="1"/>
      <c r="B26" s="113" t="s">
        <v>161</v>
      </c>
      <c r="C26" s="1"/>
      <c r="D26" s="1" t="s">
        <v>40</v>
      </c>
      <c r="E26" s="1"/>
      <c r="F26" s="1"/>
      <c r="G26" s="1"/>
      <c r="H26" s="1"/>
      <c r="I26" s="1"/>
      <c r="J26" s="1"/>
      <c r="K26" s="2">
        <v>46.22</v>
      </c>
      <c r="L26" s="2">
        <v>46.22</v>
      </c>
      <c r="M26" s="2">
        <v>46.22</v>
      </c>
      <c r="N26" s="61">
        <v>46.22</v>
      </c>
      <c r="O26" s="113"/>
      <c r="P26" s="113"/>
    </row>
    <row r="27" spans="1:20" x14ac:dyDescent="0.25">
      <c r="A27" s="1"/>
      <c r="B27" s="1"/>
      <c r="C27" s="1"/>
      <c r="D27" s="1" t="s">
        <v>41</v>
      </c>
      <c r="E27" s="1"/>
      <c r="F27" s="1"/>
      <c r="G27" s="1"/>
      <c r="H27" s="1"/>
      <c r="I27" s="1"/>
      <c r="J27" s="1"/>
      <c r="K27" s="2">
        <v>0</v>
      </c>
      <c r="L27" s="2">
        <v>0</v>
      </c>
      <c r="M27" s="2">
        <v>0</v>
      </c>
      <c r="N27" s="61">
        <v>0</v>
      </c>
      <c r="P27" s="113"/>
    </row>
    <row r="28" spans="1:20" x14ac:dyDescent="0.25">
      <c r="A28" s="1"/>
      <c r="B28" s="1"/>
      <c r="C28" s="1"/>
      <c r="D28" s="1" t="s">
        <v>42</v>
      </c>
      <c r="E28" s="1"/>
      <c r="F28" s="1"/>
      <c r="G28" s="1"/>
      <c r="H28" s="1"/>
      <c r="I28" s="1"/>
      <c r="J28" s="1"/>
      <c r="K28" s="2">
        <v>0</v>
      </c>
      <c r="L28" s="2">
        <v>0</v>
      </c>
      <c r="M28" s="2">
        <v>0</v>
      </c>
      <c r="N28" s="61">
        <v>0</v>
      </c>
      <c r="P28" s="113"/>
      <c r="T28" s="113"/>
    </row>
    <row r="29" spans="1:20" ht="15.6" x14ac:dyDescent="0.25">
      <c r="A29" s="1"/>
      <c r="B29" s="113" t="s">
        <v>126</v>
      </c>
      <c r="C29" s="1"/>
      <c r="D29" s="1"/>
      <c r="E29" s="53">
        <v>18</v>
      </c>
      <c r="F29" s="113" t="s">
        <v>141</v>
      </c>
      <c r="H29" s="174">
        <v>4.1000000000000002E-2</v>
      </c>
      <c r="I29" s="113" t="s">
        <v>134</v>
      </c>
      <c r="K29" s="2">
        <f>+$H$29*K8*($E$29-15)</f>
        <v>16.752600000000001</v>
      </c>
      <c r="L29" s="2">
        <f t="shared" ref="L29:N29" si="0">+$H$29*L8*($E$29-15)</f>
        <v>20.9346</v>
      </c>
      <c r="M29" s="2">
        <f t="shared" si="0"/>
        <v>25.116599999999998</v>
      </c>
      <c r="N29" s="60">
        <f t="shared" si="0"/>
        <v>25.830000000000005</v>
      </c>
      <c r="O29" s="113"/>
      <c r="P29" s="113"/>
    </row>
    <row r="30" spans="1:20" ht="15.6" x14ac:dyDescent="0.25">
      <c r="A30" s="1"/>
      <c r="B30" s="113" t="s">
        <v>156</v>
      </c>
      <c r="C30" s="1"/>
      <c r="D30" s="1"/>
      <c r="E30" s="203">
        <v>0.17199999999999999</v>
      </c>
      <c r="F30" s="119" t="s">
        <v>127</v>
      </c>
      <c r="G30" s="1"/>
      <c r="H30" s="120">
        <v>30</v>
      </c>
      <c r="I30" s="113" t="s">
        <v>72</v>
      </c>
      <c r="K30" s="2">
        <f>K8*$E$30</f>
        <v>23.426399999999997</v>
      </c>
      <c r="L30" s="2">
        <f t="shared" ref="L30:N30" si="1">L8*$E$30</f>
        <v>29.274399999999996</v>
      </c>
      <c r="M30" s="2">
        <f t="shared" si="1"/>
        <v>35.122399999999992</v>
      </c>
      <c r="N30" s="121">
        <f t="shared" si="1"/>
        <v>36.119999999999997</v>
      </c>
      <c r="O30" s="113"/>
      <c r="P30" s="113"/>
    </row>
    <row r="31" spans="1:20" ht="15.6" x14ac:dyDescent="0.25">
      <c r="A31" s="1"/>
      <c r="B31" s="113" t="s">
        <v>162</v>
      </c>
      <c r="C31" s="1"/>
      <c r="D31" s="1"/>
      <c r="E31" s="1"/>
      <c r="F31" s="1"/>
      <c r="G31" s="1"/>
      <c r="H31" s="1"/>
      <c r="I31" s="1"/>
      <c r="J31" s="1"/>
      <c r="K31" s="2">
        <f>'machinery costs'!P15</f>
        <v>13.557500000000001</v>
      </c>
      <c r="L31" s="2">
        <f>'machinery costs'!P15</f>
        <v>13.557500000000001</v>
      </c>
      <c r="M31" s="2">
        <f>'machinery costs'!P15</f>
        <v>13.557500000000001</v>
      </c>
      <c r="N31" s="121">
        <f>'machinery costs'!P15</f>
        <v>13.557500000000001</v>
      </c>
      <c r="O31" s="113"/>
      <c r="P31" s="155"/>
      <c r="Q31" s="73"/>
      <c r="R31" s="155"/>
      <c r="T31" s="206"/>
    </row>
    <row r="32" spans="1:20" ht="15.6" x14ac:dyDescent="0.25">
      <c r="A32" s="1"/>
      <c r="B32" s="113" t="s">
        <v>163</v>
      </c>
      <c r="C32" s="1"/>
      <c r="D32" s="1"/>
      <c r="E32" s="1"/>
      <c r="F32" s="1"/>
      <c r="G32" s="1"/>
      <c r="H32" s="1"/>
      <c r="I32" s="1"/>
      <c r="J32" s="1"/>
      <c r="K32" s="2">
        <f>'machinery costs'!N13</f>
        <v>20.484572023470676</v>
      </c>
      <c r="L32" s="2">
        <f>'machinery costs'!N13</f>
        <v>20.484572023470676</v>
      </c>
      <c r="M32" s="2">
        <f>'machinery costs'!N13</f>
        <v>20.484572023470676</v>
      </c>
      <c r="N32" s="121">
        <f>'machinery costs'!N13</f>
        <v>20.484572023470676</v>
      </c>
      <c r="O32" s="113"/>
      <c r="P32" s="113"/>
      <c r="T32" s="113"/>
    </row>
    <row r="33" spans="1:18" ht="15.6" x14ac:dyDescent="0.25">
      <c r="A33" s="1"/>
      <c r="B33" s="113" t="s">
        <v>164</v>
      </c>
      <c r="C33" s="1"/>
      <c r="D33" s="1"/>
      <c r="E33" s="1"/>
      <c r="F33" s="1"/>
      <c r="G33" s="1"/>
      <c r="H33" s="1"/>
      <c r="I33" s="1"/>
      <c r="J33" s="1"/>
      <c r="K33" s="2">
        <v>12</v>
      </c>
      <c r="L33" s="2">
        <v>14</v>
      </c>
      <c r="M33" s="2">
        <v>15</v>
      </c>
      <c r="N33" s="61">
        <v>15</v>
      </c>
      <c r="O33" s="113"/>
      <c r="P33" s="155"/>
    </row>
    <row r="34" spans="1:18" ht="15.6" x14ac:dyDescent="0.25">
      <c r="A34" s="1"/>
      <c r="B34" s="113" t="s">
        <v>165</v>
      </c>
      <c r="C34" s="1"/>
      <c r="D34" s="1"/>
      <c r="E34" s="1"/>
      <c r="F34" s="1"/>
      <c r="G34" s="1"/>
      <c r="H34" s="1"/>
      <c r="I34" s="1"/>
      <c r="J34" s="1"/>
      <c r="K34" s="2">
        <v>5.0999999999999996</v>
      </c>
      <c r="L34" s="2">
        <v>5.0999999999999996</v>
      </c>
      <c r="M34" s="2">
        <v>5.0999999999999996</v>
      </c>
      <c r="N34" s="61">
        <v>5.0999999999999996</v>
      </c>
      <c r="O34" s="113"/>
    </row>
    <row r="35" spans="1:18" ht="15.6" x14ac:dyDescent="0.25">
      <c r="A35" s="1"/>
      <c r="B35" s="113" t="s">
        <v>131</v>
      </c>
      <c r="C35" s="1"/>
      <c r="D35" s="1"/>
      <c r="E35" s="1"/>
      <c r="F35" s="1"/>
      <c r="G35" s="1"/>
      <c r="H35" s="1"/>
      <c r="I35" s="1"/>
      <c r="J35" s="1"/>
      <c r="K35" s="2">
        <v>20</v>
      </c>
      <c r="L35" s="2">
        <v>20</v>
      </c>
      <c r="M35" s="2">
        <v>20</v>
      </c>
      <c r="N35" s="170">
        <v>20</v>
      </c>
      <c r="O35" s="113"/>
      <c r="P35" s="155"/>
      <c r="Q35" s="73"/>
      <c r="R35" s="73"/>
    </row>
    <row r="36" spans="1:18" ht="15.6" x14ac:dyDescent="0.25">
      <c r="A36" s="1"/>
      <c r="B36" s="113" t="s">
        <v>166</v>
      </c>
      <c r="C36" s="1"/>
      <c r="D36" s="1"/>
      <c r="E36" s="1"/>
      <c r="F36" s="1"/>
      <c r="G36" s="1"/>
      <c r="H36" s="1"/>
      <c r="I36" s="1"/>
      <c r="J36" s="1"/>
      <c r="K36" s="2">
        <v>0</v>
      </c>
      <c r="L36" s="2">
        <v>0</v>
      </c>
      <c r="M36" s="2">
        <v>0</v>
      </c>
      <c r="N36" s="61">
        <v>0</v>
      </c>
      <c r="P36" s="113"/>
    </row>
    <row r="37" spans="1:18" ht="15.6" x14ac:dyDescent="0.25">
      <c r="A37" s="1"/>
      <c r="B37" s="113" t="s">
        <v>167</v>
      </c>
      <c r="C37" s="1"/>
      <c r="D37" s="1"/>
      <c r="E37" s="1"/>
      <c r="F37" s="51">
        <v>7</v>
      </c>
      <c r="G37" s="1" t="s">
        <v>13</v>
      </c>
      <c r="H37" s="1"/>
      <c r="I37" s="57">
        <v>5.5E-2</v>
      </c>
      <c r="J37" s="1"/>
      <c r="K37" s="2">
        <f>(SUM(K18:K36)-K29-K30-K33)*$I$37*($F$37/12)</f>
        <v>9.45167149145189</v>
      </c>
      <c r="L37" s="2">
        <f t="shared" ref="L37:N37" si="2">(SUM(L18:L36)-L29-L30-L33)*$I$37*($F$37/12)</f>
        <v>10.680409154183808</v>
      </c>
      <c r="M37" s="2">
        <f t="shared" si="2"/>
        <v>11.692584316915726</v>
      </c>
      <c r="N37" s="60">
        <f t="shared" si="2"/>
        <v>11.828306477028814</v>
      </c>
    </row>
    <row r="38" spans="1:18" x14ac:dyDescent="0.25">
      <c r="A38" s="1"/>
      <c r="B38" s="113"/>
      <c r="C38" s="1"/>
      <c r="D38" s="1"/>
      <c r="E38" s="1"/>
      <c r="F38" s="204"/>
      <c r="G38" s="55"/>
      <c r="H38" s="55"/>
      <c r="I38" s="205"/>
      <c r="J38" s="1"/>
      <c r="K38" s="2"/>
      <c r="L38" s="2"/>
      <c r="M38" s="2"/>
      <c r="N38" s="80"/>
    </row>
    <row r="39" spans="1:18" x14ac:dyDescent="0.25">
      <c r="A39" s="9" t="s">
        <v>14</v>
      </c>
      <c r="B39" s="1"/>
      <c r="C39" s="1"/>
      <c r="D39" s="1"/>
      <c r="E39" s="1"/>
      <c r="G39" s="217" t="s">
        <v>15</v>
      </c>
      <c r="H39" s="46"/>
      <c r="I39" s="1"/>
      <c r="J39" s="1"/>
      <c r="K39" s="2">
        <f>SUM(K18:K37)</f>
        <v>356.22822447177055</v>
      </c>
      <c r="L39" s="2">
        <f>SUM(L18:L37)</f>
        <v>407.78527889497781</v>
      </c>
      <c r="M39" s="2">
        <f>SUM(M18:M37)</f>
        <v>451.37577081818506</v>
      </c>
      <c r="N39" s="60">
        <f>SUM(N18:N37)</f>
        <v>457.4527940727321</v>
      </c>
    </row>
    <row r="40" spans="1:18" x14ac:dyDescent="0.25">
      <c r="A40" s="1"/>
      <c r="B40" s="1"/>
      <c r="C40" s="1"/>
      <c r="D40" s="1"/>
      <c r="E40" s="1"/>
      <c r="G40" s="217" t="s">
        <v>16</v>
      </c>
      <c r="H40" s="46"/>
      <c r="I40" s="1"/>
      <c r="J40" s="1"/>
      <c r="K40" s="2">
        <f>+K39/K8</f>
        <v>2.6154788874579338</v>
      </c>
      <c r="L40" s="2">
        <f>+L39/L8</f>
        <v>2.3959182073735477</v>
      </c>
      <c r="M40" s="2">
        <f>+M39/M8</f>
        <v>2.2104592106669201</v>
      </c>
      <c r="N40" s="60">
        <f>+N39/N8</f>
        <v>2.1783466384415813</v>
      </c>
      <c r="O40" s="155"/>
      <c r="P40" s="155"/>
      <c r="Q40" s="155"/>
      <c r="R40" s="72"/>
    </row>
    <row r="41" spans="1:18" ht="3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0"/>
      <c r="L41" s="10"/>
      <c r="M41" s="10"/>
      <c r="N41" s="43"/>
    </row>
    <row r="42" spans="1:18" x14ac:dyDescent="0.25">
      <c r="A42" s="9" t="s">
        <v>17</v>
      </c>
      <c r="B42" s="1"/>
      <c r="C42" s="1"/>
      <c r="D42" s="1"/>
      <c r="E42" s="1"/>
      <c r="F42" s="1"/>
      <c r="G42" s="1"/>
      <c r="H42" s="1"/>
      <c r="I42" s="1"/>
      <c r="J42" s="1"/>
      <c r="K42" s="10"/>
      <c r="L42" s="10"/>
      <c r="M42" s="10"/>
      <c r="N42" s="43"/>
      <c r="O42" s="154"/>
      <c r="P42" s="154"/>
      <c r="Q42" s="154"/>
      <c r="R42" s="154"/>
    </row>
    <row r="43" spans="1:18" ht="15.6" x14ac:dyDescent="0.25">
      <c r="A43" s="1"/>
      <c r="B43" s="113" t="s">
        <v>168</v>
      </c>
      <c r="C43" s="1"/>
      <c r="D43" s="1"/>
      <c r="E43" s="1"/>
      <c r="F43" s="58">
        <v>2.5</v>
      </c>
      <c r="G43" s="1" t="s">
        <v>18</v>
      </c>
      <c r="H43" s="1"/>
      <c r="I43" s="54">
        <v>15</v>
      </c>
      <c r="J43" s="1" t="s">
        <v>19</v>
      </c>
      <c r="K43" s="71">
        <f>+$F$43*$I$43</f>
        <v>37.5</v>
      </c>
      <c r="L43" s="71">
        <f>+$F$43*$I$43</f>
        <v>37.5</v>
      </c>
      <c r="M43" s="71">
        <f>+$F$43*$I$43</f>
        <v>37.5</v>
      </c>
      <c r="N43" s="72">
        <f>+$F$43*$I$43</f>
        <v>37.5</v>
      </c>
    </row>
    <row r="44" spans="1:18" ht="15.6" x14ac:dyDescent="0.25">
      <c r="A44" s="1"/>
      <c r="B44" s="113" t="s">
        <v>169</v>
      </c>
      <c r="C44" s="1"/>
      <c r="D44" s="1"/>
      <c r="E44" s="1"/>
      <c r="F44" s="59">
        <v>0.05</v>
      </c>
      <c r="G44" s="1" t="s">
        <v>21</v>
      </c>
      <c r="H44" s="1"/>
      <c r="I44" s="1"/>
      <c r="J44" s="1"/>
      <c r="K44" s="114">
        <f>$F$44*K15</f>
        <v>25.3127475</v>
      </c>
      <c r="L44" s="114">
        <f>$F$44*L15</f>
        <v>31.631743125000003</v>
      </c>
      <c r="M44" s="114">
        <f>$F$44*M15</f>
        <v>37.950738749999999</v>
      </c>
      <c r="N44" s="115">
        <f>$F$44*N15</f>
        <v>39.038343750000003</v>
      </c>
    </row>
    <row r="45" spans="1:18" ht="15.6" x14ac:dyDescent="0.25">
      <c r="A45" s="1"/>
      <c r="B45" s="113" t="s">
        <v>170</v>
      </c>
      <c r="C45" s="1"/>
      <c r="D45" s="1"/>
      <c r="E45" s="1"/>
      <c r="F45" s="13"/>
      <c r="G45" s="1"/>
      <c r="H45" s="1"/>
      <c r="I45" s="1"/>
      <c r="J45" s="1"/>
      <c r="K45" s="202">
        <f>'machinery costs'!M14</f>
        <v>66.070812450050326</v>
      </c>
      <c r="L45" s="202">
        <f>'machinery costs'!M14</f>
        <v>66.070812450050326</v>
      </c>
      <c r="M45" s="202">
        <f>'machinery costs'!M14</f>
        <v>66.070812450050326</v>
      </c>
      <c r="N45" s="202">
        <f>'machinery costs'!M14</f>
        <v>66.070812450050326</v>
      </c>
      <c r="O45" s="113"/>
    </row>
    <row r="46" spans="1:18" ht="15.6" x14ac:dyDescent="0.25">
      <c r="A46" s="1"/>
      <c r="B46" s="113" t="s">
        <v>171</v>
      </c>
      <c r="C46" s="1"/>
      <c r="D46" s="1"/>
      <c r="E46" s="1"/>
      <c r="F46" s="13" t="s">
        <v>20</v>
      </c>
      <c r="G46" s="1"/>
      <c r="H46" s="1"/>
      <c r="I46" s="1"/>
      <c r="J46" s="1"/>
      <c r="K46" s="71">
        <v>145</v>
      </c>
      <c r="L46" s="71">
        <v>187</v>
      </c>
      <c r="M46" s="71">
        <v>235</v>
      </c>
      <c r="N46" s="75">
        <v>235</v>
      </c>
    </row>
    <row r="47" spans="1:18" ht="15.6" x14ac:dyDescent="0.25">
      <c r="A47" s="1"/>
      <c r="B47" s="113" t="s">
        <v>172</v>
      </c>
      <c r="C47" s="1"/>
      <c r="D47" s="1"/>
      <c r="E47" s="1"/>
      <c r="F47" s="13"/>
      <c r="G47" s="1"/>
      <c r="H47" s="1"/>
      <c r="I47" s="1"/>
      <c r="J47" s="1"/>
      <c r="K47" s="71">
        <v>22.8</v>
      </c>
      <c r="L47" s="71">
        <v>22.8</v>
      </c>
      <c r="M47" s="71">
        <v>22.8</v>
      </c>
      <c r="N47" s="75">
        <v>22.8</v>
      </c>
      <c r="O47" s="155"/>
    </row>
    <row r="48" spans="1:18" ht="5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76"/>
      <c r="L48" s="76"/>
      <c r="M48" s="76"/>
      <c r="N48" s="77"/>
    </row>
    <row r="49" spans="1:18" x14ac:dyDescent="0.25">
      <c r="A49" s="9" t="s">
        <v>22</v>
      </c>
      <c r="B49" s="1"/>
      <c r="C49" s="1"/>
      <c r="D49" s="1"/>
      <c r="E49" s="1"/>
      <c r="F49" s="1"/>
      <c r="G49" s="1"/>
      <c r="H49" s="1"/>
      <c r="I49" s="1"/>
      <c r="J49" s="1"/>
      <c r="K49" s="71">
        <f>SUM(K43:K48)</f>
        <v>296.68355995005032</v>
      </c>
      <c r="L49" s="71">
        <f>SUM(L43:L48)</f>
        <v>345.00255557505034</v>
      </c>
      <c r="M49" s="71">
        <f>SUM(M43:M48)</f>
        <v>399.32155120005035</v>
      </c>
      <c r="N49" s="72">
        <f>SUM(N43:N48)</f>
        <v>400.40915620005035</v>
      </c>
    </row>
    <row r="50" spans="1:18" ht="5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71"/>
      <c r="L50" s="71"/>
      <c r="M50" s="71"/>
      <c r="N50" s="74"/>
    </row>
    <row r="51" spans="1:18" x14ac:dyDescent="0.25">
      <c r="A51" s="9" t="s">
        <v>23</v>
      </c>
      <c r="B51" s="1"/>
      <c r="C51" s="1"/>
      <c r="D51" s="1"/>
      <c r="E51" s="1"/>
      <c r="F51" s="1"/>
      <c r="G51" s="217" t="s">
        <v>15</v>
      </c>
      <c r="H51" s="46"/>
      <c r="I51" s="1"/>
      <c r="J51" s="1"/>
      <c r="K51" s="71">
        <f>+K39+K49</f>
        <v>652.91178442182081</v>
      </c>
      <c r="L51" s="71">
        <f>+L39+L49</f>
        <v>752.7878344700282</v>
      </c>
      <c r="M51" s="71">
        <f>+M39+M49</f>
        <v>850.69732201823535</v>
      </c>
      <c r="N51" s="72">
        <f>+N39+N49</f>
        <v>857.86195027278245</v>
      </c>
      <c r="O51" s="73"/>
      <c r="P51" s="73"/>
      <c r="Q51" s="73"/>
      <c r="R51" s="73"/>
    </row>
    <row r="52" spans="1:18" x14ac:dyDescent="0.25">
      <c r="A52" s="9"/>
      <c r="B52" s="1"/>
      <c r="C52" s="1"/>
      <c r="D52" s="1"/>
      <c r="E52" s="1"/>
      <c r="F52" s="1"/>
      <c r="G52" s="217" t="s">
        <v>16</v>
      </c>
      <c r="H52" s="46"/>
      <c r="I52" s="1"/>
      <c r="J52" s="1"/>
      <c r="K52" s="71">
        <f>+K51/K8</f>
        <v>4.7937722791616801</v>
      </c>
      <c r="L52" s="71">
        <f>+L51/L8</f>
        <v>4.4229602495301306</v>
      </c>
      <c r="M52" s="71">
        <f>+M51/M8</f>
        <v>4.1660005975427783</v>
      </c>
      <c r="N52" s="72">
        <f>+N51/N8</f>
        <v>4.0850569060608688</v>
      </c>
      <c r="O52" s="73"/>
      <c r="P52" s="73"/>
      <c r="Q52" s="73"/>
      <c r="R52" s="73"/>
    </row>
    <row r="53" spans="1:18" ht="5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71"/>
      <c r="L53" s="71"/>
      <c r="M53" s="71"/>
      <c r="N53" s="85"/>
    </row>
    <row r="54" spans="1:18" ht="15.6" x14ac:dyDescent="0.25">
      <c r="A54" s="182" t="s">
        <v>143</v>
      </c>
      <c r="B54" s="183"/>
      <c r="C54" s="183"/>
      <c r="D54" s="183"/>
      <c r="E54" s="183"/>
      <c r="F54" s="183"/>
      <c r="G54" s="183"/>
      <c r="H54" s="183"/>
      <c r="I54" s="183"/>
      <c r="J54" s="183"/>
      <c r="K54" s="184">
        <f>+K15-K39</f>
        <v>150.02672552822946</v>
      </c>
      <c r="L54" s="184">
        <f>+L15-L39</f>
        <v>224.84958360502225</v>
      </c>
      <c r="M54" s="184">
        <f>+M15-M39</f>
        <v>307.63900418181493</v>
      </c>
      <c r="N54" s="185">
        <f>+N15-N39</f>
        <v>323.31408092726792</v>
      </c>
      <c r="O54" s="73"/>
      <c r="P54" s="73"/>
      <c r="Q54" s="73"/>
      <c r="R54" s="73"/>
    </row>
    <row r="55" spans="1:18" x14ac:dyDescent="0.25">
      <c r="A55" s="9" t="s">
        <v>87</v>
      </c>
      <c r="B55" s="1"/>
      <c r="C55" s="1"/>
      <c r="D55" s="1"/>
      <c r="E55" s="1"/>
      <c r="F55" s="1"/>
      <c r="G55" s="1"/>
      <c r="H55" s="1"/>
      <c r="I55" s="1"/>
      <c r="J55" s="1"/>
      <c r="K55" s="71">
        <f>K15-(K39+K46)</f>
        <v>5.0267255282294627</v>
      </c>
      <c r="L55" s="71">
        <f>L15-(L39+L46)</f>
        <v>37.84958360502219</v>
      </c>
      <c r="M55" s="71">
        <f>M15-(M39+M46)</f>
        <v>72.639004181814926</v>
      </c>
      <c r="N55" s="85">
        <f>N15-(N39+N46)</f>
        <v>88.314080927267923</v>
      </c>
      <c r="O55" s="73"/>
      <c r="P55" s="73"/>
      <c r="Q55" s="73"/>
      <c r="R55" s="73"/>
    </row>
    <row r="56" spans="1:18" x14ac:dyDescent="0.25">
      <c r="A56" s="126" t="s">
        <v>24</v>
      </c>
      <c r="B56" s="7"/>
      <c r="C56" s="7"/>
      <c r="D56" s="7"/>
      <c r="E56" s="7"/>
      <c r="F56" s="7"/>
      <c r="G56" s="7"/>
      <c r="H56" s="7"/>
      <c r="I56" s="7"/>
      <c r="J56" s="7"/>
      <c r="K56" s="181">
        <f>+K15-K51</f>
        <v>-146.6568344218208</v>
      </c>
      <c r="L56" s="181">
        <f>+L15-L51</f>
        <v>-120.15297197002815</v>
      </c>
      <c r="M56" s="181">
        <f>+M15-M51</f>
        <v>-91.682547018235368</v>
      </c>
      <c r="N56" s="150">
        <f>+N15-N51</f>
        <v>-77.095075272782424</v>
      </c>
      <c r="O56" s="73"/>
      <c r="P56" s="73"/>
      <c r="Q56" s="73"/>
      <c r="R56" s="73"/>
    </row>
    <row r="57" spans="1:18" x14ac:dyDescent="0.25">
      <c r="A57" s="116" t="s">
        <v>47</v>
      </c>
      <c r="B57" s="1"/>
      <c r="C57" s="1"/>
      <c r="D57" s="1"/>
      <c r="E57" s="1"/>
      <c r="F57" s="1"/>
      <c r="G57" s="1"/>
      <c r="H57" s="1"/>
      <c r="I57" s="1"/>
      <c r="J57" s="1"/>
      <c r="K57" s="71">
        <f>K56+K46</f>
        <v>-1.656834421820804</v>
      </c>
      <c r="L57" s="71">
        <f>L56+L46</f>
        <v>66.847028029971852</v>
      </c>
      <c r="M57" s="71">
        <f>M56+M46</f>
        <v>143.31745298176463</v>
      </c>
      <c r="N57" s="85">
        <f>N56+N46</f>
        <v>157.90492472721758</v>
      </c>
      <c r="O57" s="73"/>
      <c r="P57" s="73"/>
      <c r="Q57" s="73"/>
      <c r="R57" s="73"/>
    </row>
    <row r="58" spans="1:18" x14ac:dyDescent="0.25">
      <c r="A58" s="116" t="s">
        <v>118</v>
      </c>
      <c r="B58" s="1"/>
      <c r="C58" s="1"/>
      <c r="D58" s="1"/>
      <c r="E58" s="1"/>
      <c r="F58" s="1"/>
      <c r="G58" s="1"/>
      <c r="H58" s="1"/>
      <c r="I58" s="1"/>
      <c r="J58" s="1"/>
      <c r="K58" s="71">
        <f>K56+K43+K44</f>
        <v>-83.844086921820804</v>
      </c>
      <c r="L58" s="71">
        <f>L56+L43+L44</f>
        <v>-51.021228845028148</v>
      </c>
      <c r="M58" s="71">
        <f>M56+M43+M44</f>
        <v>-16.231808268235369</v>
      </c>
      <c r="N58" s="85">
        <f>N56+N43+N44</f>
        <v>-0.556731522782421</v>
      </c>
      <c r="O58" s="73"/>
      <c r="P58" s="73"/>
      <c r="Q58" s="73"/>
      <c r="R58" s="73"/>
    </row>
    <row r="59" spans="1:18" ht="12.75" customHeight="1" x14ac:dyDescent="0.25">
      <c r="A59" s="126" t="s">
        <v>78</v>
      </c>
      <c r="B59" s="7"/>
      <c r="C59" s="7"/>
      <c r="D59" s="7"/>
      <c r="E59" s="7"/>
      <c r="F59" s="7"/>
      <c r="G59" s="126"/>
      <c r="H59" s="127"/>
      <c r="I59" s="7"/>
      <c r="J59" s="7"/>
      <c r="K59" s="128">
        <f>K56+K43+K44+K46</f>
        <v>61.155913078179196</v>
      </c>
      <c r="L59" s="128">
        <f>L56+L43+L44+L46</f>
        <v>135.97877115497187</v>
      </c>
      <c r="M59" s="128">
        <f>M56+M43+M44+M46</f>
        <v>218.76819173176463</v>
      </c>
      <c r="N59" s="150">
        <f>N56+N43+N44+N46</f>
        <v>234.44326847721757</v>
      </c>
      <c r="O59" s="215"/>
      <c r="P59" s="73"/>
      <c r="Q59" s="73"/>
      <c r="R59" s="73"/>
    </row>
    <row r="60" spans="1:18" x14ac:dyDescent="0.25">
      <c r="A60" s="16" t="s">
        <v>34</v>
      </c>
      <c r="B60" s="16"/>
      <c r="C60" s="16"/>
      <c r="D60" s="48"/>
      <c r="E60" s="16"/>
      <c r="F60" s="16"/>
      <c r="G60" s="16"/>
      <c r="H60" s="16"/>
      <c r="I60" s="16"/>
      <c r="J60" s="16"/>
      <c r="K60" s="16"/>
      <c r="L60" s="17"/>
      <c r="M60" s="17"/>
      <c r="N60" s="17"/>
      <c r="O60" s="113"/>
    </row>
    <row r="61" spans="1:18" x14ac:dyDescent="0.25">
      <c r="B61" s="16" t="s">
        <v>35</v>
      </c>
      <c r="C61" s="16"/>
      <c r="D61" s="16"/>
      <c r="E61" s="16"/>
      <c r="F61" s="16"/>
      <c r="G61" s="16"/>
      <c r="H61" s="16"/>
      <c r="I61" s="16"/>
      <c r="J61" s="16"/>
      <c r="K61" s="16"/>
      <c r="L61" s="17"/>
      <c r="M61" s="17"/>
      <c r="N61" s="17"/>
      <c r="O61" s="1"/>
    </row>
    <row r="62" spans="1:18" x14ac:dyDescent="0.25">
      <c r="A62" s="16" t="s">
        <v>81</v>
      </c>
      <c r="B62" s="16"/>
      <c r="C62" s="16"/>
      <c r="D62" s="47"/>
      <c r="E62" s="32"/>
      <c r="F62" s="16"/>
      <c r="G62" s="16"/>
      <c r="H62" s="16"/>
      <c r="I62" s="16"/>
      <c r="J62" s="16"/>
      <c r="K62" s="16"/>
      <c r="L62" s="17"/>
      <c r="M62" s="17"/>
      <c r="N62" s="17"/>
      <c r="O62" s="1"/>
    </row>
    <row r="63" spans="1:18" x14ac:dyDescent="0.25">
      <c r="A63" s="16"/>
      <c r="B63" s="16" t="s">
        <v>37</v>
      </c>
      <c r="C63" s="16"/>
      <c r="D63" s="32"/>
      <c r="E63" s="32"/>
      <c r="F63" s="16"/>
      <c r="G63" s="16"/>
      <c r="H63" s="16"/>
      <c r="I63" s="16"/>
      <c r="J63" s="16"/>
      <c r="K63" s="16"/>
      <c r="L63" s="17"/>
      <c r="M63" s="17"/>
      <c r="N63" s="17"/>
      <c r="O63" s="1"/>
    </row>
    <row r="64" spans="1:18" x14ac:dyDescent="0.25">
      <c r="A64" s="16" t="s">
        <v>36</v>
      </c>
      <c r="B64" s="16"/>
      <c r="C64" s="16"/>
      <c r="D64" s="62"/>
      <c r="E64" s="16"/>
      <c r="F64" s="16"/>
      <c r="G64" s="16"/>
      <c r="H64" s="16"/>
      <c r="I64" s="16"/>
      <c r="J64" s="16"/>
      <c r="K64" s="16"/>
      <c r="L64" s="17"/>
      <c r="M64" s="17"/>
      <c r="N64" s="17"/>
      <c r="O64" s="1"/>
    </row>
    <row r="65" spans="1:15" ht="13.8" x14ac:dyDescent="0.25">
      <c r="A65" s="15">
        <v>1</v>
      </c>
      <c r="B65" s="16" t="s">
        <v>80</v>
      </c>
      <c r="C65" s="16"/>
      <c r="D65" s="32"/>
      <c r="E65" s="16"/>
      <c r="F65" s="16"/>
      <c r="G65" s="16"/>
      <c r="H65" s="16"/>
      <c r="I65" s="16"/>
      <c r="J65" s="16"/>
      <c r="K65" s="16"/>
      <c r="L65" s="17"/>
      <c r="M65" s="17"/>
      <c r="N65" s="17"/>
      <c r="O65" s="1"/>
    </row>
    <row r="66" spans="1:15" x14ac:dyDescent="0.25">
      <c r="B66" s="16" t="s">
        <v>175</v>
      </c>
      <c r="C66" s="16"/>
      <c r="D66" s="16"/>
      <c r="E66" s="16"/>
      <c r="F66" s="16"/>
      <c r="G66" s="16"/>
      <c r="H66" s="16"/>
      <c r="I66" s="16"/>
      <c r="J66" s="16"/>
      <c r="K66" s="16"/>
      <c r="L66" s="17"/>
      <c r="M66" s="17"/>
      <c r="N66" s="17"/>
      <c r="O66" s="1"/>
    </row>
    <row r="67" spans="1:15" ht="13.8" x14ac:dyDescent="0.25">
      <c r="A67" s="15">
        <v>2</v>
      </c>
      <c r="B67" s="16" t="s">
        <v>183</v>
      </c>
      <c r="C67" s="16"/>
      <c r="D67" s="16"/>
      <c r="E67" s="16"/>
      <c r="F67" s="16"/>
      <c r="G67" s="16"/>
      <c r="H67" s="16"/>
      <c r="I67" s="16"/>
      <c r="J67" s="16"/>
      <c r="K67" s="16"/>
      <c r="L67" s="17"/>
      <c r="M67" s="17"/>
      <c r="N67" s="17"/>
      <c r="O67" s="1"/>
    </row>
    <row r="68" spans="1:15" ht="13.8" x14ac:dyDescent="0.25">
      <c r="A68" s="15">
        <v>3</v>
      </c>
      <c r="B68" s="16" t="s">
        <v>89</v>
      </c>
      <c r="C68" s="16"/>
      <c r="D68" s="16"/>
      <c r="E68" s="16"/>
      <c r="F68" s="16"/>
      <c r="G68" s="16"/>
      <c r="H68" s="16"/>
      <c r="I68" s="16"/>
      <c r="J68" s="16"/>
      <c r="K68" s="16"/>
      <c r="L68" s="17"/>
      <c r="M68" s="17"/>
      <c r="N68" s="17"/>
      <c r="O68" s="16"/>
    </row>
    <row r="69" spans="1:15" ht="13.8" x14ac:dyDescent="0.25">
      <c r="A69" s="15"/>
      <c r="B69" s="16"/>
      <c r="C69" s="16" t="s">
        <v>45</v>
      </c>
      <c r="D69" s="16"/>
      <c r="E69" s="16"/>
      <c r="F69" s="16"/>
      <c r="G69" s="16"/>
      <c r="H69" s="16"/>
      <c r="I69" s="16"/>
      <c r="J69" s="16"/>
      <c r="K69" s="16"/>
      <c r="L69" s="17"/>
      <c r="M69" s="17"/>
      <c r="N69" s="17"/>
      <c r="O69" s="16"/>
    </row>
    <row r="70" spans="1:15" ht="13.8" x14ac:dyDescent="0.25">
      <c r="A70" s="15">
        <v>4</v>
      </c>
      <c r="B70" s="16" t="s">
        <v>25</v>
      </c>
      <c r="C70" s="16"/>
      <c r="D70" s="16"/>
      <c r="E70" s="16"/>
      <c r="F70" s="16"/>
      <c r="G70" s="16"/>
      <c r="H70" s="16"/>
      <c r="I70" s="16"/>
      <c r="J70" s="16"/>
      <c r="K70" s="16"/>
      <c r="L70" s="17"/>
      <c r="M70" s="17"/>
      <c r="N70" s="17"/>
      <c r="O70" s="16"/>
    </row>
    <row r="71" spans="1:15" x14ac:dyDescent="0.25">
      <c r="A71" s="16"/>
      <c r="B71" s="16"/>
      <c r="C71" s="16" t="s">
        <v>103</v>
      </c>
      <c r="D71" s="16"/>
      <c r="E71" s="16"/>
      <c r="F71" s="16"/>
      <c r="G71" s="16"/>
      <c r="H71" s="16"/>
      <c r="I71" s="16"/>
      <c r="J71" s="16"/>
      <c r="K71" s="16"/>
      <c r="L71" s="17"/>
      <c r="M71" s="17"/>
      <c r="N71" s="17"/>
      <c r="O71" s="16"/>
    </row>
    <row r="72" spans="1:15" x14ac:dyDescent="0.25">
      <c r="A72" s="16"/>
      <c r="B72" s="16"/>
      <c r="C72" s="16" t="s">
        <v>90</v>
      </c>
      <c r="D72" s="16"/>
      <c r="E72" s="16"/>
      <c r="F72" s="16"/>
      <c r="G72" s="16"/>
      <c r="H72" s="16"/>
      <c r="I72" s="16"/>
      <c r="J72" s="16"/>
      <c r="K72" s="16"/>
      <c r="L72" s="17"/>
      <c r="M72" s="17"/>
      <c r="N72" s="17"/>
      <c r="O72" s="16"/>
    </row>
    <row r="73" spans="1:15" x14ac:dyDescent="0.25">
      <c r="A73" s="16"/>
      <c r="B73" s="16"/>
      <c r="C73" s="16" t="s">
        <v>49</v>
      </c>
      <c r="D73" s="16"/>
      <c r="E73" s="16"/>
      <c r="F73" s="48">
        <v>600</v>
      </c>
      <c r="G73" s="82" t="s">
        <v>50</v>
      </c>
      <c r="H73" s="16"/>
      <c r="I73" s="48">
        <v>525</v>
      </c>
      <c r="J73" s="82" t="s">
        <v>51</v>
      </c>
      <c r="K73" s="82"/>
      <c r="L73" s="17"/>
      <c r="M73" s="84">
        <v>380</v>
      </c>
      <c r="N73" s="83" t="s">
        <v>12</v>
      </c>
      <c r="O73" s="16"/>
    </row>
    <row r="74" spans="1:15" x14ac:dyDescent="0.25">
      <c r="A74" s="16"/>
      <c r="B74" s="16"/>
      <c r="C74" s="16" t="s">
        <v>52</v>
      </c>
      <c r="D74" s="16"/>
      <c r="E74" s="16"/>
      <c r="F74" s="32"/>
      <c r="G74" s="82"/>
      <c r="H74" s="16"/>
      <c r="I74" s="32"/>
      <c r="J74" s="82"/>
      <c r="K74" s="82"/>
      <c r="L74" s="17"/>
      <c r="M74" s="86"/>
      <c r="N74" s="83"/>
      <c r="O74" s="16"/>
    </row>
    <row r="75" spans="1:15" ht="13.8" x14ac:dyDescent="0.25">
      <c r="A75" s="15">
        <v>5</v>
      </c>
      <c r="B75" s="16" t="s">
        <v>157</v>
      </c>
      <c r="C75" s="16"/>
      <c r="D75" s="16"/>
      <c r="E75" s="16"/>
      <c r="F75" s="16"/>
      <c r="G75" s="16"/>
      <c r="H75" s="16"/>
      <c r="I75" s="16"/>
      <c r="J75" s="16"/>
      <c r="K75" s="16"/>
      <c r="L75" s="17"/>
      <c r="M75" s="17"/>
      <c r="N75" s="17"/>
      <c r="O75" s="16"/>
    </row>
    <row r="76" spans="1:15" ht="13.8" x14ac:dyDescent="0.25">
      <c r="A76" s="18">
        <v>6</v>
      </c>
      <c r="B76" s="19" t="s">
        <v>177</v>
      </c>
      <c r="C76" s="19"/>
      <c r="D76" s="19"/>
      <c r="E76" s="19"/>
      <c r="F76" s="16"/>
      <c r="G76" s="16"/>
      <c r="H76" s="16"/>
      <c r="I76" s="16"/>
      <c r="J76" s="16"/>
      <c r="K76" s="16"/>
      <c r="L76" s="17"/>
      <c r="M76" s="17"/>
      <c r="N76" s="17"/>
      <c r="O76" s="16"/>
    </row>
    <row r="77" spans="1:15" ht="13.8" x14ac:dyDescent="0.25">
      <c r="A77" s="45">
        <v>7</v>
      </c>
      <c r="B77" s="19" t="s">
        <v>173</v>
      </c>
      <c r="C77" s="19"/>
      <c r="D77" s="19"/>
      <c r="E77" s="19"/>
      <c r="F77" s="16"/>
      <c r="G77" s="16"/>
      <c r="H77" s="16"/>
      <c r="I77" s="16"/>
      <c r="J77" s="16"/>
      <c r="K77" s="16"/>
      <c r="L77" s="17"/>
      <c r="M77" s="17"/>
      <c r="N77" s="17"/>
      <c r="O77" s="16"/>
    </row>
    <row r="78" spans="1:15" ht="13.8" x14ac:dyDescent="0.25">
      <c r="A78" s="15">
        <v>8</v>
      </c>
      <c r="B78" s="16" t="s">
        <v>154</v>
      </c>
      <c r="C78" s="16"/>
      <c r="D78" s="16"/>
      <c r="E78" s="16"/>
      <c r="F78" s="16"/>
      <c r="G78" s="16"/>
      <c r="H78" s="16"/>
      <c r="I78" s="16"/>
      <c r="J78" s="16"/>
      <c r="K78" s="16"/>
      <c r="L78" s="17"/>
      <c r="M78" s="17"/>
      <c r="N78" s="17"/>
      <c r="O78" s="16"/>
    </row>
    <row r="79" spans="1:15" ht="13.8" x14ac:dyDescent="0.25">
      <c r="A79" s="15">
        <v>9</v>
      </c>
      <c r="B79" s="16" t="s">
        <v>176</v>
      </c>
      <c r="C79" s="16"/>
      <c r="D79" s="16"/>
      <c r="E79" s="16"/>
      <c r="F79" s="16"/>
      <c r="G79" s="16"/>
      <c r="H79" s="16"/>
      <c r="I79" s="16"/>
      <c r="J79" s="16"/>
      <c r="K79" s="16"/>
      <c r="L79" s="17"/>
      <c r="M79" s="17"/>
      <c r="N79" s="17"/>
      <c r="O79" s="16"/>
    </row>
    <row r="80" spans="1:15" ht="13.8" x14ac:dyDescent="0.25">
      <c r="A80" s="15">
        <v>10</v>
      </c>
      <c r="B80" s="16" t="s">
        <v>104</v>
      </c>
      <c r="C80" s="16"/>
      <c r="D80" s="16"/>
      <c r="E80" s="16"/>
      <c r="F80" s="16"/>
      <c r="G80" s="16"/>
      <c r="H80" s="16"/>
      <c r="I80" s="16"/>
      <c r="J80" s="16"/>
      <c r="K80" s="16"/>
      <c r="L80" s="17"/>
      <c r="M80" s="17"/>
      <c r="N80" s="17"/>
      <c r="O80" s="16"/>
    </row>
    <row r="81" spans="1:15" ht="13.8" x14ac:dyDescent="0.25">
      <c r="A81" s="15">
        <v>11</v>
      </c>
      <c r="B81" s="16" t="s">
        <v>106</v>
      </c>
      <c r="C81" s="16"/>
      <c r="D81" s="16"/>
      <c r="E81" s="16"/>
      <c r="F81" s="16"/>
      <c r="G81" s="16"/>
      <c r="H81" s="16"/>
      <c r="I81" s="16"/>
      <c r="J81" s="16"/>
      <c r="K81" s="16"/>
      <c r="L81" s="17"/>
      <c r="M81" s="17"/>
      <c r="N81" s="17"/>
      <c r="O81" s="16"/>
    </row>
    <row r="82" spans="1:15" ht="13.8" x14ac:dyDescent="0.25">
      <c r="A82" s="15"/>
      <c r="B82" s="16"/>
      <c r="C82" s="16" t="s">
        <v>142</v>
      </c>
      <c r="D82" s="16"/>
      <c r="E82" s="16"/>
      <c r="F82" s="16"/>
      <c r="G82" s="16"/>
      <c r="H82" s="16"/>
      <c r="I82" s="16"/>
      <c r="J82" s="16"/>
      <c r="K82" s="16"/>
      <c r="L82" s="17"/>
      <c r="M82" s="17"/>
      <c r="N82" s="17"/>
      <c r="O82" s="16"/>
    </row>
    <row r="83" spans="1:15" ht="13.8" x14ac:dyDescent="0.25">
      <c r="A83" s="15">
        <v>12</v>
      </c>
      <c r="B83" s="16" t="s">
        <v>132</v>
      </c>
      <c r="C83" s="16"/>
      <c r="D83" s="16"/>
      <c r="E83" s="16"/>
      <c r="F83" s="16"/>
      <c r="G83" s="16"/>
      <c r="H83" s="16"/>
      <c r="I83" s="16"/>
      <c r="J83" s="16"/>
      <c r="K83" s="16"/>
      <c r="L83" s="17"/>
      <c r="M83" s="17"/>
      <c r="N83" s="17"/>
      <c r="O83" s="16"/>
    </row>
    <row r="84" spans="1:15" ht="13.8" x14ac:dyDescent="0.25">
      <c r="A84" s="15">
        <v>13</v>
      </c>
      <c r="B84" s="16" t="s">
        <v>107</v>
      </c>
      <c r="C84" s="16"/>
      <c r="D84" s="16"/>
      <c r="E84" s="16"/>
      <c r="F84" s="16"/>
      <c r="G84" s="16"/>
      <c r="H84" s="16"/>
      <c r="I84" s="16"/>
      <c r="J84" s="16"/>
      <c r="K84" s="16"/>
      <c r="L84" s="17"/>
      <c r="M84" s="17"/>
      <c r="N84" s="17"/>
      <c r="O84" s="16"/>
    </row>
    <row r="85" spans="1:15" ht="13.8" x14ac:dyDescent="0.25">
      <c r="A85" s="15"/>
      <c r="B85" s="16"/>
      <c r="C85" s="16" t="s">
        <v>108</v>
      </c>
      <c r="D85" s="16"/>
      <c r="E85" s="16"/>
      <c r="F85" s="16"/>
      <c r="G85" s="16"/>
      <c r="H85" s="16"/>
      <c r="I85" s="16"/>
      <c r="J85" s="16"/>
      <c r="K85" s="16"/>
      <c r="L85" s="17"/>
      <c r="M85" s="17"/>
      <c r="N85" s="17"/>
      <c r="O85" s="16"/>
    </row>
    <row r="86" spans="1:15" x14ac:dyDescent="0.25">
      <c r="C86" s="16" t="s">
        <v>46</v>
      </c>
      <c r="D86" s="16"/>
      <c r="E86" s="16"/>
      <c r="F86" s="16"/>
      <c r="G86" s="16"/>
      <c r="H86" s="16"/>
      <c r="I86" s="16"/>
      <c r="J86" s="16"/>
      <c r="K86" s="16"/>
      <c r="L86" s="17"/>
      <c r="M86" s="17"/>
      <c r="N86" s="17"/>
      <c r="O86" s="16"/>
    </row>
    <row r="87" spans="1:15" ht="13.8" x14ac:dyDescent="0.25">
      <c r="A87" s="15">
        <v>14</v>
      </c>
      <c r="B87" s="16" t="s">
        <v>174</v>
      </c>
      <c r="C87" s="16"/>
      <c r="D87" s="16"/>
      <c r="E87" s="16"/>
      <c r="F87" s="16"/>
      <c r="G87" s="16"/>
      <c r="H87" s="16"/>
      <c r="I87" s="16"/>
      <c r="J87" s="16"/>
      <c r="K87" s="16"/>
      <c r="L87" s="17"/>
      <c r="M87" s="17"/>
      <c r="N87" s="17"/>
      <c r="O87" s="16"/>
    </row>
    <row r="88" spans="1:15" ht="13.8" x14ac:dyDescent="0.25">
      <c r="A88" s="15">
        <v>15</v>
      </c>
      <c r="B88" s="16" t="s">
        <v>107</v>
      </c>
      <c r="C88" s="16"/>
      <c r="D88" s="16"/>
      <c r="E88" s="16"/>
      <c r="F88" s="16"/>
      <c r="G88" s="16"/>
      <c r="H88" s="16"/>
      <c r="I88" s="16"/>
      <c r="J88" s="16"/>
      <c r="K88" s="16"/>
      <c r="L88" s="17"/>
      <c r="M88" s="17"/>
      <c r="N88" s="17"/>
      <c r="O88" s="16"/>
    </row>
    <row r="89" spans="1:15" x14ac:dyDescent="0.25">
      <c r="A89" s="16"/>
      <c r="B89" s="16"/>
      <c r="C89" s="16" t="s">
        <v>108</v>
      </c>
      <c r="D89" s="16"/>
      <c r="E89" s="16"/>
      <c r="F89" s="16"/>
      <c r="G89" s="16"/>
      <c r="H89" s="16"/>
      <c r="I89" s="16"/>
      <c r="J89" s="16"/>
      <c r="K89" s="16"/>
      <c r="L89" s="17"/>
      <c r="M89" s="17"/>
      <c r="N89" s="17"/>
      <c r="O89" s="16"/>
    </row>
    <row r="90" spans="1:15" ht="13.8" x14ac:dyDescent="0.25">
      <c r="A90" s="15"/>
      <c r="C90" s="16" t="s">
        <v>46</v>
      </c>
      <c r="D90" s="16"/>
      <c r="E90" s="16"/>
      <c r="F90" s="16"/>
      <c r="G90" s="16"/>
      <c r="H90" s="16"/>
      <c r="I90" s="16"/>
      <c r="J90" s="16"/>
      <c r="K90" s="16"/>
      <c r="L90" s="17"/>
      <c r="M90" s="17"/>
      <c r="N90" s="17"/>
      <c r="O90" s="16"/>
    </row>
    <row r="91" spans="1:15" ht="13.8" x14ac:dyDescent="0.25">
      <c r="A91" s="15">
        <v>16</v>
      </c>
      <c r="B91" s="16" t="s">
        <v>91</v>
      </c>
      <c r="C91" s="16"/>
      <c r="D91" s="16"/>
      <c r="E91" s="16"/>
      <c r="F91" s="16"/>
      <c r="G91" s="16"/>
      <c r="H91" s="16"/>
      <c r="I91" s="16"/>
      <c r="J91" s="16"/>
      <c r="K91" s="16"/>
      <c r="L91" s="17"/>
      <c r="M91" s="17"/>
      <c r="N91" s="17"/>
      <c r="O91" s="16"/>
    </row>
    <row r="92" spans="1:15" ht="13.8" x14ac:dyDescent="0.25">
      <c r="A92" s="15">
        <v>17</v>
      </c>
      <c r="B92" s="16" t="s">
        <v>109</v>
      </c>
      <c r="C92" s="16"/>
      <c r="D92" s="16"/>
      <c r="E92" s="16"/>
      <c r="F92" s="16"/>
      <c r="G92" s="16"/>
      <c r="H92" s="16"/>
      <c r="I92" s="16"/>
      <c r="J92" s="16"/>
      <c r="K92" s="16"/>
      <c r="L92" s="17"/>
      <c r="M92" s="17"/>
      <c r="N92" s="17"/>
      <c r="O92" s="16"/>
    </row>
    <row r="93" spans="1:15" ht="13.8" x14ac:dyDescent="0.25">
      <c r="A93" s="15"/>
      <c r="B93" s="16"/>
      <c r="C93" s="16" t="s">
        <v>155</v>
      </c>
      <c r="D93" s="16"/>
      <c r="E93" s="16"/>
      <c r="F93" s="16"/>
      <c r="G93" s="16"/>
      <c r="H93" s="16"/>
      <c r="I93" s="16"/>
      <c r="J93" s="16"/>
      <c r="K93" s="16"/>
      <c r="L93" s="17"/>
      <c r="M93" s="17"/>
      <c r="N93" s="17"/>
      <c r="O93" s="16"/>
    </row>
    <row r="94" spans="1:15" ht="13.8" x14ac:dyDescent="0.25">
      <c r="A94" s="15">
        <v>18</v>
      </c>
      <c r="B94" s="16" t="s">
        <v>124</v>
      </c>
      <c r="C94" s="16"/>
      <c r="D94" s="1"/>
      <c r="E94" s="1"/>
      <c r="F94" s="1"/>
      <c r="G94" s="1"/>
      <c r="H94" s="1"/>
      <c r="I94" s="1"/>
      <c r="J94" s="1"/>
      <c r="K94" s="1"/>
      <c r="L94" s="2"/>
      <c r="M94" s="2"/>
      <c r="N94" s="17"/>
      <c r="O94" s="16"/>
    </row>
    <row r="95" spans="1:15" ht="13.8" x14ac:dyDescent="0.25">
      <c r="A95" s="15"/>
      <c r="C95" s="16" t="s">
        <v>74</v>
      </c>
      <c r="D95" s="1"/>
      <c r="E95" s="1"/>
      <c r="F95" s="1"/>
      <c r="G95" s="1"/>
      <c r="H95" s="1"/>
      <c r="I95" s="1"/>
      <c r="J95" s="1"/>
      <c r="K95" s="1"/>
      <c r="L95" s="2"/>
      <c r="M95" s="2"/>
      <c r="N95" s="17"/>
      <c r="O95" s="16"/>
    </row>
    <row r="96" spans="1:15" ht="13.8" x14ac:dyDescent="0.25">
      <c r="A96" s="15">
        <v>19</v>
      </c>
      <c r="B96" s="16" t="s">
        <v>106</v>
      </c>
      <c r="C96" s="16"/>
      <c r="D96" s="1"/>
      <c r="E96" s="1"/>
      <c r="F96" s="1"/>
      <c r="G96" s="1"/>
      <c r="H96" s="1"/>
      <c r="I96" s="1"/>
      <c r="J96" s="1"/>
      <c r="K96" s="1"/>
      <c r="L96" s="2"/>
      <c r="M96" s="2"/>
      <c r="N96" s="17"/>
      <c r="O96" s="16"/>
    </row>
    <row r="97" spans="1:15" ht="13.8" x14ac:dyDescent="0.25">
      <c r="A97" s="15"/>
      <c r="B97" s="16"/>
      <c r="C97" s="16" t="s">
        <v>142</v>
      </c>
      <c r="D97" s="1"/>
      <c r="E97" s="1"/>
      <c r="F97" s="1"/>
      <c r="G97" s="1"/>
      <c r="H97" s="1"/>
      <c r="I97" s="1"/>
      <c r="J97" s="1"/>
      <c r="K97" s="1"/>
      <c r="L97" s="2"/>
      <c r="M97" s="2"/>
      <c r="N97" s="17"/>
      <c r="O97" s="16"/>
    </row>
    <row r="98" spans="1:15" ht="13.8" x14ac:dyDescent="0.25">
      <c r="A98" s="15">
        <v>20</v>
      </c>
      <c r="B98" s="16" t="s">
        <v>113</v>
      </c>
      <c r="C98" s="16"/>
      <c r="D98" s="1"/>
      <c r="E98" s="1"/>
      <c r="F98" s="1"/>
      <c r="G98" s="1"/>
      <c r="H98" s="1"/>
      <c r="I98" s="1"/>
      <c r="J98" s="1"/>
      <c r="K98" s="1"/>
      <c r="L98" s="2"/>
      <c r="M98" s="2"/>
      <c r="N98" s="17"/>
      <c r="O98" s="16"/>
    </row>
    <row r="99" spans="1:15" ht="13.8" x14ac:dyDescent="0.25">
      <c r="A99" s="15"/>
      <c r="B99" s="16" t="s">
        <v>111</v>
      </c>
      <c r="C99" s="16"/>
      <c r="D99" s="1"/>
      <c r="E99" s="1"/>
      <c r="F99" s="1"/>
      <c r="G99" s="1"/>
      <c r="H99" s="1"/>
      <c r="I99" s="1"/>
      <c r="J99" s="1"/>
      <c r="K99" s="1"/>
      <c r="L99" s="2"/>
      <c r="M99" s="2"/>
      <c r="N99" s="17"/>
      <c r="O99" s="16"/>
    </row>
    <row r="100" spans="1:15" ht="13.8" x14ac:dyDescent="0.25">
      <c r="A100" s="15"/>
      <c r="B100" s="16" t="s">
        <v>112</v>
      </c>
      <c r="C100" s="16"/>
      <c r="D100" s="1"/>
      <c r="E100" s="1"/>
      <c r="F100" s="1"/>
      <c r="G100" s="1"/>
      <c r="H100" s="1"/>
      <c r="I100" s="1"/>
      <c r="J100" s="1"/>
      <c r="K100" s="1"/>
      <c r="L100" s="2"/>
      <c r="M100" s="2"/>
      <c r="N100" s="17"/>
      <c r="O100" s="16"/>
    </row>
    <row r="101" spans="1:15" ht="13.8" x14ac:dyDescent="0.25">
      <c r="A101" s="15"/>
      <c r="B101" s="16" t="s">
        <v>110</v>
      </c>
      <c r="C101" s="16"/>
      <c r="D101" s="1"/>
      <c r="E101" s="1"/>
      <c r="F101" s="1"/>
      <c r="G101" s="1"/>
      <c r="H101" s="1"/>
      <c r="I101" s="1"/>
      <c r="J101" s="1"/>
      <c r="K101" s="1"/>
      <c r="L101" s="2"/>
      <c r="M101" s="2"/>
      <c r="N101" s="17"/>
      <c r="O101" s="16"/>
    </row>
    <row r="102" spans="1:15" x14ac:dyDescent="0.25">
      <c r="B102" s="16" t="s">
        <v>114</v>
      </c>
      <c r="E102" s="16"/>
      <c r="F102" s="16"/>
      <c r="G102" s="16"/>
      <c r="H102" s="16"/>
      <c r="I102" s="16"/>
      <c r="J102" s="16"/>
      <c r="K102" s="16"/>
      <c r="L102" s="17"/>
      <c r="M102" s="17"/>
      <c r="N102" s="17"/>
      <c r="O102" s="16"/>
    </row>
    <row r="103" spans="1:15" ht="13.8" x14ac:dyDescent="0.25">
      <c r="A103" s="15"/>
      <c r="B103" s="16" t="s">
        <v>115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7"/>
      <c r="M103" s="17"/>
      <c r="N103" s="17"/>
      <c r="O103" s="16"/>
    </row>
    <row r="104" spans="1:15" ht="13.8" x14ac:dyDescent="0.25">
      <c r="A104" s="15"/>
      <c r="B104" s="16"/>
      <c r="C104" s="16" t="s">
        <v>116</v>
      </c>
      <c r="D104" s="16"/>
      <c r="E104" s="16"/>
      <c r="F104" s="16"/>
      <c r="G104" s="16"/>
      <c r="H104" s="16"/>
      <c r="I104" s="16"/>
      <c r="J104" s="16"/>
      <c r="K104" s="16"/>
      <c r="L104" s="17"/>
      <c r="M104" s="17"/>
      <c r="N104" s="17"/>
      <c r="O104" s="16"/>
    </row>
    <row r="105" spans="1:15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7"/>
      <c r="M105" s="17"/>
      <c r="N105" s="17"/>
      <c r="O105" s="16"/>
    </row>
    <row r="106" spans="1:15" x14ac:dyDescent="0.25">
      <c r="A106" s="16" t="s">
        <v>181</v>
      </c>
    </row>
    <row r="107" spans="1:15" x14ac:dyDescent="0.25">
      <c r="A107" s="16" t="s">
        <v>180</v>
      </c>
      <c r="B107" s="16"/>
      <c r="C107" s="16"/>
      <c r="D107" s="16"/>
      <c r="E107" s="16"/>
      <c r="F107" s="16"/>
      <c r="G107" s="16"/>
      <c r="H107" s="16"/>
    </row>
    <row r="108" spans="1:15" x14ac:dyDescent="0.25">
      <c r="A108" s="16" t="s">
        <v>158</v>
      </c>
      <c r="B108" s="16"/>
      <c r="C108" s="16"/>
    </row>
  </sheetData>
  <mergeCells count="3">
    <mergeCell ref="A6:D6"/>
    <mergeCell ref="E6:G6"/>
    <mergeCell ref="M5:N5"/>
  </mergeCells>
  <phoneticPr fontId="0" type="noConversion"/>
  <printOptions horizontalCentered="1"/>
  <pageMargins left="0.32" right="0.27" top="0.5" bottom="0.5" header="0.5" footer="0.5"/>
  <pageSetup scale="94" fitToHeight="2" orientation="portrait" r:id="rId1"/>
  <headerFooter alignWithMargins="0"/>
  <rowBreaks count="1" manualBreakCount="1">
    <brk id="59" max="1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9"/>
  <sheetViews>
    <sheetView workbookViewId="0">
      <selection activeCell="N7" sqref="N7"/>
    </sheetView>
  </sheetViews>
  <sheetFormatPr defaultRowHeight="13.2" x14ac:dyDescent="0.25"/>
  <cols>
    <col min="1" max="1" width="3.44140625" customWidth="1"/>
    <col min="2" max="2" width="7.88671875" customWidth="1"/>
    <col min="3" max="3" width="14.6640625" customWidth="1"/>
    <col min="4" max="4" width="17" customWidth="1"/>
    <col min="5" max="5" width="13.33203125" customWidth="1"/>
    <col min="6" max="6" width="13.88671875" customWidth="1"/>
    <col min="7" max="7" width="8.88671875" customWidth="1"/>
    <col min="8" max="8" width="11.88671875" customWidth="1"/>
    <col min="9" max="10" width="12.5546875" customWidth="1"/>
    <col min="11" max="11" width="11.6640625" customWidth="1"/>
  </cols>
  <sheetData>
    <row r="1" spans="1:17" x14ac:dyDescent="0.25">
      <c r="A1" s="21" t="s">
        <v>153</v>
      </c>
      <c r="B1" s="20"/>
      <c r="C1" s="65"/>
      <c r="D1" s="20"/>
      <c r="E1" s="20"/>
      <c r="F1" s="20"/>
      <c r="G1" s="65"/>
      <c r="H1" s="20"/>
      <c r="I1" s="20"/>
      <c r="J1" s="20"/>
      <c r="K1" s="20"/>
      <c r="L1" s="22"/>
      <c r="M1" s="22"/>
      <c r="N1" s="37"/>
      <c r="O1" s="37"/>
    </row>
    <row r="2" spans="1:17" ht="23.4" x14ac:dyDescent="0.25">
      <c r="A2" s="16"/>
      <c r="B2" s="16"/>
      <c r="C2" s="16"/>
      <c r="D2" s="23" t="s">
        <v>135</v>
      </c>
      <c r="E2" s="23" t="s">
        <v>31</v>
      </c>
      <c r="F2" s="23" t="s">
        <v>29</v>
      </c>
      <c r="G2" s="23" t="s">
        <v>128</v>
      </c>
      <c r="H2" s="78" t="s">
        <v>129</v>
      </c>
      <c r="I2" s="23" t="s">
        <v>133</v>
      </c>
      <c r="J2" s="23" t="s">
        <v>138</v>
      </c>
      <c r="K2" s="177" t="s">
        <v>139</v>
      </c>
      <c r="L2" s="173" t="s">
        <v>140</v>
      </c>
      <c r="M2" s="177" t="s">
        <v>136</v>
      </c>
      <c r="N2" s="199" t="s">
        <v>145</v>
      </c>
      <c r="O2" s="199" t="s">
        <v>146</v>
      </c>
      <c r="P2" s="199" t="s">
        <v>144</v>
      </c>
    </row>
    <row r="3" spans="1:17" x14ac:dyDescent="0.25">
      <c r="A3" s="68" t="s">
        <v>75</v>
      </c>
      <c r="B3" s="68"/>
      <c r="C3" s="68"/>
      <c r="D3" s="69">
        <v>1</v>
      </c>
      <c r="E3" s="70">
        <v>51000</v>
      </c>
      <c r="F3" s="166">
        <v>1000</v>
      </c>
      <c r="G3" s="164">
        <v>20.97</v>
      </c>
      <c r="H3" s="165">
        <f>F3/G3</f>
        <v>47.687172150691467</v>
      </c>
      <c r="I3" s="171">
        <f>H3/1000</f>
        <v>4.7687172150691466E-2</v>
      </c>
      <c r="J3" s="178"/>
      <c r="K3" s="176"/>
      <c r="L3" s="187">
        <v>1.83</v>
      </c>
      <c r="M3" s="187">
        <v>1.1599999999999999</v>
      </c>
      <c r="N3" s="186">
        <v>0.74</v>
      </c>
      <c r="O3" s="186"/>
      <c r="P3" s="17">
        <v>0.64</v>
      </c>
    </row>
    <row r="4" spans="1:17" x14ac:dyDescent="0.25">
      <c r="A4" s="48" t="s">
        <v>83</v>
      </c>
      <c r="B4" s="48"/>
      <c r="C4" s="48"/>
      <c r="D4" s="63">
        <v>1</v>
      </c>
      <c r="E4" s="64">
        <v>87000</v>
      </c>
      <c r="F4" s="167">
        <v>1000</v>
      </c>
      <c r="G4" s="165">
        <v>43.27</v>
      </c>
      <c r="H4" s="165">
        <f t="shared" ref="H4:H9" si="0">F4/G4</f>
        <v>23.110700254217701</v>
      </c>
      <c r="I4" s="172">
        <f>H4/1000</f>
        <v>2.31107002542177E-2</v>
      </c>
      <c r="J4" s="16"/>
      <c r="K4" s="17"/>
      <c r="L4" s="188">
        <v>1.22</v>
      </c>
      <c r="M4" s="188">
        <v>0.73</v>
      </c>
      <c r="N4" s="186">
        <v>0.65</v>
      </c>
      <c r="O4" s="186"/>
      <c r="P4" s="17">
        <v>0.31</v>
      </c>
    </row>
    <row r="5" spans="1:17" x14ac:dyDescent="0.25">
      <c r="A5" s="48" t="s">
        <v>137</v>
      </c>
      <c r="B5" s="48"/>
      <c r="C5" s="48"/>
      <c r="D5" s="63">
        <v>2</v>
      </c>
      <c r="E5" s="64">
        <v>249000</v>
      </c>
      <c r="F5" s="167">
        <v>2000</v>
      </c>
      <c r="G5" s="165">
        <v>44.12</v>
      </c>
      <c r="H5" s="165">
        <f t="shared" si="0"/>
        <v>45.33091568449683</v>
      </c>
      <c r="I5" s="172">
        <f t="shared" ref="I5:I11" si="1">H5/1000</f>
        <v>4.5330915684496827E-2</v>
      </c>
      <c r="J5" s="16"/>
      <c r="K5" s="17"/>
      <c r="L5" s="188">
        <f>1.51*2</f>
        <v>3.02</v>
      </c>
      <c r="M5" s="188">
        <v>0.98</v>
      </c>
      <c r="N5" s="186">
        <f>0.79*2</f>
        <v>1.58</v>
      </c>
      <c r="O5" s="186"/>
      <c r="P5" s="17">
        <f>0.07*2</f>
        <v>0.14000000000000001</v>
      </c>
    </row>
    <row r="6" spans="1:17" x14ac:dyDescent="0.25">
      <c r="A6" s="48" t="s">
        <v>84</v>
      </c>
      <c r="B6" s="48"/>
      <c r="C6" s="48"/>
      <c r="D6" s="63">
        <v>1</v>
      </c>
      <c r="E6" s="64">
        <v>147500</v>
      </c>
      <c r="F6" s="167">
        <v>1000</v>
      </c>
      <c r="G6" s="165">
        <v>18.670000000000002</v>
      </c>
      <c r="H6" s="165">
        <f t="shared" si="0"/>
        <v>53.561863952865558</v>
      </c>
      <c r="I6" s="172">
        <f t="shared" si="1"/>
        <v>5.3561863952865559E-2</v>
      </c>
      <c r="J6" s="16"/>
      <c r="K6" s="17"/>
      <c r="L6" s="188">
        <v>6.04</v>
      </c>
      <c r="M6" s="188">
        <v>4.04</v>
      </c>
      <c r="N6" s="186">
        <v>2.3199999999999998</v>
      </c>
      <c r="O6" s="186"/>
      <c r="P6" s="17">
        <v>0.4</v>
      </c>
    </row>
    <row r="7" spans="1:17" x14ac:dyDescent="0.25">
      <c r="A7" s="48" t="s">
        <v>130</v>
      </c>
      <c r="B7" s="48"/>
      <c r="C7" s="48"/>
      <c r="D7" s="63">
        <v>1</v>
      </c>
      <c r="E7" s="64">
        <v>355000</v>
      </c>
      <c r="F7" s="167">
        <v>1000</v>
      </c>
      <c r="G7" s="165">
        <v>6.79</v>
      </c>
      <c r="H7" s="165">
        <f t="shared" si="0"/>
        <v>147.27540500736376</v>
      </c>
      <c r="I7" s="172">
        <f t="shared" si="1"/>
        <v>0.14727540500736375</v>
      </c>
      <c r="J7" s="17">
        <v>87.01</v>
      </c>
      <c r="K7" s="17">
        <v>35.47</v>
      </c>
      <c r="L7" s="189">
        <f>I7*J7</f>
        <v>12.814432989690721</v>
      </c>
      <c r="M7" s="189">
        <f>I7*K7</f>
        <v>5.2238586156111921</v>
      </c>
      <c r="N7" s="186">
        <f>I7*O7</f>
        <v>10.357879234167893</v>
      </c>
      <c r="O7" s="186">
        <v>70.33</v>
      </c>
      <c r="P7" s="17"/>
    </row>
    <row r="8" spans="1:17" x14ac:dyDescent="0.25">
      <c r="A8" s="48"/>
      <c r="B8" s="48" t="s">
        <v>85</v>
      </c>
      <c r="C8" s="48"/>
      <c r="D8" s="63">
        <v>1</v>
      </c>
      <c r="E8" s="64">
        <v>58000</v>
      </c>
      <c r="F8" s="167">
        <v>1000</v>
      </c>
      <c r="G8" s="165">
        <v>6.79</v>
      </c>
      <c r="H8" s="165">
        <f t="shared" si="0"/>
        <v>147.27540500736376</v>
      </c>
      <c r="I8" s="172">
        <f t="shared" si="1"/>
        <v>0.14727540500736375</v>
      </c>
      <c r="J8" s="17"/>
      <c r="K8" s="17"/>
      <c r="L8" s="188">
        <v>3.07</v>
      </c>
      <c r="M8" s="188">
        <v>1.34</v>
      </c>
      <c r="N8" s="186">
        <v>1.1200000000000001</v>
      </c>
      <c r="O8" s="186"/>
      <c r="P8" s="17">
        <v>2</v>
      </c>
    </row>
    <row r="9" spans="1:17" x14ac:dyDescent="0.25">
      <c r="A9" s="48" t="s">
        <v>73</v>
      </c>
      <c r="B9" s="48"/>
      <c r="C9" s="48"/>
      <c r="D9" s="63">
        <v>1</v>
      </c>
      <c r="E9" s="64">
        <v>59000</v>
      </c>
      <c r="F9" s="167">
        <v>1000</v>
      </c>
      <c r="G9" s="165">
        <v>6.87</v>
      </c>
      <c r="H9" s="165">
        <f t="shared" si="0"/>
        <v>145.5604075691412</v>
      </c>
      <c r="I9" s="172">
        <f t="shared" si="1"/>
        <v>0.14556040756914121</v>
      </c>
      <c r="J9" s="17"/>
      <c r="K9" s="17"/>
      <c r="L9" s="188">
        <v>2.64</v>
      </c>
      <c r="M9" s="188">
        <v>1.38</v>
      </c>
      <c r="N9" s="186">
        <v>2.36</v>
      </c>
      <c r="O9" s="186"/>
      <c r="P9" s="17">
        <v>1.44</v>
      </c>
    </row>
    <row r="10" spans="1:17" x14ac:dyDescent="0.25">
      <c r="A10" s="48" t="s">
        <v>86</v>
      </c>
      <c r="B10" s="48"/>
      <c r="C10" s="48"/>
      <c r="D10" s="63">
        <v>2</v>
      </c>
      <c r="E10" s="64">
        <v>323000</v>
      </c>
      <c r="F10" s="167">
        <v>2000</v>
      </c>
      <c r="G10" s="165"/>
      <c r="H10" s="165">
        <f>H3+H6</f>
        <v>101.24903610355702</v>
      </c>
      <c r="I10" s="172">
        <f t="shared" si="1"/>
        <v>0.10124903610355701</v>
      </c>
      <c r="J10" s="17">
        <v>52.8</v>
      </c>
      <c r="K10" s="17">
        <v>25.56</v>
      </c>
      <c r="L10" s="189">
        <f>I10*J10</f>
        <v>5.3459491062678097</v>
      </c>
      <c r="M10" s="189">
        <f>I10*K10</f>
        <v>2.5879253628069172</v>
      </c>
      <c r="N10" s="186">
        <f>I10*O10</f>
        <v>0.52345751665538975</v>
      </c>
      <c r="O10" s="186">
        <v>5.17</v>
      </c>
      <c r="P10" s="17"/>
    </row>
    <row r="11" spans="1:17" x14ac:dyDescent="0.25">
      <c r="A11" s="66" t="s">
        <v>76</v>
      </c>
      <c r="B11" s="66"/>
      <c r="C11" s="66"/>
      <c r="D11" s="67">
        <v>2</v>
      </c>
      <c r="E11" s="179">
        <v>309000</v>
      </c>
      <c r="F11" s="168">
        <v>2000</v>
      </c>
      <c r="G11" s="169"/>
      <c r="H11" s="169">
        <f>H4+H9</f>
        <v>168.67110782335891</v>
      </c>
      <c r="I11" s="180">
        <f t="shared" si="1"/>
        <v>0.1686711078233589</v>
      </c>
      <c r="J11" s="175">
        <v>50.51</v>
      </c>
      <c r="K11" s="175">
        <v>24.48</v>
      </c>
      <c r="L11" s="190">
        <f>I11*J11</f>
        <v>8.5195776561578569</v>
      </c>
      <c r="M11" s="190">
        <f>I11*K11</f>
        <v>4.1290687195158258</v>
      </c>
      <c r="N11" s="198">
        <f>I11*O11</f>
        <v>0.83323527264739305</v>
      </c>
      <c r="O11" s="198">
        <v>4.9400000000000004</v>
      </c>
      <c r="P11" s="175"/>
    </row>
    <row r="12" spans="1:17" x14ac:dyDescent="0.25">
      <c r="B12" s="16"/>
      <c r="C12" s="16"/>
      <c r="D12" s="25"/>
      <c r="E12" s="24"/>
      <c r="F12" s="24"/>
      <c r="G12" s="24"/>
      <c r="H12" s="157"/>
      <c r="I12" s="158"/>
      <c r="J12" s="16"/>
      <c r="K12" s="17"/>
      <c r="L12" s="159"/>
      <c r="M12" s="191"/>
      <c r="N12" s="16"/>
      <c r="O12" s="16"/>
      <c r="P12" s="194"/>
      <c r="Q12" s="16"/>
    </row>
    <row r="13" spans="1:17" x14ac:dyDescent="0.25">
      <c r="A13" s="26"/>
      <c r="B13" s="26"/>
      <c r="C13" s="26"/>
      <c r="D13" s="26"/>
      <c r="E13" s="27"/>
      <c r="F13" s="27"/>
      <c r="G13" s="27"/>
      <c r="H13" s="159"/>
      <c r="I13" s="158"/>
      <c r="J13" s="16"/>
      <c r="K13" s="30" t="s">
        <v>149</v>
      </c>
      <c r="L13" s="159">
        <f>SUM(L3:L11)</f>
        <v>44.499959752116389</v>
      </c>
      <c r="M13" s="159">
        <f>SUM(M3:M11)</f>
        <v>21.570852697933933</v>
      </c>
      <c r="N13" s="195">
        <f t="shared" ref="N13" si="2">SUM(N3:N11)</f>
        <v>20.484572023470676</v>
      </c>
      <c r="O13" s="159" t="s">
        <v>147</v>
      </c>
      <c r="P13" s="163">
        <f>SUM(P3:P11)</f>
        <v>4.93</v>
      </c>
      <c r="Q13" s="16"/>
    </row>
    <row r="14" spans="1:17" x14ac:dyDescent="0.25">
      <c r="A14" s="26"/>
      <c r="B14" s="16"/>
      <c r="C14" s="16"/>
      <c r="D14" s="16"/>
      <c r="E14" s="33"/>
      <c r="F14" s="28"/>
      <c r="G14" s="28"/>
      <c r="H14" s="160"/>
      <c r="I14" s="161"/>
      <c r="J14" s="87"/>
      <c r="K14" s="87" t="s">
        <v>148</v>
      </c>
      <c r="L14" s="192"/>
      <c r="M14" s="193">
        <f>L13+M13</f>
        <v>66.070812450050326</v>
      </c>
      <c r="N14" s="200" t="s">
        <v>152</v>
      </c>
      <c r="P14" s="196">
        <f>P13*P16</f>
        <v>12.324999999999999</v>
      </c>
      <c r="Q14" s="16"/>
    </row>
    <row r="15" spans="1:17" x14ac:dyDescent="0.25">
      <c r="A15" s="16"/>
      <c r="B15" s="26"/>
      <c r="C15" s="26"/>
      <c r="D15" s="26"/>
      <c r="E15" s="31"/>
      <c r="F15" s="31"/>
      <c r="G15" s="31"/>
      <c r="H15" s="162"/>
      <c r="I15" s="163"/>
      <c r="N15" s="200" t="s">
        <v>151</v>
      </c>
      <c r="P15" s="197">
        <f>P14*1.1</f>
        <v>13.557500000000001</v>
      </c>
    </row>
    <row r="16" spans="1:17" x14ac:dyDescent="0.25">
      <c r="N16" s="201" t="s">
        <v>150</v>
      </c>
      <c r="O16" s="201"/>
      <c r="P16" s="196">
        <v>2.5</v>
      </c>
    </row>
    <row r="18" spans="2:15" x14ac:dyDescent="0.25">
      <c r="B18" s="16" t="s">
        <v>117</v>
      </c>
      <c r="C18" s="26"/>
      <c r="D18" s="26"/>
      <c r="E18" s="26"/>
      <c r="F18" s="26"/>
      <c r="G18" s="31"/>
      <c r="H18" s="31"/>
      <c r="I18" s="31"/>
      <c r="J18" s="29"/>
      <c r="K18" s="26"/>
      <c r="L18" s="30"/>
      <c r="M18" s="30"/>
      <c r="N18" s="30"/>
      <c r="O18" s="17"/>
    </row>
    <row r="19" spans="2:15" x14ac:dyDescent="0.25">
      <c r="B19" s="16" t="s">
        <v>125</v>
      </c>
      <c r="C19" s="26"/>
      <c r="D19" s="26"/>
      <c r="E19" s="26"/>
      <c r="F19" s="26"/>
      <c r="G19" s="31"/>
      <c r="H19" s="31"/>
      <c r="I19" s="31"/>
      <c r="J19" s="29"/>
      <c r="K19" s="26"/>
      <c r="L19" s="30"/>
      <c r="M19" s="30"/>
      <c r="N19" s="30"/>
      <c r="O19" s="17"/>
    </row>
  </sheetData>
  <phoneticPr fontId="13" type="noConversion"/>
  <pageMargins left="0.75" right="0.75" top="1" bottom="1" header="0.5" footer="0.5"/>
  <pageSetup scale="7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showGridLines="0" workbookViewId="0">
      <selection activeCell="M7" sqref="M7"/>
    </sheetView>
  </sheetViews>
  <sheetFormatPr defaultRowHeight="13.2" x14ac:dyDescent="0.25"/>
  <cols>
    <col min="1" max="1" width="8.77734375" customWidth="1"/>
    <col min="2" max="2" width="9.77734375" customWidth="1"/>
    <col min="3" max="3" width="8.77734375" customWidth="1"/>
    <col min="4" max="4" width="13.77734375" customWidth="1"/>
    <col min="5" max="5" width="8.77734375" customWidth="1"/>
    <col min="6" max="6" width="10.77734375" customWidth="1"/>
    <col min="7" max="7" width="14.77734375" customWidth="1"/>
    <col min="8" max="8" width="9.77734375" customWidth="1"/>
    <col min="9" max="9" width="14.77734375" customWidth="1"/>
  </cols>
  <sheetData>
    <row r="1" spans="1:9" x14ac:dyDescent="0.25">
      <c r="A1" s="222" t="s">
        <v>179</v>
      </c>
      <c r="B1" s="223"/>
      <c r="C1" s="223"/>
      <c r="D1" s="223"/>
      <c r="E1" s="223"/>
      <c r="F1" s="223"/>
      <c r="G1" s="223"/>
      <c r="H1" s="223"/>
      <c r="I1" s="224"/>
    </row>
    <row r="2" spans="1:9" ht="13.8" thickBot="1" x14ac:dyDescent="0.3">
      <c r="A2" s="225"/>
      <c r="B2" s="226"/>
      <c r="C2" s="226"/>
      <c r="D2" s="226"/>
      <c r="E2" s="226"/>
      <c r="F2" s="226"/>
      <c r="G2" s="226"/>
      <c r="H2" s="226"/>
      <c r="I2" s="227"/>
    </row>
    <row r="3" spans="1:9" ht="21.6" thickTop="1" x14ac:dyDescent="0.4">
      <c r="A3" s="228" t="s">
        <v>53</v>
      </c>
      <c r="B3" s="228"/>
      <c r="C3" s="228"/>
      <c r="D3" s="228" t="s">
        <v>55</v>
      </c>
      <c r="E3" s="228"/>
      <c r="F3" s="228"/>
      <c r="G3" s="229" t="s">
        <v>57</v>
      </c>
      <c r="H3" s="229"/>
      <c r="I3" s="230"/>
    </row>
    <row r="4" spans="1:9" ht="21" x14ac:dyDescent="0.4">
      <c r="A4" s="210" t="s">
        <v>58</v>
      </c>
      <c r="B4" s="211"/>
      <c r="C4" s="156"/>
      <c r="D4" s="156"/>
      <c r="E4" s="156"/>
      <c r="F4" s="156"/>
      <c r="G4" s="207">
        <f>'corn-cons'!$L$8</f>
        <v>170.2</v>
      </c>
      <c r="H4" s="208"/>
      <c r="I4" s="209">
        <f>'corn-cons'!$M$8</f>
        <v>204.2</v>
      </c>
    </row>
    <row r="5" spans="1:9" ht="21" x14ac:dyDescent="0.4">
      <c r="A5" s="98" t="s">
        <v>54</v>
      </c>
      <c r="B5" s="98"/>
      <c r="C5" s="95"/>
      <c r="D5" s="151">
        <f>'corn-cons'!I10</f>
        <v>3.6</v>
      </c>
      <c r="E5" s="95" t="s">
        <v>56</v>
      </c>
      <c r="F5" s="95"/>
      <c r="G5" s="104">
        <f>'corn-cons'!$L$10</f>
        <v>612.72</v>
      </c>
      <c r="H5" s="104"/>
      <c r="I5" s="105">
        <f>'corn-cons'!$M$10</f>
        <v>735.12</v>
      </c>
    </row>
    <row r="6" spans="1:9" ht="21" x14ac:dyDescent="0.4">
      <c r="A6" s="92" t="s">
        <v>123</v>
      </c>
      <c r="B6" s="92"/>
      <c r="C6" s="92"/>
      <c r="D6" s="152"/>
      <c r="E6" s="92"/>
      <c r="F6" s="92"/>
      <c r="G6" s="109">
        <f>'corn-cons'!$L$11</f>
        <v>19.914862500000005</v>
      </c>
      <c r="H6" s="109"/>
      <c r="I6" s="110">
        <f>'corn-cons'!$M$11</f>
        <v>23.894775000000006</v>
      </c>
    </row>
    <row r="7" spans="1:9" ht="7.5" customHeight="1" x14ac:dyDescent="0.35">
      <c r="F7" s="111"/>
      <c r="G7" s="112"/>
      <c r="H7" s="112"/>
      <c r="I7" s="112"/>
    </row>
    <row r="8" spans="1:9" ht="21" x14ac:dyDescent="0.4">
      <c r="A8" s="212" t="s">
        <v>59</v>
      </c>
      <c r="B8" s="213"/>
      <c r="C8" s="211"/>
      <c r="D8" s="96"/>
      <c r="E8" s="91"/>
      <c r="F8" s="91"/>
      <c r="G8" s="96"/>
      <c r="H8" s="96"/>
      <c r="I8" s="96"/>
    </row>
    <row r="9" spans="1:9" ht="21" x14ac:dyDescent="0.4">
      <c r="A9" s="98" t="s">
        <v>60</v>
      </c>
      <c r="B9" s="98"/>
      <c r="C9" s="98"/>
      <c r="D9" s="99">
        <f>'corn-cons'!$I$19</f>
        <v>270</v>
      </c>
      <c r="E9" s="95" t="s">
        <v>44</v>
      </c>
      <c r="F9" s="95"/>
      <c r="G9" s="104">
        <f>'corn-cons'!$L$18</f>
        <v>108</v>
      </c>
      <c r="H9" s="104"/>
      <c r="I9" s="105">
        <f>'corn-cons'!$M$18</f>
        <v>114.75</v>
      </c>
    </row>
    <row r="10" spans="1:9" ht="24" x14ac:dyDescent="0.5">
      <c r="A10" s="98" t="s">
        <v>68</v>
      </c>
      <c r="B10" s="98"/>
      <c r="C10" s="98"/>
      <c r="D10" s="100">
        <f>'corn-cons'!$F$73</f>
        <v>600</v>
      </c>
      <c r="E10" s="98" t="s">
        <v>12</v>
      </c>
      <c r="F10" s="98"/>
      <c r="G10" s="107">
        <f>'corn-cons'!$L$22</f>
        <v>73.831219512195133</v>
      </c>
      <c r="H10" s="107"/>
      <c r="I10" s="108">
        <f>'corn-cons'!$M$22</f>
        <v>90.748292682926817</v>
      </c>
    </row>
    <row r="11" spans="1:9" ht="24" x14ac:dyDescent="0.5">
      <c r="A11" s="98" t="s">
        <v>69</v>
      </c>
      <c r="B11" s="98"/>
      <c r="C11" s="98"/>
      <c r="D11" s="100">
        <f>'corn-cons'!$I$73</f>
        <v>525</v>
      </c>
      <c r="E11" s="98" t="s">
        <v>12</v>
      </c>
      <c r="F11" s="98"/>
      <c r="G11" s="107">
        <f>'corn-cons'!$L$23</f>
        <v>29.212211538461538</v>
      </c>
      <c r="H11" s="107"/>
      <c r="I11" s="108">
        <f>'corn-cons'!$M$23</f>
        <v>35.04778846153846</v>
      </c>
    </row>
    <row r="12" spans="1:9" ht="24" x14ac:dyDescent="0.5">
      <c r="A12" s="98" t="s">
        <v>70</v>
      </c>
      <c r="B12" s="98"/>
      <c r="C12" s="98"/>
      <c r="D12" s="100">
        <f>'corn-cons'!$M$73</f>
        <v>380</v>
      </c>
      <c r="E12" s="98" t="s">
        <v>12</v>
      </c>
      <c r="F12" s="98"/>
      <c r="G12" s="107">
        <f>'corn-cons'!$L$24</f>
        <v>10.240366666666667</v>
      </c>
      <c r="H12" s="107"/>
      <c r="I12" s="108">
        <f>'corn-cons'!$M$24</f>
        <v>12.286033333333334</v>
      </c>
    </row>
    <row r="13" spans="1:9" ht="21" x14ac:dyDescent="0.4">
      <c r="A13" s="98" t="s">
        <v>61</v>
      </c>
      <c r="B13" s="98"/>
      <c r="C13" s="98"/>
      <c r="D13" s="98"/>
      <c r="E13" s="98"/>
      <c r="F13" s="98"/>
      <c r="G13" s="107">
        <f>SUM('corn-cons'!$L$26:$L$28)</f>
        <v>46.22</v>
      </c>
      <c r="H13" s="107"/>
      <c r="I13" s="108">
        <f>SUM('corn-cons'!$N$26:$N$28)</f>
        <v>46.22</v>
      </c>
    </row>
    <row r="14" spans="1:9" ht="21" x14ac:dyDescent="0.4">
      <c r="A14" s="92" t="s">
        <v>64</v>
      </c>
      <c r="B14" s="92"/>
      <c r="C14" s="92"/>
      <c r="D14" s="132">
        <f>'machinery costs'!$P$16</f>
        <v>2.5</v>
      </c>
      <c r="E14" s="92" t="s">
        <v>65</v>
      </c>
      <c r="F14" s="92"/>
      <c r="G14" s="109">
        <f>'corn-cons'!$L$31</f>
        <v>13.557500000000001</v>
      </c>
      <c r="H14" s="109"/>
      <c r="I14" s="110">
        <f>'corn-cons'!$M$31</f>
        <v>13.557500000000001</v>
      </c>
    </row>
    <row r="15" spans="1:9" ht="20.25" customHeight="1" x14ac:dyDescent="0.4">
      <c r="C15" s="125" t="s">
        <v>93</v>
      </c>
      <c r="G15" s="109">
        <f>('corn-cons'!$L$39)/G4</f>
        <v>2.3959182073735477</v>
      </c>
      <c r="H15" s="34"/>
      <c r="I15" s="109">
        <f>('corn-cons'!$M$39)/I4</f>
        <v>2.2104592106669201</v>
      </c>
    </row>
    <row r="16" spans="1:9" ht="21" x14ac:dyDescent="0.4">
      <c r="A16" s="212" t="s">
        <v>62</v>
      </c>
      <c r="B16" s="211"/>
      <c r="C16" s="91"/>
      <c r="D16" s="91"/>
      <c r="E16" s="91"/>
      <c r="F16" s="111"/>
      <c r="G16" s="112"/>
      <c r="H16" s="112"/>
      <c r="I16" s="112"/>
    </row>
    <row r="17" spans="1:9" ht="21" x14ac:dyDescent="0.4">
      <c r="A17" s="117" t="s">
        <v>71</v>
      </c>
      <c r="B17" s="117"/>
      <c r="C17" s="117"/>
      <c r="D17" s="117"/>
      <c r="E17" s="117"/>
      <c r="F17" s="117"/>
      <c r="G17" s="104">
        <f>'corn-cons'!$L$43+'corn-cons'!L$44</f>
        <v>69.131743125</v>
      </c>
      <c r="H17" s="118"/>
      <c r="I17" s="105">
        <f>'corn-cons'!$M$43+'corn-cons'!$M$44</f>
        <v>75.450738749999999</v>
      </c>
    </row>
    <row r="18" spans="1:9" ht="21" x14ac:dyDescent="0.4">
      <c r="A18" s="131" t="s">
        <v>31</v>
      </c>
      <c r="B18" s="131"/>
      <c r="C18" s="131"/>
      <c r="D18" s="131"/>
      <c r="E18" s="131"/>
      <c r="F18" s="131"/>
      <c r="G18" s="107">
        <f>'corn-cons'!$L$45</f>
        <v>66.070812450050326</v>
      </c>
      <c r="H18" s="107"/>
      <c r="I18" s="108">
        <f>'corn-cons'!$M$45</f>
        <v>66.070812450050326</v>
      </c>
    </row>
    <row r="19" spans="1:9" ht="21" x14ac:dyDescent="0.4">
      <c r="A19" s="130" t="s">
        <v>63</v>
      </c>
      <c r="B19" s="130"/>
      <c r="C19" s="130"/>
      <c r="D19" s="130"/>
      <c r="E19" s="130"/>
      <c r="F19" s="130"/>
      <c r="G19" s="109">
        <f>'corn-cons'!$L$46</f>
        <v>187</v>
      </c>
      <c r="H19" s="109"/>
      <c r="I19" s="110">
        <f>'corn-cons'!$M$46</f>
        <v>235</v>
      </c>
    </row>
    <row r="20" spans="1:9" ht="21" customHeight="1" x14ac:dyDescent="0.4">
      <c r="C20" s="125" t="s">
        <v>93</v>
      </c>
      <c r="G20" s="107">
        <f>'corn-cons'!$L$52</f>
        <v>4.4229602495301306</v>
      </c>
      <c r="H20" s="34"/>
      <c r="I20" s="107">
        <f>'corn-cons'!$M$52</f>
        <v>4.1660005975427783</v>
      </c>
    </row>
    <row r="21" spans="1:9" ht="21" x14ac:dyDescent="0.4">
      <c r="A21" s="212" t="s">
        <v>66</v>
      </c>
      <c r="B21" s="211"/>
      <c r="C21" s="91"/>
      <c r="D21" s="91"/>
      <c r="E21" s="91"/>
      <c r="F21" s="91"/>
      <c r="G21" s="96"/>
      <c r="H21" s="96"/>
      <c r="I21" s="96"/>
    </row>
    <row r="22" spans="1:9" ht="21" x14ac:dyDescent="0.4">
      <c r="A22" s="122" t="s">
        <v>82</v>
      </c>
      <c r="B22" s="122"/>
      <c r="C22" s="122"/>
      <c r="D22" s="122"/>
      <c r="E22" s="122"/>
      <c r="F22" s="122"/>
      <c r="G22" s="104">
        <f>'corn-cons'!$L$56</f>
        <v>-120.15297197002815</v>
      </c>
      <c r="H22" s="104"/>
      <c r="I22" s="105">
        <f>'corn-cons'!$M$56</f>
        <v>-91.682547018235368</v>
      </c>
    </row>
    <row r="23" spans="1:9" ht="21" x14ac:dyDescent="0.4">
      <c r="A23" s="146" t="s">
        <v>119</v>
      </c>
      <c r="B23" s="146"/>
      <c r="C23" s="146"/>
      <c r="D23" s="146"/>
      <c r="E23" s="146"/>
      <c r="F23" s="146"/>
      <c r="G23" s="107">
        <f>'corn-cons'!$L$54</f>
        <v>224.84958360502225</v>
      </c>
      <c r="H23" s="107"/>
      <c r="I23" s="108">
        <f>'corn-cons'!$M$54</f>
        <v>307.63900418181493</v>
      </c>
    </row>
    <row r="24" spans="1:9" ht="21" x14ac:dyDescent="0.4">
      <c r="A24" s="92" t="s">
        <v>67</v>
      </c>
      <c r="B24" s="92"/>
      <c r="C24" s="92"/>
      <c r="D24" s="92"/>
      <c r="E24" s="92"/>
      <c r="F24" s="98"/>
      <c r="G24" s="107">
        <f>'corn-cons'!$L$57</f>
        <v>66.847028029971852</v>
      </c>
      <c r="H24" s="107"/>
      <c r="I24" s="108">
        <f>'corn-cons'!$M$57</f>
        <v>143.31745298176463</v>
      </c>
    </row>
    <row r="25" spans="1:9" ht="15" x14ac:dyDescent="0.25">
      <c r="A25" s="88"/>
      <c r="B25" s="88"/>
      <c r="C25" s="88"/>
      <c r="D25" s="88"/>
      <c r="E25" s="88"/>
      <c r="F25" s="103"/>
      <c r="G25" s="103"/>
      <c r="H25" s="103"/>
      <c r="I25" s="103"/>
    </row>
    <row r="26" spans="1:9" ht="15" x14ac:dyDescent="0.25">
      <c r="A26" s="88"/>
      <c r="B26" s="88"/>
      <c r="C26" s="88"/>
      <c r="D26" s="88"/>
      <c r="E26" s="88"/>
      <c r="F26" s="88"/>
      <c r="G26" s="88"/>
      <c r="H26" s="88"/>
      <c r="I26" s="88"/>
    </row>
    <row r="27" spans="1:9" ht="15" x14ac:dyDescent="0.25">
      <c r="A27" s="88"/>
      <c r="B27" s="88"/>
      <c r="C27" s="88"/>
      <c r="D27" s="88"/>
      <c r="E27" s="88"/>
      <c r="F27" s="88"/>
      <c r="G27" s="88"/>
      <c r="H27" s="88"/>
      <c r="I27" s="88"/>
    </row>
    <row r="28" spans="1:9" ht="15" x14ac:dyDescent="0.25">
      <c r="A28" s="88"/>
      <c r="B28" s="88"/>
      <c r="C28" s="88"/>
      <c r="D28" s="88"/>
      <c r="E28" s="88"/>
      <c r="F28" s="88"/>
      <c r="G28" s="88"/>
      <c r="H28" s="88"/>
      <c r="I28" s="88"/>
    </row>
    <row r="29" spans="1:9" ht="15" x14ac:dyDescent="0.25">
      <c r="A29" s="88"/>
      <c r="B29" s="88"/>
      <c r="C29" s="88"/>
      <c r="D29" s="88"/>
      <c r="E29" s="88"/>
      <c r="F29" s="88"/>
      <c r="G29" s="88"/>
      <c r="H29" s="88"/>
      <c r="I29" s="88"/>
    </row>
    <row r="30" spans="1:9" ht="15" x14ac:dyDescent="0.25">
      <c r="A30" s="88"/>
      <c r="B30" s="88"/>
      <c r="C30" s="88"/>
      <c r="D30" s="88"/>
      <c r="E30" s="88"/>
      <c r="F30" s="88"/>
      <c r="G30" s="88"/>
      <c r="H30" s="88"/>
      <c r="I30" s="88"/>
    </row>
    <row r="31" spans="1:9" ht="15" x14ac:dyDescent="0.25">
      <c r="A31" s="88"/>
      <c r="B31" s="88"/>
      <c r="C31" s="88"/>
      <c r="D31" s="88"/>
      <c r="E31" s="88"/>
      <c r="F31" s="88"/>
      <c r="G31" s="88"/>
      <c r="H31" s="88"/>
      <c r="I31" s="88"/>
    </row>
    <row r="32" spans="1:9" ht="15" x14ac:dyDescent="0.25">
      <c r="A32" s="88"/>
      <c r="B32" s="88"/>
      <c r="C32" s="88"/>
      <c r="D32" s="88"/>
      <c r="E32" s="88"/>
      <c r="F32" s="88"/>
      <c r="G32" s="88"/>
      <c r="H32" s="88"/>
      <c r="I32" s="88"/>
    </row>
    <row r="33" spans="1:9" ht="15" x14ac:dyDescent="0.25">
      <c r="A33" s="88"/>
      <c r="B33" s="88"/>
      <c r="C33" s="88"/>
      <c r="D33" s="88"/>
      <c r="E33" s="88"/>
      <c r="F33" s="88"/>
      <c r="G33" s="88"/>
      <c r="H33" s="88"/>
      <c r="I33" s="88"/>
    </row>
    <row r="34" spans="1:9" ht="15" x14ac:dyDescent="0.25">
      <c r="A34" s="88"/>
      <c r="B34" s="88"/>
      <c r="C34" s="88"/>
      <c r="D34" s="88"/>
      <c r="E34" s="88"/>
      <c r="F34" s="88"/>
      <c r="G34" s="88"/>
      <c r="H34" s="88"/>
      <c r="I34" s="88"/>
    </row>
    <row r="35" spans="1:9" ht="15" x14ac:dyDescent="0.25">
      <c r="A35" s="88"/>
      <c r="B35" s="88"/>
      <c r="C35" s="88"/>
      <c r="D35" s="88"/>
      <c r="E35" s="88"/>
      <c r="F35" s="88"/>
      <c r="G35" s="88"/>
      <c r="H35" s="88"/>
      <c r="I35" s="88"/>
    </row>
    <row r="36" spans="1:9" ht="15" x14ac:dyDescent="0.25">
      <c r="A36" s="88"/>
      <c r="B36" s="88"/>
      <c r="C36" s="88"/>
      <c r="D36" s="88"/>
      <c r="E36" s="88"/>
      <c r="F36" s="88"/>
      <c r="G36" s="88"/>
      <c r="H36" s="88"/>
      <c r="I36" s="88"/>
    </row>
    <row r="37" spans="1:9" ht="15" x14ac:dyDescent="0.25">
      <c r="A37" s="88"/>
      <c r="B37" s="88"/>
      <c r="C37" s="88"/>
      <c r="D37" s="88"/>
      <c r="E37" s="88"/>
      <c r="F37" s="88"/>
      <c r="G37" s="88"/>
      <c r="H37" s="88"/>
      <c r="I37" s="88"/>
    </row>
    <row r="38" spans="1:9" ht="15" x14ac:dyDescent="0.25">
      <c r="A38" s="88"/>
      <c r="B38" s="88"/>
      <c r="C38" s="88"/>
      <c r="D38" s="88"/>
      <c r="E38" s="88"/>
      <c r="F38" s="88"/>
      <c r="G38" s="88"/>
      <c r="H38" s="88"/>
      <c r="I38" s="88"/>
    </row>
    <row r="39" spans="1:9" ht="15" x14ac:dyDescent="0.25">
      <c r="A39" s="88"/>
      <c r="B39" s="88"/>
      <c r="C39" s="88"/>
      <c r="D39" s="88"/>
      <c r="E39" s="88"/>
      <c r="F39" s="88"/>
      <c r="G39" s="88"/>
      <c r="H39" s="88"/>
      <c r="I39" s="88"/>
    </row>
    <row r="40" spans="1:9" ht="15" x14ac:dyDescent="0.25">
      <c r="A40" s="88"/>
      <c r="B40" s="88"/>
      <c r="C40" s="88"/>
      <c r="D40" s="88"/>
      <c r="E40" s="88"/>
      <c r="F40" s="88"/>
      <c r="G40" s="88"/>
      <c r="H40" s="88"/>
      <c r="I40" s="88"/>
    </row>
    <row r="41" spans="1:9" ht="15" x14ac:dyDescent="0.25">
      <c r="A41" s="88"/>
      <c r="B41" s="88"/>
      <c r="C41" s="88"/>
      <c r="D41" s="88"/>
      <c r="E41" s="88"/>
      <c r="F41" s="88"/>
      <c r="G41" s="88"/>
      <c r="H41" s="88"/>
      <c r="I41" s="88"/>
    </row>
    <row r="42" spans="1:9" ht="15" x14ac:dyDescent="0.25">
      <c r="A42" s="88"/>
      <c r="B42" s="88"/>
      <c r="C42" s="88"/>
      <c r="D42" s="88"/>
      <c r="E42" s="88"/>
      <c r="F42" s="88"/>
      <c r="G42" s="88"/>
      <c r="H42" s="88"/>
      <c r="I42" s="88"/>
    </row>
    <row r="43" spans="1:9" ht="15" x14ac:dyDescent="0.25">
      <c r="A43" s="88"/>
      <c r="B43" s="88"/>
      <c r="C43" s="88"/>
      <c r="D43" s="88"/>
      <c r="E43" s="88"/>
      <c r="F43" s="88"/>
      <c r="G43" s="88"/>
      <c r="H43" s="88"/>
      <c r="I43" s="88"/>
    </row>
    <row r="44" spans="1:9" ht="15" x14ac:dyDescent="0.25">
      <c r="A44" s="88"/>
      <c r="B44" s="88"/>
      <c r="C44" s="88"/>
      <c r="D44" s="88"/>
      <c r="E44" s="88"/>
      <c r="F44" s="88"/>
      <c r="G44" s="88"/>
      <c r="H44" s="88"/>
      <c r="I44" s="88"/>
    </row>
    <row r="45" spans="1:9" ht="15" x14ac:dyDescent="0.25">
      <c r="A45" s="88"/>
      <c r="B45" s="88"/>
      <c r="C45" s="88"/>
      <c r="D45" s="88"/>
      <c r="E45" s="88"/>
      <c r="F45" s="88"/>
      <c r="G45" s="88"/>
      <c r="H45" s="88"/>
      <c r="I45" s="88"/>
    </row>
    <row r="46" spans="1:9" ht="15" x14ac:dyDescent="0.25">
      <c r="A46" s="88"/>
      <c r="B46" s="88"/>
      <c r="C46" s="88"/>
      <c r="D46" s="88"/>
      <c r="E46" s="88"/>
      <c r="F46" s="88"/>
      <c r="G46" s="88"/>
      <c r="H46" s="88"/>
      <c r="I46" s="88"/>
    </row>
    <row r="47" spans="1:9" ht="15" x14ac:dyDescent="0.25">
      <c r="A47" s="88"/>
      <c r="B47" s="88"/>
      <c r="C47" s="88"/>
      <c r="D47" s="88"/>
      <c r="E47" s="88"/>
      <c r="F47" s="88"/>
      <c r="G47" s="88"/>
      <c r="H47" s="88"/>
      <c r="I47" s="88"/>
    </row>
    <row r="48" spans="1:9" ht="15" x14ac:dyDescent="0.25">
      <c r="A48" s="88"/>
      <c r="B48" s="88"/>
      <c r="C48" s="88"/>
      <c r="D48" s="88"/>
      <c r="E48" s="88"/>
      <c r="F48" s="88"/>
      <c r="G48" s="88"/>
      <c r="H48" s="88"/>
      <c r="I48" s="88"/>
    </row>
    <row r="49" spans="1:9" ht="15" x14ac:dyDescent="0.25">
      <c r="A49" s="88"/>
      <c r="B49" s="88"/>
      <c r="C49" s="88"/>
      <c r="D49" s="88"/>
      <c r="E49" s="88"/>
      <c r="F49" s="88"/>
      <c r="G49" s="88"/>
      <c r="H49" s="88"/>
      <c r="I49" s="88"/>
    </row>
    <row r="50" spans="1:9" ht="15" x14ac:dyDescent="0.25">
      <c r="A50" s="88"/>
      <c r="B50" s="88"/>
      <c r="C50" s="88"/>
      <c r="D50" s="88"/>
      <c r="E50" s="88"/>
      <c r="F50" s="88"/>
      <c r="G50" s="88"/>
      <c r="H50" s="88"/>
      <c r="I50" s="88"/>
    </row>
    <row r="51" spans="1:9" ht="15" x14ac:dyDescent="0.25">
      <c r="A51" s="88"/>
      <c r="B51" s="88"/>
      <c r="C51" s="88"/>
      <c r="D51" s="88"/>
      <c r="E51" s="88"/>
      <c r="F51" s="88"/>
      <c r="G51" s="88"/>
      <c r="H51" s="88"/>
      <c r="I51" s="88"/>
    </row>
    <row r="52" spans="1:9" ht="15" x14ac:dyDescent="0.25">
      <c r="A52" s="88"/>
      <c r="B52" s="88"/>
      <c r="C52" s="88"/>
      <c r="D52" s="88"/>
      <c r="E52" s="88"/>
      <c r="F52" s="88"/>
      <c r="G52" s="88"/>
      <c r="H52" s="88"/>
      <c r="I52" s="88"/>
    </row>
    <row r="53" spans="1:9" ht="15" x14ac:dyDescent="0.25">
      <c r="A53" s="88"/>
      <c r="B53" s="88"/>
      <c r="C53" s="88"/>
      <c r="D53" s="88"/>
      <c r="E53" s="88"/>
      <c r="F53" s="88"/>
      <c r="G53" s="88"/>
      <c r="H53" s="88"/>
      <c r="I53" s="88"/>
    </row>
    <row r="54" spans="1:9" ht="15" x14ac:dyDescent="0.25">
      <c r="A54" s="88"/>
      <c r="B54" s="88"/>
      <c r="C54" s="88"/>
      <c r="D54" s="88"/>
      <c r="E54" s="88"/>
      <c r="F54" s="88"/>
      <c r="G54" s="88"/>
      <c r="H54" s="88"/>
      <c r="I54" s="88"/>
    </row>
    <row r="55" spans="1:9" ht="15" x14ac:dyDescent="0.25">
      <c r="A55" s="88"/>
      <c r="B55" s="88"/>
      <c r="C55" s="88"/>
      <c r="D55" s="88"/>
      <c r="E55" s="88"/>
      <c r="F55" s="88"/>
      <c r="G55" s="88"/>
      <c r="H55" s="88"/>
      <c r="I55" s="88"/>
    </row>
    <row r="56" spans="1:9" ht="15" x14ac:dyDescent="0.25">
      <c r="A56" s="88"/>
      <c r="B56" s="88"/>
      <c r="C56" s="88"/>
      <c r="D56" s="88"/>
      <c r="E56" s="88"/>
      <c r="F56" s="88"/>
      <c r="G56" s="88"/>
      <c r="H56" s="88"/>
      <c r="I56" s="88"/>
    </row>
    <row r="57" spans="1:9" ht="15" x14ac:dyDescent="0.25">
      <c r="A57" s="88"/>
      <c r="B57" s="88"/>
      <c r="C57" s="88"/>
      <c r="D57" s="88"/>
      <c r="E57" s="88"/>
      <c r="F57" s="88"/>
      <c r="G57" s="88"/>
      <c r="H57" s="88"/>
      <c r="I57" s="88"/>
    </row>
    <row r="58" spans="1:9" ht="15" x14ac:dyDescent="0.25">
      <c r="A58" s="88"/>
      <c r="B58" s="88"/>
      <c r="C58" s="88"/>
      <c r="D58" s="88"/>
      <c r="E58" s="88"/>
      <c r="F58" s="88"/>
      <c r="G58" s="88"/>
      <c r="H58" s="88"/>
      <c r="I58" s="88"/>
    </row>
    <row r="59" spans="1:9" ht="15" x14ac:dyDescent="0.25">
      <c r="A59" s="88"/>
      <c r="B59" s="88"/>
      <c r="C59" s="88"/>
      <c r="D59" s="88"/>
      <c r="E59" s="88"/>
      <c r="F59" s="88"/>
      <c r="G59" s="88"/>
      <c r="H59" s="88"/>
      <c r="I59" s="88"/>
    </row>
    <row r="60" spans="1:9" ht="15" x14ac:dyDescent="0.25">
      <c r="A60" s="88"/>
      <c r="B60" s="88"/>
      <c r="C60" s="88"/>
      <c r="D60" s="88"/>
      <c r="E60" s="88"/>
      <c r="F60" s="88"/>
      <c r="G60" s="88"/>
      <c r="H60" s="88"/>
      <c r="I60" s="88"/>
    </row>
    <row r="61" spans="1:9" ht="15" x14ac:dyDescent="0.25">
      <c r="A61" s="88"/>
      <c r="B61" s="88"/>
      <c r="C61" s="88"/>
      <c r="D61" s="88"/>
      <c r="E61" s="88"/>
      <c r="F61" s="88"/>
      <c r="G61" s="88"/>
      <c r="H61" s="88"/>
      <c r="I61" s="88"/>
    </row>
    <row r="62" spans="1:9" ht="15" x14ac:dyDescent="0.25">
      <c r="A62" s="88"/>
      <c r="B62" s="88"/>
      <c r="C62" s="88"/>
      <c r="D62" s="88"/>
      <c r="E62" s="88"/>
      <c r="F62" s="88"/>
      <c r="G62" s="88"/>
      <c r="H62" s="88"/>
      <c r="I62" s="88"/>
    </row>
    <row r="63" spans="1:9" ht="15" x14ac:dyDescent="0.25">
      <c r="A63" s="88"/>
      <c r="B63" s="88"/>
      <c r="C63" s="88"/>
      <c r="D63" s="88"/>
      <c r="E63" s="88"/>
      <c r="F63" s="88"/>
      <c r="G63" s="88"/>
      <c r="H63" s="88"/>
      <c r="I63" s="88"/>
    </row>
    <row r="64" spans="1:9" ht="15" x14ac:dyDescent="0.25">
      <c r="A64" s="88"/>
      <c r="B64" s="88"/>
      <c r="C64" s="88"/>
      <c r="D64" s="88"/>
      <c r="E64" s="88"/>
      <c r="F64" s="88"/>
      <c r="G64" s="88"/>
      <c r="H64" s="88"/>
      <c r="I64" s="88"/>
    </row>
    <row r="65" spans="1:9" ht="15" x14ac:dyDescent="0.25">
      <c r="A65" s="88"/>
      <c r="B65" s="88"/>
      <c r="C65" s="88"/>
      <c r="D65" s="88"/>
      <c r="E65" s="88"/>
      <c r="F65" s="88"/>
      <c r="G65" s="88"/>
      <c r="H65" s="88"/>
      <c r="I65" s="88"/>
    </row>
    <row r="66" spans="1:9" ht="15" x14ac:dyDescent="0.25">
      <c r="A66" s="88"/>
      <c r="B66" s="88"/>
      <c r="C66" s="88"/>
      <c r="D66" s="88"/>
      <c r="E66" s="88"/>
      <c r="F66" s="88"/>
      <c r="G66" s="88"/>
      <c r="H66" s="88"/>
      <c r="I66" s="88"/>
    </row>
    <row r="67" spans="1:9" ht="15" x14ac:dyDescent="0.25">
      <c r="A67" s="88"/>
      <c r="B67" s="88"/>
      <c r="C67" s="88"/>
      <c r="D67" s="88"/>
      <c r="E67" s="88"/>
      <c r="F67" s="88"/>
      <c r="G67" s="88"/>
      <c r="H67" s="88"/>
      <c r="I67" s="88"/>
    </row>
    <row r="68" spans="1:9" ht="15" x14ac:dyDescent="0.25">
      <c r="A68" s="88"/>
      <c r="B68" s="88"/>
      <c r="C68" s="88"/>
      <c r="D68" s="88"/>
      <c r="E68" s="88"/>
      <c r="F68" s="88"/>
      <c r="G68" s="88"/>
      <c r="H68" s="88"/>
      <c r="I68" s="88"/>
    </row>
    <row r="69" spans="1:9" ht="15" x14ac:dyDescent="0.25">
      <c r="A69" s="88"/>
      <c r="B69" s="88"/>
      <c r="C69" s="88"/>
      <c r="D69" s="88"/>
      <c r="E69" s="88"/>
      <c r="F69" s="88"/>
      <c r="G69" s="88"/>
      <c r="H69" s="88"/>
      <c r="I69" s="88"/>
    </row>
    <row r="70" spans="1:9" ht="15" x14ac:dyDescent="0.25">
      <c r="A70" s="88"/>
      <c r="B70" s="88"/>
      <c r="C70" s="88"/>
      <c r="D70" s="88"/>
      <c r="E70" s="88"/>
      <c r="F70" s="88"/>
      <c r="G70" s="88"/>
      <c r="H70" s="88"/>
      <c r="I70" s="88"/>
    </row>
    <row r="71" spans="1:9" ht="15" x14ac:dyDescent="0.25">
      <c r="A71" s="88"/>
      <c r="B71" s="88"/>
      <c r="C71" s="88"/>
      <c r="D71" s="88"/>
      <c r="E71" s="88"/>
      <c r="F71" s="88"/>
      <c r="G71" s="88"/>
      <c r="H71" s="88"/>
      <c r="I71" s="88"/>
    </row>
    <row r="72" spans="1:9" ht="15" x14ac:dyDescent="0.25">
      <c r="A72" s="88"/>
      <c r="B72" s="88"/>
      <c r="C72" s="88"/>
      <c r="D72" s="88"/>
      <c r="E72" s="88"/>
      <c r="F72" s="88"/>
      <c r="G72" s="88"/>
      <c r="H72" s="88"/>
      <c r="I72" s="88"/>
    </row>
    <row r="73" spans="1:9" ht="15" x14ac:dyDescent="0.25">
      <c r="A73" s="88"/>
      <c r="B73" s="88"/>
      <c r="C73" s="88"/>
      <c r="D73" s="88"/>
      <c r="E73" s="88"/>
      <c r="F73" s="88"/>
      <c r="G73" s="88"/>
      <c r="H73" s="88"/>
      <c r="I73" s="88"/>
    </row>
    <row r="74" spans="1:9" ht="15" x14ac:dyDescent="0.25">
      <c r="A74" s="88"/>
      <c r="B74" s="88"/>
      <c r="C74" s="88"/>
      <c r="D74" s="88"/>
      <c r="E74" s="88"/>
      <c r="F74" s="88"/>
      <c r="G74" s="88"/>
      <c r="H74" s="88"/>
      <c r="I74" s="88"/>
    </row>
    <row r="75" spans="1:9" ht="15" x14ac:dyDescent="0.25">
      <c r="A75" s="88"/>
      <c r="B75" s="88"/>
      <c r="C75" s="88"/>
      <c r="D75" s="88"/>
      <c r="E75" s="88"/>
      <c r="F75" s="88"/>
      <c r="G75" s="88"/>
      <c r="H75" s="88"/>
      <c r="I75" s="88"/>
    </row>
    <row r="76" spans="1:9" ht="15" x14ac:dyDescent="0.25">
      <c r="A76" s="88"/>
      <c r="B76" s="88"/>
      <c r="C76" s="88"/>
      <c r="D76" s="88"/>
      <c r="E76" s="88"/>
      <c r="F76" s="88"/>
      <c r="G76" s="88"/>
      <c r="H76" s="88"/>
      <c r="I76" s="88"/>
    </row>
    <row r="77" spans="1:9" ht="15" x14ac:dyDescent="0.25">
      <c r="A77" s="88"/>
      <c r="B77" s="88"/>
      <c r="C77" s="88"/>
      <c r="D77" s="88"/>
      <c r="E77" s="88"/>
      <c r="F77" s="88"/>
      <c r="G77" s="88"/>
      <c r="H77" s="88"/>
      <c r="I77" s="88"/>
    </row>
    <row r="78" spans="1:9" ht="15" x14ac:dyDescent="0.25">
      <c r="A78" s="88"/>
      <c r="B78" s="88"/>
      <c r="C78" s="88"/>
      <c r="D78" s="88"/>
      <c r="E78" s="88"/>
      <c r="F78" s="88"/>
      <c r="G78" s="88"/>
      <c r="H78" s="88"/>
      <c r="I78" s="88"/>
    </row>
    <row r="79" spans="1:9" ht="15" x14ac:dyDescent="0.25">
      <c r="A79" s="88"/>
      <c r="B79" s="88"/>
      <c r="C79" s="88"/>
      <c r="D79" s="88"/>
      <c r="E79" s="88"/>
      <c r="F79" s="88"/>
      <c r="G79" s="88"/>
      <c r="H79" s="88"/>
      <c r="I79" s="88"/>
    </row>
    <row r="80" spans="1:9" ht="15" x14ac:dyDescent="0.25">
      <c r="A80" s="88"/>
      <c r="B80" s="88"/>
      <c r="C80" s="88"/>
      <c r="D80" s="88"/>
      <c r="E80" s="88"/>
      <c r="F80" s="88"/>
      <c r="G80" s="88"/>
      <c r="H80" s="88"/>
      <c r="I80" s="88"/>
    </row>
    <row r="81" spans="1:9" ht="15" x14ac:dyDescent="0.25">
      <c r="A81" s="88"/>
      <c r="B81" s="88"/>
      <c r="C81" s="88"/>
      <c r="D81" s="88"/>
      <c r="E81" s="88"/>
      <c r="F81" s="88"/>
      <c r="G81" s="88"/>
      <c r="H81" s="88"/>
      <c r="I81" s="88"/>
    </row>
    <row r="82" spans="1:9" ht="15" x14ac:dyDescent="0.25">
      <c r="A82" s="88"/>
      <c r="B82" s="88"/>
      <c r="C82" s="88"/>
      <c r="D82" s="88"/>
      <c r="E82" s="88"/>
      <c r="F82" s="88"/>
      <c r="G82" s="88"/>
      <c r="H82" s="88"/>
      <c r="I82" s="88"/>
    </row>
    <row r="83" spans="1:9" ht="15" x14ac:dyDescent="0.25">
      <c r="A83" s="88"/>
      <c r="B83" s="88"/>
      <c r="C83" s="88"/>
      <c r="D83" s="88"/>
      <c r="E83" s="88"/>
      <c r="F83" s="88"/>
      <c r="G83" s="88"/>
      <c r="H83" s="88"/>
      <c r="I83" s="88"/>
    </row>
    <row r="84" spans="1:9" ht="15" x14ac:dyDescent="0.25">
      <c r="A84" s="88"/>
      <c r="B84" s="88"/>
      <c r="C84" s="88"/>
      <c r="D84" s="88"/>
      <c r="E84" s="88"/>
      <c r="F84" s="88"/>
      <c r="G84" s="88"/>
      <c r="H84" s="88"/>
      <c r="I84" s="88"/>
    </row>
    <row r="85" spans="1:9" ht="15" x14ac:dyDescent="0.25">
      <c r="A85" s="88"/>
      <c r="B85" s="88"/>
      <c r="C85" s="88"/>
      <c r="D85" s="88"/>
      <c r="E85" s="88"/>
      <c r="F85" s="88"/>
      <c r="G85" s="88"/>
      <c r="H85" s="88"/>
      <c r="I85" s="88"/>
    </row>
    <row r="86" spans="1:9" ht="15" x14ac:dyDescent="0.25">
      <c r="A86" s="88"/>
      <c r="B86" s="88"/>
      <c r="C86" s="88"/>
      <c r="D86" s="88"/>
      <c r="E86" s="88"/>
      <c r="F86" s="88"/>
      <c r="G86" s="88"/>
      <c r="H86" s="88"/>
      <c r="I86" s="88"/>
    </row>
    <row r="87" spans="1:9" ht="15" x14ac:dyDescent="0.25">
      <c r="A87" s="88"/>
      <c r="B87" s="88"/>
      <c r="C87" s="88"/>
      <c r="D87" s="88"/>
      <c r="E87" s="88"/>
      <c r="F87" s="88"/>
      <c r="G87" s="88"/>
      <c r="H87" s="88"/>
      <c r="I87" s="88"/>
    </row>
    <row r="88" spans="1:9" ht="15" x14ac:dyDescent="0.25">
      <c r="A88" s="88"/>
      <c r="B88" s="88"/>
      <c r="C88" s="88"/>
      <c r="D88" s="88"/>
      <c r="E88" s="88"/>
      <c r="F88" s="88"/>
      <c r="G88" s="88"/>
      <c r="H88" s="88"/>
      <c r="I88" s="88"/>
    </row>
    <row r="89" spans="1:9" ht="15" x14ac:dyDescent="0.25">
      <c r="A89" s="88"/>
      <c r="B89" s="88"/>
      <c r="C89" s="88"/>
      <c r="D89" s="88"/>
      <c r="E89" s="88"/>
      <c r="F89" s="88"/>
      <c r="G89" s="88"/>
      <c r="H89" s="88"/>
      <c r="I89" s="88"/>
    </row>
    <row r="90" spans="1:9" ht="15" x14ac:dyDescent="0.25">
      <c r="A90" s="88"/>
      <c r="B90" s="88"/>
      <c r="C90" s="88"/>
      <c r="D90" s="88"/>
      <c r="E90" s="88"/>
      <c r="F90" s="88"/>
      <c r="G90" s="88"/>
      <c r="H90" s="88"/>
      <c r="I90" s="88"/>
    </row>
    <row r="91" spans="1:9" ht="15" x14ac:dyDescent="0.25">
      <c r="A91" s="88"/>
      <c r="B91" s="88"/>
      <c r="C91" s="88"/>
      <c r="D91" s="88"/>
      <c r="E91" s="88"/>
      <c r="F91" s="88"/>
      <c r="G91" s="88"/>
      <c r="H91" s="88"/>
      <c r="I91" s="88"/>
    </row>
    <row r="92" spans="1:9" ht="15" x14ac:dyDescent="0.25">
      <c r="A92" s="88"/>
      <c r="B92" s="88"/>
      <c r="C92" s="88"/>
      <c r="D92" s="88"/>
      <c r="E92" s="88"/>
      <c r="F92" s="88"/>
      <c r="G92" s="88"/>
      <c r="H92" s="88"/>
      <c r="I92" s="88"/>
    </row>
    <row r="93" spans="1:9" ht="15" x14ac:dyDescent="0.25">
      <c r="A93" s="88"/>
      <c r="B93" s="88"/>
      <c r="C93" s="88"/>
      <c r="D93" s="88"/>
      <c r="E93" s="88"/>
      <c r="F93" s="88"/>
      <c r="G93" s="88"/>
      <c r="H93" s="88"/>
      <c r="I93" s="88"/>
    </row>
    <row r="94" spans="1:9" ht="15" x14ac:dyDescent="0.25">
      <c r="A94" s="88"/>
      <c r="B94" s="88"/>
      <c r="C94" s="88"/>
      <c r="D94" s="88"/>
      <c r="E94" s="88"/>
      <c r="F94" s="88"/>
      <c r="G94" s="88"/>
      <c r="H94" s="88"/>
      <c r="I94" s="88"/>
    </row>
    <row r="95" spans="1:9" ht="15" x14ac:dyDescent="0.25">
      <c r="A95" s="88"/>
      <c r="B95" s="88"/>
      <c r="C95" s="88"/>
      <c r="D95" s="88"/>
      <c r="E95" s="88"/>
      <c r="F95" s="88"/>
      <c r="G95" s="88"/>
      <c r="H95" s="88"/>
      <c r="I95" s="88"/>
    </row>
    <row r="96" spans="1:9" ht="15" x14ac:dyDescent="0.25">
      <c r="A96" s="88"/>
      <c r="B96" s="88"/>
      <c r="C96" s="88"/>
      <c r="D96" s="88"/>
      <c r="E96" s="88"/>
      <c r="F96" s="88"/>
      <c r="G96" s="88"/>
      <c r="H96" s="88"/>
      <c r="I96" s="88"/>
    </row>
    <row r="97" spans="1:9" ht="15" x14ac:dyDescent="0.25">
      <c r="A97" s="88"/>
      <c r="B97" s="88"/>
      <c r="C97" s="88"/>
      <c r="D97" s="88"/>
      <c r="E97" s="88"/>
      <c r="F97" s="88"/>
      <c r="G97" s="88"/>
      <c r="H97" s="88"/>
      <c r="I97" s="88"/>
    </row>
    <row r="98" spans="1:9" ht="15" x14ac:dyDescent="0.25">
      <c r="A98" s="88"/>
      <c r="B98" s="88"/>
      <c r="C98" s="88"/>
      <c r="D98" s="88"/>
      <c r="E98" s="88"/>
      <c r="F98" s="88"/>
      <c r="G98" s="88"/>
      <c r="H98" s="88"/>
      <c r="I98" s="88"/>
    </row>
    <row r="99" spans="1:9" ht="15" x14ac:dyDescent="0.25">
      <c r="A99" s="88"/>
      <c r="B99" s="88"/>
      <c r="C99" s="88"/>
      <c r="D99" s="88"/>
      <c r="E99" s="88"/>
      <c r="F99" s="88"/>
      <c r="G99" s="88"/>
      <c r="H99" s="88"/>
      <c r="I99" s="88"/>
    </row>
    <row r="100" spans="1:9" ht="15" x14ac:dyDescent="0.25">
      <c r="A100" s="88"/>
      <c r="B100" s="88"/>
      <c r="C100" s="88"/>
      <c r="D100" s="88"/>
      <c r="E100" s="88"/>
      <c r="F100" s="88"/>
      <c r="G100" s="88"/>
      <c r="H100" s="88"/>
      <c r="I100" s="88"/>
    </row>
    <row r="101" spans="1:9" ht="15" x14ac:dyDescent="0.25">
      <c r="A101" s="88"/>
      <c r="B101" s="88"/>
      <c r="C101" s="88"/>
      <c r="D101" s="88"/>
      <c r="E101" s="88"/>
      <c r="F101" s="88"/>
      <c r="G101" s="88"/>
      <c r="H101" s="88"/>
      <c r="I101" s="88"/>
    </row>
    <row r="102" spans="1:9" ht="15" x14ac:dyDescent="0.25">
      <c r="A102" s="88"/>
      <c r="B102" s="88"/>
      <c r="C102" s="88"/>
      <c r="D102" s="88"/>
      <c r="E102" s="88"/>
      <c r="F102" s="88"/>
      <c r="G102" s="88"/>
      <c r="H102" s="88"/>
      <c r="I102" s="88"/>
    </row>
    <row r="103" spans="1:9" ht="15" x14ac:dyDescent="0.25">
      <c r="A103" s="88"/>
      <c r="B103" s="88"/>
      <c r="C103" s="88"/>
      <c r="D103" s="88"/>
      <c r="E103" s="88"/>
      <c r="F103" s="88"/>
      <c r="G103" s="88"/>
      <c r="H103" s="88"/>
      <c r="I103" s="88"/>
    </row>
    <row r="104" spans="1:9" ht="15" x14ac:dyDescent="0.25">
      <c r="A104" s="88"/>
      <c r="B104" s="88"/>
      <c r="C104" s="88"/>
      <c r="D104" s="88"/>
      <c r="E104" s="88"/>
      <c r="F104" s="88"/>
      <c r="G104" s="88"/>
      <c r="H104" s="88"/>
      <c r="I104" s="88"/>
    </row>
    <row r="105" spans="1:9" ht="15" x14ac:dyDescent="0.25">
      <c r="A105" s="88"/>
      <c r="B105" s="88"/>
      <c r="C105" s="88"/>
      <c r="D105" s="88"/>
      <c r="E105" s="88"/>
      <c r="F105" s="88"/>
      <c r="G105" s="88"/>
      <c r="H105" s="88"/>
      <c r="I105" s="88"/>
    </row>
    <row r="106" spans="1:9" ht="15" x14ac:dyDescent="0.25">
      <c r="A106" s="88"/>
      <c r="B106" s="88"/>
      <c r="C106" s="88"/>
      <c r="D106" s="88"/>
      <c r="E106" s="88"/>
      <c r="F106" s="88"/>
      <c r="G106" s="88"/>
      <c r="H106" s="88"/>
      <c r="I106" s="88"/>
    </row>
    <row r="107" spans="1:9" ht="15" x14ac:dyDescent="0.25">
      <c r="A107" s="88"/>
      <c r="B107" s="88"/>
      <c r="C107" s="88"/>
      <c r="D107" s="88"/>
      <c r="E107" s="88"/>
      <c r="F107" s="88"/>
      <c r="G107" s="88"/>
      <c r="H107" s="88"/>
      <c r="I107" s="88"/>
    </row>
    <row r="108" spans="1:9" ht="15" x14ac:dyDescent="0.25">
      <c r="A108" s="88"/>
      <c r="B108" s="88"/>
      <c r="C108" s="88"/>
      <c r="D108" s="88"/>
      <c r="E108" s="88"/>
      <c r="F108" s="88"/>
      <c r="G108" s="88"/>
      <c r="H108" s="88"/>
      <c r="I108" s="88"/>
    </row>
    <row r="109" spans="1:9" ht="15" x14ac:dyDescent="0.25">
      <c r="A109" s="88"/>
      <c r="B109" s="88"/>
      <c r="C109" s="88"/>
      <c r="D109" s="88"/>
      <c r="E109" s="88"/>
      <c r="F109" s="88"/>
      <c r="G109" s="88"/>
      <c r="H109" s="88"/>
      <c r="I109" s="88"/>
    </row>
    <row r="110" spans="1:9" ht="15" x14ac:dyDescent="0.25">
      <c r="A110" s="88"/>
      <c r="B110" s="88"/>
      <c r="C110" s="88"/>
      <c r="D110" s="88"/>
      <c r="E110" s="88"/>
      <c r="F110" s="88"/>
      <c r="G110" s="88"/>
      <c r="H110" s="88"/>
      <c r="I110" s="88"/>
    </row>
    <row r="111" spans="1:9" ht="15" x14ac:dyDescent="0.25">
      <c r="A111" s="88"/>
      <c r="B111" s="88"/>
      <c r="C111" s="88"/>
      <c r="D111" s="88"/>
      <c r="E111" s="88"/>
      <c r="F111" s="88"/>
      <c r="G111" s="88"/>
      <c r="H111" s="88"/>
      <c r="I111" s="88"/>
    </row>
    <row r="112" spans="1:9" ht="15" x14ac:dyDescent="0.25">
      <c r="A112" s="88"/>
      <c r="B112" s="88"/>
      <c r="C112" s="88"/>
      <c r="D112" s="88"/>
      <c r="E112" s="88"/>
      <c r="F112" s="88"/>
      <c r="G112" s="88"/>
      <c r="H112" s="88"/>
      <c r="I112" s="88"/>
    </row>
    <row r="113" spans="1:9" ht="15" x14ac:dyDescent="0.25">
      <c r="A113" s="88"/>
      <c r="B113" s="88"/>
      <c r="C113" s="88"/>
      <c r="D113" s="88"/>
      <c r="E113" s="88"/>
      <c r="F113" s="88"/>
      <c r="G113" s="88"/>
      <c r="H113" s="88"/>
      <c r="I113" s="88"/>
    </row>
    <row r="114" spans="1:9" ht="15" x14ac:dyDescent="0.25">
      <c r="A114" s="88"/>
      <c r="B114" s="88"/>
      <c r="C114" s="88"/>
      <c r="D114" s="88"/>
      <c r="E114" s="88"/>
      <c r="F114" s="88"/>
      <c r="G114" s="88"/>
      <c r="H114" s="88"/>
      <c r="I114" s="88"/>
    </row>
    <row r="115" spans="1:9" ht="15" x14ac:dyDescent="0.25">
      <c r="A115" s="88"/>
      <c r="B115" s="88"/>
      <c r="C115" s="88"/>
      <c r="D115" s="88"/>
      <c r="E115" s="88"/>
      <c r="F115" s="88"/>
      <c r="G115" s="88"/>
      <c r="H115" s="88"/>
      <c r="I115" s="88"/>
    </row>
    <row r="116" spans="1:9" ht="15" x14ac:dyDescent="0.25">
      <c r="A116" s="88"/>
      <c r="B116" s="88"/>
      <c r="C116" s="88"/>
      <c r="D116" s="88"/>
      <c r="E116" s="88"/>
      <c r="F116" s="88"/>
      <c r="G116" s="88"/>
      <c r="H116" s="88"/>
      <c r="I116" s="88"/>
    </row>
    <row r="117" spans="1:9" ht="15" x14ac:dyDescent="0.25">
      <c r="A117" s="88"/>
      <c r="B117" s="88"/>
      <c r="C117" s="88"/>
      <c r="D117" s="88"/>
      <c r="E117" s="88"/>
      <c r="F117" s="88"/>
      <c r="G117" s="88"/>
      <c r="H117" s="88"/>
      <c r="I117" s="88"/>
    </row>
    <row r="118" spans="1:9" ht="15" x14ac:dyDescent="0.25">
      <c r="A118" s="88"/>
      <c r="B118" s="88"/>
      <c r="C118" s="88"/>
      <c r="D118" s="88"/>
      <c r="E118" s="88"/>
      <c r="F118" s="88"/>
      <c r="G118" s="88"/>
      <c r="H118" s="88"/>
      <c r="I118" s="88"/>
    </row>
    <row r="119" spans="1:9" ht="15" x14ac:dyDescent="0.25">
      <c r="A119" s="88"/>
      <c r="B119" s="88"/>
      <c r="C119" s="88"/>
      <c r="D119" s="88"/>
      <c r="E119" s="88"/>
      <c r="F119" s="88"/>
      <c r="G119" s="88"/>
      <c r="H119" s="88"/>
      <c r="I119" s="88"/>
    </row>
    <row r="120" spans="1:9" ht="15" x14ac:dyDescent="0.25">
      <c r="A120" s="88"/>
      <c r="B120" s="88"/>
      <c r="C120" s="88"/>
      <c r="D120" s="88"/>
      <c r="E120" s="88"/>
      <c r="F120" s="88"/>
      <c r="G120" s="88"/>
      <c r="H120" s="88"/>
      <c r="I120" s="88"/>
    </row>
    <row r="121" spans="1:9" ht="15" x14ac:dyDescent="0.25">
      <c r="A121" s="88"/>
      <c r="B121" s="88"/>
      <c r="C121" s="88"/>
      <c r="D121" s="88"/>
      <c r="E121" s="88"/>
      <c r="F121" s="88"/>
      <c r="G121" s="88"/>
      <c r="H121" s="88"/>
      <c r="I121" s="88"/>
    </row>
    <row r="122" spans="1:9" ht="15" x14ac:dyDescent="0.25">
      <c r="A122" s="88"/>
      <c r="B122" s="88"/>
      <c r="C122" s="88"/>
      <c r="D122" s="88"/>
      <c r="E122" s="88"/>
      <c r="F122" s="88"/>
      <c r="G122" s="88"/>
      <c r="H122" s="88"/>
      <c r="I122" s="88"/>
    </row>
    <row r="123" spans="1:9" ht="15" x14ac:dyDescent="0.25">
      <c r="A123" s="88"/>
      <c r="B123" s="88"/>
      <c r="C123" s="88"/>
      <c r="D123" s="88"/>
      <c r="E123" s="88"/>
      <c r="F123" s="88"/>
      <c r="G123" s="88"/>
      <c r="H123" s="88"/>
      <c r="I123" s="88"/>
    </row>
    <row r="124" spans="1:9" ht="15" x14ac:dyDescent="0.25">
      <c r="A124" s="88"/>
      <c r="B124" s="88"/>
      <c r="C124" s="88"/>
      <c r="D124" s="88"/>
      <c r="E124" s="88"/>
      <c r="F124" s="88"/>
      <c r="G124" s="88"/>
      <c r="H124" s="88"/>
      <c r="I124" s="88"/>
    </row>
    <row r="125" spans="1:9" ht="15" x14ac:dyDescent="0.25">
      <c r="A125" s="88"/>
      <c r="B125" s="88"/>
      <c r="C125" s="88"/>
      <c r="D125" s="88"/>
      <c r="E125" s="88"/>
      <c r="F125" s="88"/>
      <c r="G125" s="88"/>
      <c r="H125" s="88"/>
      <c r="I125" s="88"/>
    </row>
  </sheetData>
  <mergeCells count="4">
    <mergeCell ref="A1:I2"/>
    <mergeCell ref="A3:C3"/>
    <mergeCell ref="D3:F3"/>
    <mergeCell ref="G3:I3"/>
  </mergeCells>
  <phoneticPr fontId="2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H18" sqref="H18"/>
    </sheetView>
  </sheetViews>
  <sheetFormatPr defaultRowHeight="13.2" x14ac:dyDescent="0.25"/>
  <cols>
    <col min="4" max="4" width="12.44140625" customWidth="1"/>
    <col min="6" max="7" width="13.33203125" customWidth="1"/>
    <col min="8" max="8" width="15.88671875" customWidth="1"/>
  </cols>
  <sheetData>
    <row r="1" spans="1:8" x14ac:dyDescent="0.25">
      <c r="A1" s="231" t="s">
        <v>122</v>
      </c>
      <c r="B1" s="232"/>
      <c r="C1" s="232"/>
      <c r="D1" s="232"/>
      <c r="E1" s="232"/>
      <c r="F1" s="232"/>
      <c r="G1" s="232"/>
      <c r="H1" s="233"/>
    </row>
    <row r="2" spans="1:8" ht="13.8" thickBot="1" x14ac:dyDescent="0.3">
      <c r="A2" s="234"/>
      <c r="B2" s="235"/>
      <c r="C2" s="235"/>
      <c r="D2" s="235"/>
      <c r="E2" s="235"/>
      <c r="F2" s="235"/>
      <c r="G2" s="235"/>
      <c r="H2" s="236"/>
    </row>
    <row r="3" spans="1:8" ht="21.6" thickTop="1" x14ac:dyDescent="0.4">
      <c r="A3" s="228" t="s">
        <v>53</v>
      </c>
      <c r="B3" s="228"/>
      <c r="C3" s="228"/>
      <c r="D3" s="228" t="s">
        <v>55</v>
      </c>
      <c r="E3" s="228"/>
      <c r="F3" s="228"/>
      <c r="G3" s="229" t="s">
        <v>121</v>
      </c>
      <c r="H3" s="230"/>
    </row>
    <row r="4" spans="1:8" ht="21" x14ac:dyDescent="0.4">
      <c r="A4" s="89" t="s">
        <v>58</v>
      </c>
      <c r="B4" s="90"/>
      <c r="C4" s="91"/>
      <c r="D4" s="91"/>
      <c r="E4" s="91"/>
      <c r="F4" s="91"/>
      <c r="G4" s="123">
        <f>'corn-cons'!$L$8</f>
        <v>170.2</v>
      </c>
      <c r="H4" s="124">
        <f>'corn-cons'!$M$8</f>
        <v>204.2</v>
      </c>
    </row>
    <row r="5" spans="1:8" ht="21" x14ac:dyDescent="0.4">
      <c r="A5" s="92" t="s">
        <v>54</v>
      </c>
      <c r="B5" s="92"/>
      <c r="C5" s="93"/>
      <c r="D5" s="94">
        <f>'corn-cons'!I10</f>
        <v>3.6</v>
      </c>
      <c r="E5" s="93" t="s">
        <v>56</v>
      </c>
      <c r="F5" s="95"/>
      <c r="G5" s="104">
        <f>'corn-cons'!$L$10</f>
        <v>612.72</v>
      </c>
      <c r="H5" s="105">
        <f>'corn-cons'!$M$10</f>
        <v>735.12</v>
      </c>
    </row>
    <row r="6" spans="1:8" ht="20.399999999999999" x14ac:dyDescent="0.35">
      <c r="F6" s="102"/>
      <c r="G6" s="106"/>
      <c r="H6" s="106"/>
    </row>
    <row r="7" spans="1:8" ht="21" x14ac:dyDescent="0.4">
      <c r="A7" s="97" t="s">
        <v>59</v>
      </c>
      <c r="B7" s="101"/>
      <c r="C7" s="90"/>
      <c r="D7" s="96"/>
      <c r="E7" s="91"/>
      <c r="F7" s="91"/>
      <c r="G7" s="96"/>
      <c r="H7" s="96"/>
    </row>
    <row r="8" spans="1:8" ht="21" x14ac:dyDescent="0.4">
      <c r="A8" s="92" t="s">
        <v>94</v>
      </c>
      <c r="B8" s="92"/>
      <c r="C8" s="92"/>
      <c r="D8" s="139"/>
      <c r="E8" s="93"/>
      <c r="F8" s="93"/>
      <c r="G8" s="140">
        <f>'corn-cons'!$L$39</f>
        <v>407.78527889497781</v>
      </c>
      <c r="H8" s="141">
        <f>'corn-cons'!$M$39</f>
        <v>451.37577081818506</v>
      </c>
    </row>
    <row r="9" spans="1:8" ht="21" x14ac:dyDescent="0.4">
      <c r="C9" s="125" t="s">
        <v>97</v>
      </c>
      <c r="G9" s="142">
        <f>('corn-cons'!$L$39)/G4</f>
        <v>2.3959182073735477</v>
      </c>
      <c r="H9" s="142">
        <f>('corn-cons'!$M$39)/H4</f>
        <v>2.2104592106669201</v>
      </c>
    </row>
    <row r="10" spans="1:8" ht="21" x14ac:dyDescent="0.4">
      <c r="A10" s="97" t="s">
        <v>62</v>
      </c>
      <c r="B10" s="90"/>
      <c r="C10" s="91"/>
      <c r="D10" s="91"/>
      <c r="E10" s="91"/>
      <c r="F10" s="111"/>
      <c r="G10" s="112"/>
      <c r="H10" s="112"/>
    </row>
    <row r="11" spans="1:8" ht="21" x14ac:dyDescent="0.4">
      <c r="A11" s="117" t="s">
        <v>95</v>
      </c>
      <c r="B11" s="117"/>
      <c r="C11" s="117"/>
      <c r="D11" s="117"/>
      <c r="E11" s="117"/>
      <c r="F11" s="117"/>
      <c r="G11" s="104">
        <f>'corn-cons'!$L$49</f>
        <v>345.00255557505034</v>
      </c>
      <c r="H11" s="105">
        <f>'corn-cons'!$M$49</f>
        <v>399.32155120005035</v>
      </c>
    </row>
    <row r="12" spans="1:8" ht="21" x14ac:dyDescent="0.4">
      <c r="A12" s="137" t="s">
        <v>96</v>
      </c>
      <c r="B12" s="138"/>
      <c r="C12" s="134"/>
      <c r="D12" s="135"/>
      <c r="E12" s="135"/>
      <c r="F12" s="135"/>
      <c r="G12" s="136"/>
      <c r="H12" s="136"/>
    </row>
    <row r="13" spans="1:8" ht="21" x14ac:dyDescent="0.4">
      <c r="A13" s="130" t="s">
        <v>96</v>
      </c>
      <c r="B13" s="130"/>
      <c r="C13" s="130"/>
      <c r="D13" s="130"/>
      <c r="E13" s="130"/>
      <c r="F13" s="130"/>
      <c r="G13" s="109">
        <f>'corn-cons'!$L$51</f>
        <v>752.7878344700282</v>
      </c>
      <c r="H13" s="110">
        <f>'corn-cons'!$M$51</f>
        <v>850.69732201823535</v>
      </c>
    </row>
    <row r="14" spans="1:8" ht="21" x14ac:dyDescent="0.4">
      <c r="C14" s="125" t="s">
        <v>93</v>
      </c>
      <c r="G14" s="142">
        <f>'corn-cons'!$L$52</f>
        <v>4.4229602495301306</v>
      </c>
      <c r="H14" s="142">
        <f>'corn-cons'!$M$52</f>
        <v>4.1660005975427783</v>
      </c>
    </row>
    <row r="15" spans="1:8" ht="21" x14ac:dyDescent="0.4">
      <c r="A15" s="97" t="s">
        <v>66</v>
      </c>
      <c r="B15" s="90"/>
      <c r="C15" s="91"/>
      <c r="D15" s="91"/>
      <c r="E15" s="91"/>
      <c r="F15" s="91"/>
      <c r="G15" s="96"/>
      <c r="H15" s="96"/>
    </row>
    <row r="16" spans="1:8" ht="21" x14ac:dyDescent="0.4">
      <c r="A16" s="143" t="s">
        <v>98</v>
      </c>
      <c r="B16" s="122"/>
      <c r="C16" s="122"/>
      <c r="D16" s="122"/>
      <c r="E16" s="122"/>
      <c r="F16" s="122"/>
      <c r="G16" s="104">
        <f>'corn-cons'!$L$54</f>
        <v>224.84958360502225</v>
      </c>
      <c r="H16" s="105">
        <f>'corn-cons'!$M$54</f>
        <v>307.63900418181493</v>
      </c>
    </row>
    <row r="17" spans="1:8" ht="21" x14ac:dyDescent="0.4">
      <c r="A17" s="145" t="s">
        <v>99</v>
      </c>
      <c r="B17" s="98"/>
      <c r="C17" s="98"/>
      <c r="D17" s="98"/>
      <c r="E17" s="98"/>
      <c r="F17" s="98"/>
      <c r="G17" s="107">
        <f>'corn-cons'!$L$55</f>
        <v>37.84958360502219</v>
      </c>
      <c r="H17" s="108">
        <f>'corn-cons'!$M$55</f>
        <v>72.639004181814926</v>
      </c>
    </row>
    <row r="18" spans="1:8" ht="21" x14ac:dyDescent="0.4">
      <c r="A18" s="145" t="s">
        <v>100</v>
      </c>
      <c r="B18" s="146"/>
      <c r="C18" s="146"/>
      <c r="D18" s="146"/>
      <c r="E18" s="146"/>
      <c r="F18" s="146"/>
      <c r="G18" s="107">
        <f>'corn-cons'!$L$56</f>
        <v>-120.15297197002815</v>
      </c>
      <c r="H18" s="108">
        <f>'corn-cons'!$M$56</f>
        <v>-91.682547018235368</v>
      </c>
    </row>
    <row r="19" spans="1:8" ht="21" x14ac:dyDescent="0.4">
      <c r="A19" s="147" t="s">
        <v>67</v>
      </c>
      <c r="B19" s="98"/>
      <c r="C19" s="98"/>
      <c r="D19" s="98"/>
      <c r="E19" s="98"/>
      <c r="F19" s="98"/>
      <c r="G19" s="107">
        <f>'corn-cons'!$L$57</f>
        <v>66.847028029971852</v>
      </c>
      <c r="H19" s="108">
        <f>'corn-cons'!$M$57</f>
        <v>143.31745298176463</v>
      </c>
    </row>
    <row r="20" spans="1:8" ht="21" x14ac:dyDescent="0.4">
      <c r="A20" s="145" t="s">
        <v>101</v>
      </c>
      <c r="B20" s="146"/>
      <c r="C20" s="146"/>
      <c r="D20" s="146"/>
      <c r="E20" s="146"/>
      <c r="F20" s="146"/>
      <c r="G20" s="107">
        <f>'corn-cons'!$L$58</f>
        <v>-51.021228845028148</v>
      </c>
      <c r="H20" s="108">
        <f>'corn-cons'!$M$58</f>
        <v>-16.231808268235369</v>
      </c>
    </row>
    <row r="21" spans="1:8" ht="21" x14ac:dyDescent="0.4">
      <c r="A21" s="144" t="s">
        <v>102</v>
      </c>
      <c r="B21" s="92"/>
      <c r="C21" s="92"/>
      <c r="D21" s="92"/>
      <c r="E21" s="92"/>
      <c r="F21" s="92"/>
      <c r="G21" s="109">
        <f>'corn-cons'!$L$59</f>
        <v>135.97877115497187</v>
      </c>
      <c r="H21" s="110">
        <f>'corn-cons'!$M$59</f>
        <v>218.76819173176463</v>
      </c>
    </row>
  </sheetData>
  <mergeCells count="4">
    <mergeCell ref="A1:H2"/>
    <mergeCell ref="A3:C3"/>
    <mergeCell ref="D3:F3"/>
    <mergeCell ref="G3:H3"/>
  </mergeCells>
  <pageMargins left="0.7" right="0.7" top="0.75" bottom="0.75" header="0.3" footer="0.3"/>
  <pageSetup orientation="portrait" r:id="rId1"/>
  <ignoredErrors>
    <ignoredError sqref="H19 G1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corn-cons</vt:lpstr>
      <vt:lpstr>machinery costs</vt:lpstr>
      <vt:lpstr>Quick Stats</vt:lpstr>
      <vt:lpstr>QuickStats Totals</vt:lpstr>
      <vt:lpstr>'corn-cons'!Print_Area</vt:lpstr>
      <vt:lpstr>'machinery costs'!Print_Area</vt:lpstr>
    </vt:vector>
  </TitlesOfParts>
  <Company>Dept. of Ag., Env., &amp; Dev.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Moore</dc:creator>
  <cp:lastModifiedBy>Strawser, Julie Beth</cp:lastModifiedBy>
  <cp:lastPrinted>2019-05-07T16:32:10Z</cp:lastPrinted>
  <dcterms:created xsi:type="dcterms:W3CDTF">2002-12-27T15:34:03Z</dcterms:created>
  <dcterms:modified xsi:type="dcterms:W3CDTF">2019-05-08T19:39:12Z</dcterms:modified>
</cp:coreProperties>
</file>