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240" windowWidth="15480" windowHeight="10860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'rr-soy-notill'!$A$1:$N$103</definedName>
  </definedNames>
  <calcPr calcId="152511"/>
</workbook>
</file>

<file path=xl/calcChain.xml><?xml version="1.0" encoding="utf-8"?>
<calcChain xmlns="http://schemas.openxmlformats.org/spreadsheetml/2006/main">
  <c r="P3" i="2" l="1"/>
  <c r="N3" i="2"/>
  <c r="L3" i="2"/>
  <c r="D5" i="3" l="1"/>
  <c r="I6" i="3"/>
  <c r="G6" i="3"/>
  <c r="H21" i="1" l="1"/>
  <c r="G21" i="1"/>
  <c r="F21" i="1"/>
  <c r="E21" i="1"/>
  <c r="D14" i="3" l="1"/>
  <c r="N8" i="2" l="1"/>
  <c r="M8" i="2"/>
  <c r="L8" i="2"/>
  <c r="N5" i="2"/>
  <c r="M5" i="2"/>
  <c r="L5" i="2"/>
  <c r="H8" i="2"/>
  <c r="I8" i="2" l="1"/>
  <c r="H7" i="2"/>
  <c r="I7" i="2" s="1"/>
  <c r="H6" i="2"/>
  <c r="I6" i="2" s="1"/>
  <c r="P10" i="2"/>
  <c r="P11" i="2" s="1"/>
  <c r="P12" i="2" s="1"/>
  <c r="H5" i="2"/>
  <c r="I5" i="2" s="1"/>
  <c r="H4" i="2"/>
  <c r="I4" i="2" s="1"/>
  <c r="H3" i="2"/>
  <c r="N26" i="1"/>
  <c r="M26" i="1"/>
  <c r="L26" i="1"/>
  <c r="K26" i="1"/>
  <c r="N27" i="1" l="1"/>
  <c r="M27" i="1"/>
  <c r="L27" i="1"/>
  <c r="K27" i="1"/>
  <c r="I3" i="2"/>
  <c r="M10" i="2" l="1"/>
  <c r="L10" i="2"/>
  <c r="N10" i="2"/>
  <c r="N18" i="1"/>
  <c r="M18" i="1"/>
  <c r="L18" i="1"/>
  <c r="K18" i="1"/>
  <c r="N28" i="1" l="1"/>
  <c r="L28" i="1"/>
  <c r="K28" i="1"/>
  <c r="M28" i="1"/>
  <c r="M11" i="2"/>
  <c r="M10" i="1"/>
  <c r="I5" i="3" s="1"/>
  <c r="I20" i="1"/>
  <c r="I21" i="1"/>
  <c r="I14" i="3"/>
  <c r="L10" i="1"/>
  <c r="G5" i="3" s="1"/>
  <c r="G14" i="3"/>
  <c r="I19" i="3"/>
  <c r="G19" i="3"/>
  <c r="G13" i="3"/>
  <c r="I13" i="3"/>
  <c r="D12" i="3"/>
  <c r="D11" i="3"/>
  <c r="D9" i="3"/>
  <c r="I4" i="3"/>
  <c r="G4" i="3"/>
  <c r="N10" i="1"/>
  <c r="N15" i="1" s="1"/>
  <c r="N40" i="1" s="1"/>
  <c r="K10" i="1"/>
  <c r="K15" i="1" s="1"/>
  <c r="K40" i="1" s="1"/>
  <c r="N22" i="1"/>
  <c r="M22" i="1"/>
  <c r="L22" i="1"/>
  <c r="K22" i="1"/>
  <c r="H20" i="1"/>
  <c r="N39" i="1"/>
  <c r="G20" i="1"/>
  <c r="F20" i="1"/>
  <c r="E20" i="1"/>
  <c r="I9" i="3"/>
  <c r="G9" i="3"/>
  <c r="K39" i="1"/>
  <c r="L39" i="1"/>
  <c r="M39" i="1"/>
  <c r="M41" i="1" l="1"/>
  <c r="K41" i="1"/>
  <c r="N41" i="1"/>
  <c r="N45" i="1" s="1"/>
  <c r="L41" i="1"/>
  <c r="N20" i="1"/>
  <c r="M20" i="1"/>
  <c r="M21" i="1"/>
  <c r="I12" i="3" s="1"/>
  <c r="L15" i="1"/>
  <c r="L40" i="1" s="1"/>
  <c r="M15" i="1"/>
  <c r="M40" i="1" s="1"/>
  <c r="I17" i="3" s="1"/>
  <c r="K21" i="1"/>
  <c r="N21" i="1"/>
  <c r="L21" i="1"/>
  <c r="G12" i="3" s="1"/>
  <c r="K20" i="1"/>
  <c r="L20" i="1"/>
  <c r="K33" i="1" l="1"/>
  <c r="K35" i="1" s="1"/>
  <c r="K36" i="1" s="1"/>
  <c r="M33" i="1"/>
  <c r="M35" i="1" s="1"/>
  <c r="M50" i="1" s="1"/>
  <c r="I23" i="3" s="1"/>
  <c r="N33" i="1"/>
  <c r="N35" i="1" s="1"/>
  <c r="N47" i="1" s="1"/>
  <c r="N48" i="1" s="1"/>
  <c r="I20" i="3" s="1"/>
  <c r="G11" i="3"/>
  <c r="L33" i="1"/>
  <c r="L35" i="1" s="1"/>
  <c r="K45" i="1"/>
  <c r="I18" i="3"/>
  <c r="G18" i="3"/>
  <c r="I11" i="3"/>
  <c r="G17" i="3"/>
  <c r="M45" i="1" l="1"/>
  <c r="M47" i="1" s="1"/>
  <c r="M48" i="1" s="1"/>
  <c r="L45" i="1"/>
  <c r="L47" i="1" s="1"/>
  <c r="M51" i="1"/>
  <c r="M36" i="1"/>
  <c r="K51" i="1"/>
  <c r="K47" i="1"/>
  <c r="K48" i="1" s="1"/>
  <c r="N50" i="1"/>
  <c r="L50" i="1"/>
  <c r="G23" i="3" s="1"/>
  <c r="K50" i="1"/>
  <c r="L36" i="1"/>
  <c r="G15" i="3" s="1"/>
  <c r="L51" i="1"/>
  <c r="N36" i="1"/>
  <c r="I15" i="3" s="1"/>
  <c r="N51" i="1"/>
  <c r="N52" i="1"/>
  <c r="L52" i="1" l="1"/>
  <c r="G22" i="3" s="1"/>
  <c r="L48" i="1"/>
  <c r="G20" i="3" s="1"/>
  <c r="M52" i="1"/>
  <c r="M55" i="1" s="1"/>
  <c r="K52" i="1"/>
  <c r="K53" i="1" s="1"/>
  <c r="N54" i="1"/>
  <c r="N55" i="1"/>
  <c r="N53" i="1"/>
  <c r="L54" i="1" l="1"/>
  <c r="L55" i="1"/>
  <c r="L53" i="1"/>
  <c r="G24" i="3" s="1"/>
  <c r="I22" i="3"/>
  <c r="M54" i="1"/>
  <c r="M53" i="1"/>
  <c r="I24" i="3" s="1"/>
  <c r="K55" i="1"/>
  <c r="K54" i="1"/>
</calcChain>
</file>

<file path=xl/sharedStrings.xml><?xml version="1.0" encoding="utf-8"?>
<sst xmlns="http://schemas.openxmlformats.org/spreadsheetml/2006/main" count="179" uniqueCount="164">
  <si>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</si>
  <si>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</si>
  <si>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</si>
  <si>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</si>
  <si>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</si>
  <si>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</si>
  <si>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</si>
  <si>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</si>
  <si>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</si>
  <si>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</si>
  <si>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</si>
  <si>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</si>
  <si>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</si>
  <si>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</si>
  <si>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</si>
  <si>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</si>
  <si>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</si>
  <si>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</si>
  <si>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</si>
  <si>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</si>
  <si>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</si>
  <si>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</si>
  <si>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</si>
  <si>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</si>
  <si>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</si>
  <si>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</si>
  <si>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TOTAL RECEIPTS</t>
  </si>
  <si>
    <t>Herbicide</t>
  </si>
  <si>
    <t>Insecticide</t>
  </si>
  <si>
    <t>Fungicide</t>
  </si>
  <si>
    <t>seeds</t>
  </si>
  <si>
    <t>Machinery Cost</t>
  </si>
  <si>
    <t>Acres per Year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</si>
  <si>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</si>
  <si>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</si>
  <si>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</si>
  <si>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</si>
  <si>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</si>
  <si>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</si>
  <si>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</si>
  <si>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</si>
  <si>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</si>
  <si>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</si>
  <si>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</si>
  <si>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</si>
  <si>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</si>
  <si>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</si>
  <si>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</si>
  <si>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</si>
  <si>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</si>
  <si>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</si>
  <si>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</si>
  <si>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</si>
  <si>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</si>
  <si>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</si>
  <si>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</si>
  <si>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Chemicals</t>
  </si>
  <si>
    <t>Fixed Costs</t>
  </si>
  <si>
    <t>Land Rent</t>
  </si>
  <si>
    <t xml:space="preserve">Fuel/Diesel </t>
  </si>
  <si>
    <t>Returns</t>
  </si>
  <si>
    <t>Return to Land</t>
  </si>
  <si>
    <t>Soybean Price</t>
  </si>
  <si>
    <t>/1000 seeds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</si>
  <si>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</si>
  <si>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</si>
  <si>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</si>
  <si>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</si>
  <si>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</si>
  <si>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Seed costs are per 1000 seeds, treated.</t>
  </si>
  <si>
    <t>Boom Sprayer, Self Prop.</t>
  </si>
  <si>
    <t>Reflects 2000 acres, Conservation Tillage Corn/No-Till RR Soybeans</t>
  </si>
  <si>
    <t>RETURN TO LAND, LABOR, AND MANAGEMENT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</si>
  <si>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</si>
  <si>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</si>
  <si>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</si>
  <si>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Crop Insurance Indemnity</t>
  </si>
  <si>
    <t>Breakeven Cost / Bu</t>
  </si>
  <si>
    <t>Crop Insurance: Revenue Protection (with Trend Adjusted Yield Endorsement), Basic (without SCO), 75% coverage level.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</si>
  <si>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</si>
  <si>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</si>
  <si>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Assumes only maintenance application of fertilizer needed, corn-soybean rotation, 3.8 O.M., 20 CEC, </t>
  </si>
  <si>
    <t>and soil test values of 25 ppm P/A and 125 ppm K/A.</t>
  </si>
  <si>
    <t xml:space="preserve">Fertilizer prices vary over time and by area.  Check with local sources for current prices. 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</si>
  <si>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</si>
  <si>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</si>
  <si>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</si>
  <si>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</si>
  <si>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</si>
  <si>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</si>
  <si>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</si>
  <si>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</si>
  <si>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</si>
  <si>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</si>
  <si>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</si>
  <si>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</si>
  <si>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</si>
  <si>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</si>
  <si>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r>
      <t>ARC/PLC Payment</t>
    </r>
    <r>
      <rPr>
        <vertAlign val="superscript"/>
        <sz val="10"/>
        <rFont val="Arial"/>
        <family val="2"/>
      </rPr>
      <t>2</t>
    </r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</si>
  <si>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</si>
  <si>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</si>
  <si>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</si>
  <si>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</si>
  <si>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RETURN TO LABOR AND MANAGEMENT</t>
  </si>
  <si>
    <t>RETURN ABOVE VARIABLE AND LAND COSTS</t>
  </si>
  <si>
    <t>Return to Variable Costs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</si>
  <si>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</si>
  <si>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</si>
  <si>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</si>
  <si>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</si>
  <si>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/per bushel</t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</si>
  <si>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</si>
  <si>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</si>
  <si>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</si>
  <si>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</si>
  <si>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</si>
  <si>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</si>
  <si>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</si>
  <si>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</si>
  <si>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</si>
  <si>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</si>
  <si>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</si>
  <si>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</si>
  <si>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Combine 375 HP</t>
  </si>
  <si>
    <t>360 HP Tractor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</si>
  <si>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</si>
  <si>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</si>
  <si>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</si>
  <si>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</si>
  <si>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</si>
  <si>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</si>
  <si>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</si>
  <si>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</si>
  <si>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r>
      <t>Hired Custom Work</t>
    </r>
    <r>
      <rPr>
        <vertAlign val="superscript"/>
        <sz val="10"/>
        <rFont val="Arial"/>
        <family val="2"/>
      </rPr>
      <t>11</t>
    </r>
  </si>
  <si>
    <r>
      <t>Management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</si>
  <si>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17</t>
    </r>
  </si>
  <si>
    <r>
      <t>Miscellaneous</t>
    </r>
    <r>
      <rPr>
        <vertAlign val="superscript"/>
        <sz val="10"/>
        <rFont val="Arial"/>
        <family val="2"/>
      </rPr>
      <t>18</t>
    </r>
  </si>
  <si>
    <r>
      <t>RETURN ABOVE VARIABLE COSTS</t>
    </r>
    <r>
      <rPr>
        <b/>
        <vertAlign val="superscript"/>
        <sz val="10"/>
        <rFont val="Arial"/>
        <family val="2"/>
      </rPr>
      <t>19</t>
    </r>
  </si>
  <si>
    <t>See 'machinery costs' tab for specific calculations.  Lubrication costs are assumed to be 10% of fuel costs</t>
  </si>
  <si>
    <t>See  'machinery costs' tab for specific calculations.</t>
  </si>
  <si>
    <t>software/hardware, business use of vehicle, transport of supplies and equipment, etc…</t>
  </si>
  <si>
    <r>
      <t>Hauling</t>
    </r>
    <r>
      <rPr>
        <vertAlign val="superscript"/>
        <sz val="10"/>
        <rFont val="Arial"/>
        <family val="2"/>
      </rPr>
      <t>6</t>
    </r>
  </si>
  <si>
    <t>/gallon</t>
  </si>
  <si>
    <t>Interest on all variable costs, except hauling and crop insurance</t>
  </si>
  <si>
    <r>
      <t>Fuel, Oil, Grease</t>
    </r>
    <r>
      <rPr>
        <vertAlign val="superscript"/>
        <sz val="10"/>
        <rFont val="Arial"/>
        <family val="2"/>
      </rPr>
      <t>7</t>
    </r>
  </si>
  <si>
    <r>
      <t>Repairs</t>
    </r>
    <r>
      <rPr>
        <vertAlign val="superscript"/>
        <sz val="10"/>
        <rFont val="Arial"/>
        <family val="2"/>
      </rPr>
      <t>8</t>
    </r>
  </si>
  <si>
    <r>
      <t>Crop Insurance</t>
    </r>
    <r>
      <rPr>
        <vertAlign val="superscript"/>
        <sz val="10"/>
        <rFont val="Arial"/>
        <family val="2"/>
      </rPr>
      <t>9</t>
    </r>
  </si>
  <si>
    <r>
      <t>Miscellaneous</t>
    </r>
    <r>
      <rPr>
        <vertAlign val="superscript"/>
        <sz val="10"/>
        <rFont val="Arial"/>
        <family val="2"/>
      </rPr>
      <t>10</t>
    </r>
  </si>
  <si>
    <r>
      <t>Hired Labor</t>
    </r>
    <r>
      <rPr>
        <vertAlign val="superscript"/>
        <sz val="10"/>
        <rFont val="Arial"/>
        <family val="2"/>
      </rPr>
      <t>12</t>
    </r>
  </si>
  <si>
    <r>
      <t>Int. on Oper. Cap.</t>
    </r>
    <r>
      <rPr>
        <vertAlign val="superscript"/>
        <sz val="10"/>
        <rFont val="Arial"/>
        <family val="2"/>
      </rPr>
      <t>13</t>
    </r>
  </si>
  <si>
    <r>
      <t>Labor Charge</t>
    </r>
    <r>
      <rPr>
        <vertAlign val="superscript"/>
        <sz val="10"/>
        <rFont val="Arial"/>
        <family val="2"/>
      </rPr>
      <t>14</t>
    </r>
  </si>
  <si>
    <r>
      <t>Mach. and Equip. Charge</t>
    </r>
    <r>
      <rPr>
        <vertAlign val="superscript"/>
        <sz val="10"/>
        <rFont val="Arial"/>
        <family val="2"/>
      </rPr>
      <t>16</t>
    </r>
  </si>
  <si>
    <t>Hauling based on Ohio Farm Custom Rates charge per bushel - Farm to Market</t>
  </si>
  <si>
    <t>Based on use of: fall applied glyphosate plus 2,4-D with ammonium sulfate (AMS), preplant Valor XLT &amp; metribuzin w/ AMS</t>
  </si>
  <si>
    <t xml:space="preserve">Includes hired custom operations for dry bulk fertilizer application </t>
  </si>
  <si>
    <t>Price is based on current CME November Futures less $0.30 basis</t>
  </si>
  <si>
    <t>See 'machinery costs' tab for specific calculations.</t>
  </si>
  <si>
    <t>Laura Lindsey, Extension Soybean and Small Grain Specialist, Mark Loux, Extension Specialist - Weed Management in Field Crops</t>
  </si>
  <si>
    <t>Authors: Barry Ward, Leader, Production Business Management</t>
  </si>
  <si>
    <t>Assumes a PLC Program Choice, 50/50 Corn/Soybean Program Acres, payment on 85% of program acres.</t>
  </si>
  <si>
    <t>MFP</t>
  </si>
  <si>
    <t>SOYBEAN PRODUCTION BUDGET (Roundup Ready) - 2020</t>
  </si>
  <si>
    <t>SOYBEAN SELECTED BUDGET STATS - 2020</t>
  </si>
  <si>
    <t>9/25/2019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</si>
</sst>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0_);[Red]\(0\)"/>
    <numFmt numFmtId="167" formatCode="0.00_);[Red]\(0.00\)"/>
    <numFmt numFmtId="168" formatCode="0.000"/>
    <numFmt numFmtId="169" formatCode="_(* #,##0_);_(* \(#,##0\);_(* &quot;-&quot;??_);_(@_)"/>
    <numFmt numFmtId="170" formatCode="&quot;$&quot;#,##0.000"/>
    <numFmt numFmtId="171" formatCode="0.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9" fontId="8" fillId="0" borderId="0" xfId="2" applyFont="1"/>
    <xf numFmtId="0" fontId="9" fillId="0" borderId="0" xfId="0" applyFont="1"/>
    <xf numFmtId="169" fontId="9" fillId="0" borderId="0" xfId="1" applyNumberFormat="1" applyFont="1" applyAlignment="1">
      <alignment horizontal="center"/>
    </xf>
    <xf numFmtId="9" fontId="8" fillId="0" borderId="0" xfId="2" applyFont="1" applyAlignment="1">
      <alignment horizontal="right"/>
    </xf>
    <xf numFmtId="169" fontId="8" fillId="0" borderId="0" xfId="1" applyNumberFormat="1" applyFont="1"/>
    <xf numFmtId="2" fontId="9" fillId="0" borderId="0" xfId="0" applyNumberFormat="1" applyFont="1"/>
    <xf numFmtId="0" fontId="8" fillId="0" borderId="0" xfId="0" applyFont="1" applyFill="1"/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0" fillId="2" borderId="2" xfId="0" applyFont="1" applyFill="1" applyBorder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7" fontId="4" fillId="3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0" fontId="4" fillId="2" borderId="0" xfId="0" applyFont="1" applyFill="1"/>
    <xf numFmtId="10" fontId="10" fillId="2" borderId="0" xfId="0" applyNumberFormat="1" applyFont="1" applyFill="1"/>
    <xf numFmtId="9" fontId="10" fillId="2" borderId="0" xfId="0" applyNumberFormat="1" applyFon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9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8" fontId="10" fillId="2" borderId="0" xfId="0" applyNumberFormat="1" applyFont="1" applyFill="1"/>
    <xf numFmtId="0" fontId="8" fillId="0" borderId="0" xfId="0" quotePrefix="1" applyFont="1"/>
    <xf numFmtId="2" fontId="8" fillId="0" borderId="0" xfId="0" quotePrefix="1" applyNumberFormat="1" applyFont="1"/>
    <xf numFmtId="1" fontId="8" fillId="0" borderId="0" xfId="0" applyNumberFormat="1" applyFont="1" applyFill="1"/>
    <xf numFmtId="0" fontId="8" fillId="2" borderId="0" xfId="0" quotePrefix="1" applyFont="1" applyFill="1"/>
    <xf numFmtId="4" fontId="4" fillId="0" borderId="0" xfId="0" applyNumberFormat="1" applyFont="1" applyFill="1"/>
    <xf numFmtId="0" fontId="13" fillId="0" borderId="0" xfId="0" applyFont="1"/>
    <xf numFmtId="0" fontId="13" fillId="4" borderId="2" xfId="0" applyFont="1" applyFill="1" applyBorder="1"/>
    <xf numFmtId="0" fontId="13" fillId="4" borderId="1" xfId="0" applyFont="1" applyFill="1" applyBorder="1"/>
    <xf numFmtId="164" fontId="13" fillId="0" borderId="0" xfId="0" applyNumberFormat="1" applyFont="1"/>
    <xf numFmtId="0" fontId="13" fillId="4" borderId="0" xfId="0" applyFont="1" applyFill="1" applyBorder="1"/>
    <xf numFmtId="164" fontId="14" fillId="4" borderId="1" xfId="0" applyNumberFormat="1" applyFont="1" applyFill="1" applyBorder="1"/>
    <xf numFmtId="7" fontId="14" fillId="4" borderId="2" xfId="0" applyNumberFormat="1" applyFont="1" applyFill="1" applyBorder="1"/>
    <xf numFmtId="164" fontId="12" fillId="4" borderId="1" xfId="0" applyNumberFormat="1" applyFont="1" applyFill="1" applyBorder="1"/>
    <xf numFmtId="164" fontId="12" fillId="4" borderId="4" xfId="0" applyNumberFormat="1" applyFont="1" applyFill="1" applyBorder="1"/>
    <xf numFmtId="164" fontId="12" fillId="0" borderId="0" xfId="0" applyNumberFormat="1" applyFont="1"/>
    <xf numFmtId="164" fontId="12" fillId="4" borderId="0" xfId="0" applyNumberFormat="1" applyFont="1" applyFill="1" applyBorder="1"/>
    <xf numFmtId="164" fontId="12" fillId="4" borderId="6" xfId="0" applyNumberFormat="1" applyFont="1" applyFill="1" applyBorder="1"/>
    <xf numFmtId="0" fontId="13" fillId="0" borderId="1" xfId="0" applyFont="1" applyFill="1" applyBorder="1"/>
    <xf numFmtId="164" fontId="12" fillId="0" borderId="1" xfId="0" applyNumberFormat="1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64" fontId="12" fillId="4" borderId="2" xfId="0" applyNumberFormat="1" applyFont="1" applyFill="1" applyBorder="1"/>
    <xf numFmtId="165" fontId="14" fillId="4" borderId="0" xfId="0" applyNumberFormat="1" applyFont="1" applyFill="1" applyBorder="1"/>
    <xf numFmtId="164" fontId="13" fillId="4" borderId="0" xfId="0" applyNumberFormat="1" applyFont="1" applyFill="1" applyBorder="1"/>
    <xf numFmtId="164" fontId="12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3" fillId="5" borderId="1" xfId="0" applyFont="1" applyFill="1" applyBorder="1"/>
    <xf numFmtId="2" fontId="1" fillId="0" borderId="0" xfId="0" applyNumberFormat="1" applyFont="1"/>
    <xf numFmtId="0" fontId="1" fillId="0" borderId="0" xfId="0" quotePrefix="1" applyFont="1"/>
    <xf numFmtId="3" fontId="10" fillId="2" borderId="0" xfId="0" applyNumberFormat="1" applyFont="1" applyFill="1"/>
    <xf numFmtId="2" fontId="4" fillId="7" borderId="0" xfId="0" applyNumberFormat="1" applyFont="1" applyFill="1"/>
    <xf numFmtId="0" fontId="13" fillId="8" borderId="1" xfId="0" applyFont="1" applyFill="1" applyBorder="1"/>
    <xf numFmtId="0" fontId="13" fillId="5" borderId="0" xfId="0" applyFont="1" applyFill="1" applyBorder="1"/>
    <xf numFmtId="0" fontId="12" fillId="0" borderId="0" xfId="0" applyFont="1"/>
    <xf numFmtId="164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4" fontId="10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0" fontId="1" fillId="0" borderId="0" xfId="0" applyFont="1" applyFill="1"/>
    <xf numFmtId="2" fontId="4" fillId="8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0" fillId="9" borderId="0" xfId="0" applyFill="1"/>
    <xf numFmtId="0" fontId="1" fillId="9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 applyBorder="1"/>
    <xf numFmtId="0" fontId="0" fillId="0" borderId="0" xfId="0"/>
    <xf numFmtId="0" fontId="13" fillId="8" borderId="0" xfId="0" applyFont="1" applyFill="1" applyBorder="1"/>
    <xf numFmtId="0" fontId="0" fillId="0" borderId="0" xfId="0"/>
    <xf numFmtId="0" fontId="13" fillId="10" borderId="0" xfId="0" applyFont="1" applyFill="1"/>
    <xf numFmtId="0" fontId="0" fillId="0" borderId="0" xfId="0"/>
    <xf numFmtId="164" fontId="14" fillId="4" borderId="0" xfId="0" applyNumberFormat="1" applyFont="1" applyFill="1" applyBorder="1"/>
    <xf numFmtId="0" fontId="0" fillId="0" borderId="0" xfId="0"/>
    <xf numFmtId="170" fontId="4" fillId="6" borderId="0" xfId="0" applyNumberFormat="1" applyFont="1" applyFill="1"/>
    <xf numFmtId="0" fontId="9" fillId="0" borderId="5" xfId="0" applyFont="1" applyBorder="1"/>
    <xf numFmtId="0" fontId="8" fillId="0" borderId="5" xfId="0" applyFont="1" applyBorder="1"/>
    <xf numFmtId="0" fontId="0" fillId="0" borderId="5" xfId="0" applyBorder="1"/>
    <xf numFmtId="2" fontId="8" fillId="0" borderId="5" xfId="0" applyNumberFormat="1" applyFont="1" applyBorder="1"/>
    <xf numFmtId="0" fontId="8" fillId="0" borderId="0" xfId="0" applyFont="1" applyBorder="1"/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168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/>
    <xf numFmtId="164" fontId="8" fillId="0" borderId="2" xfId="0" applyNumberFormat="1" applyFont="1" applyBorder="1"/>
    <xf numFmtId="164" fontId="0" fillId="0" borderId="0" xfId="0" applyNumberForma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9" fontId="9" fillId="0" borderId="0" xfId="2" applyFont="1" applyAlignment="1">
      <alignment horizontal="right"/>
    </xf>
    <xf numFmtId="169" fontId="8" fillId="0" borderId="0" xfId="1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169" fontId="9" fillId="0" borderId="0" xfId="0" applyNumberFormat="1" applyFont="1" applyFill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Fill="1" applyBorder="1"/>
    <xf numFmtId="1" fontId="12" fillId="11" borderId="8" xfId="0" applyNumberFormat="1" applyFont="1" applyFill="1" applyBorder="1" applyAlignment="1"/>
    <xf numFmtId="0" fontId="12" fillId="11" borderId="2" xfId="0" applyFont="1" applyFill="1" applyBorder="1" applyAlignment="1"/>
    <xf numFmtId="1" fontId="12" fillId="11" borderId="7" xfId="0" applyNumberFormat="1" applyFont="1" applyFill="1" applyBorder="1" applyAlignment="1"/>
    <xf numFmtId="0" fontId="12" fillId="11" borderId="3" xfId="0" applyFont="1" applyFill="1" applyBorder="1"/>
    <xf numFmtId="0" fontId="13" fillId="11" borderId="4" xfId="0" applyFont="1" applyFill="1" applyBorder="1"/>
    <xf numFmtId="0" fontId="12" fillId="11" borderId="1" xfId="0" applyFont="1" applyFill="1" applyBorder="1"/>
    <xf numFmtId="0" fontId="13" fillId="11" borderId="1" xfId="0" applyFont="1" applyFill="1" applyBorder="1"/>
    <xf numFmtId="0" fontId="0" fillId="0" borderId="0" xfId="0"/>
    <xf numFmtId="171" fontId="1" fillId="0" borderId="0" xfId="0" applyNumberFormat="1" applyFont="1" applyFill="1" applyBorder="1"/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1" fillId="11" borderId="9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552450</xdr:colOff>
      <xdr:row>4</xdr:row>
      <xdr:rowOff>85725</xdr:rowOff>
    </xdr:to>
    <xdr:pic>
      <xdr:nvPicPr>
        <xdr:cNvPr id="149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9526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showGridLines="0" tabSelected="1" view="pageBreakPreview" zoomScale="120" zoomScaleNormal="100" zoomScaleSheetLayoutView="120" workbookViewId="0">
      <selection activeCell="I11" sqref="I11"/>
    </sheetView>
  </sheetViews>
  <sheetFormatPr defaultRowHeight="13.2" x14ac:dyDescent="0.25"/>
  <cols>
    <col min="1" max="1" width="2.88671875" customWidth="1"/>
    <col min="2" max="2" width="2.5546875" customWidth="1"/>
    <col min="3" max="3" width="9.109375" customWidth="1"/>
    <col min="4" max="4" width="7" customWidth="1"/>
    <col min="5" max="5" width="8.5546875" customWidth="1"/>
    <col min="6" max="9" width="9.44140625" customWidth="1"/>
    <col min="10" max="10" width="6.6640625" customWidth="1"/>
    <col min="11" max="13" width="8.5546875" style="16" customWidth="1"/>
    <col min="14" max="14" width="8.5546875" customWidth="1"/>
    <col min="16" max="16" width="9.33203125" bestFit="1" customWidth="1"/>
  </cols>
  <sheetData>
    <row r="1" spans="1:27" ht="15.6" x14ac:dyDescent="0.3">
      <c r="A1" s="116"/>
      <c r="B1" s="116"/>
      <c r="C1" s="117" t="s">
        <v>79</v>
      </c>
      <c r="D1" s="116"/>
      <c r="E1" s="116"/>
      <c r="G1" s="60" t="s">
        <v>161</v>
      </c>
      <c r="K1"/>
      <c r="N1" s="16"/>
    </row>
    <row r="2" spans="1:27" ht="15.6" x14ac:dyDescent="0.3">
      <c r="A2" s="116"/>
      <c r="B2" s="116"/>
      <c r="C2" s="116"/>
      <c r="D2" s="116"/>
      <c r="E2" s="116"/>
      <c r="G2" s="60" t="s">
        <v>0</v>
      </c>
      <c r="K2"/>
      <c r="N2" s="16"/>
    </row>
    <row r="3" spans="1:27" ht="15.6" x14ac:dyDescent="0.3">
      <c r="A3" s="116"/>
      <c r="B3" s="116"/>
      <c r="C3" s="116"/>
      <c r="D3" s="116"/>
      <c r="E3" s="116"/>
      <c r="G3" t="s">
        <v>71</v>
      </c>
      <c r="K3"/>
      <c r="N3" s="16"/>
      <c r="R3" s="197"/>
      <c r="S3" s="197"/>
      <c r="T3" s="197"/>
      <c r="U3" s="197"/>
      <c r="V3" s="197"/>
      <c r="W3" s="197"/>
      <c r="X3" s="197"/>
      <c r="Y3" s="197"/>
      <c r="Z3" s="197"/>
      <c r="AA3" s="197"/>
    </row>
    <row r="4" spans="1:27" ht="15.6" x14ac:dyDescent="0.3">
      <c r="A4" s="116"/>
      <c r="B4" s="116"/>
      <c r="C4" s="116"/>
      <c r="D4" s="116"/>
      <c r="E4" s="116"/>
      <c r="K4"/>
      <c r="N4" s="16"/>
      <c r="R4" s="197"/>
      <c r="S4" s="197"/>
      <c r="T4" s="197"/>
      <c r="U4" s="197"/>
      <c r="V4" s="197"/>
      <c r="W4" s="197"/>
      <c r="X4" s="197"/>
      <c r="Y4" s="197"/>
      <c r="Z4" s="197"/>
      <c r="AA4" s="197"/>
    </row>
    <row r="5" spans="1:27" ht="15.6" x14ac:dyDescent="0.3">
      <c r="A5" s="116"/>
      <c r="B5" s="116"/>
      <c r="C5" s="116"/>
      <c r="D5" s="116"/>
      <c r="E5" s="116"/>
      <c r="K5" s="28" t="s">
        <v>43</v>
      </c>
      <c r="M5" s="200" t="s">
        <v>163</v>
      </c>
      <c r="N5" s="201"/>
      <c r="R5" s="29"/>
      <c r="S5" s="198"/>
      <c r="T5" s="199"/>
      <c r="U5" s="199"/>
      <c r="V5" s="199"/>
      <c r="W5" s="199"/>
      <c r="X5" s="199"/>
      <c r="Y5" s="199"/>
      <c r="Z5" s="29"/>
      <c r="AA5" s="29"/>
    </row>
    <row r="6" spans="1:27" ht="14.25" customHeight="1" x14ac:dyDescent="0.25">
      <c r="A6" s="4"/>
      <c r="B6" s="4" t="s">
        <v>1</v>
      </c>
      <c r="C6" s="4"/>
      <c r="D6" s="4"/>
      <c r="E6" s="194" t="s">
        <v>2</v>
      </c>
      <c r="F6" s="194"/>
      <c r="G6" s="194"/>
      <c r="H6" s="5" t="s">
        <v>34</v>
      </c>
      <c r="I6" s="194" t="s">
        <v>3</v>
      </c>
      <c r="J6" s="194"/>
      <c r="K6" s="196" t="s">
        <v>80</v>
      </c>
      <c r="L6" s="196"/>
      <c r="M6" s="196"/>
      <c r="N6" s="5" t="s">
        <v>4</v>
      </c>
    </row>
    <row r="7" spans="1:27" x14ac:dyDescent="0.25">
      <c r="A7" s="6"/>
      <c r="B7" s="6"/>
      <c r="C7" s="6"/>
      <c r="D7" s="6"/>
      <c r="E7" s="6"/>
      <c r="F7" s="6"/>
      <c r="G7" s="6"/>
      <c r="H7" s="7" t="s">
        <v>33</v>
      </c>
      <c r="I7" s="195" t="s">
        <v>5</v>
      </c>
      <c r="J7" s="195"/>
      <c r="K7" s="8"/>
      <c r="L7" s="8"/>
      <c r="M7" s="8"/>
      <c r="N7" s="7" t="s">
        <v>6</v>
      </c>
    </row>
    <row r="8" spans="1:27" x14ac:dyDescent="0.25">
      <c r="A8" s="9"/>
      <c r="B8" s="9"/>
      <c r="C8" s="9"/>
      <c r="D8" s="9"/>
      <c r="E8" s="9"/>
      <c r="F8" s="9"/>
      <c r="G8" s="9"/>
      <c r="H8" s="30" t="s">
        <v>35</v>
      </c>
      <c r="I8" s="9"/>
      <c r="J8" s="9"/>
      <c r="K8" s="87">
        <v>41.2</v>
      </c>
      <c r="L8" s="87">
        <v>51.5</v>
      </c>
      <c r="M8" s="87">
        <v>61.8</v>
      </c>
      <c r="N8" s="32">
        <v>65</v>
      </c>
    </row>
    <row r="9" spans="1:27" x14ac:dyDescent="0.25">
      <c r="A9" s="11" t="s">
        <v>7</v>
      </c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1"/>
      <c r="S9" s="31"/>
    </row>
    <row r="10" spans="1:27" ht="15.6" x14ac:dyDescent="0.25">
      <c r="A10" s="1"/>
      <c r="B10" s="1"/>
      <c r="C10" s="88" t="s">
        <v>101</v>
      </c>
      <c r="D10" s="1"/>
      <c r="E10" s="1"/>
      <c r="F10" s="1"/>
      <c r="G10" s="1"/>
      <c r="H10" s="1"/>
      <c r="I10" s="39">
        <v>8.9499999999999993</v>
      </c>
      <c r="J10" s="1" t="s">
        <v>8</v>
      </c>
      <c r="K10" s="53">
        <f>+$I$10*K8</f>
        <v>368.74</v>
      </c>
      <c r="L10" s="53">
        <f>+$I$10*L8</f>
        <v>460.92499999999995</v>
      </c>
      <c r="M10" s="53">
        <f>+$I$10*M8</f>
        <v>553.1099999999999</v>
      </c>
      <c r="N10" s="54">
        <f>+$I$10*N8</f>
        <v>581.75</v>
      </c>
      <c r="O10" s="192"/>
      <c r="P10" s="55"/>
      <c r="Q10" s="191"/>
      <c r="R10" s="55"/>
    </row>
    <row r="11" spans="1:27" ht="15.6" x14ac:dyDescent="0.25">
      <c r="A11" s="1"/>
      <c r="B11" s="1"/>
      <c r="C11" s="88" t="s">
        <v>98</v>
      </c>
      <c r="D11" s="1"/>
      <c r="E11" s="1"/>
      <c r="F11" s="1"/>
      <c r="G11" s="1"/>
      <c r="H11" s="1"/>
      <c r="I11" s="105"/>
      <c r="J11" s="1"/>
      <c r="K11" s="53">
        <v>0</v>
      </c>
      <c r="L11" s="53">
        <v>0</v>
      </c>
      <c r="M11" s="53">
        <v>0</v>
      </c>
      <c r="N11" s="66">
        <v>0</v>
      </c>
      <c r="O11" s="55"/>
      <c r="P11" s="55"/>
      <c r="Q11" s="55"/>
      <c r="R11" s="55"/>
    </row>
    <row r="12" spans="1:27" x14ac:dyDescent="0.25">
      <c r="A12" s="1"/>
      <c r="B12" s="1"/>
      <c r="C12" s="88" t="s">
        <v>76</v>
      </c>
      <c r="D12" s="1"/>
      <c r="E12" s="1"/>
      <c r="F12" s="1"/>
      <c r="G12" s="1"/>
      <c r="H12" s="1"/>
      <c r="I12" s="105"/>
      <c r="J12" s="1"/>
      <c r="K12" s="53">
        <v>0</v>
      </c>
      <c r="L12" s="53">
        <v>0</v>
      </c>
      <c r="M12" s="53">
        <v>0</v>
      </c>
      <c r="N12" s="66">
        <v>0</v>
      </c>
    </row>
    <row r="13" spans="1:27" x14ac:dyDescent="0.25">
      <c r="A13" s="1"/>
      <c r="B13" s="104"/>
      <c r="C13" s="112" t="s">
        <v>160</v>
      </c>
      <c r="D13" s="104"/>
      <c r="E13" s="104"/>
      <c r="F13" s="105"/>
      <c r="G13" s="104"/>
      <c r="H13" s="104"/>
      <c r="I13" s="105"/>
      <c r="J13" s="104"/>
      <c r="K13" s="106">
        <v>0</v>
      </c>
      <c r="L13" s="106">
        <v>0</v>
      </c>
      <c r="M13" s="106">
        <v>0</v>
      </c>
      <c r="N13" s="66">
        <v>0</v>
      </c>
    </row>
    <row r="14" spans="1:27" x14ac:dyDescent="0.25">
      <c r="A14" s="1"/>
      <c r="B14" s="104"/>
      <c r="C14" s="104"/>
      <c r="D14" s="104"/>
      <c r="E14" s="110"/>
      <c r="F14" s="110"/>
      <c r="G14" s="110"/>
      <c r="H14" s="110"/>
      <c r="I14" s="111"/>
      <c r="J14" s="109"/>
      <c r="K14" s="107"/>
      <c r="L14" s="106"/>
      <c r="M14" s="106"/>
      <c r="N14" s="108"/>
    </row>
    <row r="15" spans="1:27" x14ac:dyDescent="0.25">
      <c r="A15" s="11" t="s">
        <v>26</v>
      </c>
      <c r="B15" s="1"/>
      <c r="C15" s="1"/>
      <c r="D15" s="1"/>
      <c r="E15" s="1"/>
      <c r="F15" s="1"/>
      <c r="G15" s="1"/>
      <c r="H15" s="1"/>
      <c r="I15" s="1"/>
      <c r="J15" s="1"/>
      <c r="K15" s="53">
        <f>SUM(K10:K13)</f>
        <v>368.74</v>
      </c>
      <c r="L15" s="53">
        <f>SUM(L10:L13)</f>
        <v>460.92499999999995</v>
      </c>
      <c r="M15" s="53">
        <f>SUM(M10:M13)</f>
        <v>553.1099999999999</v>
      </c>
      <c r="N15" s="54">
        <f>SUM(N10:N13)</f>
        <v>581.75</v>
      </c>
      <c r="O15" s="55"/>
      <c r="P15" s="55"/>
      <c r="Q15" s="55"/>
      <c r="R15" s="55"/>
    </row>
    <row r="16" spans="1:27" s="193" customFormat="1" ht="4.5" customHeight="1" x14ac:dyDescent="0.25">
      <c r="A16" s="11"/>
      <c r="B16" s="1"/>
      <c r="C16" s="1"/>
      <c r="D16" s="1"/>
      <c r="E16" s="1"/>
      <c r="F16" s="1"/>
      <c r="G16" s="1"/>
      <c r="H16" s="1"/>
      <c r="I16" s="1"/>
      <c r="J16" s="1"/>
      <c r="K16" s="53"/>
      <c r="L16" s="53"/>
      <c r="M16" s="53"/>
      <c r="N16" s="54"/>
      <c r="O16" s="55"/>
      <c r="P16" s="55"/>
      <c r="Q16" s="55"/>
      <c r="R16" s="55"/>
    </row>
    <row r="17" spans="1:21" x14ac:dyDescent="0.25">
      <c r="A17" s="11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8"/>
      <c r="O17" s="55"/>
      <c r="P17" s="55"/>
      <c r="Q17" s="55"/>
      <c r="R17" s="55"/>
    </row>
    <row r="18" spans="1:21" ht="15.6" x14ac:dyDescent="0.25">
      <c r="A18" s="1"/>
      <c r="B18" s="88" t="s">
        <v>99</v>
      </c>
      <c r="C18" s="1"/>
      <c r="D18" s="1"/>
      <c r="E18" s="1"/>
      <c r="F18" s="1">
        <v>170000</v>
      </c>
      <c r="G18" s="1" t="s">
        <v>30</v>
      </c>
      <c r="H18" s="40">
        <v>170000</v>
      </c>
      <c r="I18" s="61">
        <v>0.42799999999999999</v>
      </c>
      <c r="J18" s="3" t="s">
        <v>41</v>
      </c>
      <c r="K18" s="2">
        <f>$H$18/1000*$I$18</f>
        <v>72.760000000000005</v>
      </c>
      <c r="L18" s="2">
        <f t="shared" ref="L18:N18" si="0">$H$18/1000*$I$18</f>
        <v>72.760000000000005</v>
      </c>
      <c r="M18" s="2">
        <f t="shared" si="0"/>
        <v>72.760000000000005</v>
      </c>
      <c r="N18" s="36">
        <f t="shared" si="0"/>
        <v>72.760000000000005</v>
      </c>
      <c r="O18" s="120"/>
      <c r="P18" s="55"/>
      <c r="Q18" s="55"/>
      <c r="R18" s="55"/>
    </row>
    <row r="19" spans="1:21" ht="15.6" x14ac:dyDescent="0.25">
      <c r="A19" s="1"/>
      <c r="B19" s="88" t="s">
        <v>100</v>
      </c>
      <c r="C19" s="1"/>
      <c r="D19" s="1"/>
      <c r="E19" s="1"/>
      <c r="F19" s="1"/>
      <c r="G19" s="1" t="s">
        <v>42</v>
      </c>
      <c r="H19" s="42"/>
      <c r="I19" s="42"/>
      <c r="J19" s="3" t="s">
        <v>30</v>
      </c>
      <c r="K19" s="2"/>
      <c r="L19" s="2"/>
      <c r="M19" s="2"/>
      <c r="N19" s="28"/>
      <c r="O19" s="55"/>
      <c r="P19" s="55"/>
      <c r="Q19" s="55"/>
      <c r="R19" s="55"/>
    </row>
    <row r="20" spans="1:21" x14ac:dyDescent="0.25">
      <c r="A20" s="1"/>
      <c r="B20" s="1"/>
      <c r="C20" s="1" t="s">
        <v>10</v>
      </c>
      <c r="D20" s="1"/>
      <c r="E20" s="1">
        <f>K8*0.8</f>
        <v>32.96</v>
      </c>
      <c r="F20" s="1">
        <f>L8*0.8</f>
        <v>41.2</v>
      </c>
      <c r="G20" s="1">
        <f>M8*0.8</f>
        <v>49.44</v>
      </c>
      <c r="H20" s="40">
        <f>N8*0.8</f>
        <v>52</v>
      </c>
      <c r="I20" s="41">
        <f>F68/1040</f>
        <v>0.45192307692307693</v>
      </c>
      <c r="J20" s="1" t="s">
        <v>11</v>
      </c>
      <c r="K20" s="2">
        <f>+$I$20*E20</f>
        <v>14.895384615384616</v>
      </c>
      <c r="L20" s="2">
        <f>+$I$20*F20</f>
        <v>18.619230769230771</v>
      </c>
      <c r="M20" s="2">
        <f>+$I$20*G20</f>
        <v>22.343076923076922</v>
      </c>
      <c r="N20" s="36">
        <f>+$I$20*H20</f>
        <v>23.5</v>
      </c>
      <c r="O20" s="88"/>
      <c r="P20" s="88"/>
      <c r="Q20" s="179"/>
      <c r="R20" s="179"/>
    </row>
    <row r="21" spans="1:21" x14ac:dyDescent="0.25">
      <c r="A21" s="1"/>
      <c r="B21" s="1"/>
      <c r="C21" s="1" t="s">
        <v>12</v>
      </c>
      <c r="D21" s="1"/>
      <c r="E21" s="1">
        <f>(K8*1.08)</f>
        <v>44.496000000000009</v>
      </c>
      <c r="F21" s="1">
        <f>(L8*1.08)</f>
        <v>55.620000000000005</v>
      </c>
      <c r="G21" s="1">
        <f>(M8*1.08)</f>
        <v>66.744</v>
      </c>
      <c r="H21" s="40">
        <f>(N8*1.08)</f>
        <v>70.2</v>
      </c>
      <c r="I21" s="41">
        <f>J68/1200</f>
        <v>0.30833333333333335</v>
      </c>
      <c r="J21" s="1" t="s">
        <v>11</v>
      </c>
      <c r="K21" s="2">
        <f>+$I$21*E21</f>
        <v>13.719600000000003</v>
      </c>
      <c r="L21" s="2">
        <f>+$I$21*F21</f>
        <v>17.149500000000003</v>
      </c>
      <c r="M21" s="2">
        <f>+$I$21*G21</f>
        <v>20.5794</v>
      </c>
      <c r="N21" s="36">
        <f>+$I$21*H21</f>
        <v>21.645000000000003</v>
      </c>
      <c r="O21" s="88"/>
      <c r="P21" s="88"/>
      <c r="Q21" s="179"/>
      <c r="R21" s="179"/>
      <c r="T21" s="88"/>
    </row>
    <row r="22" spans="1:21" x14ac:dyDescent="0.25">
      <c r="A22" s="1"/>
      <c r="B22" s="1"/>
      <c r="C22" s="1" t="s">
        <v>13</v>
      </c>
      <c r="D22" s="1"/>
      <c r="E22" s="1"/>
      <c r="F22" s="1">
        <v>0.25</v>
      </c>
      <c r="G22" s="1"/>
      <c r="H22" s="40">
        <v>0.25</v>
      </c>
      <c r="I22" s="40">
        <v>25</v>
      </c>
      <c r="J22" s="1" t="s">
        <v>14</v>
      </c>
      <c r="K22" s="2">
        <f>+$F22*$I22</f>
        <v>6.25</v>
      </c>
      <c r="L22" s="2">
        <f>+$F22*$I22</f>
        <v>6.25</v>
      </c>
      <c r="M22" s="2">
        <f>+$F22*$I22</f>
        <v>6.25</v>
      </c>
      <c r="N22" s="36">
        <f>+$F22*$I22</f>
        <v>6.25</v>
      </c>
      <c r="O22" s="55"/>
      <c r="P22" s="88"/>
      <c r="Q22" s="179"/>
      <c r="R22" s="179"/>
      <c r="T22" s="88"/>
    </row>
    <row r="23" spans="1:21" ht="15.6" x14ac:dyDescent="0.25">
      <c r="A23" s="1"/>
      <c r="B23" s="88" t="s">
        <v>102</v>
      </c>
      <c r="C23" s="1"/>
      <c r="D23" s="1" t="s">
        <v>27</v>
      </c>
      <c r="E23" s="1"/>
      <c r="F23" s="1"/>
      <c r="G23" s="1"/>
      <c r="H23" s="1"/>
      <c r="I23" s="1"/>
      <c r="J23" s="1"/>
      <c r="K23" s="2">
        <v>41.99</v>
      </c>
      <c r="L23" s="2">
        <v>41.99</v>
      </c>
      <c r="M23" s="2">
        <v>41.99</v>
      </c>
      <c r="N23" s="37">
        <v>41.99</v>
      </c>
      <c r="O23" s="120"/>
      <c r="P23" s="88"/>
      <c r="Q23" s="179"/>
      <c r="R23" s="179"/>
    </row>
    <row r="24" spans="1:21" x14ac:dyDescent="0.25">
      <c r="A24" s="1"/>
      <c r="B24" s="1"/>
      <c r="C24" s="1"/>
      <c r="D24" s="1" t="s">
        <v>28</v>
      </c>
      <c r="E24" s="1"/>
      <c r="F24" s="1"/>
      <c r="G24" s="1"/>
      <c r="H24" s="1"/>
      <c r="I24" s="1"/>
      <c r="J24" s="1"/>
      <c r="K24" s="2">
        <v>0</v>
      </c>
      <c r="L24" s="2">
        <v>0</v>
      </c>
      <c r="M24" s="2">
        <v>0</v>
      </c>
      <c r="N24" s="37">
        <v>0</v>
      </c>
      <c r="O24" s="55"/>
      <c r="P24" s="88"/>
      <c r="Q24" s="179"/>
      <c r="R24" s="179"/>
    </row>
    <row r="25" spans="1:21" x14ac:dyDescent="0.25">
      <c r="A25" s="1"/>
      <c r="B25" s="1"/>
      <c r="C25" s="1"/>
      <c r="D25" s="1" t="s">
        <v>29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37">
        <v>0</v>
      </c>
      <c r="O25" s="55"/>
      <c r="P25" s="120"/>
      <c r="Q25" s="55"/>
      <c r="R25" s="120"/>
      <c r="T25" s="88"/>
    </row>
    <row r="26" spans="1:21" ht="15.6" x14ac:dyDescent="0.25">
      <c r="A26" s="1"/>
      <c r="B26" s="88" t="s">
        <v>141</v>
      </c>
      <c r="C26" s="1"/>
      <c r="D26" s="1"/>
      <c r="E26" s="12"/>
      <c r="F26" s="129">
        <v>0.17199999999999999</v>
      </c>
      <c r="G26" s="93" t="s">
        <v>110</v>
      </c>
      <c r="H26" s="88"/>
      <c r="I26" s="94">
        <v>30</v>
      </c>
      <c r="J26" s="88" t="s">
        <v>67</v>
      </c>
      <c r="K26" s="92">
        <f>K8*$F$26</f>
        <v>7.0864000000000003</v>
      </c>
      <c r="L26" s="92">
        <f>L8*$F$26</f>
        <v>8.8579999999999988</v>
      </c>
      <c r="M26" s="92">
        <f>M8*$F$26</f>
        <v>10.629599999999998</v>
      </c>
      <c r="N26" s="95">
        <f>N8*$F$26</f>
        <v>11.18</v>
      </c>
      <c r="O26" s="55"/>
      <c r="P26" s="88"/>
      <c r="Q26" s="55"/>
      <c r="R26" s="55"/>
      <c r="T26" s="88"/>
    </row>
    <row r="27" spans="1:21" ht="15.6" x14ac:dyDescent="0.25">
      <c r="A27" s="1"/>
      <c r="B27" s="88" t="s">
        <v>144</v>
      </c>
      <c r="C27" s="1"/>
      <c r="D27" s="1"/>
      <c r="E27" s="1"/>
      <c r="F27" s="1"/>
      <c r="G27" s="1"/>
      <c r="H27" s="1"/>
      <c r="I27" s="1"/>
      <c r="J27" s="1"/>
      <c r="K27" s="2">
        <f>'machinery costs'!$P$12</f>
        <v>11.577500000000001</v>
      </c>
      <c r="L27" s="2">
        <f>'machinery costs'!$P$12</f>
        <v>11.577500000000001</v>
      </c>
      <c r="M27" s="2">
        <f>'machinery costs'!$P$12</f>
        <v>11.577500000000001</v>
      </c>
      <c r="N27" s="36">
        <f>'machinery costs'!$P$12</f>
        <v>11.577500000000001</v>
      </c>
      <c r="O27" s="55"/>
      <c r="P27" s="120"/>
      <c r="Q27" s="55"/>
      <c r="R27" s="55"/>
    </row>
    <row r="28" spans="1:21" ht="15.6" x14ac:dyDescent="0.25">
      <c r="A28" s="1"/>
      <c r="B28" s="88" t="s">
        <v>145</v>
      </c>
      <c r="C28" s="1"/>
      <c r="D28" s="1"/>
      <c r="E28" s="1"/>
      <c r="F28" s="1"/>
      <c r="G28" s="1"/>
      <c r="H28" s="1"/>
      <c r="I28" s="1"/>
      <c r="J28" s="1"/>
      <c r="K28" s="2">
        <f>'machinery costs'!$N$10</f>
        <v>21.60279612402509</v>
      </c>
      <c r="L28" s="2">
        <f>'machinery costs'!$N$10</f>
        <v>21.60279612402509</v>
      </c>
      <c r="M28" s="2">
        <f>'machinery costs'!$N$10</f>
        <v>21.60279612402509</v>
      </c>
      <c r="N28" s="36">
        <f>'machinery costs'!$N$10</f>
        <v>21.60279612402509</v>
      </c>
      <c r="O28" s="55"/>
      <c r="P28" s="55"/>
      <c r="Q28" s="55"/>
      <c r="R28" s="55"/>
    </row>
    <row r="29" spans="1:21" ht="15.6" x14ac:dyDescent="0.25">
      <c r="A29" s="1"/>
      <c r="B29" s="88" t="s">
        <v>146</v>
      </c>
      <c r="C29" s="1"/>
      <c r="D29" s="1"/>
      <c r="E29" s="1"/>
      <c r="F29" s="1"/>
      <c r="G29" s="1"/>
      <c r="H29" s="1"/>
      <c r="I29" s="1"/>
      <c r="J29" s="1"/>
      <c r="K29" s="2">
        <v>7</v>
      </c>
      <c r="L29" s="2">
        <v>7.5</v>
      </c>
      <c r="M29" s="2">
        <v>8</v>
      </c>
      <c r="N29" s="37">
        <v>8</v>
      </c>
      <c r="O29" s="88"/>
      <c r="P29" s="55"/>
      <c r="Q29" s="55"/>
      <c r="R29" s="55"/>
    </row>
    <row r="30" spans="1:21" ht="15.6" x14ac:dyDescent="0.25">
      <c r="A30" s="1"/>
      <c r="B30" s="88" t="s">
        <v>147</v>
      </c>
      <c r="C30" s="1"/>
      <c r="D30" s="1"/>
      <c r="E30" s="1"/>
      <c r="F30" s="1"/>
      <c r="G30" s="1"/>
      <c r="H30" s="1"/>
      <c r="I30" s="1"/>
      <c r="J30" s="1"/>
      <c r="K30" s="2">
        <v>3.4</v>
      </c>
      <c r="L30" s="2">
        <v>3.4</v>
      </c>
      <c r="M30" s="2">
        <v>3.4</v>
      </c>
      <c r="N30" s="37">
        <v>3.4</v>
      </c>
      <c r="O30" s="88"/>
      <c r="P30" s="55"/>
      <c r="Q30" s="55"/>
      <c r="R30" s="55"/>
    </row>
    <row r="31" spans="1:21" s="128" customFormat="1" ht="15.6" x14ac:dyDescent="0.25">
      <c r="A31" s="1"/>
      <c r="B31" s="88" t="s">
        <v>133</v>
      </c>
      <c r="C31" s="1"/>
      <c r="D31" s="1"/>
      <c r="E31" s="1"/>
      <c r="F31" s="1"/>
      <c r="G31" s="1"/>
      <c r="H31" s="1"/>
      <c r="I31" s="1"/>
      <c r="J31" s="1"/>
      <c r="K31" s="2">
        <v>6.3</v>
      </c>
      <c r="L31" s="2">
        <v>6.3</v>
      </c>
      <c r="M31" s="2">
        <v>6.3</v>
      </c>
      <c r="N31" s="37">
        <v>6.3</v>
      </c>
      <c r="O31" s="55"/>
      <c r="P31" s="120"/>
      <c r="Q31" s="55"/>
      <c r="R31" s="55"/>
      <c r="S31" s="180"/>
      <c r="T31" s="180"/>
      <c r="U31" s="180"/>
    </row>
    <row r="32" spans="1:21" s="128" customFormat="1" ht="15.6" x14ac:dyDescent="0.25">
      <c r="A32" s="1"/>
      <c r="B32" s="88" t="s">
        <v>148</v>
      </c>
      <c r="C32" s="1"/>
      <c r="D32" s="1"/>
      <c r="E32" s="1"/>
      <c r="F32" s="1"/>
      <c r="G32" s="1"/>
      <c r="H32" s="1"/>
      <c r="I32" s="1"/>
      <c r="J32" s="1"/>
      <c r="K32" s="2">
        <v>0</v>
      </c>
      <c r="L32" s="2">
        <v>0</v>
      </c>
      <c r="M32" s="2">
        <v>0</v>
      </c>
      <c r="N32" s="37">
        <v>0</v>
      </c>
      <c r="O32" s="55"/>
      <c r="P32" s="55"/>
      <c r="Q32" s="55"/>
      <c r="R32" s="55"/>
    </row>
    <row r="33" spans="1:18" ht="15.6" x14ac:dyDescent="0.25">
      <c r="A33" s="1"/>
      <c r="B33" s="88" t="s">
        <v>149</v>
      </c>
      <c r="C33" s="1"/>
      <c r="D33" s="1"/>
      <c r="E33" s="1"/>
      <c r="F33" s="43">
        <v>6</v>
      </c>
      <c r="G33" s="1" t="s">
        <v>15</v>
      </c>
      <c r="H33" s="1"/>
      <c r="I33" s="44">
        <v>5.5E-2</v>
      </c>
      <c r="J33" s="1"/>
      <c r="K33" s="2">
        <f>(SUM(K18:K32)-K26-K29)*$I$33*($F$33/12)</f>
        <v>5.2936202203337679</v>
      </c>
      <c r="L33" s="2">
        <f t="shared" ref="L33:N33" si="1">(SUM(L18:L32)-L26-L29)*$I$33*($F$33/12)</f>
        <v>5.4903482395645362</v>
      </c>
      <c r="M33" s="2">
        <f t="shared" si="1"/>
        <v>5.6870762587953063</v>
      </c>
      <c r="N33" s="2">
        <f t="shared" si="1"/>
        <v>5.7481956434106909</v>
      </c>
      <c r="O33" s="55"/>
      <c r="P33" s="55"/>
      <c r="Q33" s="55"/>
      <c r="R33" s="55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14"/>
      <c r="L34" s="114"/>
      <c r="M34" s="114"/>
      <c r="N34" s="115"/>
      <c r="O34" s="55"/>
      <c r="P34" s="55"/>
      <c r="Q34" s="55"/>
      <c r="R34" s="55"/>
    </row>
    <row r="35" spans="1:18" x14ac:dyDescent="0.25">
      <c r="A35" s="11" t="s">
        <v>16</v>
      </c>
      <c r="B35" s="1"/>
      <c r="C35" s="1"/>
      <c r="D35" s="1"/>
      <c r="E35" s="1"/>
      <c r="F35" s="15" t="s">
        <v>22</v>
      </c>
      <c r="G35" s="1"/>
      <c r="H35" s="1"/>
      <c r="I35" s="1"/>
      <c r="J35" s="1"/>
      <c r="K35" s="2">
        <f>SUM(K18:K34)</f>
        <v>211.8753009597435</v>
      </c>
      <c r="L35" s="2">
        <f>SUM(L18:L34)</f>
        <v>221.49737513282039</v>
      </c>
      <c r="M35" s="2">
        <f>SUM(M18:M34)</f>
        <v>231.11944930589738</v>
      </c>
      <c r="N35" s="36">
        <f>SUM(N18:N34)</f>
        <v>233.95349176743582</v>
      </c>
      <c r="O35" s="55"/>
      <c r="P35" s="55"/>
      <c r="Q35" s="55"/>
      <c r="R35" s="55"/>
    </row>
    <row r="36" spans="1:18" x14ac:dyDescent="0.25">
      <c r="A36" s="1"/>
      <c r="B36" s="1"/>
      <c r="C36" s="1"/>
      <c r="D36" s="1"/>
      <c r="E36" s="1"/>
      <c r="F36" s="15" t="s">
        <v>23</v>
      </c>
      <c r="G36" s="1"/>
      <c r="H36" s="1"/>
      <c r="I36" s="1"/>
      <c r="J36" s="1"/>
      <c r="K36" s="14">
        <f>+K35/K8</f>
        <v>5.1426043922267839</v>
      </c>
      <c r="L36" s="14">
        <f>+L35/L8</f>
        <v>4.300919905491658</v>
      </c>
      <c r="M36" s="14">
        <f>+M35/M8</f>
        <v>3.7397969143349092</v>
      </c>
      <c r="N36" s="38">
        <f>+N35/N8</f>
        <v>3.5992844887297819</v>
      </c>
      <c r="O36" s="55"/>
      <c r="P36" s="55"/>
      <c r="Q36" s="55"/>
      <c r="R36" s="55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3"/>
      <c r="L37" s="13"/>
      <c r="M37" s="13"/>
      <c r="N37" s="11"/>
      <c r="O37" s="55"/>
      <c r="P37" s="55"/>
      <c r="Q37" s="55"/>
      <c r="R37" s="55"/>
    </row>
    <row r="38" spans="1:18" x14ac:dyDescent="0.25">
      <c r="A38" s="11" t="s">
        <v>17</v>
      </c>
      <c r="B38" s="1"/>
      <c r="C38" s="1"/>
      <c r="D38" s="1"/>
      <c r="E38" s="1"/>
      <c r="F38" s="1"/>
      <c r="G38" s="1"/>
      <c r="H38" s="1"/>
      <c r="I38" s="1"/>
      <c r="J38" s="1"/>
      <c r="K38" s="13"/>
      <c r="L38" s="13"/>
      <c r="M38" s="13"/>
      <c r="N38" s="11"/>
      <c r="O38" s="55"/>
      <c r="P38" s="55"/>
      <c r="Q38" s="55"/>
      <c r="R38" s="55"/>
    </row>
    <row r="39" spans="1:18" ht="15.6" x14ac:dyDescent="0.25">
      <c r="A39" s="1"/>
      <c r="B39" s="88" t="s">
        <v>150</v>
      </c>
      <c r="C39" s="1"/>
      <c r="D39" s="1"/>
      <c r="E39" s="1"/>
      <c r="F39" s="40">
        <v>1.5</v>
      </c>
      <c r="G39" s="1" t="s">
        <v>18</v>
      </c>
      <c r="H39" s="1"/>
      <c r="I39" s="41">
        <v>15</v>
      </c>
      <c r="J39" s="1" t="s">
        <v>19</v>
      </c>
      <c r="K39" s="53">
        <f>+$F$39*$I$39</f>
        <v>22.5</v>
      </c>
      <c r="L39" s="53">
        <f>+$F$39*$I$39</f>
        <v>22.5</v>
      </c>
      <c r="M39" s="53">
        <f>+$F$39*$I$39</f>
        <v>22.5</v>
      </c>
      <c r="N39" s="54">
        <f>+$F$39*$I$39</f>
        <v>22.5</v>
      </c>
      <c r="O39" s="55"/>
      <c r="P39" s="55"/>
      <c r="Q39" s="55"/>
      <c r="R39" s="55"/>
    </row>
    <row r="40" spans="1:18" ht="15.6" x14ac:dyDescent="0.25">
      <c r="A40" s="1"/>
      <c r="B40" s="88" t="s">
        <v>134</v>
      </c>
      <c r="C40" s="1"/>
      <c r="D40" s="1"/>
      <c r="E40" s="1"/>
      <c r="F40" s="45">
        <v>0.05</v>
      </c>
      <c r="G40" s="1" t="s">
        <v>36</v>
      </c>
      <c r="H40" s="1"/>
      <c r="I40" s="1"/>
      <c r="J40" s="1"/>
      <c r="K40" s="89">
        <f>$F$40*K15</f>
        <v>18.437000000000001</v>
      </c>
      <c r="L40" s="89">
        <f>$F$40*L15</f>
        <v>23.046250000000001</v>
      </c>
      <c r="M40" s="89">
        <f>$F$40*M15</f>
        <v>27.655499999999996</v>
      </c>
      <c r="N40" s="90">
        <f>$F$40*N15</f>
        <v>29.087500000000002</v>
      </c>
      <c r="O40" s="55"/>
      <c r="P40" s="55"/>
      <c r="Q40" s="55"/>
      <c r="R40" s="55"/>
    </row>
    <row r="41" spans="1:18" ht="15.6" x14ac:dyDescent="0.25">
      <c r="A41" s="1"/>
      <c r="B41" s="88" t="s">
        <v>151</v>
      </c>
      <c r="C41" s="1"/>
      <c r="D41" s="1"/>
      <c r="E41" s="1"/>
      <c r="F41" s="1"/>
      <c r="G41" s="1"/>
      <c r="H41" s="1"/>
      <c r="I41" s="1"/>
      <c r="J41" s="1"/>
      <c r="K41" s="2">
        <f>'machinery costs'!$M$11</f>
        <v>59.195797899319871</v>
      </c>
      <c r="L41" s="2">
        <f>'machinery costs'!$M$11</f>
        <v>59.195797899319871</v>
      </c>
      <c r="M41" s="2">
        <f>'machinery costs'!$M$11</f>
        <v>59.195797899319871</v>
      </c>
      <c r="N41" s="2">
        <f>'machinery costs'!$M$11</f>
        <v>59.195797899319871</v>
      </c>
      <c r="O41" s="55"/>
      <c r="P41" s="55"/>
      <c r="Q41" s="55"/>
      <c r="R41" s="55"/>
    </row>
    <row r="42" spans="1:18" ht="15.6" x14ac:dyDescent="0.25">
      <c r="A42" s="1"/>
      <c r="B42" s="88" t="s">
        <v>135</v>
      </c>
      <c r="C42" s="1"/>
      <c r="D42" s="1"/>
      <c r="E42" s="1"/>
      <c r="F42" s="1"/>
      <c r="G42" s="1"/>
      <c r="H42" s="1"/>
      <c r="I42" s="1"/>
      <c r="J42" s="1"/>
      <c r="K42" s="53">
        <v>145</v>
      </c>
      <c r="L42" s="53">
        <v>187</v>
      </c>
      <c r="M42" s="53">
        <v>235</v>
      </c>
      <c r="N42" s="56">
        <v>235</v>
      </c>
      <c r="O42" s="55"/>
      <c r="P42" s="55"/>
      <c r="Q42" s="55"/>
      <c r="R42" s="55"/>
    </row>
    <row r="43" spans="1:18" ht="15.6" x14ac:dyDescent="0.25">
      <c r="A43" s="1"/>
      <c r="B43" s="88" t="s">
        <v>136</v>
      </c>
      <c r="K43" s="16">
        <v>14.7</v>
      </c>
      <c r="L43" s="16">
        <v>14.7</v>
      </c>
      <c r="M43" s="16">
        <v>14.7</v>
      </c>
      <c r="N43" s="113">
        <v>14.7</v>
      </c>
      <c r="O43" s="120"/>
      <c r="P43" s="55"/>
      <c r="Q43" s="55"/>
      <c r="R43" s="55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57"/>
      <c r="L44" s="57"/>
      <c r="M44" s="57"/>
      <c r="N44" s="58"/>
      <c r="O44" s="55"/>
      <c r="P44" s="55"/>
      <c r="Q44" s="55"/>
      <c r="R44" s="55"/>
    </row>
    <row r="45" spans="1:18" x14ac:dyDescent="0.25">
      <c r="A45" s="11" t="s">
        <v>20</v>
      </c>
      <c r="B45" s="1"/>
      <c r="C45" s="1"/>
      <c r="D45" s="1"/>
      <c r="E45" s="1"/>
      <c r="F45" s="1"/>
      <c r="G45" s="1"/>
      <c r="H45" s="1"/>
      <c r="I45" s="1"/>
      <c r="J45" s="1"/>
      <c r="K45" s="53">
        <f>SUM(K39:K44)</f>
        <v>259.83279789931987</v>
      </c>
      <c r="L45" s="53">
        <f>SUM(L39:L44)</f>
        <v>306.44204789931985</v>
      </c>
      <c r="M45" s="53">
        <f>SUM(M39:M44)</f>
        <v>359.05129789931988</v>
      </c>
      <c r="N45" s="54">
        <f>SUM(N39:N44)</f>
        <v>360.48329789931989</v>
      </c>
      <c r="O45" s="55"/>
      <c r="P45" s="55"/>
      <c r="Q45" s="55"/>
      <c r="R45" s="55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53"/>
      <c r="L46" s="53"/>
      <c r="M46" s="53"/>
      <c r="N46" s="59"/>
      <c r="O46" s="55"/>
      <c r="P46" s="55"/>
      <c r="Q46" s="55"/>
      <c r="R46" s="55"/>
    </row>
    <row r="47" spans="1:18" x14ac:dyDescent="0.25">
      <c r="A47" s="11" t="s">
        <v>21</v>
      </c>
      <c r="B47" s="1"/>
      <c r="C47" s="1"/>
      <c r="D47" s="1"/>
      <c r="E47" s="1"/>
      <c r="F47" s="15" t="s">
        <v>22</v>
      </c>
      <c r="G47" s="1"/>
      <c r="H47" s="1"/>
      <c r="I47" s="1"/>
      <c r="J47" s="1"/>
      <c r="K47" s="53">
        <f>+K35+K45</f>
        <v>471.7080988590634</v>
      </c>
      <c r="L47" s="53">
        <f>+L35+L45</f>
        <v>527.93942303214021</v>
      </c>
      <c r="M47" s="53">
        <f>+M35+M45</f>
        <v>590.17074720521725</v>
      </c>
      <c r="N47" s="54">
        <f>+N35+N45</f>
        <v>594.43678966675566</v>
      </c>
      <c r="O47" s="55"/>
      <c r="P47" s="55"/>
      <c r="Q47" s="55"/>
      <c r="R47" s="55"/>
    </row>
    <row r="48" spans="1:18" x14ac:dyDescent="0.25">
      <c r="A48" s="11"/>
      <c r="B48" s="1"/>
      <c r="C48" s="1"/>
      <c r="D48" s="1"/>
      <c r="E48" s="1"/>
      <c r="F48" s="15" t="s">
        <v>23</v>
      </c>
      <c r="G48" s="1"/>
      <c r="H48" s="1"/>
      <c r="I48" s="1"/>
      <c r="J48" s="1"/>
      <c r="K48" s="53">
        <f>+K47/K8</f>
        <v>11.449225700462703</v>
      </c>
      <c r="L48" s="53">
        <f>+L47/L8</f>
        <v>10.251250932662916</v>
      </c>
      <c r="M48" s="53">
        <f>+M47/M8</f>
        <v>9.5496884661038397</v>
      </c>
      <c r="N48" s="54">
        <f>+N47/N8</f>
        <v>9.1451813794885481</v>
      </c>
      <c r="O48" s="55"/>
      <c r="P48" s="55"/>
      <c r="Q48" s="55"/>
      <c r="R48" s="55"/>
    </row>
    <row r="49" spans="1:18" ht="4.9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53"/>
      <c r="L49" s="53"/>
      <c r="M49" s="53"/>
      <c r="N49" s="59"/>
      <c r="O49" s="55"/>
      <c r="P49" s="55"/>
      <c r="Q49" s="55"/>
      <c r="R49" s="55"/>
    </row>
    <row r="50" spans="1:18" ht="15.6" x14ac:dyDescent="0.25">
      <c r="A50" s="4" t="s">
        <v>137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2">
        <f>+K15-K35</f>
        <v>156.86469904025651</v>
      </c>
      <c r="L50" s="182">
        <f>+L15-L35</f>
        <v>239.42762486717956</v>
      </c>
      <c r="M50" s="182">
        <f>+M15-M35</f>
        <v>321.99055069410252</v>
      </c>
      <c r="N50" s="183">
        <f>+N15-N35</f>
        <v>347.79650823256418</v>
      </c>
      <c r="O50" s="55"/>
      <c r="P50" s="55"/>
      <c r="Q50" s="55"/>
      <c r="R50" s="55"/>
    </row>
    <row r="51" spans="1:18" x14ac:dyDescent="0.25">
      <c r="A51" s="11" t="s">
        <v>104</v>
      </c>
      <c r="B51" s="1"/>
      <c r="C51" s="1"/>
      <c r="D51" s="1"/>
      <c r="E51" s="1"/>
      <c r="F51" s="1"/>
      <c r="G51" s="1"/>
      <c r="H51" s="1"/>
      <c r="I51" s="1"/>
      <c r="J51" s="1"/>
      <c r="K51" s="120">
        <f>K15-(K35+K42)</f>
        <v>11.864699040256482</v>
      </c>
      <c r="L51" s="120">
        <f>L15-(L35+L42)</f>
        <v>52.427624867179588</v>
      </c>
      <c r="M51" s="120">
        <f>M15-(M35+M42)</f>
        <v>86.990550694102524</v>
      </c>
      <c r="N51" s="120">
        <f>N15-(N35+N42)</f>
        <v>112.79650823256418</v>
      </c>
      <c r="O51" s="55"/>
      <c r="P51" s="55"/>
      <c r="Q51" s="55"/>
      <c r="R51" s="55"/>
    </row>
    <row r="52" spans="1:18" x14ac:dyDescent="0.25">
      <c r="A52" s="6" t="s">
        <v>24</v>
      </c>
      <c r="B52" s="10"/>
      <c r="C52" s="10"/>
      <c r="D52" s="10"/>
      <c r="E52" s="10"/>
      <c r="F52" s="10"/>
      <c r="G52" s="10"/>
      <c r="H52" s="10"/>
      <c r="I52" s="10"/>
      <c r="J52" s="10"/>
      <c r="K52" s="89">
        <f>+K15-K47</f>
        <v>-102.96809885906339</v>
      </c>
      <c r="L52" s="89">
        <f>+L15-L47</f>
        <v>-67.014423032140257</v>
      </c>
      <c r="M52" s="89">
        <f>+M15-M47</f>
        <v>-37.060747205217353</v>
      </c>
      <c r="N52" s="121">
        <f>+N15-N47</f>
        <v>-12.686789666755658</v>
      </c>
      <c r="O52" s="55"/>
      <c r="P52" s="55"/>
      <c r="Q52" s="55"/>
      <c r="R52" s="55"/>
    </row>
    <row r="53" spans="1:18" x14ac:dyDescent="0.25">
      <c r="A53" s="4" t="s">
        <v>44</v>
      </c>
      <c r="B53" s="181"/>
      <c r="C53" s="181"/>
      <c r="D53" s="181"/>
      <c r="E53" s="181"/>
      <c r="F53" s="181"/>
      <c r="G53" s="181"/>
      <c r="H53" s="181"/>
      <c r="I53" s="181"/>
      <c r="J53" s="181"/>
      <c r="K53" s="182">
        <f>K52+K42</f>
        <v>42.031901140936611</v>
      </c>
      <c r="L53" s="182">
        <f>L52+L42</f>
        <v>119.98557696785974</v>
      </c>
      <c r="M53" s="182">
        <f>M52+M42</f>
        <v>197.93925279478265</v>
      </c>
      <c r="N53" s="182">
        <f>N52+N42</f>
        <v>222.31321033324434</v>
      </c>
      <c r="O53" s="55"/>
      <c r="P53" s="55"/>
      <c r="Q53" s="55"/>
      <c r="R53" s="55"/>
    </row>
    <row r="54" spans="1:18" x14ac:dyDescent="0.25">
      <c r="A54" s="11" t="s">
        <v>103</v>
      </c>
      <c r="B54" s="10"/>
      <c r="C54" s="10"/>
      <c r="D54" s="10"/>
      <c r="E54" s="10"/>
      <c r="F54" s="10"/>
      <c r="G54" s="10"/>
      <c r="H54" s="10"/>
      <c r="I54" s="10"/>
      <c r="J54" s="10"/>
      <c r="K54" s="89">
        <f>K52+K40+K39</f>
        <v>-62.031098859063391</v>
      </c>
      <c r="L54" s="89">
        <f>L52+L40+L39</f>
        <v>-21.468173032140257</v>
      </c>
      <c r="M54" s="89">
        <f>M52+M40+M39</f>
        <v>13.094752794782643</v>
      </c>
      <c r="N54" s="89">
        <f>N52+N40+N39</f>
        <v>38.900710333244348</v>
      </c>
      <c r="O54" s="55"/>
      <c r="P54" s="55"/>
      <c r="Q54" s="55"/>
      <c r="R54" s="55"/>
    </row>
    <row r="55" spans="1:18" x14ac:dyDescent="0.25">
      <c r="A55" s="9" t="s">
        <v>72</v>
      </c>
      <c r="B55" s="100"/>
      <c r="C55" s="100"/>
      <c r="D55" s="100"/>
      <c r="E55" s="100"/>
      <c r="F55" s="100"/>
      <c r="G55" s="9"/>
      <c r="H55" s="101"/>
      <c r="I55" s="100"/>
      <c r="J55" s="100"/>
      <c r="K55" s="103">
        <f>K52+K39+K40+K42</f>
        <v>82.968901140936609</v>
      </c>
      <c r="L55" s="102">
        <f>L52+L39+L40+L42</f>
        <v>165.53182696785973</v>
      </c>
      <c r="M55" s="102">
        <f>M52+M39+M40+M42</f>
        <v>248.09475279478264</v>
      </c>
      <c r="N55" s="102">
        <f>N52+N39+N40+N42</f>
        <v>273.90071033324432</v>
      </c>
      <c r="O55" s="55"/>
      <c r="P55" s="55"/>
      <c r="Q55" s="55"/>
      <c r="R55" s="55"/>
    </row>
    <row r="56" spans="1:18" x14ac:dyDescent="0.25">
      <c r="A56" s="18" t="s">
        <v>37</v>
      </c>
      <c r="B56" s="18"/>
      <c r="C56" s="18"/>
      <c r="D56" s="33"/>
      <c r="E56" s="18"/>
      <c r="F56" s="18"/>
      <c r="G56" s="18"/>
      <c r="H56" s="18"/>
      <c r="I56" s="18"/>
      <c r="J56" s="18"/>
      <c r="K56" s="18"/>
      <c r="L56" s="19"/>
      <c r="M56" s="19"/>
      <c r="N56" s="10"/>
      <c r="P56" s="18"/>
    </row>
    <row r="57" spans="1:18" x14ac:dyDescent="0.25">
      <c r="B57" s="18" t="s">
        <v>38</v>
      </c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9"/>
      <c r="N57" s="10"/>
    </row>
    <row r="58" spans="1:18" x14ac:dyDescent="0.25">
      <c r="A58" s="18" t="s">
        <v>74</v>
      </c>
      <c r="B58" s="18"/>
      <c r="C58" s="18"/>
      <c r="D58" s="34"/>
      <c r="E58" s="27"/>
      <c r="F58" s="18"/>
      <c r="G58" s="18"/>
      <c r="H58" s="18"/>
      <c r="I58" s="18"/>
      <c r="J58" s="18"/>
      <c r="K58" s="18"/>
      <c r="L58" s="19"/>
      <c r="M58" s="19"/>
      <c r="N58" s="10"/>
    </row>
    <row r="59" spans="1:18" x14ac:dyDescent="0.25">
      <c r="A59" s="18"/>
      <c r="B59" s="18" t="s">
        <v>39</v>
      </c>
      <c r="C59" s="18"/>
      <c r="D59" s="27"/>
      <c r="E59" s="27"/>
      <c r="F59" s="18"/>
      <c r="G59" s="18"/>
      <c r="H59" s="18"/>
      <c r="I59" s="18"/>
      <c r="J59" s="18"/>
      <c r="K59" s="18"/>
      <c r="L59" s="19"/>
      <c r="M59" s="19"/>
      <c r="N59" s="10"/>
    </row>
    <row r="60" spans="1:18" x14ac:dyDescent="0.25">
      <c r="A60" s="18" t="s">
        <v>40</v>
      </c>
      <c r="B60" s="18"/>
      <c r="C60" s="18"/>
      <c r="D60" s="35"/>
      <c r="E60" s="18"/>
      <c r="F60" s="18"/>
      <c r="G60" s="18"/>
      <c r="H60" s="18"/>
      <c r="I60" s="18"/>
      <c r="J60" s="18"/>
      <c r="K60" s="18"/>
      <c r="L60" s="19"/>
      <c r="M60" s="19"/>
      <c r="N60" s="10"/>
    </row>
    <row r="61" spans="1:18" ht="13.8" x14ac:dyDescent="0.25">
      <c r="A61" s="17">
        <v>1</v>
      </c>
      <c r="B61" s="18" t="s">
        <v>73</v>
      </c>
      <c r="C61" s="18"/>
      <c r="D61" s="18"/>
      <c r="E61" s="18"/>
      <c r="F61" s="18"/>
      <c r="G61" s="18"/>
      <c r="H61" s="18"/>
      <c r="I61" s="18"/>
      <c r="J61" s="18"/>
      <c r="K61" s="19"/>
      <c r="L61" s="19"/>
      <c r="M61" s="19"/>
      <c r="N61" s="1"/>
    </row>
    <row r="62" spans="1:18" ht="13.8" x14ac:dyDescent="0.25">
      <c r="A62" s="17"/>
      <c r="B62" s="18" t="s">
        <v>155</v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"/>
    </row>
    <row r="63" spans="1:18" ht="13.8" x14ac:dyDescent="0.25">
      <c r="A63" s="17">
        <v>2</v>
      </c>
      <c r="B63" s="18" t="s">
        <v>159</v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"/>
    </row>
    <row r="64" spans="1:18" ht="13.8" x14ac:dyDescent="0.25">
      <c r="A64" s="17">
        <v>3</v>
      </c>
      <c r="B64" s="18" t="s">
        <v>69</v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8"/>
    </row>
    <row r="65" spans="1:14" ht="13.8" x14ac:dyDescent="0.25">
      <c r="A65" s="17">
        <v>4</v>
      </c>
      <c r="B65" s="18" t="s">
        <v>81</v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8"/>
    </row>
    <row r="66" spans="1:14" ht="13.8" x14ac:dyDescent="0.25">
      <c r="A66" s="17"/>
      <c r="B66" s="18"/>
      <c r="C66" s="18" t="s">
        <v>82</v>
      </c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8"/>
    </row>
    <row r="67" spans="1:14" ht="13.8" x14ac:dyDescent="0.25">
      <c r="A67" s="17"/>
      <c r="B67" s="18"/>
      <c r="C67" s="18" t="s">
        <v>83</v>
      </c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8"/>
    </row>
    <row r="68" spans="1:14" ht="13.8" x14ac:dyDescent="0.25">
      <c r="A68" s="17"/>
      <c r="B68" s="18"/>
      <c r="C68" s="18" t="s">
        <v>46</v>
      </c>
      <c r="D68" s="18"/>
      <c r="E68" s="18"/>
      <c r="F68" s="33">
        <v>470</v>
      </c>
      <c r="G68" s="62" t="s">
        <v>45</v>
      </c>
      <c r="H68" s="18" t="s">
        <v>47</v>
      </c>
      <c r="I68" s="27"/>
      <c r="J68" s="65">
        <v>370</v>
      </c>
      <c r="K68" s="62" t="s">
        <v>45</v>
      </c>
      <c r="L68" s="19"/>
      <c r="M68" s="64"/>
      <c r="N68" s="63"/>
    </row>
    <row r="69" spans="1:14" ht="13.8" x14ac:dyDescent="0.25">
      <c r="A69" s="17">
        <v>5</v>
      </c>
      <c r="B69" s="18" t="s">
        <v>153</v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8"/>
    </row>
    <row r="70" spans="1:14" ht="13.8" x14ac:dyDescent="0.25">
      <c r="A70" s="17"/>
      <c r="B70" s="18"/>
      <c r="C70" s="18" t="s">
        <v>106</v>
      </c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8"/>
    </row>
    <row r="71" spans="1:14" ht="13.8" x14ac:dyDescent="0.25">
      <c r="A71" s="17"/>
      <c r="B71" s="18"/>
      <c r="C71" s="18" t="s">
        <v>25</v>
      </c>
      <c r="D71" s="18"/>
      <c r="E71" s="18"/>
      <c r="F71" s="18"/>
      <c r="G71" s="18"/>
      <c r="H71" s="18"/>
      <c r="I71" s="18"/>
      <c r="J71" s="18"/>
      <c r="K71" s="19"/>
      <c r="L71" s="19"/>
      <c r="M71" s="19"/>
      <c r="N71" s="18"/>
    </row>
    <row r="72" spans="1:14" ht="13.8" x14ac:dyDescent="0.25">
      <c r="A72" s="17"/>
      <c r="B72" s="18"/>
      <c r="C72" s="18" t="s">
        <v>107</v>
      </c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8"/>
    </row>
    <row r="73" spans="1:14" ht="13.8" x14ac:dyDescent="0.25">
      <c r="A73" s="118">
        <v>6</v>
      </c>
      <c r="B73" s="119" t="s">
        <v>152</v>
      </c>
      <c r="C73" s="119"/>
      <c r="D73" s="119"/>
      <c r="E73" s="119"/>
      <c r="F73" s="18"/>
      <c r="G73" s="18"/>
      <c r="H73" s="18"/>
      <c r="I73" s="18"/>
      <c r="J73" s="18"/>
      <c r="K73" s="19"/>
      <c r="L73" s="19"/>
      <c r="M73" s="19"/>
      <c r="N73" s="18"/>
    </row>
    <row r="74" spans="1:14" ht="13.8" x14ac:dyDescent="0.25">
      <c r="A74" s="17">
        <v>7</v>
      </c>
      <c r="B74" s="18" t="s">
        <v>138</v>
      </c>
      <c r="C74" s="18"/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8"/>
    </row>
    <row r="75" spans="1:14" ht="13.8" x14ac:dyDescent="0.25">
      <c r="A75" s="17">
        <v>8</v>
      </c>
      <c r="B75" s="18" t="s">
        <v>156</v>
      </c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8"/>
    </row>
    <row r="76" spans="1:14" ht="13.8" x14ac:dyDescent="0.25">
      <c r="A76" s="17">
        <v>9</v>
      </c>
      <c r="B76" s="18" t="s">
        <v>78</v>
      </c>
      <c r="C76" s="18"/>
      <c r="D76" s="18"/>
      <c r="E76" s="18"/>
      <c r="F76" s="18"/>
      <c r="G76" s="18"/>
      <c r="H76" s="18"/>
      <c r="I76" s="18"/>
      <c r="J76" s="18"/>
      <c r="K76" s="19"/>
      <c r="L76" s="19"/>
      <c r="M76" s="19"/>
      <c r="N76" s="18"/>
    </row>
    <row r="77" spans="1:14" ht="13.8" x14ac:dyDescent="0.25">
      <c r="A77" s="17">
        <v>10</v>
      </c>
      <c r="B77" s="18" t="s">
        <v>84</v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8"/>
    </row>
    <row r="78" spans="1:14" ht="13.8" x14ac:dyDescent="0.25">
      <c r="A78" s="17"/>
      <c r="B78" s="18"/>
      <c r="C78" s="18" t="s">
        <v>140</v>
      </c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8"/>
    </row>
    <row r="79" spans="1:14" s="179" customFormat="1" ht="13.8" x14ac:dyDescent="0.25">
      <c r="A79" s="17">
        <v>11</v>
      </c>
      <c r="B79" s="18" t="s">
        <v>154</v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8"/>
    </row>
    <row r="80" spans="1:14" ht="13.8" x14ac:dyDescent="0.25">
      <c r="A80" s="17">
        <v>12</v>
      </c>
      <c r="B80" s="18" t="s">
        <v>85</v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8"/>
    </row>
    <row r="81" spans="1:14" x14ac:dyDescent="0.25">
      <c r="A81" s="18"/>
      <c r="B81" s="18"/>
      <c r="C81" s="18" t="s">
        <v>86</v>
      </c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8"/>
    </row>
    <row r="82" spans="1:14" ht="13.8" x14ac:dyDescent="0.25">
      <c r="A82" s="17"/>
      <c r="C82" s="18" t="s">
        <v>87</v>
      </c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8"/>
    </row>
    <row r="83" spans="1:14" s="179" customFormat="1" ht="13.8" x14ac:dyDescent="0.25">
      <c r="A83" s="17">
        <v>13</v>
      </c>
      <c r="B83" s="18" t="s">
        <v>143</v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8"/>
    </row>
    <row r="84" spans="1:14" s="179" customFormat="1" ht="13.8" x14ac:dyDescent="0.25">
      <c r="A84" s="17">
        <v>14</v>
      </c>
      <c r="B84" s="18" t="s">
        <v>85</v>
      </c>
      <c r="C84" s="18"/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8"/>
    </row>
    <row r="85" spans="1:14" s="179" customFormat="1" x14ac:dyDescent="0.25">
      <c r="A85" s="18"/>
      <c r="B85" s="18"/>
      <c r="C85" s="18" t="s">
        <v>86</v>
      </c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8"/>
    </row>
    <row r="86" spans="1:14" s="179" customFormat="1" ht="13.8" x14ac:dyDescent="0.25">
      <c r="A86" s="17"/>
      <c r="C86" s="18" t="s">
        <v>87</v>
      </c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8"/>
    </row>
    <row r="87" spans="1:14" s="179" customFormat="1" ht="13.8" x14ac:dyDescent="0.25">
      <c r="A87" s="17">
        <v>15</v>
      </c>
      <c r="B87" s="18" t="s">
        <v>88</v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8"/>
    </row>
    <row r="88" spans="1:14" ht="13.8" x14ac:dyDescent="0.25">
      <c r="A88" s="17">
        <v>16</v>
      </c>
      <c r="B88" s="18" t="s">
        <v>89</v>
      </c>
      <c r="C88" s="18"/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8"/>
    </row>
    <row r="89" spans="1:14" ht="13.8" x14ac:dyDescent="0.25">
      <c r="A89" s="17"/>
      <c r="B89" s="18"/>
      <c r="C89" s="18" t="s">
        <v>139</v>
      </c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8"/>
    </row>
    <row r="90" spans="1:14" ht="13.8" x14ac:dyDescent="0.25">
      <c r="A90" s="17">
        <v>17</v>
      </c>
      <c r="B90" s="18" t="s">
        <v>108</v>
      </c>
      <c r="C90" s="18"/>
      <c r="D90" s="88"/>
      <c r="E90" s="88"/>
      <c r="F90" s="88"/>
      <c r="G90" s="18"/>
      <c r="H90" s="18"/>
      <c r="I90" s="18"/>
      <c r="J90" s="18"/>
      <c r="K90" s="19"/>
      <c r="L90" s="19"/>
      <c r="M90" s="19"/>
      <c r="N90" s="18"/>
    </row>
    <row r="91" spans="1:14" ht="13.8" x14ac:dyDescent="0.25">
      <c r="A91" s="17"/>
      <c r="C91" s="18" t="s">
        <v>48</v>
      </c>
      <c r="D91" s="88"/>
      <c r="E91" s="88"/>
      <c r="F91" s="88"/>
      <c r="G91" s="18"/>
      <c r="H91" s="18"/>
      <c r="I91" s="18"/>
      <c r="J91" s="18"/>
      <c r="K91" s="19"/>
      <c r="L91" s="19"/>
      <c r="M91" s="19"/>
      <c r="N91" s="18"/>
    </row>
    <row r="92" spans="1:14" s="179" customFormat="1" ht="13.8" x14ac:dyDescent="0.25">
      <c r="A92" s="17">
        <v>18</v>
      </c>
      <c r="B92" s="18" t="s">
        <v>84</v>
      </c>
      <c r="C92" s="18"/>
      <c r="D92" s="88"/>
      <c r="E92" s="88"/>
      <c r="F92" s="88"/>
      <c r="G92" s="88"/>
      <c r="H92" s="88"/>
      <c r="I92" s="88"/>
      <c r="J92" s="18"/>
      <c r="K92" s="19"/>
      <c r="L92" s="19"/>
      <c r="M92" s="19"/>
      <c r="N92" s="18"/>
    </row>
    <row r="93" spans="1:14" s="179" customFormat="1" ht="13.8" x14ac:dyDescent="0.25">
      <c r="A93" s="17"/>
      <c r="B93" s="18"/>
      <c r="C93" s="18" t="s">
        <v>140</v>
      </c>
      <c r="D93" s="88"/>
      <c r="E93" s="88"/>
      <c r="F93" s="88"/>
      <c r="G93" s="88"/>
      <c r="H93" s="88"/>
      <c r="I93" s="88"/>
      <c r="J93" s="18"/>
      <c r="K93" s="19"/>
      <c r="L93" s="19"/>
      <c r="M93" s="19"/>
      <c r="N93" s="18"/>
    </row>
    <row r="94" spans="1:14" ht="13.8" x14ac:dyDescent="0.25">
      <c r="A94" s="17">
        <v>19</v>
      </c>
      <c r="B94" s="18" t="s">
        <v>90</v>
      </c>
      <c r="C94" s="18"/>
      <c r="D94" s="88"/>
      <c r="E94" s="18"/>
      <c r="F94" s="18"/>
      <c r="G94" s="18"/>
      <c r="H94" s="18"/>
      <c r="I94" s="18"/>
      <c r="J94" s="18"/>
      <c r="K94" s="19"/>
      <c r="L94" s="19"/>
      <c r="M94" s="19"/>
      <c r="N94" s="18"/>
    </row>
    <row r="95" spans="1:14" ht="13.8" x14ac:dyDescent="0.25">
      <c r="A95" s="17"/>
      <c r="B95" s="18" t="s">
        <v>91</v>
      </c>
      <c r="C95" s="18"/>
      <c r="D95" s="88"/>
      <c r="E95" s="18"/>
      <c r="F95" s="18"/>
      <c r="G95" s="18"/>
      <c r="H95" s="18"/>
      <c r="I95" s="18"/>
      <c r="J95" s="18"/>
      <c r="K95" s="19"/>
      <c r="L95" s="19"/>
      <c r="M95" s="19"/>
      <c r="N95" s="18"/>
    </row>
    <row r="96" spans="1:14" ht="13.8" x14ac:dyDescent="0.25">
      <c r="A96" s="17"/>
      <c r="B96" s="18" t="s">
        <v>92</v>
      </c>
      <c r="C96" s="18"/>
      <c r="D96" s="88"/>
      <c r="E96" s="1"/>
      <c r="F96" s="1"/>
      <c r="G96" s="1"/>
      <c r="H96" s="1"/>
      <c r="I96" s="1"/>
      <c r="J96" s="1"/>
      <c r="K96" s="1"/>
      <c r="L96" s="2"/>
      <c r="M96" s="19"/>
      <c r="N96" s="18"/>
    </row>
    <row r="97" spans="1:14" ht="13.8" x14ac:dyDescent="0.25">
      <c r="A97" s="17"/>
      <c r="B97" s="18" t="s">
        <v>93</v>
      </c>
      <c r="C97" s="18"/>
      <c r="D97" s="88"/>
      <c r="E97" s="1"/>
      <c r="F97" s="1"/>
      <c r="G97" s="1"/>
      <c r="H97" s="1"/>
      <c r="I97" s="1"/>
      <c r="J97" s="1"/>
      <c r="K97" s="1"/>
      <c r="L97" s="2"/>
      <c r="M97" s="19"/>
      <c r="N97" s="18"/>
    </row>
    <row r="98" spans="1:14" ht="13.8" x14ac:dyDescent="0.25">
      <c r="A98" s="17"/>
      <c r="B98" s="18" t="s">
        <v>94</v>
      </c>
      <c r="E98" s="1"/>
      <c r="F98" s="1"/>
      <c r="G98" s="1"/>
      <c r="H98" s="1"/>
      <c r="I98" s="1"/>
      <c r="J98" s="1"/>
      <c r="K98" s="1"/>
      <c r="L98" s="2"/>
      <c r="M98" s="19"/>
      <c r="N98" s="18"/>
    </row>
    <row r="99" spans="1:14" ht="13.8" x14ac:dyDescent="0.25">
      <c r="A99" s="17"/>
      <c r="B99" s="18" t="s">
        <v>95</v>
      </c>
      <c r="C99" s="18"/>
      <c r="D99" s="18"/>
      <c r="E99" s="18"/>
      <c r="F99" s="18"/>
      <c r="G99" s="18"/>
      <c r="H99" s="18"/>
      <c r="I99" s="18"/>
      <c r="J99" s="18"/>
      <c r="K99" s="19"/>
      <c r="L99" s="19"/>
      <c r="M99" s="19"/>
      <c r="N99" s="18"/>
    </row>
    <row r="100" spans="1:14" ht="13.8" x14ac:dyDescent="0.25">
      <c r="A100" s="17"/>
      <c r="B100" s="18"/>
      <c r="C100" s="18" t="s">
        <v>96</v>
      </c>
      <c r="D100" s="18"/>
      <c r="E100" s="18"/>
      <c r="F100" s="18"/>
      <c r="G100" s="18"/>
      <c r="H100" s="18"/>
      <c r="I100" s="18"/>
      <c r="J100" s="18"/>
      <c r="K100" s="19"/>
      <c r="L100" s="19"/>
      <c r="M100" s="19"/>
      <c r="N100" s="18"/>
    </row>
    <row r="101" spans="1:14" x14ac:dyDescent="0.25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14" x14ac:dyDescent="0.25">
      <c r="A102" s="18" t="s">
        <v>158</v>
      </c>
    </row>
    <row r="103" spans="1:14" x14ac:dyDescent="0.25">
      <c r="A103" s="18" t="s">
        <v>157</v>
      </c>
    </row>
  </sheetData>
  <mergeCells count="8">
    <mergeCell ref="E6:G6"/>
    <mergeCell ref="I6:J6"/>
    <mergeCell ref="I7:J7"/>
    <mergeCell ref="K6:M6"/>
    <mergeCell ref="R3:AA3"/>
    <mergeCell ref="R4:AA4"/>
    <mergeCell ref="S5:Y5"/>
    <mergeCell ref="M5:N5"/>
  </mergeCells>
  <phoneticPr fontId="0" type="noConversion"/>
  <printOptions horizontalCentered="1"/>
  <pageMargins left="0.5" right="0.5" top="0.5" bottom="0.5" header="0.5" footer="0.5"/>
  <pageSetup scale="88" fitToHeight="2" orientation="portrait" r:id="rId1"/>
  <headerFooter alignWithMargins="0"/>
  <rowBreaks count="1" manualBreakCount="1">
    <brk id="5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5" sqref="J5:K5"/>
    </sheetView>
  </sheetViews>
  <sheetFormatPr defaultRowHeight="13.2" x14ac:dyDescent="0.25"/>
  <cols>
    <col min="1" max="1" width="3.6640625" customWidth="1"/>
    <col min="2" max="3" width="13.33203125" customWidth="1"/>
    <col min="4" max="4" width="12.6640625" customWidth="1"/>
    <col min="5" max="5" width="12.33203125" customWidth="1"/>
    <col min="6" max="6" width="14.109375" customWidth="1"/>
    <col min="7" max="7" width="12" customWidth="1"/>
    <col min="8" max="9" width="12.5546875" customWidth="1"/>
    <col min="12" max="12" width="9.21875" customWidth="1"/>
  </cols>
  <sheetData>
    <row r="1" spans="1:16" ht="23.25" customHeight="1" x14ac:dyDescent="0.25">
      <c r="A1" s="130" t="s">
        <v>111</v>
      </c>
      <c r="B1" s="131"/>
      <c r="C1" s="132"/>
      <c r="D1" s="131"/>
      <c r="E1" s="131"/>
      <c r="F1" s="131"/>
      <c r="G1" s="132"/>
      <c r="H1" s="131"/>
      <c r="I1" s="131"/>
      <c r="J1" s="131"/>
      <c r="K1" s="131"/>
      <c r="L1" s="133"/>
      <c r="M1" s="133"/>
      <c r="N1" s="134"/>
      <c r="O1" s="134"/>
      <c r="P1" s="128"/>
    </row>
    <row r="2" spans="1:16" ht="23.4" x14ac:dyDescent="0.25">
      <c r="A2" s="18"/>
      <c r="B2" s="18"/>
      <c r="C2" s="18"/>
      <c r="D2" s="135" t="s">
        <v>112</v>
      </c>
      <c r="E2" s="135" t="s">
        <v>31</v>
      </c>
      <c r="F2" s="135" t="s">
        <v>32</v>
      </c>
      <c r="G2" s="135" t="s">
        <v>113</v>
      </c>
      <c r="H2" s="136" t="s">
        <v>114</v>
      </c>
      <c r="I2" s="135" t="s">
        <v>115</v>
      </c>
      <c r="J2" s="135" t="s">
        <v>116</v>
      </c>
      <c r="K2" s="137" t="s">
        <v>117</v>
      </c>
      <c r="L2" s="138" t="s">
        <v>118</v>
      </c>
      <c r="M2" s="137" t="s">
        <v>119</v>
      </c>
      <c r="N2" s="139" t="s">
        <v>120</v>
      </c>
      <c r="O2" s="139" t="s">
        <v>121</v>
      </c>
      <c r="P2" s="139" t="s">
        <v>122</v>
      </c>
    </row>
    <row r="3" spans="1:16" x14ac:dyDescent="0.25">
      <c r="A3" s="46" t="s">
        <v>70</v>
      </c>
      <c r="B3" s="46"/>
      <c r="C3" s="46"/>
      <c r="D3" s="140">
        <v>3</v>
      </c>
      <c r="E3" s="141">
        <v>276000</v>
      </c>
      <c r="F3" s="173">
        <v>3000</v>
      </c>
      <c r="G3" s="142">
        <v>49.64</v>
      </c>
      <c r="H3" s="143">
        <f>F3/G3</f>
        <v>60.435132957292502</v>
      </c>
      <c r="I3" s="144">
        <f>H3/1000</f>
        <v>6.0435132957292505E-2</v>
      </c>
      <c r="J3" s="145"/>
      <c r="K3" s="146"/>
      <c r="L3" s="147">
        <f>2.84*3</f>
        <v>8.52</v>
      </c>
      <c r="M3" s="147">
        <v>1.97</v>
      </c>
      <c r="N3" s="148">
        <f>0.65*3</f>
        <v>1.9500000000000002</v>
      </c>
      <c r="O3" s="148"/>
      <c r="P3" s="19">
        <f>0.07*3</f>
        <v>0.21000000000000002</v>
      </c>
    </row>
    <row r="4" spans="1:16" x14ac:dyDescent="0.25">
      <c r="A4" s="33" t="s">
        <v>131</v>
      </c>
      <c r="B4" s="33"/>
      <c r="C4" s="33"/>
      <c r="D4" s="47">
        <v>1</v>
      </c>
      <c r="E4" s="48">
        <v>233000</v>
      </c>
      <c r="F4" s="174">
        <v>1000</v>
      </c>
      <c r="G4" s="143">
        <v>22.06</v>
      </c>
      <c r="H4" s="143">
        <f t="shared" ref="H4:H7" si="0">F4/G4</f>
        <v>45.33091568449683</v>
      </c>
      <c r="I4" s="149">
        <f>H4/1000</f>
        <v>4.5330915684496827E-2</v>
      </c>
      <c r="J4" s="18"/>
      <c r="K4" s="19"/>
      <c r="L4" s="150">
        <v>7.42</v>
      </c>
      <c r="M4" s="150">
        <v>4.54</v>
      </c>
      <c r="N4" s="148">
        <v>3.59</v>
      </c>
      <c r="O4" s="148"/>
      <c r="P4" s="19">
        <v>0.52</v>
      </c>
    </row>
    <row r="5" spans="1:16" x14ac:dyDescent="0.25">
      <c r="A5" s="33" t="s">
        <v>123</v>
      </c>
      <c r="B5" s="33"/>
      <c r="C5" s="33"/>
      <c r="D5" s="47">
        <v>1</v>
      </c>
      <c r="E5" s="48">
        <v>366000</v>
      </c>
      <c r="F5" s="174">
        <v>1000</v>
      </c>
      <c r="G5" s="143">
        <v>8.91</v>
      </c>
      <c r="H5" s="143">
        <f t="shared" si="0"/>
        <v>112.2334455667789</v>
      </c>
      <c r="I5" s="149">
        <f t="shared" ref="I5:I8" si="1">H5/1000</f>
        <v>0.1122334455667789</v>
      </c>
      <c r="J5" s="18">
        <v>68.12</v>
      </c>
      <c r="K5" s="19">
        <v>27.17</v>
      </c>
      <c r="L5" s="177">
        <f>I5*J5</f>
        <v>7.645342312008979</v>
      </c>
      <c r="M5" s="177">
        <f>I5*K5</f>
        <v>3.0493827160493829</v>
      </c>
      <c r="N5" s="148">
        <f>I5*O5</f>
        <v>9.7138047138047146</v>
      </c>
      <c r="O5" s="148">
        <v>86.55</v>
      </c>
      <c r="P5" s="19"/>
    </row>
    <row r="6" spans="1:16" x14ac:dyDescent="0.25">
      <c r="A6" s="33"/>
      <c r="B6" s="33" t="s">
        <v>132</v>
      </c>
      <c r="C6" s="33"/>
      <c r="D6" s="47">
        <v>1</v>
      </c>
      <c r="E6" s="48">
        <v>39000</v>
      </c>
      <c r="F6" s="174">
        <v>1000</v>
      </c>
      <c r="G6" s="143">
        <v>8.91</v>
      </c>
      <c r="H6" s="143">
        <f t="shared" si="0"/>
        <v>112.2334455667789</v>
      </c>
      <c r="I6" s="149">
        <f t="shared" si="1"/>
        <v>0.1122334455667789</v>
      </c>
      <c r="J6" s="18"/>
      <c r="K6" s="19"/>
      <c r="L6" s="150">
        <v>1.56</v>
      </c>
      <c r="M6" s="150">
        <v>0.69</v>
      </c>
      <c r="N6" s="148">
        <v>0.56999999999999995</v>
      </c>
      <c r="O6" s="148"/>
      <c r="P6" s="19">
        <v>2.04</v>
      </c>
    </row>
    <row r="7" spans="1:16" x14ac:dyDescent="0.25">
      <c r="A7" s="33" t="s">
        <v>68</v>
      </c>
      <c r="B7" s="33"/>
      <c r="C7" s="33"/>
      <c r="D7" s="47">
        <v>1</v>
      </c>
      <c r="E7" s="48">
        <v>118000</v>
      </c>
      <c r="F7" s="175">
        <v>1000</v>
      </c>
      <c r="G7" s="143">
        <v>6.87</v>
      </c>
      <c r="H7" s="143">
        <f t="shared" si="0"/>
        <v>145.5604075691412</v>
      </c>
      <c r="I7" s="149">
        <f t="shared" si="1"/>
        <v>0.14556040756914121</v>
      </c>
      <c r="J7" s="18"/>
      <c r="K7" s="19"/>
      <c r="L7" s="150">
        <v>5.2</v>
      </c>
      <c r="M7" s="150">
        <v>2.78</v>
      </c>
      <c r="N7" s="148">
        <v>4.71</v>
      </c>
      <c r="O7" s="148"/>
      <c r="P7" s="19">
        <v>1.44</v>
      </c>
    </row>
    <row r="8" spans="1:16" x14ac:dyDescent="0.25">
      <c r="A8" s="49" t="s">
        <v>124</v>
      </c>
      <c r="B8" s="49"/>
      <c r="C8" s="49"/>
      <c r="D8" s="50">
        <v>2</v>
      </c>
      <c r="E8" s="51">
        <v>350000</v>
      </c>
      <c r="F8" s="176">
        <v>2000</v>
      </c>
      <c r="G8" s="151"/>
      <c r="H8" s="151">
        <f>H4+H7</f>
        <v>190.89132325363803</v>
      </c>
      <c r="I8" s="152">
        <f t="shared" si="1"/>
        <v>0.19089132325363803</v>
      </c>
      <c r="J8" s="153">
        <v>54.5</v>
      </c>
      <c r="K8" s="153">
        <v>28.38</v>
      </c>
      <c r="L8" s="178">
        <f>I8*J8</f>
        <v>10.403577117323273</v>
      </c>
      <c r="M8" s="178">
        <f>I8*K8</f>
        <v>5.4174957539382467</v>
      </c>
      <c r="N8" s="154">
        <f>I8*O8</f>
        <v>1.0689914102203728</v>
      </c>
      <c r="O8" s="154">
        <v>5.6</v>
      </c>
      <c r="P8" s="153"/>
    </row>
    <row r="9" spans="1:16" x14ac:dyDescent="0.25">
      <c r="A9" s="128"/>
      <c r="B9" s="18"/>
      <c r="C9" s="18"/>
      <c r="D9" s="21"/>
      <c r="E9" s="20"/>
      <c r="F9" s="20"/>
      <c r="G9" s="20"/>
      <c r="H9" s="155"/>
      <c r="I9" s="156"/>
      <c r="J9" s="18"/>
      <c r="K9" s="19"/>
      <c r="L9" s="157"/>
      <c r="M9" s="158"/>
      <c r="N9" s="18"/>
      <c r="O9" s="18"/>
      <c r="P9" s="159"/>
    </row>
    <row r="10" spans="1:16" x14ac:dyDescent="0.25">
      <c r="A10" s="22"/>
      <c r="B10" s="22"/>
      <c r="C10" s="22"/>
      <c r="D10" s="22"/>
      <c r="E10" s="23"/>
      <c r="F10" s="23"/>
      <c r="G10" s="23"/>
      <c r="H10" s="157"/>
      <c r="I10" s="156"/>
      <c r="J10" s="18"/>
      <c r="K10" s="26" t="s">
        <v>125</v>
      </c>
      <c r="L10" s="157">
        <f>SUM(L3:L8)</f>
        <v>40.748919429332247</v>
      </c>
      <c r="M10" s="157">
        <f>SUM(M3:M8)</f>
        <v>18.446878469987627</v>
      </c>
      <c r="N10" s="160">
        <f>SUM(N3:N8)</f>
        <v>21.60279612402509</v>
      </c>
      <c r="O10" s="157" t="s">
        <v>126</v>
      </c>
      <c r="P10" s="161">
        <f>SUM(P3:P8)</f>
        <v>4.21</v>
      </c>
    </row>
    <row r="11" spans="1:16" x14ac:dyDescent="0.25">
      <c r="A11" s="22"/>
      <c r="B11" s="18"/>
      <c r="C11" s="18"/>
      <c r="D11" s="18"/>
      <c r="E11" s="162"/>
      <c r="F11" s="24"/>
      <c r="G11" s="24"/>
      <c r="H11" s="163"/>
      <c r="I11" s="164"/>
      <c r="J11" s="165"/>
      <c r="K11" s="165" t="s">
        <v>127</v>
      </c>
      <c r="L11" s="166"/>
      <c r="M11" s="167">
        <f>L10+M10</f>
        <v>59.195797899319871</v>
      </c>
      <c r="N11" s="168" t="s">
        <v>128</v>
      </c>
      <c r="O11" s="128"/>
      <c r="P11" s="169">
        <f>P10*P13</f>
        <v>10.525</v>
      </c>
    </row>
    <row r="12" spans="1:16" x14ac:dyDescent="0.25">
      <c r="A12" s="18"/>
      <c r="B12" s="22"/>
      <c r="C12" s="22"/>
      <c r="D12" s="22"/>
      <c r="E12" s="52"/>
      <c r="F12" s="52"/>
      <c r="G12" s="52"/>
      <c r="H12" s="170"/>
      <c r="I12" s="161"/>
      <c r="J12" s="128"/>
      <c r="K12" s="128"/>
      <c r="L12" s="128"/>
      <c r="M12" s="128"/>
      <c r="N12" s="168" t="s">
        <v>129</v>
      </c>
      <c r="O12" s="128"/>
      <c r="P12" s="171">
        <f>P11*1.1</f>
        <v>11.577500000000001</v>
      </c>
    </row>
    <row r="13" spans="1:16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72" t="s">
        <v>130</v>
      </c>
      <c r="O13" s="172"/>
      <c r="P13" s="169">
        <v>2.5</v>
      </c>
    </row>
    <row r="14" spans="1:16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A15" s="128"/>
      <c r="B15" s="18" t="s">
        <v>97</v>
      </c>
      <c r="C15" s="22"/>
      <c r="D15" s="22"/>
      <c r="E15" s="22"/>
      <c r="F15" s="22"/>
      <c r="G15" s="52"/>
      <c r="H15" s="52"/>
      <c r="I15" s="52"/>
      <c r="J15" s="25"/>
      <c r="K15" s="22"/>
      <c r="L15" s="26"/>
      <c r="M15" s="26"/>
      <c r="N15" s="26"/>
      <c r="O15" s="19"/>
      <c r="P15" s="128"/>
    </row>
    <row r="16" spans="1:16" x14ac:dyDescent="0.25">
      <c r="A16" s="128"/>
      <c r="B16" s="18" t="s">
        <v>109</v>
      </c>
      <c r="C16" s="22"/>
      <c r="D16" s="22"/>
      <c r="E16" s="22"/>
      <c r="F16" s="22"/>
      <c r="G16" s="52"/>
      <c r="H16" s="52"/>
      <c r="I16" s="52"/>
      <c r="J16" s="25"/>
      <c r="K16" s="22"/>
      <c r="L16" s="26"/>
      <c r="M16" s="26"/>
      <c r="N16" s="26"/>
      <c r="O16" s="19"/>
      <c r="P16" s="1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activeCell="D13" sqref="D13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2" t="s">
        <v>162</v>
      </c>
      <c r="B1" s="203"/>
      <c r="C1" s="203"/>
      <c r="D1" s="203"/>
      <c r="E1" s="203"/>
      <c r="F1" s="203"/>
      <c r="G1" s="203"/>
      <c r="H1" s="203"/>
      <c r="I1" s="204"/>
    </row>
    <row r="2" spans="1:9" ht="13.8" thickBot="1" x14ac:dyDescent="0.3">
      <c r="A2" s="205"/>
      <c r="B2" s="206"/>
      <c r="C2" s="206"/>
      <c r="D2" s="206"/>
      <c r="E2" s="206"/>
      <c r="F2" s="206"/>
      <c r="G2" s="206"/>
      <c r="H2" s="206"/>
      <c r="I2" s="207"/>
    </row>
    <row r="3" spans="1:9" ht="21.6" thickTop="1" x14ac:dyDescent="0.4">
      <c r="A3" s="208" t="s">
        <v>49</v>
      </c>
      <c r="B3" s="208"/>
      <c r="C3" s="208"/>
      <c r="D3" s="208" t="s">
        <v>50</v>
      </c>
      <c r="E3" s="208"/>
      <c r="F3" s="208"/>
      <c r="G3" s="209" t="s">
        <v>51</v>
      </c>
      <c r="H3" s="209"/>
      <c r="I3" s="210"/>
    </row>
    <row r="4" spans="1:9" ht="21" x14ac:dyDescent="0.4">
      <c r="A4" s="187" t="s">
        <v>52</v>
      </c>
      <c r="B4" s="188"/>
      <c r="C4" s="125"/>
      <c r="D4" s="125"/>
      <c r="E4" s="125"/>
      <c r="F4" s="125"/>
      <c r="G4" s="184">
        <f>'rr-soy-notill'!L8</f>
        <v>51.5</v>
      </c>
      <c r="H4" s="185"/>
      <c r="I4" s="186">
        <f>'rr-soy-notill'!M8</f>
        <v>61.8</v>
      </c>
    </row>
    <row r="5" spans="1:9" ht="21" x14ac:dyDescent="0.4">
      <c r="A5" s="71" t="s">
        <v>62</v>
      </c>
      <c r="B5" s="71"/>
      <c r="C5" s="69"/>
      <c r="D5" s="74">
        <f>'rr-soy-notill'!$I$10</f>
        <v>8.9499999999999993</v>
      </c>
      <c r="E5" s="69" t="s">
        <v>53</v>
      </c>
      <c r="F5" s="69"/>
      <c r="G5" s="74">
        <f>'rr-soy-notill'!$L$10</f>
        <v>460.92499999999995</v>
      </c>
      <c r="H5" s="74"/>
      <c r="I5" s="75">
        <f>'rr-soy-notill'!$M$10</f>
        <v>553.1099999999999</v>
      </c>
    </row>
    <row r="6" spans="1:9" s="124" customFormat="1" ht="21" x14ac:dyDescent="0.4">
      <c r="A6" s="68" t="s">
        <v>160</v>
      </c>
      <c r="B6" s="68"/>
      <c r="C6" s="68"/>
      <c r="D6" s="83"/>
      <c r="E6" s="68"/>
      <c r="F6" s="68"/>
      <c r="G6" s="83">
        <f>'rr-soy-notill'!$L$13</f>
        <v>0</v>
      </c>
      <c r="H6" s="83"/>
      <c r="I6" s="83">
        <f>'rr-soy-notill'!$M$13</f>
        <v>0</v>
      </c>
    </row>
    <row r="7" spans="1:9" ht="6" customHeight="1" x14ac:dyDescent="0.4">
      <c r="A7" s="67"/>
      <c r="B7" s="67"/>
      <c r="C7" s="67"/>
      <c r="D7" s="70"/>
      <c r="E7" s="67"/>
      <c r="F7" s="81"/>
      <c r="G7" s="82"/>
      <c r="H7" s="82"/>
      <c r="I7" s="82"/>
    </row>
    <row r="8" spans="1:9" ht="21" x14ac:dyDescent="0.4">
      <c r="A8" s="189" t="s">
        <v>54</v>
      </c>
      <c r="B8" s="190"/>
      <c r="C8" s="188"/>
      <c r="D8" s="70"/>
      <c r="E8" s="67"/>
      <c r="F8" s="67"/>
      <c r="G8" s="76"/>
      <c r="H8" s="76"/>
      <c r="I8" s="76"/>
    </row>
    <row r="9" spans="1:9" ht="21" x14ac:dyDescent="0.4">
      <c r="A9" s="71" t="s">
        <v>55</v>
      </c>
      <c r="B9" s="71"/>
      <c r="C9" s="71"/>
      <c r="D9" s="72">
        <f>'rr-soy-notill'!$I$18</f>
        <v>0.42799999999999999</v>
      </c>
      <c r="E9" s="69" t="s">
        <v>63</v>
      </c>
      <c r="F9" s="69"/>
      <c r="G9" s="74">
        <f>'rr-soy-notill'!$L$18</f>
        <v>72.760000000000005</v>
      </c>
      <c r="H9" s="74"/>
      <c r="I9" s="75">
        <f>'rr-soy-notill'!$M$18</f>
        <v>72.760000000000005</v>
      </c>
    </row>
    <row r="10" spans="1:9" s="126" customFormat="1" ht="21" x14ac:dyDescent="0.4">
      <c r="A10" s="71"/>
      <c r="B10" s="71"/>
      <c r="C10" s="71"/>
      <c r="D10" s="127"/>
      <c r="E10" s="71"/>
      <c r="F10" s="71"/>
      <c r="G10" s="77"/>
      <c r="H10" s="77"/>
      <c r="I10" s="78"/>
    </row>
    <row r="11" spans="1:9" ht="24" x14ac:dyDescent="0.5">
      <c r="A11" s="71" t="s">
        <v>64</v>
      </c>
      <c r="B11" s="71"/>
      <c r="C11" s="71"/>
      <c r="D11" s="84">
        <f>'rr-soy-notill'!$F$68</f>
        <v>470</v>
      </c>
      <c r="E11" s="71" t="s">
        <v>45</v>
      </c>
      <c r="F11" s="71"/>
      <c r="G11" s="77">
        <f>'rr-soy-notill'!$L$20</f>
        <v>18.619230769230771</v>
      </c>
      <c r="H11" s="77"/>
      <c r="I11" s="78">
        <f>'rr-soy-notill'!$M$20</f>
        <v>22.343076923076922</v>
      </c>
    </row>
    <row r="12" spans="1:9" ht="24" x14ac:dyDescent="0.5">
      <c r="A12" s="71" t="s">
        <v>65</v>
      </c>
      <c r="B12" s="71"/>
      <c r="C12" s="71"/>
      <c r="D12" s="84">
        <f>'rr-soy-notill'!$J$68</f>
        <v>370</v>
      </c>
      <c r="E12" s="71" t="s">
        <v>45</v>
      </c>
      <c r="F12" s="71"/>
      <c r="G12" s="77">
        <f>'rr-soy-notill'!$L$21</f>
        <v>17.149500000000003</v>
      </c>
      <c r="H12" s="77"/>
      <c r="I12" s="78">
        <f>'rr-soy-notill'!$M$21</f>
        <v>20.5794</v>
      </c>
    </row>
    <row r="13" spans="1:9" ht="21" x14ac:dyDescent="0.4">
      <c r="A13" s="71" t="s">
        <v>56</v>
      </c>
      <c r="B13" s="71"/>
      <c r="C13" s="71"/>
      <c r="D13" s="85"/>
      <c r="E13" s="71"/>
      <c r="F13" s="71"/>
      <c r="G13" s="77">
        <f>SUM('rr-soy-notill'!$L$23:$L$25)</f>
        <v>41.99</v>
      </c>
      <c r="H13" s="77"/>
      <c r="I13" s="78">
        <f>SUM('rr-soy-notill'!$M$23:$M$25)</f>
        <v>41.99</v>
      </c>
    </row>
    <row r="14" spans="1:9" ht="21" x14ac:dyDescent="0.4">
      <c r="A14" s="68" t="s">
        <v>59</v>
      </c>
      <c r="B14" s="68"/>
      <c r="C14" s="68"/>
      <c r="D14" s="73">
        <f>'machinery costs'!$P$13</f>
        <v>2.5</v>
      </c>
      <c r="E14" s="68" t="s">
        <v>142</v>
      </c>
      <c r="F14" s="71"/>
      <c r="G14" s="83">
        <f>'rr-soy-notill'!$L$27</f>
        <v>11.577500000000001</v>
      </c>
      <c r="H14" s="77"/>
      <c r="I14" s="86">
        <f>'rr-soy-notill'!$M$27</f>
        <v>11.577500000000001</v>
      </c>
    </row>
    <row r="15" spans="1:9" ht="18.75" customHeight="1" x14ac:dyDescent="0.4">
      <c r="A15" s="67"/>
      <c r="B15" s="67"/>
      <c r="C15" s="98" t="s">
        <v>77</v>
      </c>
      <c r="D15" s="67"/>
      <c r="E15" s="67"/>
      <c r="F15" s="79"/>
      <c r="G15" s="77">
        <f>'rr-soy-notill'!L36</f>
        <v>4.300919905491658</v>
      </c>
      <c r="H15" s="80"/>
      <c r="I15" s="77">
        <f>'rr-soy-notill'!N36</f>
        <v>3.5992844887297819</v>
      </c>
    </row>
    <row r="16" spans="1:9" ht="21" x14ac:dyDescent="0.4">
      <c r="A16" s="189" t="s">
        <v>57</v>
      </c>
      <c r="B16" s="188"/>
      <c r="C16" s="67"/>
      <c r="D16" s="67"/>
      <c r="E16" s="67"/>
      <c r="F16" s="67"/>
      <c r="G16" s="76"/>
      <c r="H16" s="76"/>
      <c r="I16" s="76"/>
    </row>
    <row r="17" spans="1:9" ht="21" x14ac:dyDescent="0.4">
      <c r="A17" s="91" t="s">
        <v>66</v>
      </c>
      <c r="B17" s="91"/>
      <c r="C17" s="91"/>
      <c r="D17" s="91"/>
      <c r="E17" s="91"/>
      <c r="F17" s="91"/>
      <c r="G17" s="74">
        <f>'rr-soy-notill'!L39+'rr-soy-notill'!L40</f>
        <v>45.546250000000001</v>
      </c>
      <c r="H17" s="74"/>
      <c r="I17" s="75">
        <f>'rr-soy-notill'!M39+'rr-soy-notill'!M40</f>
        <v>50.155499999999996</v>
      </c>
    </row>
    <row r="18" spans="1:9" ht="21" x14ac:dyDescent="0.4">
      <c r="A18" s="97" t="s">
        <v>31</v>
      </c>
      <c r="B18" s="97"/>
      <c r="C18" s="97"/>
      <c r="D18" s="97"/>
      <c r="E18" s="97"/>
      <c r="F18" s="97"/>
      <c r="G18" s="77">
        <f>'rr-soy-notill'!L41</f>
        <v>59.195797899319871</v>
      </c>
      <c r="H18" s="77"/>
      <c r="I18" s="78">
        <f>'rr-soy-notill'!M41</f>
        <v>59.195797899319871</v>
      </c>
    </row>
    <row r="19" spans="1:9" ht="21" x14ac:dyDescent="0.4">
      <c r="A19" s="68" t="s">
        <v>58</v>
      </c>
      <c r="B19" s="68"/>
      <c r="C19" s="68"/>
      <c r="D19" s="68"/>
      <c r="E19" s="68"/>
      <c r="F19" s="68"/>
      <c r="G19" s="83">
        <f>'rr-soy-notill'!L42</f>
        <v>187</v>
      </c>
      <c r="H19" s="83"/>
      <c r="I19" s="86">
        <f>'rr-soy-notill'!M42</f>
        <v>235</v>
      </c>
    </row>
    <row r="20" spans="1:9" ht="18.75" customHeight="1" x14ac:dyDescent="0.4">
      <c r="A20" s="67"/>
      <c r="B20" s="67"/>
      <c r="C20" s="98" t="s">
        <v>77</v>
      </c>
      <c r="G20" s="77">
        <f>'rr-soy-notill'!L48</f>
        <v>10.251250932662916</v>
      </c>
      <c r="H20" s="99"/>
      <c r="I20" s="77">
        <f>'rr-soy-notill'!N48</f>
        <v>9.1451813794885481</v>
      </c>
    </row>
    <row r="21" spans="1:9" ht="21" x14ac:dyDescent="0.4">
      <c r="A21" s="189" t="s">
        <v>60</v>
      </c>
      <c r="B21" s="188"/>
      <c r="C21" s="67"/>
      <c r="D21" s="67"/>
      <c r="E21" s="67"/>
      <c r="F21" s="67"/>
      <c r="G21" s="76"/>
      <c r="H21" s="76"/>
      <c r="I21" s="76"/>
    </row>
    <row r="22" spans="1:9" ht="21" x14ac:dyDescent="0.4">
      <c r="A22" s="96" t="s">
        <v>75</v>
      </c>
      <c r="B22" s="96"/>
      <c r="C22" s="96"/>
      <c r="D22" s="96"/>
      <c r="E22" s="96"/>
      <c r="F22" s="96"/>
      <c r="G22" s="74">
        <f>'rr-soy-notill'!$L$52</f>
        <v>-67.014423032140257</v>
      </c>
      <c r="H22" s="74"/>
      <c r="I22" s="75">
        <f>'rr-soy-notill'!$M$52</f>
        <v>-37.060747205217353</v>
      </c>
    </row>
    <row r="23" spans="1:9" s="122" customFormat="1" ht="21" x14ac:dyDescent="0.4">
      <c r="A23" s="123" t="s">
        <v>105</v>
      </c>
      <c r="B23" s="123"/>
      <c r="C23" s="123"/>
      <c r="D23" s="123"/>
      <c r="E23" s="123"/>
      <c r="F23" s="123"/>
      <c r="G23" s="77">
        <f>'rr-soy-notill'!$L$50</f>
        <v>239.42762486717956</v>
      </c>
      <c r="H23" s="77"/>
      <c r="I23" s="78">
        <f>'rr-soy-notill'!$M$50</f>
        <v>321.99055069410252</v>
      </c>
    </row>
    <row r="24" spans="1:9" ht="21" x14ac:dyDescent="0.4">
      <c r="A24" s="68" t="s">
        <v>61</v>
      </c>
      <c r="B24" s="68"/>
      <c r="C24" s="68"/>
      <c r="D24" s="68"/>
      <c r="E24" s="68"/>
      <c r="F24" s="68"/>
      <c r="G24" s="83">
        <f>'rr-soy-notill'!$L$53</f>
        <v>119.98557696785974</v>
      </c>
      <c r="H24" s="83"/>
      <c r="I24" s="86">
        <f>'rr-soy-notill'!$M$53</f>
        <v>197.93925279478265</v>
      </c>
    </row>
  </sheetData>
  <mergeCells count="4">
    <mergeCell ref="A1:I2"/>
    <mergeCell ref="A3:C3"/>
    <mergeCell ref="D3:F3"/>
    <mergeCell ref="G3:I3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2019-09-25T18:21:59Z</cp:lastPrinted>
  <dcterms:created xsi:type="dcterms:W3CDTF">2002-12-27T15:58:24Z</dcterms:created>
  <dcterms:modified xsi:type="dcterms:W3CDTF">2019-10-02T17:36:10Z</dcterms:modified>
</cp:coreProperties>
</file>