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8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I18" i="1"/>
  <c r="J18" i="1"/>
  <c r="K18" i="1"/>
  <c r="I19" i="1"/>
  <c r="J19" i="1"/>
  <c r="K19" i="1"/>
  <c r="K20" i="1"/>
  <c r="K21" i="1"/>
  <c r="K22" i="1"/>
  <c r="K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0" i="1"/>
  <c r="J21" i="1"/>
  <c r="J22" i="1"/>
  <c r="J2" i="1"/>
  <c r="I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/>
  <c r="I21" i="1"/>
  <c r="I2" i="1"/>
  <c r="AK2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I3" i="1"/>
  <c r="AJ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" i="1"/>
  <c r="AJ2" i="1"/>
  <c r="R3" i="1"/>
  <c r="S3" i="1"/>
  <c r="T3" i="1"/>
  <c r="U3" i="1"/>
  <c r="V3" i="1"/>
  <c r="R4" i="1"/>
  <c r="S4" i="1"/>
  <c r="T4" i="1"/>
  <c r="U4" i="1"/>
  <c r="V4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U2" i="1"/>
  <c r="T2" i="1"/>
  <c r="S2" i="1"/>
  <c r="R2" i="1"/>
  <c r="V2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Q2" i="1"/>
  <c r="P2" i="1"/>
  <c r="O2" i="1"/>
  <c r="N2" i="1"/>
  <c r="M2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K2" i="1"/>
  <c r="AH2" i="1"/>
  <c r="AG2" i="1"/>
  <c r="AF2" i="1"/>
  <c r="AE2" i="1"/>
</calcChain>
</file>

<file path=xl/sharedStrings.xml><?xml version="1.0" encoding="utf-8"?>
<sst xmlns="http://schemas.openxmlformats.org/spreadsheetml/2006/main" count="287" uniqueCount="156">
  <si>
    <t>Taxon</t>
  </si>
  <si>
    <t>Island</t>
  </si>
  <si>
    <t>Location</t>
  </si>
  <si>
    <t>Latitude</t>
  </si>
  <si>
    <t>Longitude</t>
  </si>
  <si>
    <t>COI Accession No.</t>
  </si>
  <si>
    <t>Cytochrome b Accession No.</t>
  </si>
  <si>
    <t>B. nihoa (A)</t>
  </si>
  <si>
    <t>Nihoa</t>
  </si>
  <si>
    <t>Miller Peak</t>
  </si>
  <si>
    <t>23°03′44′′N</t>
  </si>
  <si>
    <t>161°55′34′′W</t>
  </si>
  <si>
    <t>DQ649491</t>
  </si>
  <si>
    <t>DQ649515</t>
  </si>
  <si>
    <t>B. nihoa (B)</t>
  </si>
  <si>
    <t>DQ649492</t>
  </si>
  <si>
    <t>DQ649516</t>
  </si>
  <si>
    <t>B. kauaiensis (A)a</t>
  </si>
  <si>
    <t>Kauai</t>
  </si>
  <si>
    <t>Alexander Dam</t>
  </si>
  <si>
    <t>21°58′30′′N</t>
  </si>
  <si>
    <t>159°27′58′′W</t>
  </si>
  <si>
    <t>DQ649483</t>
  </si>
  <si>
    <t>DQ649507</t>
  </si>
  <si>
    <t>B. kauaiensis (B)b</t>
  </si>
  <si>
    <t>Kokee, Pihea Trail</t>
  </si>
  <si>
    <t>22°09′14′′N</t>
  </si>
  <si>
    <t>159°37′30′′W</t>
  </si>
  <si>
    <t>DQ649484</t>
  </si>
  <si>
    <t>DQ649508</t>
  </si>
  <si>
    <t>B. unica (A)c</t>
  </si>
  <si>
    <t>Oahu</t>
  </si>
  <si>
    <t>Mount Tantalus</t>
  </si>
  <si>
    <t>21°20′14′′N</t>
  </si>
  <si>
    <t>157°49′04′′W</t>
  </si>
  <si>
    <t>DQ649501</t>
  </si>
  <si>
    <t>DQ649525</t>
  </si>
  <si>
    <t>B. unica (B)d</t>
  </si>
  <si>
    <t>Palikea Trail</t>
  </si>
  <si>
    <t>21°24′59′′N</t>
  </si>
  <si>
    <t>158°06′13′′W</t>
  </si>
  <si>
    <t>DQ649502</t>
  </si>
  <si>
    <t>DQ649526</t>
  </si>
  <si>
    <t>B. parvula (A)</t>
  </si>
  <si>
    <t>Puu Kaua</t>
  </si>
  <si>
    <t>21°26′41′′N</t>
  </si>
  <si>
    <t>158°06′05′′W</t>
  </si>
  <si>
    <t>DQ649497</t>
  </si>
  <si>
    <t>DQ649521</t>
  </si>
  <si>
    <t>B. parvula (B)</t>
  </si>
  <si>
    <t>Peacock Flats</t>
  </si>
  <si>
    <t>21°32′57′′N</t>
  </si>
  <si>
    <t>158°11′13′′W</t>
  </si>
  <si>
    <t>DQ649498</t>
  </si>
  <si>
    <t>DQ649522</t>
  </si>
  <si>
    <t>B. molokaiensis (A)</t>
  </si>
  <si>
    <t>Molokai</t>
  </si>
  <si>
    <t>Puu Kole Kole</t>
  </si>
  <si>
    <t>21°06′35′′N</t>
  </si>
  <si>
    <t>156°54′10′′W</t>
  </si>
  <si>
    <t>DQ649487</t>
  </si>
  <si>
    <t>DQ649511</t>
  </si>
  <si>
    <t>B. molokaiensis (B)</t>
  </si>
  <si>
    <t>DQ649488</t>
  </si>
  <si>
    <t>DQ649512</t>
  </si>
  <si>
    <t>B. deplanata (A)</t>
  </si>
  <si>
    <t>Lanai</t>
  </si>
  <si>
    <t>Lanaihale</t>
  </si>
  <si>
    <t>20°48′53′′N</t>
  </si>
  <si>
    <t>156°52′33′′W</t>
  </si>
  <si>
    <t>DQ649481</t>
  </si>
  <si>
    <t>DQ649505</t>
  </si>
  <si>
    <t>B. deplanata (B)</t>
  </si>
  <si>
    <t>156°52′14′′W</t>
  </si>
  <si>
    <t>DQ649482</t>
  </si>
  <si>
    <t>DQ649506</t>
  </si>
  <si>
    <t>B. brunnea (A)</t>
  </si>
  <si>
    <t>Maui (West)</t>
  </si>
  <si>
    <t>Kaulalewelewe</t>
  </si>
  <si>
    <t>20°56′14′′N</t>
  </si>
  <si>
    <t>156°37′10′′W</t>
  </si>
  <si>
    <t>DQ649479</t>
  </si>
  <si>
    <t>DQ649503</t>
  </si>
  <si>
    <t>B. brunnea (B)</t>
  </si>
  <si>
    <t>Lihau</t>
  </si>
  <si>
    <t>20°51′18′′N</t>
  </si>
  <si>
    <t>156°36′12′′W</t>
  </si>
  <si>
    <t>DQ649480</t>
  </si>
  <si>
    <t>DQ649504</t>
  </si>
  <si>
    <t>B. mauiensis (A)</t>
  </si>
  <si>
    <t>Hanaula</t>
  </si>
  <si>
    <t>20°50′42′′N</t>
  </si>
  <si>
    <t>156°33′26′′W</t>
  </si>
  <si>
    <t>DQ649485</t>
  </si>
  <si>
    <t>DQ649509</t>
  </si>
  <si>
    <t>B. mauiensis (B)</t>
  </si>
  <si>
    <t>DQ649486</t>
  </si>
  <si>
    <t>DQ649510</t>
  </si>
  <si>
    <t>Maui (East)</t>
  </si>
  <si>
    <t>Waikamoi</t>
  </si>
  <si>
    <t>20°49′04′′N</t>
  </si>
  <si>
    <t>156°13′49′′W</t>
  </si>
  <si>
    <t>DQ649499</t>
  </si>
  <si>
    <t>DQ649523</t>
  </si>
  <si>
    <t>DQ649500</t>
  </si>
  <si>
    <t>DQ649524</t>
  </si>
  <si>
    <t>B. nitida (A)</t>
  </si>
  <si>
    <t>Hawaii</t>
  </si>
  <si>
    <t>Kealakekua</t>
  </si>
  <si>
    <t>19°30′32′′N</t>
  </si>
  <si>
    <t>155°51′46′′W</t>
  </si>
  <si>
    <t>DQ649493</t>
  </si>
  <si>
    <t>DQ649517</t>
  </si>
  <si>
    <t>B. nitida (B)</t>
  </si>
  <si>
    <t>Stainback</t>
  </si>
  <si>
    <t>19°34′14′′N</t>
  </si>
  <si>
    <t>155°11′19′′W</t>
  </si>
  <si>
    <t>DQ649495</t>
  </si>
  <si>
    <t>DQ649519</t>
  </si>
  <si>
    <t>B. nitida (C)e</t>
  </si>
  <si>
    <t>Puu Iki</t>
  </si>
  <si>
    <t>20°07′45′′N</t>
  </si>
  <si>
    <t>155°46′09′′W</t>
  </si>
  <si>
    <t>DQ649494</t>
  </si>
  <si>
    <t>DQ649518</t>
  </si>
  <si>
    <t>id</t>
  </si>
  <si>
    <t>scientificName</t>
  </si>
  <si>
    <t>island</t>
  </si>
  <si>
    <t>verbatimLatitude</t>
  </si>
  <si>
    <t>verbatimLongitude</t>
  </si>
  <si>
    <t>decimalLatitude</t>
  </si>
  <si>
    <t>decimalLongitude</t>
  </si>
  <si>
    <t>associatedSequences</t>
  </si>
  <si>
    <t>datasetID</t>
  </si>
  <si>
    <t>Shapiro, L. H., Strazanac, J. S., &amp; Roderick, G. K. (2006, October). Molecular phylogeny of Banza (Orthoptera: Tettigoniidae), the endemic katydids of the Hawaiian Archipelago. Molecular Phylogenetics and Evolution. Elsevier BV. doi:10.1016/j.ympev.2006.04.006</t>
  </si>
  <si>
    <t>1ecd4976-5a70-446f-8905-020faf3e2dcf</t>
  </si>
  <si>
    <t>D</t>
  </si>
  <si>
    <t>M</t>
  </si>
  <si>
    <t>S</t>
  </si>
  <si>
    <t>H</t>
  </si>
  <si>
    <t>taxonID</t>
  </si>
  <si>
    <t>epithet</t>
  </si>
  <si>
    <t>epithet cleaned</t>
  </si>
  <si>
    <t>name</t>
  </si>
  <si>
    <t>gbif</t>
  </si>
  <si>
    <t>B. "pilimauiensis" (A)</t>
  </si>
  <si>
    <t>B. "pilimauiensis" (B)</t>
  </si>
  <si>
    <t>associatedReferences</t>
  </si>
  <si>
    <t>locality</t>
  </si>
  <si>
    <t>basisOfRecord</t>
  </si>
  <si>
    <t>LITERATURE</t>
  </si>
  <si>
    <t>collectionCode</t>
  </si>
  <si>
    <t>institutionCode</t>
  </si>
  <si>
    <t>catalogNumber</t>
  </si>
  <si>
    <t>10.1016/j.ympev.2006.04.006</t>
  </si>
  <si>
    <t>IBACM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</si>
</sst>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tabSelected="1" topLeftCell="N1" workbookViewId="0">
      <selection activeCell="W1" sqref="W1:AL22"/>
    </sheetView>
  </sheetViews>
  <sheetFormatPr baseColWidth="10" defaultRowHeight="15" x14ac:dyDescent="0"/>
  <cols>
    <col min="10" max="10" width="17" customWidth="1"/>
    <col min="11" max="12" width="18.5" customWidth="1"/>
    <col min="17" max="17" width="13.5" customWidth="1"/>
    <col min="24" max="24" width="36.6640625" customWidth="1"/>
    <col min="25" max="25" width="17" customWidth="1"/>
    <col min="26" max="26" width="27.83203125" customWidth="1"/>
    <col min="27" max="27" width="15.33203125" customWidth="1"/>
    <col min="28" max="28" width="22.33203125" customWidth="1"/>
    <col min="29" max="30" width="35" customWidth="1"/>
    <col min="33" max="33" width="13.6640625" customWidth="1"/>
    <col min="34" max="34" width="13.83203125" customWidth="1"/>
    <col min="35" max="35" width="18.33203125" customWidth="1"/>
    <col min="36" max="36" width="17.6640625" customWidth="1"/>
    <col min="37" max="37" width="24.1640625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141</v>
      </c>
      <c r="J1" t="s">
        <v>142</v>
      </c>
      <c r="K1" t="s">
        <v>143</v>
      </c>
      <c r="L1" t="s">
        <v>144</v>
      </c>
      <c r="M1" t="s">
        <v>136</v>
      </c>
      <c r="N1" t="s">
        <v>137</v>
      </c>
      <c r="O1" t="s">
        <v>138</v>
      </c>
      <c r="P1" t="s">
        <v>139</v>
      </c>
      <c r="R1" t="s">
        <v>136</v>
      </c>
      <c r="S1" t="s">
        <v>137</v>
      </c>
      <c r="T1" t="s">
        <v>138</v>
      </c>
      <c r="U1" t="s">
        <v>139</v>
      </c>
      <c r="W1" s="1" t="s">
        <v>125</v>
      </c>
      <c r="X1" s="1" t="s">
        <v>133</v>
      </c>
      <c r="Y1" s="1" t="s">
        <v>152</v>
      </c>
      <c r="Z1" s="1" t="s">
        <v>151</v>
      </c>
      <c r="AA1" s="1" t="s">
        <v>153</v>
      </c>
      <c r="AB1" s="1" t="s">
        <v>126</v>
      </c>
      <c r="AC1" s="1" t="s">
        <v>140</v>
      </c>
      <c r="AD1" s="1" t="s">
        <v>149</v>
      </c>
      <c r="AE1" s="1" t="s">
        <v>127</v>
      </c>
      <c r="AF1" s="1" t="s">
        <v>148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147</v>
      </c>
    </row>
    <row r="2" spans="1:38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tr">
        <f>MID(A2,4,20)</f>
        <v>nihoa (A)</v>
      </c>
      <c r="J2" t="str">
        <f>LEFT(I2,LEN(I2)-4)</f>
        <v>nihoa</v>
      </c>
      <c r="K2" t="str">
        <f>TRIM(CONCATENATE("Banza ",J2))</f>
        <v>Banza nihoa</v>
      </c>
      <c r="L2">
        <v>1689137</v>
      </c>
      <c r="M2" t="str">
        <f>LEFT(D2,2)</f>
        <v>23</v>
      </c>
      <c r="N2" t="str">
        <f>MID(D2,4,2)</f>
        <v>03</v>
      </c>
      <c r="O2" t="str">
        <f>MID(D2,7,2)</f>
        <v>44</v>
      </c>
      <c r="P2" t="str">
        <f>MID(D2,11,1)</f>
        <v>N</v>
      </c>
      <c r="Q2">
        <f>M2+(N2/60)+(O2/3600)</f>
        <v>23.062222222222221</v>
      </c>
      <c r="R2" t="str">
        <f>LEFT(E2,3)</f>
        <v>161</v>
      </c>
      <c r="S2" t="str">
        <f>MID(E2,5,2)</f>
        <v>55</v>
      </c>
      <c r="T2" t="str">
        <f>MID(E2,8,2)</f>
        <v>34</v>
      </c>
      <c r="U2" t="str">
        <f>MID(E2,12,2)</f>
        <v>W</v>
      </c>
      <c r="V2">
        <f>-1*(R2+(S2/60)+(T2/3600))</f>
        <v>-161.92611111111111</v>
      </c>
      <c r="W2">
        <v>1</v>
      </c>
      <c r="X2" t="s">
        <v>135</v>
      </c>
      <c r="Y2" t="s">
        <v>155</v>
      </c>
      <c r="Z2" t="s">
        <v>154</v>
      </c>
      <c r="AA2">
        <f>W2</f>
        <v>1</v>
      </c>
      <c r="AB2" t="str">
        <f>K2</f>
        <v>Banza nihoa</v>
      </c>
      <c r="AC2" t="str">
        <f>IF(L2&lt;&gt;"",CONCATENATE("http://www.gbif.org/species/",L2),"")</f>
        <v>http://www.gbif.org/species/1689137</v>
      </c>
      <c r="AD2" t="s">
        <v>150</v>
      </c>
      <c r="AE2" t="str">
        <f>B2</f>
        <v>Nihoa</v>
      </c>
      <c r="AF2" t="str">
        <f>C2</f>
        <v>Miller Peak</v>
      </c>
      <c r="AG2" t="str">
        <f>D2</f>
        <v>23°03′44′′N</v>
      </c>
      <c r="AH2" t="str">
        <f>E2</f>
        <v>161°55′34′′W</v>
      </c>
      <c r="AI2">
        <f>Q2</f>
        <v>23.062222222222221</v>
      </c>
      <c r="AJ2">
        <f>V2</f>
        <v>-161.92611111111111</v>
      </c>
      <c r="AK2" t="str">
        <f>CONCATENATE(F2,"|",G2)</f>
        <v>DQ649491|DQ649515</v>
      </c>
      <c r="AL2" t="s">
        <v>134</v>
      </c>
    </row>
    <row r="3" spans="1:38">
      <c r="A3" t="s">
        <v>14</v>
      </c>
      <c r="B3" t="s">
        <v>8</v>
      </c>
      <c r="C3" t="s">
        <v>9</v>
      </c>
      <c r="D3" t="s">
        <v>10</v>
      </c>
      <c r="E3" t="s">
        <v>11</v>
      </c>
      <c r="F3" t="s">
        <v>15</v>
      </c>
      <c r="G3" t="s">
        <v>16</v>
      </c>
      <c r="I3" t="str">
        <f t="shared" ref="I3:I22" si="0">MID(A3,4,20)</f>
        <v>nihoa (B)</v>
      </c>
      <c r="J3" t="str">
        <f t="shared" ref="J3:J22" si="1">LEFT(I3,LEN(I3)-4)</f>
        <v>nihoa</v>
      </c>
      <c r="K3" t="str">
        <f t="shared" ref="K3:K22" si="2">TRIM(CONCATENATE("Banza ",J3))</f>
        <v>Banza nihoa</v>
      </c>
      <c r="L3">
        <v>1689137</v>
      </c>
      <c r="M3" t="str">
        <f t="shared" ref="M3:M22" si="3">LEFT(D3,2)</f>
        <v>23</v>
      </c>
      <c r="N3" t="str">
        <f t="shared" ref="N3:N22" si="4">MID(D3,4,2)</f>
        <v>03</v>
      </c>
      <c r="O3" t="str">
        <f t="shared" ref="O3:O22" si="5">MID(D3,7,2)</f>
        <v>44</v>
      </c>
      <c r="P3" t="str">
        <f t="shared" ref="P3:P22" si="6">MID(D3,11,1)</f>
        <v>N</v>
      </c>
      <c r="Q3">
        <f t="shared" ref="Q3:Q22" si="7">M3+(N3/60)+(O3/3600)</f>
        <v>23.062222222222221</v>
      </c>
      <c r="R3" t="str">
        <f t="shared" ref="R3:R22" si="8">LEFT(E3,3)</f>
        <v>161</v>
      </c>
      <c r="S3" t="str">
        <f t="shared" ref="S3:S22" si="9">MID(E3,5,2)</f>
        <v>55</v>
      </c>
      <c r="T3" t="str">
        <f t="shared" ref="T3:T22" si="10">MID(E3,8,2)</f>
        <v>34</v>
      </c>
      <c r="U3" t="str">
        <f t="shared" ref="U3:U22" si="11">MID(E3,12,2)</f>
        <v>W</v>
      </c>
      <c r="V3">
        <f t="shared" ref="V3:V22" si="12">-1*(R3+(S3/60)+(T3/3600))</f>
        <v>-161.92611111111111</v>
      </c>
      <c r="W3">
        <v>2</v>
      </c>
      <c r="X3" t="s">
        <v>135</v>
      </c>
      <c r="Y3" t="s">
        <v>155</v>
      </c>
      <c r="Z3" t="s">
        <v>154</v>
      </c>
      <c r="AA3">
        <f t="shared" ref="AA3:AA22" si="13">W3</f>
        <v>2</v>
      </c>
      <c r="AB3" t="str">
        <f t="shared" ref="AB3:AB22" si="14">K3</f>
        <v>Banza nihoa</v>
      </c>
      <c r="AC3" t="str">
        <f t="shared" ref="AC3:AC22" si="15">IF(L3&lt;&gt;"",CONCATENATE("http://www.gbif.org/species/",L3),"")</f>
        <v>http://www.gbif.org/species/1689137</v>
      </c>
      <c r="AD3" t="s">
        <v>150</v>
      </c>
      <c r="AE3" t="str">
        <f t="shared" ref="AE3:AE22" si="16">B3</f>
        <v>Nihoa</v>
      </c>
      <c r="AF3" t="str">
        <f t="shared" ref="AF3:AF22" si="17">C3</f>
        <v>Miller Peak</v>
      </c>
      <c r="AG3" t="str">
        <f t="shared" ref="AG3:AG22" si="18">D3</f>
        <v>23°03′44′′N</v>
      </c>
      <c r="AH3" t="str">
        <f t="shared" ref="AH3:AH22" si="19">E3</f>
        <v>161°55′34′′W</v>
      </c>
      <c r="AI3">
        <f t="shared" ref="AI3:AI22" si="20">Q3</f>
        <v>23.062222222222221</v>
      </c>
      <c r="AJ3">
        <f t="shared" ref="AJ3:AJ22" si="21">V3</f>
        <v>-161.92611111111111</v>
      </c>
      <c r="AK3" t="str">
        <f t="shared" ref="AK3:AK21" si="22">CONCATENATE(F3,"|",G3)</f>
        <v>DQ649492|DQ649516</v>
      </c>
      <c r="AL3" t="s">
        <v>134</v>
      </c>
    </row>
    <row r="4" spans="1:38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I4" t="str">
        <f t="shared" si="0"/>
        <v>kauaiensis (A)a</v>
      </c>
      <c r="J4" t="str">
        <f t="shared" si="1"/>
        <v xml:space="preserve">kauaiensis </v>
      </c>
      <c r="K4" t="str">
        <f t="shared" si="2"/>
        <v>Banza kauaiensis</v>
      </c>
      <c r="L4">
        <v>1689120</v>
      </c>
      <c r="M4" t="str">
        <f t="shared" si="3"/>
        <v>21</v>
      </c>
      <c r="N4" t="str">
        <f t="shared" si="4"/>
        <v>58</v>
      </c>
      <c r="O4" t="str">
        <f t="shared" si="5"/>
        <v>30</v>
      </c>
      <c r="P4" t="str">
        <f t="shared" si="6"/>
        <v>N</v>
      </c>
      <c r="Q4">
        <f t="shared" si="7"/>
        <v>21.974999999999998</v>
      </c>
      <c r="R4" t="str">
        <f t="shared" si="8"/>
        <v>159</v>
      </c>
      <c r="S4" t="str">
        <f t="shared" si="9"/>
        <v>27</v>
      </c>
      <c r="T4" t="str">
        <f t="shared" si="10"/>
        <v>58</v>
      </c>
      <c r="U4" t="str">
        <f t="shared" si="11"/>
        <v>W</v>
      </c>
      <c r="V4">
        <f t="shared" si="12"/>
        <v>-159.4661111111111</v>
      </c>
      <c r="W4">
        <v>3</v>
      </c>
      <c r="X4" t="s">
        <v>135</v>
      </c>
      <c r="Y4" t="s">
        <v>155</v>
      </c>
      <c r="Z4" t="s">
        <v>154</v>
      </c>
      <c r="AA4">
        <f t="shared" si="13"/>
        <v>3</v>
      </c>
      <c r="AB4" t="str">
        <f t="shared" si="14"/>
        <v>Banza kauaiensis</v>
      </c>
      <c r="AC4" t="str">
        <f t="shared" si="15"/>
        <v>http://www.gbif.org/species/1689120</v>
      </c>
      <c r="AD4" t="s">
        <v>150</v>
      </c>
      <c r="AE4" t="str">
        <f t="shared" si="16"/>
        <v>Kauai</v>
      </c>
      <c r="AF4" t="str">
        <f t="shared" si="17"/>
        <v>Alexander Dam</v>
      </c>
      <c r="AG4" t="str">
        <f t="shared" si="18"/>
        <v>21°58′30′′N</v>
      </c>
      <c r="AH4" t="str">
        <f t="shared" si="19"/>
        <v>159°27′58′′W</v>
      </c>
      <c r="AI4">
        <f t="shared" si="20"/>
        <v>21.974999999999998</v>
      </c>
      <c r="AJ4">
        <f t="shared" si="21"/>
        <v>-159.4661111111111</v>
      </c>
      <c r="AK4" t="str">
        <f t="shared" si="22"/>
        <v>DQ649483|DQ649507</v>
      </c>
      <c r="AL4" t="s">
        <v>134</v>
      </c>
    </row>
    <row r="5" spans="1:38">
      <c r="A5" t="s">
        <v>24</v>
      </c>
      <c r="B5" t="s">
        <v>18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I5" t="str">
        <f t="shared" si="0"/>
        <v>kauaiensis (B)b</v>
      </c>
      <c r="J5" t="str">
        <f t="shared" si="1"/>
        <v xml:space="preserve">kauaiensis </v>
      </c>
      <c r="K5" t="str">
        <f t="shared" si="2"/>
        <v>Banza kauaiensis</v>
      </c>
      <c r="L5">
        <v>1689120</v>
      </c>
      <c r="M5" t="str">
        <f t="shared" si="3"/>
        <v>22</v>
      </c>
      <c r="N5" t="str">
        <f t="shared" si="4"/>
        <v>09</v>
      </c>
      <c r="O5" t="str">
        <f t="shared" si="5"/>
        <v>14</v>
      </c>
      <c r="P5" t="str">
        <f t="shared" si="6"/>
        <v>N</v>
      </c>
      <c r="Q5">
        <f t="shared" si="7"/>
        <v>22.153888888888886</v>
      </c>
      <c r="R5" t="str">
        <f t="shared" si="8"/>
        <v>159</v>
      </c>
      <c r="S5" t="str">
        <f t="shared" si="9"/>
        <v>37</v>
      </c>
      <c r="T5" t="str">
        <f t="shared" si="10"/>
        <v>30</v>
      </c>
      <c r="U5" t="str">
        <f t="shared" si="11"/>
        <v>W</v>
      </c>
      <c r="V5">
        <f t="shared" si="12"/>
        <v>-159.625</v>
      </c>
      <c r="W5">
        <v>4</v>
      </c>
      <c r="X5" t="s">
        <v>135</v>
      </c>
      <c r="Y5" t="s">
        <v>155</v>
      </c>
      <c r="Z5" t="s">
        <v>154</v>
      </c>
      <c r="AA5">
        <f t="shared" si="13"/>
        <v>4</v>
      </c>
      <c r="AB5" t="str">
        <f t="shared" si="14"/>
        <v>Banza kauaiensis</v>
      </c>
      <c r="AC5" t="str">
        <f t="shared" si="15"/>
        <v>http://www.gbif.org/species/1689120</v>
      </c>
      <c r="AD5" t="s">
        <v>150</v>
      </c>
      <c r="AE5" t="str">
        <f t="shared" si="16"/>
        <v>Kauai</v>
      </c>
      <c r="AF5" t="str">
        <f t="shared" si="17"/>
        <v>Kokee, Pihea Trail</v>
      </c>
      <c r="AG5" t="str">
        <f t="shared" si="18"/>
        <v>22°09′14′′N</v>
      </c>
      <c r="AH5" t="str">
        <f t="shared" si="19"/>
        <v>159°37′30′′W</v>
      </c>
      <c r="AI5">
        <f t="shared" si="20"/>
        <v>22.153888888888886</v>
      </c>
      <c r="AJ5">
        <f t="shared" si="21"/>
        <v>-159.625</v>
      </c>
      <c r="AK5" t="str">
        <f t="shared" si="22"/>
        <v>DQ649484|DQ649508</v>
      </c>
      <c r="AL5" t="s">
        <v>134</v>
      </c>
    </row>
    <row r="6" spans="1:38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I6" t="str">
        <f t="shared" si="0"/>
        <v>unica (A)c</v>
      </c>
      <c r="J6" t="str">
        <f t="shared" si="1"/>
        <v xml:space="preserve">unica </v>
      </c>
      <c r="K6" t="str">
        <f t="shared" si="2"/>
        <v>Banza unica</v>
      </c>
      <c r="L6">
        <v>1689133</v>
      </c>
      <c r="M6" t="str">
        <f t="shared" si="3"/>
        <v>21</v>
      </c>
      <c r="N6" t="str">
        <f t="shared" si="4"/>
        <v>20</v>
      </c>
      <c r="O6" t="str">
        <f t="shared" si="5"/>
        <v>14</v>
      </c>
      <c r="P6" t="str">
        <f t="shared" si="6"/>
        <v>N</v>
      </c>
      <c r="Q6">
        <f t="shared" si="7"/>
        <v>21.33722222222222</v>
      </c>
      <c r="R6" t="str">
        <f t="shared" si="8"/>
        <v>157</v>
      </c>
      <c r="S6" t="str">
        <f t="shared" si="9"/>
        <v>49</v>
      </c>
      <c r="T6" t="str">
        <f t="shared" si="10"/>
        <v>04</v>
      </c>
      <c r="U6" t="str">
        <f t="shared" si="11"/>
        <v>W</v>
      </c>
      <c r="V6">
        <f t="shared" si="12"/>
        <v>-157.81777777777776</v>
      </c>
      <c r="W6">
        <v>5</v>
      </c>
      <c r="X6" t="s">
        <v>135</v>
      </c>
      <c r="Y6" t="s">
        <v>155</v>
      </c>
      <c r="Z6" t="s">
        <v>154</v>
      </c>
      <c r="AA6">
        <f t="shared" si="13"/>
        <v>5</v>
      </c>
      <c r="AB6" t="str">
        <f t="shared" si="14"/>
        <v>Banza unica</v>
      </c>
      <c r="AC6" t="str">
        <f t="shared" si="15"/>
        <v>http://www.gbif.org/species/1689133</v>
      </c>
      <c r="AD6" t="s">
        <v>150</v>
      </c>
      <c r="AE6" t="str">
        <f t="shared" si="16"/>
        <v>Oahu</v>
      </c>
      <c r="AF6" t="str">
        <f t="shared" si="17"/>
        <v>Mount Tantalus</v>
      </c>
      <c r="AG6" t="str">
        <f t="shared" si="18"/>
        <v>21°20′14′′N</v>
      </c>
      <c r="AH6" t="str">
        <f t="shared" si="19"/>
        <v>157°49′04′′W</v>
      </c>
      <c r="AI6">
        <f t="shared" si="20"/>
        <v>21.33722222222222</v>
      </c>
      <c r="AJ6">
        <f t="shared" si="21"/>
        <v>-157.81777777777776</v>
      </c>
      <c r="AK6" t="str">
        <f t="shared" si="22"/>
        <v>DQ649501|DQ649525</v>
      </c>
      <c r="AL6" t="s">
        <v>134</v>
      </c>
    </row>
    <row r="7" spans="1:38">
      <c r="A7" t="s">
        <v>37</v>
      </c>
      <c r="B7" t="s">
        <v>31</v>
      </c>
      <c r="C7" t="s">
        <v>38</v>
      </c>
      <c r="D7" t="s">
        <v>39</v>
      </c>
      <c r="E7" t="s">
        <v>40</v>
      </c>
      <c r="F7" t="s">
        <v>41</v>
      </c>
      <c r="G7" t="s">
        <v>42</v>
      </c>
      <c r="I7" t="str">
        <f t="shared" si="0"/>
        <v>unica (B)d</v>
      </c>
      <c r="J7" t="str">
        <f t="shared" si="1"/>
        <v xml:space="preserve">unica </v>
      </c>
      <c r="K7" t="str">
        <f t="shared" si="2"/>
        <v>Banza unica</v>
      </c>
      <c r="L7">
        <v>1689133</v>
      </c>
      <c r="M7" t="str">
        <f t="shared" si="3"/>
        <v>21</v>
      </c>
      <c r="N7" t="str">
        <f t="shared" si="4"/>
        <v>24</v>
      </c>
      <c r="O7" t="str">
        <f t="shared" si="5"/>
        <v>59</v>
      </c>
      <c r="P7" t="str">
        <f t="shared" si="6"/>
        <v>N</v>
      </c>
      <c r="Q7">
        <f t="shared" si="7"/>
        <v>21.416388888888889</v>
      </c>
      <c r="R7" t="str">
        <f t="shared" si="8"/>
        <v>158</v>
      </c>
      <c r="S7" t="str">
        <f t="shared" si="9"/>
        <v>06</v>
      </c>
      <c r="T7" t="str">
        <f t="shared" si="10"/>
        <v>13</v>
      </c>
      <c r="U7" t="str">
        <f t="shared" si="11"/>
        <v>W</v>
      </c>
      <c r="V7">
        <f t="shared" si="12"/>
        <v>-158.10361111111109</v>
      </c>
      <c r="W7">
        <v>6</v>
      </c>
      <c r="X7" t="s">
        <v>135</v>
      </c>
      <c r="Y7" t="s">
        <v>155</v>
      </c>
      <c r="Z7" t="s">
        <v>154</v>
      </c>
      <c r="AA7">
        <f t="shared" si="13"/>
        <v>6</v>
      </c>
      <c r="AB7" t="str">
        <f t="shared" si="14"/>
        <v>Banza unica</v>
      </c>
      <c r="AC7" t="str">
        <f t="shared" si="15"/>
        <v>http://www.gbif.org/species/1689133</v>
      </c>
      <c r="AD7" t="s">
        <v>150</v>
      </c>
      <c r="AE7" t="str">
        <f t="shared" si="16"/>
        <v>Oahu</v>
      </c>
      <c r="AF7" t="str">
        <f t="shared" si="17"/>
        <v>Palikea Trail</v>
      </c>
      <c r="AG7" t="str">
        <f t="shared" si="18"/>
        <v>21°24′59′′N</v>
      </c>
      <c r="AH7" t="str">
        <f t="shared" si="19"/>
        <v>158°06′13′′W</v>
      </c>
      <c r="AI7">
        <f t="shared" si="20"/>
        <v>21.416388888888889</v>
      </c>
      <c r="AJ7">
        <f t="shared" si="21"/>
        <v>-158.10361111111109</v>
      </c>
      <c r="AK7" t="str">
        <f t="shared" si="22"/>
        <v>DQ649502|DQ649526</v>
      </c>
      <c r="AL7" t="s">
        <v>134</v>
      </c>
    </row>
    <row r="8" spans="1:38">
      <c r="A8" t="s">
        <v>43</v>
      </c>
      <c r="B8" t="s">
        <v>31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I8" t="str">
        <f t="shared" si="0"/>
        <v>parvula (A)</v>
      </c>
      <c r="J8" t="str">
        <f t="shared" si="1"/>
        <v>parvula</v>
      </c>
      <c r="K8" t="str">
        <f t="shared" si="2"/>
        <v>Banza parvula</v>
      </c>
      <c r="L8">
        <v>1689127</v>
      </c>
      <c r="M8" t="str">
        <f t="shared" si="3"/>
        <v>21</v>
      </c>
      <c r="N8" t="str">
        <f t="shared" si="4"/>
        <v>26</v>
      </c>
      <c r="O8" t="str">
        <f t="shared" si="5"/>
        <v>41</v>
      </c>
      <c r="P8" t="str">
        <f t="shared" si="6"/>
        <v>N</v>
      </c>
      <c r="Q8">
        <f t="shared" si="7"/>
        <v>21.444722222222222</v>
      </c>
      <c r="R8" t="str">
        <f t="shared" si="8"/>
        <v>158</v>
      </c>
      <c r="S8" t="str">
        <f t="shared" si="9"/>
        <v>06</v>
      </c>
      <c r="T8" t="str">
        <f t="shared" si="10"/>
        <v>05</v>
      </c>
      <c r="U8" t="str">
        <f t="shared" si="11"/>
        <v>W</v>
      </c>
      <c r="V8">
        <f t="shared" si="12"/>
        <v>-158.10138888888889</v>
      </c>
      <c r="W8">
        <v>7</v>
      </c>
      <c r="X8" t="s">
        <v>135</v>
      </c>
      <c r="Y8" t="s">
        <v>155</v>
      </c>
      <c r="Z8" t="s">
        <v>154</v>
      </c>
      <c r="AA8">
        <f t="shared" si="13"/>
        <v>7</v>
      </c>
      <c r="AB8" t="str">
        <f t="shared" si="14"/>
        <v>Banza parvula</v>
      </c>
      <c r="AC8" t="str">
        <f t="shared" si="15"/>
        <v>http://www.gbif.org/species/1689127</v>
      </c>
      <c r="AD8" t="s">
        <v>150</v>
      </c>
      <c r="AE8" t="str">
        <f t="shared" si="16"/>
        <v>Oahu</v>
      </c>
      <c r="AF8" t="str">
        <f t="shared" si="17"/>
        <v>Puu Kaua</v>
      </c>
      <c r="AG8" t="str">
        <f t="shared" si="18"/>
        <v>21°26′41′′N</v>
      </c>
      <c r="AH8" t="str">
        <f t="shared" si="19"/>
        <v>158°06′05′′W</v>
      </c>
      <c r="AI8">
        <f t="shared" si="20"/>
        <v>21.444722222222222</v>
      </c>
      <c r="AJ8">
        <f t="shared" si="21"/>
        <v>-158.10138888888889</v>
      </c>
      <c r="AK8" t="str">
        <f t="shared" si="22"/>
        <v>DQ649497|DQ649521</v>
      </c>
      <c r="AL8" t="s">
        <v>134</v>
      </c>
    </row>
    <row r="9" spans="1:38">
      <c r="A9" t="s">
        <v>49</v>
      </c>
      <c r="B9" t="s">
        <v>31</v>
      </c>
      <c r="C9" t="s">
        <v>50</v>
      </c>
      <c r="D9" t="s">
        <v>51</v>
      </c>
      <c r="E9" t="s">
        <v>52</v>
      </c>
      <c r="F9" t="s">
        <v>53</v>
      </c>
      <c r="G9" t="s">
        <v>54</v>
      </c>
      <c r="I9" t="str">
        <f t="shared" si="0"/>
        <v>parvula (B)</v>
      </c>
      <c r="J9" t="str">
        <f t="shared" si="1"/>
        <v>parvula</v>
      </c>
      <c r="K9" t="str">
        <f t="shared" si="2"/>
        <v>Banza parvula</v>
      </c>
      <c r="L9">
        <v>1689127</v>
      </c>
      <c r="M9" t="str">
        <f t="shared" si="3"/>
        <v>21</v>
      </c>
      <c r="N9" t="str">
        <f t="shared" si="4"/>
        <v>32</v>
      </c>
      <c r="O9" t="str">
        <f t="shared" si="5"/>
        <v>57</v>
      </c>
      <c r="P9" t="str">
        <f t="shared" si="6"/>
        <v>N</v>
      </c>
      <c r="Q9">
        <f t="shared" si="7"/>
        <v>21.549166666666668</v>
      </c>
      <c r="R9" t="str">
        <f t="shared" si="8"/>
        <v>158</v>
      </c>
      <c r="S9" t="str">
        <f t="shared" si="9"/>
        <v>11</v>
      </c>
      <c r="T9" t="str">
        <f t="shared" si="10"/>
        <v>13</v>
      </c>
      <c r="U9" t="str">
        <f t="shared" si="11"/>
        <v>W</v>
      </c>
      <c r="V9">
        <f t="shared" si="12"/>
        <v>-158.18694444444444</v>
      </c>
      <c r="W9">
        <v>8</v>
      </c>
      <c r="X9" t="s">
        <v>135</v>
      </c>
      <c r="Y9" t="s">
        <v>155</v>
      </c>
      <c r="Z9" t="s">
        <v>154</v>
      </c>
      <c r="AA9">
        <f t="shared" si="13"/>
        <v>8</v>
      </c>
      <c r="AB9" t="str">
        <f t="shared" si="14"/>
        <v>Banza parvula</v>
      </c>
      <c r="AC9" t="str">
        <f t="shared" si="15"/>
        <v>http://www.gbif.org/species/1689127</v>
      </c>
      <c r="AD9" t="s">
        <v>150</v>
      </c>
      <c r="AE9" t="str">
        <f t="shared" si="16"/>
        <v>Oahu</v>
      </c>
      <c r="AF9" t="str">
        <f t="shared" si="17"/>
        <v>Peacock Flats</v>
      </c>
      <c r="AG9" t="str">
        <f t="shared" si="18"/>
        <v>21°32′57′′N</v>
      </c>
      <c r="AH9" t="str">
        <f t="shared" si="19"/>
        <v>158°11′13′′W</v>
      </c>
      <c r="AI9">
        <f t="shared" si="20"/>
        <v>21.549166666666668</v>
      </c>
      <c r="AJ9">
        <f t="shared" si="21"/>
        <v>-158.18694444444444</v>
      </c>
      <c r="AK9" t="str">
        <f t="shared" si="22"/>
        <v>DQ649498|DQ649522</v>
      </c>
      <c r="AL9" t="s">
        <v>134</v>
      </c>
    </row>
    <row r="10" spans="1:38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  <c r="G10" t="s">
        <v>61</v>
      </c>
      <c r="I10" t="str">
        <f t="shared" si="0"/>
        <v>molokaiensis (A)</v>
      </c>
      <c r="J10" t="str">
        <f t="shared" si="1"/>
        <v>molokaiensis</v>
      </c>
      <c r="K10" t="str">
        <f t="shared" si="2"/>
        <v>Banza molokaiensis</v>
      </c>
      <c r="L10">
        <v>1689135</v>
      </c>
      <c r="M10" t="str">
        <f t="shared" si="3"/>
        <v>21</v>
      </c>
      <c r="N10" t="str">
        <f t="shared" si="4"/>
        <v>06</v>
      </c>
      <c r="O10" t="str">
        <f t="shared" si="5"/>
        <v>35</v>
      </c>
      <c r="P10" t="str">
        <f t="shared" si="6"/>
        <v>N</v>
      </c>
      <c r="Q10">
        <f t="shared" si="7"/>
        <v>21.109722222222224</v>
      </c>
      <c r="R10" t="str">
        <f t="shared" si="8"/>
        <v>156</v>
      </c>
      <c r="S10" t="str">
        <f t="shared" si="9"/>
        <v>54</v>
      </c>
      <c r="T10" t="str">
        <f t="shared" si="10"/>
        <v>10</v>
      </c>
      <c r="U10" t="str">
        <f t="shared" si="11"/>
        <v>W</v>
      </c>
      <c r="V10">
        <f t="shared" si="12"/>
        <v>-156.90277777777777</v>
      </c>
      <c r="W10">
        <v>9</v>
      </c>
      <c r="X10" t="s">
        <v>135</v>
      </c>
      <c r="Y10" t="s">
        <v>155</v>
      </c>
      <c r="Z10" t="s">
        <v>154</v>
      </c>
      <c r="AA10">
        <f t="shared" si="13"/>
        <v>9</v>
      </c>
      <c r="AB10" t="str">
        <f t="shared" si="14"/>
        <v>Banza molokaiensis</v>
      </c>
      <c r="AC10" t="str">
        <f t="shared" si="15"/>
        <v>http://www.gbif.org/species/1689135</v>
      </c>
      <c r="AD10" t="s">
        <v>150</v>
      </c>
      <c r="AE10" t="str">
        <f t="shared" si="16"/>
        <v>Molokai</v>
      </c>
      <c r="AF10" t="str">
        <f t="shared" si="17"/>
        <v>Puu Kole Kole</v>
      </c>
      <c r="AG10" t="str">
        <f t="shared" si="18"/>
        <v>21°06′35′′N</v>
      </c>
      <c r="AH10" t="str">
        <f t="shared" si="19"/>
        <v>156°54′10′′W</v>
      </c>
      <c r="AI10">
        <f t="shared" si="20"/>
        <v>21.109722222222224</v>
      </c>
      <c r="AJ10">
        <f t="shared" si="21"/>
        <v>-156.90277777777777</v>
      </c>
      <c r="AK10" t="str">
        <f t="shared" si="22"/>
        <v>DQ649487|DQ649511</v>
      </c>
      <c r="AL10" t="s">
        <v>134</v>
      </c>
    </row>
    <row r="11" spans="1:38">
      <c r="A11" t="s">
        <v>62</v>
      </c>
      <c r="B11" t="s">
        <v>56</v>
      </c>
      <c r="C11" t="s">
        <v>57</v>
      </c>
      <c r="D11" t="s">
        <v>58</v>
      </c>
      <c r="E11" t="s">
        <v>59</v>
      </c>
      <c r="F11" t="s">
        <v>63</v>
      </c>
      <c r="G11" t="s">
        <v>64</v>
      </c>
      <c r="I11" t="str">
        <f t="shared" si="0"/>
        <v>molokaiensis (B)</v>
      </c>
      <c r="J11" t="str">
        <f t="shared" si="1"/>
        <v>molokaiensis</v>
      </c>
      <c r="K11" t="str">
        <f t="shared" si="2"/>
        <v>Banza molokaiensis</v>
      </c>
      <c r="L11">
        <v>1689135</v>
      </c>
      <c r="M11" t="str">
        <f t="shared" si="3"/>
        <v>21</v>
      </c>
      <c r="N11" t="str">
        <f t="shared" si="4"/>
        <v>06</v>
      </c>
      <c r="O11" t="str">
        <f t="shared" si="5"/>
        <v>35</v>
      </c>
      <c r="P11" t="str">
        <f t="shared" si="6"/>
        <v>N</v>
      </c>
      <c r="Q11">
        <f t="shared" si="7"/>
        <v>21.109722222222224</v>
      </c>
      <c r="R11" t="str">
        <f t="shared" si="8"/>
        <v>156</v>
      </c>
      <c r="S11" t="str">
        <f t="shared" si="9"/>
        <v>54</v>
      </c>
      <c r="T11" t="str">
        <f t="shared" si="10"/>
        <v>10</v>
      </c>
      <c r="U11" t="str">
        <f t="shared" si="11"/>
        <v>W</v>
      </c>
      <c r="V11">
        <f t="shared" si="12"/>
        <v>-156.90277777777777</v>
      </c>
      <c r="W11">
        <v>10</v>
      </c>
      <c r="X11" t="s">
        <v>135</v>
      </c>
      <c r="Y11" t="s">
        <v>155</v>
      </c>
      <c r="Z11" t="s">
        <v>154</v>
      </c>
      <c r="AA11">
        <f t="shared" si="13"/>
        <v>10</v>
      </c>
      <c r="AB11" t="str">
        <f t="shared" si="14"/>
        <v>Banza molokaiensis</v>
      </c>
      <c r="AC11" t="str">
        <f t="shared" si="15"/>
        <v>http://www.gbif.org/species/1689135</v>
      </c>
      <c r="AD11" t="s">
        <v>150</v>
      </c>
      <c r="AE11" t="str">
        <f t="shared" si="16"/>
        <v>Molokai</v>
      </c>
      <c r="AF11" t="str">
        <f t="shared" si="17"/>
        <v>Puu Kole Kole</v>
      </c>
      <c r="AG11" t="str">
        <f t="shared" si="18"/>
        <v>21°06′35′′N</v>
      </c>
      <c r="AH11" t="str">
        <f t="shared" si="19"/>
        <v>156°54′10′′W</v>
      </c>
      <c r="AI11">
        <f t="shared" si="20"/>
        <v>21.109722222222224</v>
      </c>
      <c r="AJ11">
        <f t="shared" si="21"/>
        <v>-156.90277777777777</v>
      </c>
      <c r="AK11" t="str">
        <f t="shared" si="22"/>
        <v>DQ649488|DQ649512</v>
      </c>
      <c r="AL11" t="s">
        <v>134</v>
      </c>
    </row>
    <row r="12" spans="1:38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71</v>
      </c>
      <c r="I12" t="str">
        <f t="shared" si="0"/>
        <v>deplanata (A)</v>
      </c>
      <c r="J12" t="str">
        <f t="shared" si="1"/>
        <v>deplanata</v>
      </c>
      <c r="K12" t="str">
        <f t="shared" si="2"/>
        <v>Banza deplanata</v>
      </c>
      <c r="L12">
        <v>1689124</v>
      </c>
      <c r="M12" t="str">
        <f t="shared" si="3"/>
        <v>20</v>
      </c>
      <c r="N12" t="str">
        <f t="shared" si="4"/>
        <v>48</v>
      </c>
      <c r="O12" t="str">
        <f t="shared" si="5"/>
        <v>53</v>
      </c>
      <c r="P12" t="str">
        <f t="shared" si="6"/>
        <v>N</v>
      </c>
      <c r="Q12">
        <f t="shared" si="7"/>
        <v>20.814722222222223</v>
      </c>
      <c r="R12" t="str">
        <f t="shared" si="8"/>
        <v>156</v>
      </c>
      <c r="S12" t="str">
        <f t="shared" si="9"/>
        <v>52</v>
      </c>
      <c r="T12" t="str">
        <f t="shared" si="10"/>
        <v>33</v>
      </c>
      <c r="U12" t="str">
        <f t="shared" si="11"/>
        <v>W</v>
      </c>
      <c r="V12">
        <f t="shared" si="12"/>
        <v>-156.87583333333333</v>
      </c>
      <c r="W12">
        <v>11</v>
      </c>
      <c r="X12" t="s">
        <v>135</v>
      </c>
      <c r="Y12" t="s">
        <v>155</v>
      </c>
      <c r="Z12" t="s">
        <v>154</v>
      </c>
      <c r="AA12">
        <f t="shared" si="13"/>
        <v>11</v>
      </c>
      <c r="AB12" t="str">
        <f t="shared" si="14"/>
        <v>Banza deplanata</v>
      </c>
      <c r="AC12" t="str">
        <f t="shared" si="15"/>
        <v>http://www.gbif.org/species/1689124</v>
      </c>
      <c r="AD12" t="s">
        <v>150</v>
      </c>
      <c r="AE12" t="str">
        <f t="shared" si="16"/>
        <v>Lanai</v>
      </c>
      <c r="AF12" t="str">
        <f t="shared" si="17"/>
        <v>Lanaihale</v>
      </c>
      <c r="AG12" t="str">
        <f t="shared" si="18"/>
        <v>20°48′53′′N</v>
      </c>
      <c r="AH12" t="str">
        <f t="shared" si="19"/>
        <v>156°52′33′′W</v>
      </c>
      <c r="AI12">
        <f t="shared" si="20"/>
        <v>20.814722222222223</v>
      </c>
      <c r="AJ12">
        <f t="shared" si="21"/>
        <v>-156.87583333333333</v>
      </c>
      <c r="AK12" t="str">
        <f t="shared" si="22"/>
        <v>DQ649481|DQ649505</v>
      </c>
      <c r="AL12" t="s">
        <v>134</v>
      </c>
    </row>
    <row r="13" spans="1:38">
      <c r="A13" t="s">
        <v>72</v>
      </c>
      <c r="B13" t="s">
        <v>66</v>
      </c>
      <c r="C13" t="s">
        <v>67</v>
      </c>
      <c r="D13" t="s">
        <v>68</v>
      </c>
      <c r="E13" t="s">
        <v>73</v>
      </c>
      <c r="F13" t="s">
        <v>74</v>
      </c>
      <c r="G13" t="s">
        <v>75</v>
      </c>
      <c r="I13" t="str">
        <f t="shared" si="0"/>
        <v>deplanata (B)</v>
      </c>
      <c r="J13" t="str">
        <f t="shared" si="1"/>
        <v>deplanata</v>
      </c>
      <c r="K13" t="str">
        <f t="shared" si="2"/>
        <v>Banza deplanata</v>
      </c>
      <c r="L13">
        <v>1689124</v>
      </c>
      <c r="M13" t="str">
        <f t="shared" si="3"/>
        <v>20</v>
      </c>
      <c r="N13" t="str">
        <f t="shared" si="4"/>
        <v>48</v>
      </c>
      <c r="O13" t="str">
        <f t="shared" si="5"/>
        <v>53</v>
      </c>
      <c r="P13" t="str">
        <f t="shared" si="6"/>
        <v>N</v>
      </c>
      <c r="Q13">
        <f t="shared" si="7"/>
        <v>20.814722222222223</v>
      </c>
      <c r="R13" t="str">
        <f t="shared" si="8"/>
        <v>156</v>
      </c>
      <c r="S13" t="str">
        <f t="shared" si="9"/>
        <v>52</v>
      </c>
      <c r="T13" t="str">
        <f t="shared" si="10"/>
        <v>14</v>
      </c>
      <c r="U13" t="str">
        <f t="shared" si="11"/>
        <v>W</v>
      </c>
      <c r="V13">
        <f t="shared" si="12"/>
        <v>-156.87055555555557</v>
      </c>
      <c r="W13">
        <v>12</v>
      </c>
      <c r="X13" t="s">
        <v>135</v>
      </c>
      <c r="Y13" t="s">
        <v>155</v>
      </c>
      <c r="Z13" t="s">
        <v>154</v>
      </c>
      <c r="AA13">
        <f t="shared" si="13"/>
        <v>12</v>
      </c>
      <c r="AB13" t="str">
        <f t="shared" si="14"/>
        <v>Banza deplanata</v>
      </c>
      <c r="AC13" t="str">
        <f t="shared" si="15"/>
        <v>http://www.gbif.org/species/1689124</v>
      </c>
      <c r="AD13" t="s">
        <v>150</v>
      </c>
      <c r="AE13" t="str">
        <f t="shared" si="16"/>
        <v>Lanai</v>
      </c>
      <c r="AF13" t="str">
        <f t="shared" si="17"/>
        <v>Lanaihale</v>
      </c>
      <c r="AG13" t="str">
        <f t="shared" si="18"/>
        <v>20°48′53′′N</v>
      </c>
      <c r="AH13" t="str">
        <f t="shared" si="19"/>
        <v>156°52′14′′W</v>
      </c>
      <c r="AI13">
        <f t="shared" si="20"/>
        <v>20.814722222222223</v>
      </c>
      <c r="AJ13">
        <f t="shared" si="21"/>
        <v>-156.87055555555557</v>
      </c>
      <c r="AK13" t="str">
        <f t="shared" si="22"/>
        <v>DQ649482|DQ649506</v>
      </c>
      <c r="AL13" t="s">
        <v>134</v>
      </c>
    </row>
    <row r="14" spans="1:38">
      <c r="A14" t="s">
        <v>76</v>
      </c>
      <c r="B14" t="s">
        <v>77</v>
      </c>
      <c r="C14" t="s">
        <v>78</v>
      </c>
      <c r="D14" t="s">
        <v>79</v>
      </c>
      <c r="E14" t="s">
        <v>80</v>
      </c>
      <c r="F14" t="s">
        <v>81</v>
      </c>
      <c r="G14" t="s">
        <v>82</v>
      </c>
      <c r="I14" t="str">
        <f t="shared" si="0"/>
        <v>brunnea (A)</v>
      </c>
      <c r="J14" t="str">
        <f t="shared" si="1"/>
        <v>brunnea</v>
      </c>
      <c r="K14" t="str">
        <f t="shared" si="2"/>
        <v>Banza brunnea</v>
      </c>
      <c r="L14">
        <v>1689144</v>
      </c>
      <c r="M14" t="str">
        <f t="shared" si="3"/>
        <v>20</v>
      </c>
      <c r="N14" t="str">
        <f t="shared" si="4"/>
        <v>56</v>
      </c>
      <c r="O14" t="str">
        <f t="shared" si="5"/>
        <v>14</v>
      </c>
      <c r="P14" t="str">
        <f t="shared" si="6"/>
        <v>N</v>
      </c>
      <c r="Q14">
        <f t="shared" si="7"/>
        <v>20.937222222222221</v>
      </c>
      <c r="R14" t="str">
        <f t="shared" si="8"/>
        <v>156</v>
      </c>
      <c r="S14" t="str">
        <f t="shared" si="9"/>
        <v>37</v>
      </c>
      <c r="T14" t="str">
        <f t="shared" si="10"/>
        <v>10</v>
      </c>
      <c r="U14" t="str">
        <f t="shared" si="11"/>
        <v>W</v>
      </c>
      <c r="V14">
        <f t="shared" si="12"/>
        <v>-156.61944444444444</v>
      </c>
      <c r="W14">
        <v>13</v>
      </c>
      <c r="X14" t="s">
        <v>135</v>
      </c>
      <c r="Y14" t="s">
        <v>155</v>
      </c>
      <c r="Z14" t="s">
        <v>154</v>
      </c>
      <c r="AA14">
        <f t="shared" si="13"/>
        <v>13</v>
      </c>
      <c r="AB14" t="str">
        <f t="shared" si="14"/>
        <v>Banza brunnea</v>
      </c>
      <c r="AC14" t="str">
        <f t="shared" si="15"/>
        <v>http://www.gbif.org/species/1689144</v>
      </c>
      <c r="AD14" t="s">
        <v>150</v>
      </c>
      <c r="AE14" t="str">
        <f t="shared" si="16"/>
        <v>Maui (West)</v>
      </c>
      <c r="AF14" t="str">
        <f t="shared" si="17"/>
        <v>Kaulalewelewe</v>
      </c>
      <c r="AG14" t="str">
        <f t="shared" si="18"/>
        <v>20°56′14′′N</v>
      </c>
      <c r="AH14" t="str">
        <f t="shared" si="19"/>
        <v>156°37′10′′W</v>
      </c>
      <c r="AI14">
        <f t="shared" si="20"/>
        <v>20.937222222222221</v>
      </c>
      <c r="AJ14">
        <f t="shared" si="21"/>
        <v>-156.61944444444444</v>
      </c>
      <c r="AK14" t="str">
        <f t="shared" si="22"/>
        <v>DQ649479|DQ649503</v>
      </c>
      <c r="AL14" t="s">
        <v>134</v>
      </c>
    </row>
    <row r="15" spans="1:38">
      <c r="A15" t="s">
        <v>83</v>
      </c>
      <c r="B15" t="s">
        <v>77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I15" t="str">
        <f t="shared" si="0"/>
        <v>brunnea (B)</v>
      </c>
      <c r="J15" t="str">
        <f t="shared" si="1"/>
        <v>brunnea</v>
      </c>
      <c r="K15" t="str">
        <f t="shared" si="2"/>
        <v>Banza brunnea</v>
      </c>
      <c r="L15">
        <v>1689144</v>
      </c>
      <c r="M15" t="str">
        <f t="shared" si="3"/>
        <v>20</v>
      </c>
      <c r="N15" t="str">
        <f t="shared" si="4"/>
        <v>51</v>
      </c>
      <c r="O15" t="str">
        <f t="shared" si="5"/>
        <v>18</v>
      </c>
      <c r="P15" t="str">
        <f t="shared" si="6"/>
        <v>N</v>
      </c>
      <c r="Q15">
        <f t="shared" si="7"/>
        <v>20.855</v>
      </c>
      <c r="R15" t="str">
        <f t="shared" si="8"/>
        <v>156</v>
      </c>
      <c r="S15" t="str">
        <f t="shared" si="9"/>
        <v>36</v>
      </c>
      <c r="T15" t="str">
        <f t="shared" si="10"/>
        <v>12</v>
      </c>
      <c r="U15" t="str">
        <f t="shared" si="11"/>
        <v>W</v>
      </c>
      <c r="V15">
        <f t="shared" si="12"/>
        <v>-156.60333333333332</v>
      </c>
      <c r="W15">
        <v>14</v>
      </c>
      <c r="X15" t="s">
        <v>135</v>
      </c>
      <c r="Y15" t="s">
        <v>155</v>
      </c>
      <c r="Z15" t="s">
        <v>154</v>
      </c>
      <c r="AA15">
        <f t="shared" si="13"/>
        <v>14</v>
      </c>
      <c r="AB15" t="str">
        <f t="shared" si="14"/>
        <v>Banza brunnea</v>
      </c>
      <c r="AC15" t="str">
        <f t="shared" si="15"/>
        <v>http://www.gbif.org/species/1689144</v>
      </c>
      <c r="AD15" t="s">
        <v>150</v>
      </c>
      <c r="AE15" t="str">
        <f t="shared" si="16"/>
        <v>Maui (West)</v>
      </c>
      <c r="AF15" t="str">
        <f t="shared" si="17"/>
        <v>Lihau</v>
      </c>
      <c r="AG15" t="str">
        <f t="shared" si="18"/>
        <v>20°51′18′′N</v>
      </c>
      <c r="AH15" t="str">
        <f t="shared" si="19"/>
        <v>156°36′12′′W</v>
      </c>
      <c r="AI15">
        <f t="shared" si="20"/>
        <v>20.855</v>
      </c>
      <c r="AJ15">
        <f t="shared" si="21"/>
        <v>-156.60333333333332</v>
      </c>
      <c r="AK15" t="str">
        <f t="shared" si="22"/>
        <v>DQ649480|DQ649504</v>
      </c>
      <c r="AL15" t="s">
        <v>134</v>
      </c>
    </row>
    <row r="16" spans="1:38">
      <c r="A16" t="s">
        <v>89</v>
      </c>
      <c r="B16" t="s">
        <v>77</v>
      </c>
      <c r="C16" t="s">
        <v>90</v>
      </c>
      <c r="D16" t="s">
        <v>91</v>
      </c>
      <c r="E16" t="s">
        <v>92</v>
      </c>
      <c r="F16" t="s">
        <v>93</v>
      </c>
      <c r="G16" t="s">
        <v>94</v>
      </c>
      <c r="I16" t="str">
        <f t="shared" si="0"/>
        <v>mauiensis (A)</v>
      </c>
      <c r="J16" t="str">
        <f t="shared" si="1"/>
        <v>mauiensis</v>
      </c>
      <c r="K16" t="str">
        <f t="shared" si="2"/>
        <v>Banza mauiensis</v>
      </c>
      <c r="L16">
        <v>1689122</v>
      </c>
      <c r="M16" t="str">
        <f t="shared" si="3"/>
        <v>20</v>
      </c>
      <c r="N16" t="str">
        <f t="shared" si="4"/>
        <v>50</v>
      </c>
      <c r="O16" t="str">
        <f t="shared" si="5"/>
        <v>42</v>
      </c>
      <c r="P16" t="str">
        <f t="shared" si="6"/>
        <v>N</v>
      </c>
      <c r="Q16">
        <f t="shared" si="7"/>
        <v>20.844999999999999</v>
      </c>
      <c r="R16" t="str">
        <f t="shared" si="8"/>
        <v>156</v>
      </c>
      <c r="S16" t="str">
        <f t="shared" si="9"/>
        <v>33</v>
      </c>
      <c r="T16" t="str">
        <f t="shared" si="10"/>
        <v>26</v>
      </c>
      <c r="U16" t="str">
        <f t="shared" si="11"/>
        <v>W</v>
      </c>
      <c r="V16">
        <f t="shared" si="12"/>
        <v>-156.55722222222224</v>
      </c>
      <c r="W16">
        <v>15</v>
      </c>
      <c r="X16" t="s">
        <v>135</v>
      </c>
      <c r="Y16" t="s">
        <v>155</v>
      </c>
      <c r="Z16" t="s">
        <v>154</v>
      </c>
      <c r="AA16">
        <f t="shared" si="13"/>
        <v>15</v>
      </c>
      <c r="AB16" t="str">
        <f t="shared" si="14"/>
        <v>Banza mauiensis</v>
      </c>
      <c r="AC16" t="str">
        <f t="shared" si="15"/>
        <v>http://www.gbif.org/species/1689122</v>
      </c>
      <c r="AD16" t="s">
        <v>150</v>
      </c>
      <c r="AE16" t="str">
        <f t="shared" si="16"/>
        <v>Maui (West)</v>
      </c>
      <c r="AF16" t="str">
        <f t="shared" si="17"/>
        <v>Hanaula</v>
      </c>
      <c r="AG16" t="str">
        <f t="shared" si="18"/>
        <v>20°50′42′′N</v>
      </c>
      <c r="AH16" t="str">
        <f t="shared" si="19"/>
        <v>156°33′26′′W</v>
      </c>
      <c r="AI16">
        <f t="shared" si="20"/>
        <v>20.844999999999999</v>
      </c>
      <c r="AJ16">
        <f t="shared" si="21"/>
        <v>-156.55722222222224</v>
      </c>
      <c r="AK16" t="str">
        <f t="shared" si="22"/>
        <v>DQ649485|DQ649509</v>
      </c>
      <c r="AL16" t="s">
        <v>134</v>
      </c>
    </row>
    <row r="17" spans="1:38">
      <c r="A17" t="s">
        <v>95</v>
      </c>
      <c r="B17" t="s">
        <v>77</v>
      </c>
      <c r="C17" t="s">
        <v>90</v>
      </c>
      <c r="D17" t="s">
        <v>91</v>
      </c>
      <c r="E17" t="s">
        <v>92</v>
      </c>
      <c r="F17" t="s">
        <v>96</v>
      </c>
      <c r="G17" t="s">
        <v>97</v>
      </c>
      <c r="I17" t="str">
        <f t="shared" si="0"/>
        <v>mauiensis (B)</v>
      </c>
      <c r="J17" t="str">
        <f t="shared" si="1"/>
        <v>mauiensis</v>
      </c>
      <c r="K17" t="str">
        <f t="shared" si="2"/>
        <v>Banza mauiensis</v>
      </c>
      <c r="L17">
        <v>1689122</v>
      </c>
      <c r="M17" t="str">
        <f t="shared" si="3"/>
        <v>20</v>
      </c>
      <c r="N17" t="str">
        <f t="shared" si="4"/>
        <v>50</v>
      </c>
      <c r="O17" t="str">
        <f t="shared" si="5"/>
        <v>42</v>
      </c>
      <c r="P17" t="str">
        <f t="shared" si="6"/>
        <v>N</v>
      </c>
      <c r="Q17">
        <f t="shared" si="7"/>
        <v>20.844999999999999</v>
      </c>
      <c r="R17" t="str">
        <f t="shared" si="8"/>
        <v>156</v>
      </c>
      <c r="S17" t="str">
        <f t="shared" si="9"/>
        <v>33</v>
      </c>
      <c r="T17" t="str">
        <f t="shared" si="10"/>
        <v>26</v>
      </c>
      <c r="U17" t="str">
        <f t="shared" si="11"/>
        <v>W</v>
      </c>
      <c r="V17">
        <f t="shared" si="12"/>
        <v>-156.55722222222224</v>
      </c>
      <c r="W17">
        <v>16</v>
      </c>
      <c r="X17" t="s">
        <v>135</v>
      </c>
      <c r="Y17" t="s">
        <v>155</v>
      </c>
      <c r="Z17" t="s">
        <v>154</v>
      </c>
      <c r="AA17">
        <f t="shared" si="13"/>
        <v>16</v>
      </c>
      <c r="AB17" t="str">
        <f t="shared" si="14"/>
        <v>Banza mauiensis</v>
      </c>
      <c r="AC17" t="str">
        <f t="shared" si="15"/>
        <v>http://www.gbif.org/species/1689122</v>
      </c>
      <c r="AD17" t="s">
        <v>150</v>
      </c>
      <c r="AE17" t="str">
        <f t="shared" si="16"/>
        <v>Maui (West)</v>
      </c>
      <c r="AF17" t="str">
        <f t="shared" si="17"/>
        <v>Hanaula</v>
      </c>
      <c r="AG17" t="str">
        <f t="shared" si="18"/>
        <v>20°50′42′′N</v>
      </c>
      <c r="AH17" t="str">
        <f t="shared" si="19"/>
        <v>156°33′26′′W</v>
      </c>
      <c r="AI17">
        <f t="shared" si="20"/>
        <v>20.844999999999999</v>
      </c>
      <c r="AJ17">
        <f t="shared" si="21"/>
        <v>-156.55722222222224</v>
      </c>
      <c r="AK17" t="str">
        <f t="shared" si="22"/>
        <v>DQ649486|DQ649510</v>
      </c>
      <c r="AL17" t="s">
        <v>134</v>
      </c>
    </row>
    <row r="18" spans="1:38">
      <c r="A18" t="s">
        <v>145</v>
      </c>
      <c r="B18" t="s">
        <v>98</v>
      </c>
      <c r="C18" t="s">
        <v>99</v>
      </c>
      <c r="D18" t="s">
        <v>100</v>
      </c>
      <c r="E18" t="s">
        <v>101</v>
      </c>
      <c r="F18" t="s">
        <v>102</v>
      </c>
      <c r="G18" t="s">
        <v>103</v>
      </c>
      <c r="I18" t="str">
        <f t="shared" si="0"/>
        <v>"pilimauiensis" (A)</v>
      </c>
      <c r="J18" t="str">
        <f t="shared" si="1"/>
        <v>"pilimauiensis"</v>
      </c>
      <c r="K18" t="str">
        <f t="shared" si="2"/>
        <v>Banza "pilimauiensis"</v>
      </c>
      <c r="M18" t="str">
        <f t="shared" si="3"/>
        <v>20</v>
      </c>
      <c r="N18" t="str">
        <f t="shared" si="4"/>
        <v>49</v>
      </c>
      <c r="O18" t="str">
        <f t="shared" si="5"/>
        <v>04</v>
      </c>
      <c r="P18" t="str">
        <f t="shared" si="6"/>
        <v>N</v>
      </c>
      <c r="Q18">
        <f t="shared" si="7"/>
        <v>20.817777777777778</v>
      </c>
      <c r="R18" t="str">
        <f t="shared" si="8"/>
        <v>156</v>
      </c>
      <c r="S18" t="str">
        <f t="shared" si="9"/>
        <v>13</v>
      </c>
      <c r="T18" t="str">
        <f t="shared" si="10"/>
        <v>49</v>
      </c>
      <c r="U18" t="str">
        <f t="shared" si="11"/>
        <v>W</v>
      </c>
      <c r="V18">
        <f t="shared" si="12"/>
        <v>-156.23027777777779</v>
      </c>
      <c r="W18">
        <v>17</v>
      </c>
      <c r="X18" t="s">
        <v>135</v>
      </c>
      <c r="Y18" t="s">
        <v>155</v>
      </c>
      <c r="Z18" t="s">
        <v>154</v>
      </c>
      <c r="AA18">
        <f t="shared" si="13"/>
        <v>17</v>
      </c>
      <c r="AB18" t="str">
        <f t="shared" si="14"/>
        <v>Banza "pilimauiensis"</v>
      </c>
      <c r="AC18" t="str">
        <f t="shared" si="15"/>
        <v/>
      </c>
      <c r="AD18" t="s">
        <v>150</v>
      </c>
      <c r="AE18" t="str">
        <f t="shared" si="16"/>
        <v>Maui (East)</v>
      </c>
      <c r="AF18" t="str">
        <f t="shared" si="17"/>
        <v>Waikamoi</v>
      </c>
      <c r="AG18" t="str">
        <f t="shared" si="18"/>
        <v>20°49′04′′N</v>
      </c>
      <c r="AH18" t="str">
        <f t="shared" si="19"/>
        <v>156°13′49′′W</v>
      </c>
      <c r="AI18">
        <f t="shared" si="20"/>
        <v>20.817777777777778</v>
      </c>
      <c r="AJ18">
        <f t="shared" si="21"/>
        <v>-156.23027777777779</v>
      </c>
      <c r="AK18" t="str">
        <f t="shared" si="22"/>
        <v>DQ649499|DQ649523</v>
      </c>
      <c r="AL18" t="s">
        <v>134</v>
      </c>
    </row>
    <row r="19" spans="1:38">
      <c r="A19" t="s">
        <v>146</v>
      </c>
      <c r="B19" t="s">
        <v>98</v>
      </c>
      <c r="C19" t="s">
        <v>99</v>
      </c>
      <c r="D19" t="s">
        <v>100</v>
      </c>
      <c r="E19" t="s">
        <v>101</v>
      </c>
      <c r="F19" t="s">
        <v>104</v>
      </c>
      <c r="G19" t="s">
        <v>105</v>
      </c>
      <c r="I19" t="str">
        <f t="shared" si="0"/>
        <v>"pilimauiensis" (B)</v>
      </c>
      <c r="J19" t="str">
        <f t="shared" si="1"/>
        <v>"pilimauiensis"</v>
      </c>
      <c r="K19" t="str">
        <f t="shared" si="2"/>
        <v>Banza "pilimauiensis"</v>
      </c>
      <c r="M19" t="str">
        <f t="shared" si="3"/>
        <v>20</v>
      </c>
      <c r="N19" t="str">
        <f t="shared" si="4"/>
        <v>49</v>
      </c>
      <c r="O19" t="str">
        <f t="shared" si="5"/>
        <v>04</v>
      </c>
      <c r="P19" t="str">
        <f t="shared" si="6"/>
        <v>N</v>
      </c>
      <c r="Q19">
        <f t="shared" si="7"/>
        <v>20.817777777777778</v>
      </c>
      <c r="R19" t="str">
        <f t="shared" si="8"/>
        <v>156</v>
      </c>
      <c r="S19" t="str">
        <f t="shared" si="9"/>
        <v>13</v>
      </c>
      <c r="T19" t="str">
        <f t="shared" si="10"/>
        <v>49</v>
      </c>
      <c r="U19" t="str">
        <f t="shared" si="11"/>
        <v>W</v>
      </c>
      <c r="V19">
        <f t="shared" si="12"/>
        <v>-156.23027777777779</v>
      </c>
      <c r="W19">
        <v>18</v>
      </c>
      <c r="X19" t="s">
        <v>135</v>
      </c>
      <c r="Y19" t="s">
        <v>155</v>
      </c>
      <c r="Z19" t="s">
        <v>154</v>
      </c>
      <c r="AA19">
        <f t="shared" si="13"/>
        <v>18</v>
      </c>
      <c r="AB19" t="str">
        <f t="shared" si="14"/>
        <v>Banza "pilimauiensis"</v>
      </c>
      <c r="AC19" t="str">
        <f t="shared" si="15"/>
        <v/>
      </c>
      <c r="AD19" t="s">
        <v>150</v>
      </c>
      <c r="AE19" t="str">
        <f t="shared" si="16"/>
        <v>Maui (East)</v>
      </c>
      <c r="AF19" t="str">
        <f t="shared" si="17"/>
        <v>Waikamoi</v>
      </c>
      <c r="AG19" t="str">
        <f t="shared" si="18"/>
        <v>20°49′04′′N</v>
      </c>
      <c r="AH19" t="str">
        <f t="shared" si="19"/>
        <v>156°13′49′′W</v>
      </c>
      <c r="AI19">
        <f t="shared" si="20"/>
        <v>20.817777777777778</v>
      </c>
      <c r="AJ19">
        <f t="shared" si="21"/>
        <v>-156.23027777777779</v>
      </c>
      <c r="AK19" t="str">
        <f t="shared" si="22"/>
        <v>DQ649500|DQ649524</v>
      </c>
      <c r="AL19" t="s">
        <v>134</v>
      </c>
    </row>
    <row r="20" spans="1:38">
      <c r="A20" t="s">
        <v>106</v>
      </c>
      <c r="B20" t="s">
        <v>107</v>
      </c>
      <c r="C20" t="s">
        <v>108</v>
      </c>
      <c r="D20" t="s">
        <v>109</v>
      </c>
      <c r="E20" t="s">
        <v>110</v>
      </c>
      <c r="F20" t="s">
        <v>111</v>
      </c>
      <c r="G20" t="s">
        <v>112</v>
      </c>
      <c r="I20" t="str">
        <f t="shared" si="0"/>
        <v>nitida (A)</v>
      </c>
      <c r="J20" t="str">
        <f t="shared" si="1"/>
        <v>nitida</v>
      </c>
      <c r="K20" t="str">
        <f t="shared" si="2"/>
        <v>Banza nitida</v>
      </c>
      <c r="L20">
        <v>1689138</v>
      </c>
      <c r="M20" t="str">
        <f t="shared" si="3"/>
        <v>19</v>
      </c>
      <c r="N20" t="str">
        <f t="shared" si="4"/>
        <v>30</v>
      </c>
      <c r="O20" t="str">
        <f t="shared" si="5"/>
        <v>32</v>
      </c>
      <c r="P20" t="str">
        <f t="shared" si="6"/>
        <v>N</v>
      </c>
      <c r="Q20">
        <f t="shared" si="7"/>
        <v>19.50888888888889</v>
      </c>
      <c r="R20" t="str">
        <f t="shared" si="8"/>
        <v>155</v>
      </c>
      <c r="S20" t="str">
        <f t="shared" si="9"/>
        <v>51</v>
      </c>
      <c r="T20" t="str">
        <f t="shared" si="10"/>
        <v>46</v>
      </c>
      <c r="U20" t="str">
        <f t="shared" si="11"/>
        <v>W</v>
      </c>
      <c r="V20">
        <f t="shared" si="12"/>
        <v>-155.86277777777778</v>
      </c>
      <c r="W20">
        <v>19</v>
      </c>
      <c r="X20" t="s">
        <v>135</v>
      </c>
      <c r="Y20" t="s">
        <v>155</v>
      </c>
      <c r="Z20" t="s">
        <v>154</v>
      </c>
      <c r="AA20">
        <f t="shared" si="13"/>
        <v>19</v>
      </c>
      <c r="AB20" t="str">
        <f t="shared" si="14"/>
        <v>Banza nitida</v>
      </c>
      <c r="AC20" t="str">
        <f t="shared" si="15"/>
        <v>http://www.gbif.org/species/1689138</v>
      </c>
      <c r="AD20" t="s">
        <v>150</v>
      </c>
      <c r="AE20" t="str">
        <f t="shared" si="16"/>
        <v>Hawaii</v>
      </c>
      <c r="AF20" t="str">
        <f t="shared" si="17"/>
        <v>Kealakekua</v>
      </c>
      <c r="AG20" t="str">
        <f t="shared" si="18"/>
        <v>19°30′32′′N</v>
      </c>
      <c r="AH20" t="str">
        <f t="shared" si="19"/>
        <v>155°51′46′′W</v>
      </c>
      <c r="AI20">
        <f t="shared" si="20"/>
        <v>19.50888888888889</v>
      </c>
      <c r="AJ20">
        <f t="shared" si="21"/>
        <v>-155.86277777777778</v>
      </c>
      <c r="AK20" t="str">
        <f t="shared" si="22"/>
        <v>DQ649493|DQ649517</v>
      </c>
      <c r="AL20" t="s">
        <v>134</v>
      </c>
    </row>
    <row r="21" spans="1:38">
      <c r="A21" t="s">
        <v>113</v>
      </c>
      <c r="B21" t="s">
        <v>107</v>
      </c>
      <c r="C21" t="s">
        <v>114</v>
      </c>
      <c r="D21" t="s">
        <v>115</v>
      </c>
      <c r="E21" t="s">
        <v>116</v>
      </c>
      <c r="F21" t="s">
        <v>117</v>
      </c>
      <c r="G21" t="s">
        <v>118</v>
      </c>
      <c r="I21" t="str">
        <f t="shared" si="0"/>
        <v>nitida (B)</v>
      </c>
      <c r="J21" t="str">
        <f t="shared" si="1"/>
        <v>nitida</v>
      </c>
      <c r="K21" t="str">
        <f t="shared" si="2"/>
        <v>Banza nitida</v>
      </c>
      <c r="L21">
        <v>1689138</v>
      </c>
      <c r="M21" t="str">
        <f t="shared" si="3"/>
        <v>19</v>
      </c>
      <c r="N21" t="str">
        <f t="shared" si="4"/>
        <v>34</v>
      </c>
      <c r="O21" t="str">
        <f t="shared" si="5"/>
        <v>14</v>
      </c>
      <c r="P21" t="str">
        <f t="shared" si="6"/>
        <v>N</v>
      </c>
      <c r="Q21">
        <f t="shared" si="7"/>
        <v>19.570555555555554</v>
      </c>
      <c r="R21" t="str">
        <f t="shared" si="8"/>
        <v>155</v>
      </c>
      <c r="S21" t="str">
        <f t="shared" si="9"/>
        <v>11</v>
      </c>
      <c r="T21" t="str">
        <f t="shared" si="10"/>
        <v>19</v>
      </c>
      <c r="U21" t="str">
        <f t="shared" si="11"/>
        <v>W</v>
      </c>
      <c r="V21">
        <f t="shared" si="12"/>
        <v>-155.18861111111113</v>
      </c>
      <c r="W21">
        <v>20</v>
      </c>
      <c r="X21" t="s">
        <v>135</v>
      </c>
      <c r="Y21" t="s">
        <v>155</v>
      </c>
      <c r="Z21" t="s">
        <v>154</v>
      </c>
      <c r="AA21">
        <f t="shared" si="13"/>
        <v>20</v>
      </c>
      <c r="AB21" t="str">
        <f t="shared" si="14"/>
        <v>Banza nitida</v>
      </c>
      <c r="AC21" t="str">
        <f t="shared" si="15"/>
        <v>http://www.gbif.org/species/1689138</v>
      </c>
      <c r="AD21" t="s">
        <v>150</v>
      </c>
      <c r="AE21" t="str">
        <f t="shared" si="16"/>
        <v>Hawaii</v>
      </c>
      <c r="AF21" t="str">
        <f t="shared" si="17"/>
        <v>Stainback</v>
      </c>
      <c r="AG21" t="str">
        <f t="shared" si="18"/>
        <v>19°34′14′′N</v>
      </c>
      <c r="AH21" t="str">
        <f t="shared" si="19"/>
        <v>155°11′19′′W</v>
      </c>
      <c r="AI21">
        <f t="shared" si="20"/>
        <v>19.570555555555554</v>
      </c>
      <c r="AJ21">
        <f t="shared" si="21"/>
        <v>-155.18861111111113</v>
      </c>
      <c r="AK21" t="str">
        <f t="shared" si="22"/>
        <v>DQ649495|DQ649519</v>
      </c>
      <c r="AL21" t="s">
        <v>134</v>
      </c>
    </row>
    <row r="22" spans="1:38">
      <c r="A22" t="s">
        <v>119</v>
      </c>
      <c r="B22" t="s">
        <v>107</v>
      </c>
      <c r="C22" t="s">
        <v>120</v>
      </c>
      <c r="D22" t="s">
        <v>121</v>
      </c>
      <c r="E22" t="s">
        <v>122</v>
      </c>
      <c r="F22" t="s">
        <v>123</v>
      </c>
      <c r="G22" t="s">
        <v>124</v>
      </c>
      <c r="I22" t="str">
        <f t="shared" si="0"/>
        <v>nitida (C)e</v>
      </c>
      <c r="J22" t="str">
        <f t="shared" si="1"/>
        <v xml:space="preserve">nitida </v>
      </c>
      <c r="K22" t="str">
        <f t="shared" si="2"/>
        <v>Banza nitida</v>
      </c>
      <c r="L22">
        <v>1689138</v>
      </c>
      <c r="M22" t="str">
        <f t="shared" si="3"/>
        <v>20</v>
      </c>
      <c r="N22" t="str">
        <f t="shared" si="4"/>
        <v>07</v>
      </c>
      <c r="O22" t="str">
        <f t="shared" si="5"/>
        <v>45</v>
      </c>
      <c r="P22" t="str">
        <f t="shared" si="6"/>
        <v>N</v>
      </c>
      <c r="Q22">
        <f t="shared" si="7"/>
        <v>20.129166666666666</v>
      </c>
      <c r="R22" t="str">
        <f t="shared" si="8"/>
        <v>155</v>
      </c>
      <c r="S22" t="str">
        <f t="shared" si="9"/>
        <v>46</v>
      </c>
      <c r="T22" t="str">
        <f t="shared" si="10"/>
        <v>09</v>
      </c>
      <c r="U22" t="str">
        <f t="shared" si="11"/>
        <v>W</v>
      </c>
      <c r="V22">
        <f t="shared" si="12"/>
        <v>-155.76916666666668</v>
      </c>
      <c r="W22">
        <v>21</v>
      </c>
      <c r="X22" t="s">
        <v>135</v>
      </c>
      <c r="Y22" t="s">
        <v>155</v>
      </c>
      <c r="Z22" t="s">
        <v>154</v>
      </c>
      <c r="AA22">
        <f t="shared" si="13"/>
        <v>21</v>
      </c>
      <c r="AB22" t="str">
        <f t="shared" si="14"/>
        <v>Banza nitida</v>
      </c>
      <c r="AC22" t="str">
        <f t="shared" si="15"/>
        <v>http://www.gbif.org/species/1689138</v>
      </c>
      <c r="AD22" t="s">
        <v>150</v>
      </c>
      <c r="AE22" t="str">
        <f t="shared" si="16"/>
        <v>Hawaii</v>
      </c>
      <c r="AF22" t="str">
        <f t="shared" si="17"/>
        <v>Puu Iki</v>
      </c>
      <c r="AG22" t="str">
        <f t="shared" si="18"/>
        <v>20°07′45′′N</v>
      </c>
      <c r="AH22" t="str">
        <f t="shared" si="19"/>
        <v>155°46′09′′W</v>
      </c>
      <c r="AI22">
        <f t="shared" si="20"/>
        <v>20.129166666666666</v>
      </c>
      <c r="AJ22">
        <f t="shared" si="21"/>
        <v>-155.76916666666668</v>
      </c>
      <c r="AK22" t="str">
        <f t="shared" ref="AK22" si="23">CONCATENATE(F22,"|",G22)</f>
        <v>DQ649494|DQ649518</v>
      </c>
      <c r="AL22" t="s">
        <v>134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dcterms:created xsi:type="dcterms:W3CDTF">2014-03-13T10:00:48Z</dcterms:created>
  <dcterms:modified xsi:type="dcterms:W3CDTF">2014-03-13T17:16:01Z</dcterms:modified>
</cp:coreProperties>
</file>