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researchtriangleinstitute.sharepoint.com/sites/AdolescentMentalHealthInvestmentCase/Shared Documents/General/Model notes/Model/Raw model input files/"/>
    </mc:Choice>
  </mc:AlternateContent>
  <xr:revisionPtr revIDLastSave="1020" documentId="8_{7195765F-4516-4045-8522-AACCF112ECEB}" xr6:coauthVersionLast="46" xr6:coauthVersionMax="46" xr10:uidLastSave="{EC5B8375-6EFD-4DD7-A45F-4D6AA696FB9A}"/>
  <bookViews>
    <workbookView xWindow="-120" yWindow="-120" windowWidth="25440" windowHeight="15390" xr2:uid="{8D315251-18A1-489B-8208-1D1F4B7D992A}"/>
  </bookViews>
  <sheets>
    <sheet name="Sheet1" sheetId="1" r:id="rId1"/>
  </sheets>
  <definedNames>
    <definedName name="_xlnm._FilterDatabase" localSheetId="0" hidden="1">Sheet1!$A$1:$DJ$19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W14" i="1" l="1"/>
  <c r="CV14" i="1"/>
  <c r="CU14" i="1"/>
  <c r="BW19" i="1"/>
  <c r="BV19" i="1"/>
  <c r="BU19" i="1"/>
  <c r="BT19" i="1"/>
  <c r="BM19" i="1"/>
  <c r="BL19" i="1"/>
  <c r="BK19" i="1"/>
  <c r="BJ19" i="1"/>
  <c r="J19" i="1"/>
  <c r="AQ19" i="1" s="1"/>
  <c r="V19" i="1"/>
  <c r="AP19" i="1" s="1"/>
  <c r="AC19" i="1"/>
  <c r="AE19" i="1"/>
  <c r="AY19" i="1" s="1"/>
  <c r="CZ19" i="1" s="1"/>
  <c r="S19" i="1"/>
  <c r="S18" i="1"/>
  <c r="CS18" i="1"/>
  <c r="BH18" i="1"/>
  <c r="BW18" i="1"/>
  <c r="BV18" i="1"/>
  <c r="BU18" i="1"/>
  <c r="BT18" i="1"/>
  <c r="BJ18" i="1"/>
  <c r="BM18" i="1"/>
  <c r="BL18" i="1"/>
  <c r="BK18" i="1"/>
  <c r="J18" i="1"/>
  <c r="BR18" i="1" s="1"/>
  <c r="AP18" i="1"/>
  <c r="V18" i="1"/>
  <c r="X18" i="1"/>
  <c r="BW17" i="1"/>
  <c r="BV17" i="1"/>
  <c r="CA17" i="1" s="1"/>
  <c r="BM17" i="1"/>
  <c r="BR17" i="1" s="1"/>
  <c r="BL17" i="1"/>
  <c r="BQ17" i="1" s="1"/>
  <c r="S17" i="1"/>
  <c r="AF11" i="1"/>
  <c r="AZ11" i="1" s="1"/>
  <c r="AH12" i="1"/>
  <c r="BB12" i="1" s="1"/>
  <c r="AG12" i="1"/>
  <c r="BA12" i="1" s="1"/>
  <c r="CL12" i="1" s="1"/>
  <c r="AG11" i="1"/>
  <c r="BA11" i="1" s="1"/>
  <c r="CL11" i="1" s="1"/>
  <c r="AG10" i="1"/>
  <c r="BA10" i="1" s="1"/>
  <c r="CL10" i="1" s="1"/>
  <c r="AH17" i="1"/>
  <c r="BB17" i="1" s="1"/>
  <c r="L17" i="1"/>
  <c r="AU17" i="1" s="1"/>
  <c r="Z17" i="1"/>
  <c r="AT17" i="1" s="1"/>
  <c r="BW16" i="1"/>
  <c r="BV16" i="1"/>
  <c r="BU16" i="1"/>
  <c r="BT16" i="1"/>
  <c r="BM16" i="1"/>
  <c r="BL16" i="1"/>
  <c r="BK16" i="1"/>
  <c r="BJ16" i="1"/>
  <c r="AD16" i="1"/>
  <c r="AX16" i="1" s="1"/>
  <c r="AC16" i="1"/>
  <c r="X16" i="1"/>
  <c r="V16" i="1"/>
  <c r="AP16" i="1" s="1"/>
  <c r="S16" i="1"/>
  <c r="J16" i="1"/>
  <c r="AQ16" i="1" s="1"/>
  <c r="BW15" i="1"/>
  <c r="BV15" i="1"/>
  <c r="BU15" i="1"/>
  <c r="BT15" i="1"/>
  <c r="BM15" i="1"/>
  <c r="BL15" i="1"/>
  <c r="BK15" i="1"/>
  <c r="BJ15" i="1"/>
  <c r="AE15" i="1"/>
  <c r="AY15" i="1" s="1"/>
  <c r="AC15" i="1"/>
  <c r="V15" i="1"/>
  <c r="AP15" i="1" s="1"/>
  <c r="S15" i="1"/>
  <c r="J15" i="1"/>
  <c r="AV15" i="1" s="1"/>
  <c r="M13" i="1"/>
  <c r="BZ13" i="1" s="1"/>
  <c r="BW14" i="1"/>
  <c r="BV14" i="1"/>
  <c r="BU14" i="1"/>
  <c r="BT14" i="1"/>
  <c r="BM14" i="1"/>
  <c r="BL14" i="1"/>
  <c r="BK14" i="1"/>
  <c r="BJ14" i="1"/>
  <c r="X14" i="1"/>
  <c r="J14" i="1"/>
  <c r="AQ14" i="1" s="1"/>
  <c r="V14" i="1"/>
  <c r="AP14" i="1" s="1"/>
  <c r="Z14" i="1"/>
  <c r="AT14" i="1" s="1"/>
  <c r="BK13" i="1"/>
  <c r="BI13" i="1"/>
  <c r="BN13" i="1" s="1"/>
  <c r="U13" i="1"/>
  <c r="AO13" i="1" s="1"/>
  <c r="DD11" i="1"/>
  <c r="DB12" i="1"/>
  <c r="DF12" i="1"/>
  <c r="DG12" i="1"/>
  <c r="DD10" i="1"/>
  <c r="DF10" i="1"/>
  <c r="DG10" i="1"/>
  <c r="CM11" i="1"/>
  <c r="CK12" i="1"/>
  <c r="CO12" i="1"/>
  <c r="CP12" i="1"/>
  <c r="CM10" i="1"/>
  <c r="CO10" i="1"/>
  <c r="CP10" i="1"/>
  <c r="DB10" i="1"/>
  <c r="CK10" i="1"/>
  <c r="AM12" i="1"/>
  <c r="BG12" i="1" s="1"/>
  <c r="DI12" i="1" s="1"/>
  <c r="AM11" i="1"/>
  <c r="BG11" i="1" s="1"/>
  <c r="CR11" i="1" s="1"/>
  <c r="AM10" i="1"/>
  <c r="BG10" i="1" s="1"/>
  <c r="BF10" i="1"/>
  <c r="DH10" i="1" s="1"/>
  <c r="AL12" i="1"/>
  <c r="BF12" i="1" s="1"/>
  <c r="DH12" i="1" s="1"/>
  <c r="AL11" i="1"/>
  <c r="BF11" i="1" s="1"/>
  <c r="CQ11" i="1" s="1"/>
  <c r="AL10" i="1"/>
  <c r="AK11" i="1"/>
  <c r="BE11" i="1" s="1"/>
  <c r="CP11" i="1" s="1"/>
  <c r="BD11" i="1"/>
  <c r="DF11" i="1" s="1"/>
  <c r="AI11" i="1"/>
  <c r="BC11" i="1" s="1"/>
  <c r="AI12" i="1"/>
  <c r="BC12" i="1" s="1"/>
  <c r="DE12" i="1" s="1"/>
  <c r="AI10" i="1"/>
  <c r="BC10" i="1" s="1"/>
  <c r="CN10" i="1" s="1"/>
  <c r="BW12" i="1"/>
  <c r="BV12" i="1"/>
  <c r="BW11" i="1"/>
  <c r="BV11" i="1"/>
  <c r="BW10" i="1"/>
  <c r="BV10" i="1"/>
  <c r="BM12" i="1"/>
  <c r="BL12" i="1"/>
  <c r="BM11" i="1"/>
  <c r="BL11" i="1"/>
  <c r="BM10" i="1"/>
  <c r="BL10" i="1"/>
  <c r="L12" i="1"/>
  <c r="BQ12" i="1" s="1"/>
  <c r="L11" i="1"/>
  <c r="AU11" i="1" s="1"/>
  <c r="L10" i="1"/>
  <c r="Z10" i="1"/>
  <c r="AT10" i="1" s="1"/>
  <c r="Z12" i="1"/>
  <c r="AT12" i="1" s="1"/>
  <c r="Z11" i="1"/>
  <c r="AT11" i="1" s="1"/>
  <c r="BW9" i="1"/>
  <c r="BV9" i="1"/>
  <c r="CA9" i="1" s="1"/>
  <c r="BU9" i="1"/>
  <c r="BT9" i="1"/>
  <c r="BM9" i="1"/>
  <c r="BL9" i="1"/>
  <c r="BK9" i="1"/>
  <c r="BJ9" i="1"/>
  <c r="S9" i="1"/>
  <c r="V9" i="1"/>
  <c r="AP9" i="1" s="1"/>
  <c r="AE9" i="1"/>
  <c r="AY9" i="1" s="1"/>
  <c r="AC9" i="1"/>
  <c r="J7" i="1"/>
  <c r="J9" i="1"/>
  <c r="AQ9" i="1" s="1"/>
  <c r="J8" i="1"/>
  <c r="S8" i="1"/>
  <c r="BW8" i="1"/>
  <c r="BV8" i="1"/>
  <c r="BU8" i="1"/>
  <c r="BT8" i="1"/>
  <c r="X8" i="1"/>
  <c r="BM8" i="1"/>
  <c r="BL8" i="1"/>
  <c r="BK8" i="1"/>
  <c r="BJ8" i="1"/>
  <c r="V8" i="1"/>
  <c r="AP8" i="1" s="1"/>
  <c r="AD8" i="1"/>
  <c r="AX8" i="1" s="1"/>
  <c r="AC8" i="1"/>
  <c r="S7" i="1"/>
  <c r="BW7" i="1"/>
  <c r="BV7" i="1"/>
  <c r="BU7" i="1"/>
  <c r="BT7" i="1"/>
  <c r="BM7" i="1"/>
  <c r="BL7" i="1"/>
  <c r="BK7" i="1"/>
  <c r="BJ7" i="1"/>
  <c r="AP7" i="1"/>
  <c r="BW6" i="1"/>
  <c r="CB6" i="1" s="1"/>
  <c r="BV6" i="1"/>
  <c r="CA6" i="1" s="1"/>
  <c r="BZ6" i="1"/>
  <c r="BX6" i="1"/>
  <c r="BM6" i="1"/>
  <c r="BR6" i="1" s="1"/>
  <c r="BL6" i="1"/>
  <c r="BQ6" i="1" s="1"/>
  <c r="BK6" i="1"/>
  <c r="BP6" i="1" s="1"/>
  <c r="BI6" i="1"/>
  <c r="BN6" i="1" s="1"/>
  <c r="X6" i="1"/>
  <c r="AR6" i="1" s="1"/>
  <c r="U6" i="1"/>
  <c r="AO6" i="1" s="1"/>
  <c r="CA11" i="1" l="1"/>
  <c r="BP13" i="1"/>
  <c r="CE13" i="1" s="1"/>
  <c r="BR11" i="1"/>
  <c r="BZ14" i="1"/>
  <c r="CB9" i="1"/>
  <c r="BO9" i="1"/>
  <c r="CD9" i="1" s="1"/>
  <c r="AS14" i="1"/>
  <c r="BQ18" i="1"/>
  <c r="BO19" i="1"/>
  <c r="BP9" i="1"/>
  <c r="BQ11" i="1"/>
  <c r="CT13" i="1"/>
  <c r="AR14" i="1"/>
  <c r="BP19" i="1"/>
  <c r="BO14" i="1"/>
  <c r="CD14" i="1" s="1"/>
  <c r="BZ15" i="1"/>
  <c r="BO18" i="1"/>
  <c r="BQ19" i="1"/>
  <c r="BP14" i="1"/>
  <c r="AQ15" i="1"/>
  <c r="BR19" i="1"/>
  <c r="CF19" i="1" s="1"/>
  <c r="BR10" i="1"/>
  <c r="BQ14" i="1"/>
  <c r="AS15" i="1"/>
  <c r="BZ18" i="1"/>
  <c r="AW19" i="1"/>
  <c r="CY19" i="1" s="1"/>
  <c r="BY19" i="1"/>
  <c r="BQ9" i="1"/>
  <c r="BR14" i="1"/>
  <c r="CF14" i="1" s="1"/>
  <c r="CB14" i="1"/>
  <c r="BO15" i="1"/>
  <c r="BZ19" i="1"/>
  <c r="CB18" i="1"/>
  <c r="CB19" i="1"/>
  <c r="CF17" i="1"/>
  <c r="CF11" i="1"/>
  <c r="DE11" i="1"/>
  <c r="CN11" i="1"/>
  <c r="DD17" i="1"/>
  <c r="CM17" i="1"/>
  <c r="CU19" i="1"/>
  <c r="DI10" i="1"/>
  <c r="CR10" i="1"/>
  <c r="CD19" i="1"/>
  <c r="CW18" i="1"/>
  <c r="CB15" i="1"/>
  <c r="AQ18" i="1"/>
  <c r="CD18" i="1" s="1"/>
  <c r="CA19" i="1"/>
  <c r="CB11" i="1"/>
  <c r="CW11" i="1" s="1"/>
  <c r="BY18" i="1"/>
  <c r="CC13" i="1"/>
  <c r="AS11" i="1"/>
  <c r="CV11" i="1" s="1"/>
  <c r="BR12" i="1"/>
  <c r="BP15" i="1"/>
  <c r="BY15" i="1"/>
  <c r="CB17" i="1"/>
  <c r="CW17" i="1" s="1"/>
  <c r="AS18" i="1"/>
  <c r="CA18" i="1"/>
  <c r="BP18" i="1"/>
  <c r="AR8" i="1"/>
  <c r="AU10" i="1"/>
  <c r="CF10" i="1" s="1"/>
  <c r="AW9" i="1"/>
  <c r="CY9" i="1" s="1"/>
  <c r="AW15" i="1"/>
  <c r="CY15" i="1" s="1"/>
  <c r="BR15" i="1"/>
  <c r="CF15" i="1" s="1"/>
  <c r="AS17" i="1"/>
  <c r="AS19" i="1"/>
  <c r="AV19" i="1"/>
  <c r="AV9" i="1"/>
  <c r="CG9" i="1" s="1"/>
  <c r="AR18" i="1"/>
  <c r="CF18" i="1"/>
  <c r="BQ15" i="1"/>
  <c r="BY9" i="1"/>
  <c r="CA14" i="1"/>
  <c r="BY14" i="1"/>
  <c r="CH19" i="1"/>
  <c r="CI19" i="1"/>
  <c r="CJ9" i="1"/>
  <c r="DA9" i="1"/>
  <c r="CI8" i="1"/>
  <c r="CZ8" i="1"/>
  <c r="BQ7" i="1"/>
  <c r="AS9" i="1"/>
  <c r="CE9" i="1" s="1"/>
  <c r="AS12" i="1"/>
  <c r="CA12" i="1"/>
  <c r="AS10" i="1"/>
  <c r="CB10" i="1"/>
  <c r="CB12" i="1"/>
  <c r="BQ16" i="1"/>
  <c r="BZ9" i="1"/>
  <c r="AU12" i="1"/>
  <c r="BQ10" i="1"/>
  <c r="CQ12" i="1"/>
  <c r="CU13" i="1"/>
  <c r="BR16" i="1"/>
  <c r="CF16" i="1" s="1"/>
  <c r="DC10" i="1"/>
  <c r="CA10" i="1"/>
  <c r="BR9" i="1"/>
  <c r="CF9" i="1" s="1"/>
  <c r="CA15" i="1"/>
  <c r="AW16" i="1"/>
  <c r="CH16" i="1" s="1"/>
  <c r="CA16" i="1"/>
  <c r="CB16" i="1"/>
  <c r="DG11" i="1"/>
  <c r="CO11" i="1"/>
  <c r="CR12" i="1"/>
  <c r="DH11" i="1"/>
  <c r="DE10" i="1"/>
  <c r="DI11" i="1"/>
  <c r="CN12" i="1"/>
  <c r="CQ10" i="1"/>
  <c r="DB11" i="1"/>
  <c r="CK11" i="1"/>
  <c r="DC11" i="1"/>
  <c r="CM12" i="1"/>
  <c r="DD12" i="1"/>
  <c r="DC12" i="1"/>
  <c r="CZ16" i="1"/>
  <c r="CI16" i="1"/>
  <c r="BO16" i="1"/>
  <c r="CD16" i="1" s="1"/>
  <c r="AV16" i="1"/>
  <c r="BZ16" i="1"/>
  <c r="AR16" i="1"/>
  <c r="BY16" i="1"/>
  <c r="BP16" i="1"/>
  <c r="AS16" i="1"/>
  <c r="CX15" i="1"/>
  <c r="CG15" i="1"/>
  <c r="DA15" i="1"/>
  <c r="CJ15" i="1"/>
  <c r="BZ8" i="1"/>
  <c r="CU9" i="1"/>
  <c r="CV9" i="1"/>
  <c r="BY7" i="1"/>
  <c r="AS7" i="1"/>
  <c r="BO7" i="1"/>
  <c r="BP7" i="1"/>
  <c r="BR7" i="1"/>
  <c r="CF7" i="1" s="1"/>
  <c r="BZ7" i="1"/>
  <c r="CB7" i="1"/>
  <c r="BR8" i="1"/>
  <c r="CB8" i="1"/>
  <c r="BQ8" i="1"/>
  <c r="CA8" i="1"/>
  <c r="AQ8" i="1"/>
  <c r="AS8" i="1"/>
  <c r="AV8" i="1"/>
  <c r="BO8" i="1"/>
  <c r="BY8" i="1"/>
  <c r="AW8" i="1"/>
  <c r="BP8" i="1"/>
  <c r="CA7" i="1"/>
  <c r="AQ7" i="1"/>
  <c r="CV6" i="1"/>
  <c r="CW6" i="1"/>
  <c r="CT6" i="1"/>
  <c r="CC6" i="1"/>
  <c r="CE6" i="1"/>
  <c r="CF6" i="1"/>
  <c r="CU15" i="1" l="1"/>
  <c r="CU16" i="1"/>
  <c r="CH15" i="1"/>
  <c r="CE14" i="1"/>
  <c r="CW19" i="1"/>
  <c r="CD15" i="1"/>
  <c r="CW9" i="1"/>
  <c r="CW10" i="1"/>
  <c r="CV15" i="1"/>
  <c r="CW15" i="1"/>
  <c r="CY16" i="1"/>
  <c r="CV18" i="1"/>
  <c r="CU18" i="1"/>
  <c r="CH9" i="1"/>
  <c r="CW16" i="1"/>
  <c r="CE18" i="1"/>
  <c r="CE11" i="1"/>
  <c r="CX19" i="1"/>
  <c r="CG19" i="1"/>
  <c r="CE15" i="1"/>
  <c r="CV17" i="1"/>
  <c r="CE17" i="1"/>
  <c r="CE19" i="1"/>
  <c r="CV19" i="1"/>
  <c r="CX9" i="1"/>
  <c r="CE10" i="1"/>
  <c r="CV10" i="1"/>
  <c r="CF12" i="1"/>
  <c r="CW12" i="1"/>
  <c r="CE12" i="1"/>
  <c r="CV12" i="1"/>
  <c r="CE16" i="1"/>
  <c r="CV16" i="1"/>
  <c r="CX16" i="1"/>
  <c r="CG16" i="1"/>
  <c r="CW7" i="1"/>
  <c r="CU7" i="1"/>
  <c r="CV7" i="1"/>
  <c r="CE7" i="1"/>
  <c r="CD7" i="1"/>
  <c r="CW8" i="1"/>
  <c r="CF8" i="1"/>
  <c r="CX8" i="1"/>
  <c r="CG8" i="1"/>
  <c r="CE8" i="1"/>
  <c r="CV8" i="1"/>
  <c r="CD8" i="1"/>
  <c r="CU8" i="1"/>
  <c r="CY8" i="1"/>
  <c r="CH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tc={EA84C8EE-C066-4722-9CE2-B30E45FB9152}</author>
    <author>tc={C6AFC9AA-F9E6-4C27-BE0C-AA38FC1B12CC}</author>
    <author>tc={D930C3D5-ACA7-4CE4-8C4C-5CE632D8E190}</author>
    <author>tc={D9FA09EA-4F68-4590-A16A-F0B1681C6A60}</author>
    <author>tc={6A9F43AF-D930-4193-9BF1-5CDDC39DAFEC}</author>
    <author>tc={C6F4BAB3-55C6-4DE7-A990-8069CE9BFD69}</author>
    <author>tc={D8A6780D-0C23-463E-8B06-67D2D1CD8D6F}</author>
    <author>tc={73AB9555-C643-4D63-8B26-F6F64E831965}</author>
    <author>tc={455D5544-8EB6-4790-B85C-1E02FBAA7525}</author>
    <author>tc={FA58DC3E-E9B1-49C0-B5BF-A366E8023AE5}</author>
    <author>tc={60E88230-9305-4B33-AB27-3A0C6A5525BF}</author>
    <author>tc={EAEFE289-4895-4669-B7D5-D622AA0BD1F4}</author>
    <author>tc={CACDDD0E-87EF-4D60-B7B7-CB52C85C8797}</author>
    <author>tc={320CEBDA-9719-43A6-BE7D-594613E927EC}</author>
    <author>tc={05E18668-2F17-4D7C-88F0-D21D43585ED4}</author>
    <author>tc={DEB53EE6-3FC1-44D4-A2D0-6A67EF0E974B}</author>
    <author>tc={8FB918B3-C640-41A3-94B0-0E15BF81D003}</author>
    <author>tc={1B193122-901C-43B2-91AB-6480F2A35963}</author>
    <author>tc={DDD8DB81-EE42-4B98-BAD6-F4AFDB46FD1E}</author>
    <author>tc={BB8422C8-941B-43C4-8088-77FE497882E5}</author>
    <author>tc={FBE78057-A33F-4D9B-A2F5-F24E97D0064E}</author>
    <author>tc={783DB464-5314-47B3-8FE3-4BFEC0EF7DFE}</author>
    <author>tc={0A743B1B-A8A1-4D59-99B2-BF6FFC72C86B}</author>
    <author>tc={17573002-4B49-450F-9448-381637C55B11}</author>
    <author>tc={F08744DE-0637-4B54-972C-DEBF741C62CE}</author>
    <author>tc={E971C441-6083-4152-ADE1-D0A90A4842E4}</author>
    <author>tc={FBA7B8A7-34F1-4312-A8F1-943409769693}</author>
    <author>tc={F1A0A5ED-50B7-466B-BA25-C72C838F017E}</author>
    <author>tc={D2B58104-35C6-446F-987E-048E18FD641B}</author>
    <author>tc={12177C13-2B7D-47A7-A15D-19578F604939}</author>
    <author>tc={705DEA37-BFDD-47A3-A376-FBDDB081B626}</author>
    <author>tc={36D77B7C-45CD-4595-B47A-C75B34C8E230}</author>
    <author>tc={DB7A2096-259F-45E1-98B1-9877F4938A19}</author>
    <author>tc={A63E138D-A73B-4FFA-AD4D-B0336EFF98D9}</author>
    <author>tc={855E32EA-FFF8-467D-951F-38E3B278903F}</author>
    <author>tc={CE0D1BAF-AD51-4478-87AA-39EA2C5DB255}</author>
    <author>tc={58A5D149-DC10-4736-BAEC-837C5D0DB742}</author>
    <author>tc={ED01B092-FED2-4549-A66D-0E585C143D77}</author>
    <author>tc={F2BA0482-97B8-4232-834A-2E94E7BFC91C}</author>
    <author>tc={79D07080-728B-4A17-8A4E-F3F4FABF9C63}</author>
    <author>tc={F6037301-5AC0-4E26-B7ED-A441BCF2D331}</author>
  </authors>
  <commentList>
    <comment ref="M6" authorId="0" shapeId="0" xr:uid="{EA84C8EE-C066-4722-9CE2-B30E45FB9152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 ~full time work supporting schools in the first month, so 16 schools (16 training sessions of 9.5 hours each = 152 hours; 22 days of 7 hours of work = 154 hours)</t>
      </text>
    </comment>
    <comment ref="X6" authorId="1" shapeId="0" xr:uid="{C6AFC9AA-F9E6-4C27-BE0C-AA38FC1B12CC}">
      <text>
        <t>[Threaded comment]
Your version of Excel allows you to read this threaded comment; however, any edits to it will get removed if the file is opened in a newer version of Excel. Learn more: https://go.microsoft.com/fwlink/?linkid=870924
Comment:
    Adaptation of medical materials to country, once every five years</t>
      </text>
    </comment>
    <comment ref="BK6" authorId="2" shapeId="0" xr:uid="{D930C3D5-ACA7-4CE4-8C4C-5CE632D8E190}">
      <text>
        <t>[Threaded comment]
Your version of Excel allows you to read this threaded comment; however, any edits to it will get removed if the file is opened in a newer version of Excel. Learn more: https://go.microsoft.com/fwlink/?linkid=870924
Comment:
    Conducting training of teachers, attending TOT</t>
      </text>
    </comment>
    <comment ref="BU6" authorId="3" shapeId="0" xr:uid="{D9FA09EA-4F68-4590-A16A-F0B1681C6A60}">
      <text>
        <t>[Threaded comment]
Your version of Excel allows you to read this threaded comment; however, any edits to it will get removed if the file is opened in a newer version of Excel. Learn more: https://go.microsoft.com/fwlink/?linkid=870924
Comment:
    Conducting training of teachers, attending TOT</t>
      </text>
    </comment>
    <comment ref="J7" authorId="4" shapeId="0" xr:uid="{6A9F43AF-D930-4193-9BF1-5CDDC39DAFEC}">
      <text>
        <t>[Threaded comment]
Your version of Excel allows you to read this threaded comment; however, any edits to it will get removed if the file is opened in a newer version of Excel. Learn more: https://go.microsoft.com/fwlink/?linkid=870924
Comment:
    Full time work; 35 1 - hour sessions per week of 10 adolescents each</t>
      </text>
    </comment>
    <comment ref="V7" authorId="5" shapeId="0" xr:uid="{C6F4BAB3-55C6-4DE7-A990-8069CE9BFD69}">
      <text>
        <t>[Threaded comment]
Your version of Excel allows you to read this threaded comment; however, any edits to it will get removed if the file is opened in a newer version of Excel. Learn more: https://go.microsoft.com/fwlink/?linkid=870924
Comment:
    Weekly sessions for a group of 10 adolescents</t>
      </text>
    </comment>
    <comment ref="Y7" authorId="6" shapeId="0" xr:uid="{D8A6780D-0C23-463E-8B06-67D2D1CD8D6F}">
      <text>
        <t>[Threaded comment]
Your version of Excel allows you to read this threaded comment; however, any edits to it will get removed if the file is opened in a newer version of Excel. Learn more: https://go.microsoft.com/fwlink/?linkid=870924
Comment:
    Supervision of HW</t>
      </text>
    </comment>
    <comment ref="J8" authorId="7" shapeId="0" xr:uid="{73AB9555-C643-4D63-8B26-F6F64E831965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 5.4 hours of support over 12 weeks per adolescent, full-time work</t>
      </text>
    </comment>
    <comment ref="V8" authorId="8" shapeId="0" xr:uid="{455D5544-8EB6-4790-B85C-1E02FBAA7525}">
      <text>
        <t>[Threaded comment]
Your version of Excel allows you to read this threaded comment; however, any edits to it will get removed if the file is opened in a newer version of Excel. Learn more: https://go.microsoft.com/fwlink/?linkid=870924
Comment:
    5.4 hours of asynchronous support over 12 weeks</t>
      </text>
    </comment>
    <comment ref="X8" authorId="9" shapeId="0" xr:uid="{FA58DC3E-E9B1-49C0-B5BF-A366E8023AE5}">
      <text>
        <t>[Threaded comment]
Your version of Excel allows you to read this threaded comment; however, any edits to it will get removed if the file is opened in a newer version of Excel. Learn more: https://go.microsoft.com/fwlink/?linkid=870924
Comment:
    Adaptation of medical materials to country, once every five years</t>
      </text>
    </comment>
    <comment ref="AC8" authorId="10" shapeId="0" xr:uid="{60E88230-9305-4B33-AB27-3A0C6A5525BF}">
      <text>
        <t>[Threaded comment]
Your version of Excel allows you to read this threaded comment; however, any edits to it will get removed if the file is opened in a newer version of Excel. Learn more: https://go.microsoft.com/fwlink/?linkid=870924
Comment:
    Useful life of 5.4 years, straight-line amortization</t>
      </text>
    </comment>
    <comment ref="AD8" authorId="11" shapeId="0" xr:uid="{EAEFE289-4895-4669-B7D5-D622AA0BD1F4}">
      <text>
        <t>[Threaded comment]
Your version of Excel allows you to read this threaded comment; however, any edits to it will get removed if the file is opened in a newer version of Excel. Learn more: https://go.microsoft.com/fwlink/?linkid=870924
Comment:
    5.4 hours of asynchronous support over 12 weeks</t>
      </text>
    </comment>
    <comment ref="J9" authorId="12" shapeId="0" xr:uid="{CACDDD0E-87EF-4D60-B7B7-CB52C85C8797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 1 hours of support over 12 weeks per adolescent, full-time work</t>
      </text>
    </comment>
    <comment ref="V9" authorId="13" shapeId="0" xr:uid="{320CEBDA-9719-43A6-BE7D-594613E927EC}">
      <text>
        <t>[Threaded comment]
Your version of Excel allows you to read this threaded comment; however, any edits to it will get removed if the file is opened in a newer version of Excel. Learn more: https://go.microsoft.com/fwlink/?linkid=870924
Comment:
    5.4 hours of asynchronous support over 12 weeks</t>
      </text>
    </comment>
    <comment ref="AB9" authorId="14" shapeId="0" xr:uid="{05E18668-2F17-4D7C-88F0-D21D43585ED4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of free Skype</t>
      </text>
    </comment>
    <comment ref="AC9" authorId="15" shapeId="0" xr:uid="{DEB53EE6-3FC1-44D4-A2D0-6A67EF0E974B}">
      <text>
        <t>[Threaded comment]
Your version of Excel allows you to read this threaded comment; however, any edits to it will get removed if the file is opened in a newer version of Excel. Learn more: https://go.microsoft.com/fwlink/?linkid=870924
Comment:
    Useful life of 5.4 years, straight-line amortization</t>
      </text>
    </comment>
    <comment ref="AE9" authorId="16" shapeId="0" xr:uid="{8FB918B3-C640-41A3-94B0-0E15BF81D003}">
      <text>
        <t>[Threaded comment]
Your version of Excel allows you to read this threaded comment; however, any edits to it will get removed if the file is opened in a newer version of Excel. Learn more: https://go.microsoft.com/fwlink/?linkid=870924
Comment:
    5.4 hours of asynchronous support over 12 weeks</t>
      </text>
    </comment>
    <comment ref="AI10" authorId="17" shapeId="0" xr:uid="{1B193122-901C-43B2-91AB-6480F2A35963}">
      <text>
        <t>[Threaded comment]
Your version of Excel allows you to read this threaded comment; however, any edits to it will get removed if the file is opened in a newer version of Excel. Learn more: https://go.microsoft.com/fwlink/?linkid=870924
Comment:
    2 tests per year after first year</t>
      </text>
    </comment>
    <comment ref="AL10" authorId="18" shapeId="0" xr:uid="{DDD8DB81-EE42-4B98-BAD6-F4AFDB46FD1E}">
      <text>
        <t>[Threaded comment]
Your version of Excel allows you to read this threaded comment; however, any edits to it will get removed if the file is opened in a newer version of Excel. Learn more: https://go.microsoft.com/fwlink/?linkid=870924
Comment:
    2 tests per year after first year</t>
      </text>
    </comment>
    <comment ref="AM10" authorId="19" shapeId="0" xr:uid="{BB8422C8-941B-43C4-8088-77FE497882E5}">
      <text>
        <t>[Threaded comment]
Your version of Excel allows you to read this threaded comment; however, any edits to it will get removed if the file is opened in a newer version of Excel. Learn more: https://go.microsoft.com/fwlink/?linkid=870924
Comment:
    2 tests per year after first year</t>
      </text>
    </comment>
    <comment ref="AK11" authorId="20" shapeId="0" xr:uid="{FBE78057-A33F-4D9B-A2F5-F24E97D0064E}">
      <text>
        <t>[Threaded comment]
Your version of Excel allows you to read this threaded comment; however, any edits to it will get removed if the file is opened in a newer version of Excel. Learn more: https://go.microsoft.com/fwlink/?linkid=870924
Comment:
    2 tests per year after first year</t>
      </text>
    </comment>
    <comment ref="AM11" authorId="21" shapeId="0" xr:uid="{783DB464-5314-47B3-8FE3-4BFEC0EF7DFE}">
      <text>
        <t>[Threaded comment]
Your version of Excel allows you to read this threaded comment; however, any edits to it will get removed if the file is opened in a newer version of Excel. Learn more: https://go.microsoft.com/fwlink/?linkid=870924
Comment:
    2 tests per year after first year</t>
      </text>
    </comment>
    <comment ref="AM12" authorId="22" shapeId="0" xr:uid="{0A743B1B-A8A1-4D59-99B2-BF6FFC72C86B}">
      <text>
        <t>[Threaded comment]
Your version of Excel allows you to read this threaded comment; however, any edits to it will get removed if the file is opened in a newer version of Excel. Learn more: https://go.microsoft.com/fwlink/?linkid=870924
Comment:
    2 tests per year after first year</t>
      </text>
    </comment>
    <comment ref="M13" authorId="23" shapeId="0" xr:uid="{17573002-4B49-450F-9448-381637C55B11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 1 hours of support over 12 weeks per adolescent, full-time work</t>
      </text>
    </comment>
    <comment ref="J14" authorId="24" shapeId="0" xr:uid="{F08744DE-0637-4B54-972C-DEBF741C62CE}">
      <text>
        <t>[Threaded comment]
Your version of Excel allows you to read this threaded comment; however, any edits to it will get removed if the file is opened in a newer version of Excel. Learn more: https://go.microsoft.com/fwlink/?linkid=870924
Comment:
    Full time work; 35 1 - hour sessions per week of 10 adolescents each</t>
      </text>
    </comment>
    <comment ref="V14" authorId="25" shapeId="0" xr:uid="{E971C441-6083-4152-ADE1-D0A90A4842E4}">
      <text>
        <t>[Threaded comment]
Your version of Excel allows you to read this threaded comment; however, any edits to it will get removed if the file is opened in a newer version of Excel. Learn more: https://go.microsoft.com/fwlink/?linkid=870924
Comment:
    5.4 hours of asynchronous support over 12 weeks</t>
      </text>
    </comment>
    <comment ref="X14" authorId="26" shapeId="0" xr:uid="{FBA7B8A7-34F1-4312-A8F1-943409769693}">
      <text>
        <t>[Threaded comment]
Your version of Excel allows you to read this threaded comment; however, any edits to it will get removed if the file is opened in a newer version of Excel. Learn more: https://go.microsoft.com/fwlink/?linkid=870924
Comment:
    Adaptation of medical materials to country, once every five years</t>
      </text>
    </comment>
    <comment ref="AT14" authorId="27" shapeId="0" xr:uid="{F1A0A5ED-50B7-466B-BA25-C72C838F017E}">
      <text>
        <t>[Threaded comment]
Your version of Excel allows you to read this threaded comment; however, any edits to it will get removed if the file is opened in a newer version of Excel. Learn more: https://go.microsoft.com/fwlink/?linkid=870924
Comment:
    Initial screening</t>
      </text>
    </comment>
    <comment ref="J15" authorId="28" shapeId="0" xr:uid="{D2B58104-35C6-446F-987E-048E18FD641B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 1 hours of support over 12 weeks per adolescent, full-time work</t>
      </text>
    </comment>
    <comment ref="V15" authorId="29" shapeId="0" xr:uid="{12177C13-2B7D-47A7-A15D-19578F604939}">
      <text>
        <t>[Threaded comment]
Your version of Excel allows you to read this threaded comment; however, any edits to it will get removed if the file is opened in a newer version of Excel. Learn more: https://go.microsoft.com/fwlink/?linkid=870924
Comment:
    5.4 hours of asynchronous support over 12 weeks</t>
      </text>
    </comment>
    <comment ref="AB15" authorId="30" shapeId="0" xr:uid="{705DEA37-BFDD-47A3-A376-FBDDB081B626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of free Skype</t>
      </text>
    </comment>
    <comment ref="AC15" authorId="31" shapeId="0" xr:uid="{36D77B7C-45CD-4595-B47A-C75B34C8E230}">
      <text>
        <t>[Threaded comment]
Your version of Excel allows you to read this threaded comment; however, any edits to it will get removed if the file is opened in a newer version of Excel. Learn more: https://go.microsoft.com/fwlink/?linkid=870924
Comment:
    Useful life of 5.4 years, straight-line amortization</t>
      </text>
    </comment>
    <comment ref="AE15" authorId="32" shapeId="0" xr:uid="{DB7A2096-259F-45E1-98B1-9877F4938A19}">
      <text>
        <t>[Threaded comment]
Your version of Excel allows you to read this threaded comment; however, any edits to it will get removed if the file is opened in a newer version of Excel. Learn more: https://go.microsoft.com/fwlink/?linkid=870924
Comment:
    5.4 hours of asynchronous support over 12 weeks</t>
      </text>
    </comment>
    <comment ref="J16" authorId="33" shapeId="0" xr:uid="{A63E138D-A73B-4FFA-AD4D-B0336EFF98D9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 5.4 hours of support over 12 weeks per adolescent, full-time work</t>
      </text>
    </comment>
    <comment ref="V16" authorId="34" shapeId="0" xr:uid="{855E32EA-FFF8-467D-951F-38E3B278903F}">
      <text>
        <t>[Threaded comment]
Your version of Excel allows you to read this threaded comment; however, any edits to it will get removed if the file is opened in a newer version of Excel. Learn more: https://go.microsoft.com/fwlink/?linkid=870924
Comment:
    5.4 hours of asynchronous support over 12 weeks</t>
      </text>
    </comment>
    <comment ref="X16" authorId="35" shapeId="0" xr:uid="{CE0D1BAF-AD51-4478-87AA-39EA2C5DB255}">
      <text>
        <t>[Threaded comment]
Your version of Excel allows you to read this threaded comment; however, any edits to it will get removed if the file is opened in a newer version of Excel. Learn more: https://go.microsoft.com/fwlink/?linkid=870924
Comment:
    Adaptation of medical materials to country, once every five years</t>
      </text>
    </comment>
    <comment ref="AC16" authorId="36" shapeId="0" xr:uid="{58A5D149-DC10-4736-BAEC-837C5D0DB742}">
      <text>
        <t>[Threaded comment]
Your version of Excel allows you to read this threaded comment; however, any edits to it will get removed if the file is opened in a newer version of Excel. Learn more: https://go.microsoft.com/fwlink/?linkid=870924
Comment:
    Useful life of 5.4 years, straight-line amortization</t>
      </text>
    </comment>
    <comment ref="AD16" authorId="37" shapeId="0" xr:uid="{ED01B092-FED2-4549-A66D-0E585C143D77}">
      <text>
        <t>[Threaded comment]
Your version of Excel allows you to read this threaded comment; however, any edits to it will get removed if the file is opened in a newer version of Excel. Learn more: https://go.microsoft.com/fwlink/?linkid=870924
Comment:
    5.4 hours of asynchronous support over 12 weeks</t>
      </text>
    </comment>
    <comment ref="X18" authorId="38" shapeId="0" xr:uid="{F2BA0482-97B8-4232-834A-2E94E7BFC91C}">
      <text>
        <t>[Threaded comment]
Your version of Excel allows you to read this threaded comment; however, any edits to it will get removed if the file is opened in a newer version of Excel. Learn more: https://go.microsoft.com/fwlink/?linkid=870924
Comment:
    Adaptation of medical materials to country, once every five years</t>
      </text>
    </comment>
    <comment ref="AB19" authorId="39" shapeId="0" xr:uid="{79D07080-728B-4A17-8A4E-F3F4FABF9C63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of free Skype</t>
      </text>
    </comment>
    <comment ref="AC19" authorId="40" shapeId="0" xr:uid="{F6037301-5AC0-4E26-B7ED-A441BCF2D331}">
      <text>
        <t>[Threaded comment]
Your version of Excel allows you to read this threaded comment; however, any edits to it will get removed if the file is opened in a newer version of Excel. Learn more: https://go.microsoft.com/fwlink/?linkid=870924
Comment:
    Useful life of 5.4 years, straight-line amortization</t>
      </text>
    </comment>
  </commentList>
</comments>
</file>

<file path=xl/sharedStrings.xml><?xml version="1.0" encoding="utf-8"?>
<sst xmlns="http://schemas.openxmlformats.org/spreadsheetml/2006/main" count="268" uniqueCount="105">
  <si>
    <t>Name</t>
  </si>
  <si>
    <t>anxdep_prevention_school</t>
  </si>
  <si>
    <t>Sessions</t>
  </si>
  <si>
    <t>10 sessions, 1.2 hours each</t>
  </si>
  <si>
    <t>Duration</t>
  </si>
  <si>
    <t>(not specified, assume annual)</t>
  </si>
  <si>
    <t>Effectiveness data</t>
  </si>
  <si>
    <t>Stockings 2016</t>
  </si>
  <si>
    <t>Costing data</t>
  </si>
  <si>
    <t>Lee 2017</t>
  </si>
  <si>
    <t>Coverage</t>
  </si>
  <si>
    <t>Adolescents per teacher</t>
  </si>
  <si>
    <t>Teacher</t>
  </si>
  <si>
    <t>Medical officer</t>
  </si>
  <si>
    <t>Intervention</t>
  </si>
  <si>
    <t>Initial training</t>
  </si>
  <si>
    <t>Monthly unit</t>
  </si>
  <si>
    <t>Monthly unit per adolescent</t>
  </si>
  <si>
    <t>Schools per medical officer</t>
  </si>
  <si>
    <t>Refresher trainting</t>
  </si>
  <si>
    <t>Attrition rate</t>
  </si>
  <si>
    <t>Teachers</t>
  </si>
  <si>
    <t>Medical officers</t>
  </si>
  <si>
    <t>Sums</t>
  </si>
  <si>
    <t>First year</t>
  </si>
  <si>
    <t>Subsequent years</t>
  </si>
  <si>
    <t>12 weeks</t>
  </si>
  <si>
    <t>James 2015</t>
  </si>
  <si>
    <t>Bodden 2008</t>
  </si>
  <si>
    <t>Adolescents per health worker</t>
  </si>
  <si>
    <t>Adolescents per session</t>
  </si>
  <si>
    <t>12 1-hour sessions (1 per week)</t>
  </si>
  <si>
    <t>Health workers per medical officer, supervision</t>
  </si>
  <si>
    <t>Health workers per medical officer, training</t>
  </si>
  <si>
    <t>Hours</t>
  </si>
  <si>
    <t>Health worker</t>
  </si>
  <si>
    <t>Supervision</t>
  </si>
  <si>
    <t>Adapting materials</t>
  </si>
  <si>
    <t>Medical specialist</t>
  </si>
  <si>
    <t>Receiving training</t>
  </si>
  <si>
    <t>Delivering training</t>
  </si>
  <si>
    <t>Health workers</t>
  </si>
  <si>
    <t>Jolstedt 2017</t>
  </si>
  <si>
    <t>IT</t>
  </si>
  <si>
    <t>Computer</t>
  </si>
  <si>
    <t>Infrastructure</t>
  </si>
  <si>
    <t>12 weekly sessions (1 per week)</t>
  </si>
  <si>
    <t>18 months</t>
  </si>
  <si>
    <t>21 50-minute sessions</t>
  </si>
  <si>
    <t>Miklowitz 2008</t>
  </si>
  <si>
    <t>9 months</t>
  </si>
  <si>
    <t>Adolescents per medical officer</t>
  </si>
  <si>
    <t>Medical officers per medical specialist, training</t>
  </si>
  <si>
    <t>Medical officers per medical specialist, supervision</t>
  </si>
  <si>
    <t>Medication</t>
  </si>
  <si>
    <t>Tests</t>
  </si>
  <si>
    <t>Haloperidol</t>
  </si>
  <si>
    <t>Lithium carbonate</t>
  </si>
  <si>
    <t>Fluoxetine</t>
  </si>
  <si>
    <t>Serum lithium test</t>
  </si>
  <si>
    <t>Serum prolactin test</t>
  </si>
  <si>
    <t>Serum electrolytes test</t>
  </si>
  <si>
    <t>Serum creatine test</t>
  </si>
  <si>
    <t>Thyroid function test</t>
  </si>
  <si>
    <t>dep_screening_school</t>
  </si>
  <si>
    <t>Annual universal screening</t>
  </si>
  <si>
    <t>1 session</t>
  </si>
  <si>
    <t>Teachers per school</t>
  </si>
  <si>
    <t>anx_trt_cbt_group</t>
  </si>
  <si>
    <t>anx_trt_cbt_internet_self</t>
  </si>
  <si>
    <t>bip_trt_euthymia</t>
  </si>
  <si>
    <t>bip_trt_manic</t>
  </si>
  <si>
    <t>bip_trt_depressed</t>
  </si>
  <si>
    <t>anx_trt_cbt_internet_individual</t>
  </si>
  <si>
    <t>dep_trt_mild_group</t>
  </si>
  <si>
    <t>dep_trt_mild_internet</t>
  </si>
  <si>
    <t>dep_trt_mild_internet_self</t>
  </si>
  <si>
    <t>dep_trt_severe</t>
  </si>
  <si>
    <t>12 1-hour CBT sessions, 6 30-minute medication management sessions</t>
  </si>
  <si>
    <t>Kennard et al 2006 and Kennard et al 2008</t>
  </si>
  <si>
    <t>Domino 2008</t>
  </si>
  <si>
    <t>suicide_prevention_school</t>
  </si>
  <si>
    <t>Schools per health worker</t>
  </si>
  <si>
    <t>Other</t>
  </si>
  <si>
    <t>Booklet</t>
  </si>
  <si>
    <t>suicide_prevention_hospital</t>
  </si>
  <si>
    <t>1-hour information session and 9, 15-minute follow up contacts</t>
  </si>
  <si>
    <t>Fleischmann 2008</t>
  </si>
  <si>
    <t>Internet browsing</t>
  </si>
  <si>
    <t>Internet video call</t>
  </si>
  <si>
    <t>Description</t>
  </si>
  <si>
    <t>Prevention of anxiety and depression in schools</t>
  </si>
  <si>
    <t>In-person group CBT for anxiety</t>
  </si>
  <si>
    <t>Self-guided Internet treatment for anxiety</t>
  </si>
  <si>
    <t>Treatment for bipolar disorder, euthymia</t>
  </si>
  <si>
    <t>Treatment for bipolar disorder, mania</t>
  </si>
  <si>
    <t>Treatment for bipolar disorder, depression</t>
  </si>
  <si>
    <t>Screening for depression in schools</t>
  </si>
  <si>
    <t>In-person group CBT for mild depression</t>
  </si>
  <si>
    <t>Self-guided Internet treatment for mild depression</t>
  </si>
  <si>
    <t>Internet individual CBT for anxiety</t>
  </si>
  <si>
    <t>Internet individual CBT for mild depression</t>
  </si>
  <si>
    <t>Medication and individual CBT for severe depression</t>
  </si>
  <si>
    <t>Suicide prevention in schools</t>
  </si>
  <si>
    <t>Suicide prevention in hospitals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</si>
</sst>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2" borderId="1" xfId="0" applyFill="1" applyBorder="1"/>
    <xf numFmtId="0" fontId="0" fillId="3" borderId="1" xfId="0" applyFill="1" applyBorder="1"/>
    <xf numFmtId="0" fontId="0" fillId="3" borderId="1" xfId="0" applyNumberFormat="1" applyFill="1" applyBorder="1"/>
    <xf numFmtId="0" fontId="1" fillId="0" borderId="1" xfId="0" applyFont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4" borderId="1" xfId="0" applyFill="1" applyBorder="1" applyAlignment="1">
      <alignment wrapText="1"/>
    </xf>
    <xf numFmtId="0" fontId="0" fillId="0" borderId="0" xfId="0" applyBorder="1" applyAlignment="1">
      <alignment wrapText="1"/>
    </xf>
    <xf numFmtId="0" fontId="0" fillId="4" borderId="0" xfId="0" applyFill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1">
    <dxf>
      <fill>
        <patternFill patternType="solid">
          <fgColor auto="1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telmach, Rachel" id="{DB4572D1-3311-4FC1-9E4F-7F95DCD2C968}" userId="S::rstelmach@rti.org::a34744a0-600a-4670-9340-461123ad874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6" dT="2020-10-09T15:38:51.18" personId="{DB4572D1-3311-4FC1-9E4F-7F95DCD2C968}" id="{EA84C8EE-C066-4722-9CE2-B30E45FB9152}">
    <text>assume ~full time work supporting schools in the first month, so 16 schools (16 training sessions of 9.5 hours each = 152 hours; 22 days of 7 hours of work = 154 hours)</text>
  </threadedComment>
  <threadedComment ref="X6" dT="2020-10-09T15:31:47.25" personId="{DB4572D1-3311-4FC1-9E4F-7F95DCD2C968}" id="{C6AFC9AA-F9E6-4C27-BE0C-AA38FC1B12CC}">
    <text>Adaptation of medical materials to country, once every five years</text>
  </threadedComment>
  <threadedComment ref="BK6" dT="2020-10-09T15:36:27.97" personId="{DB4572D1-3311-4FC1-9E4F-7F95DCD2C968}" id="{D930C3D5-ACA7-4CE4-8C4C-5CE632D8E190}">
    <text>Conducting training of teachers, attending TOT</text>
  </threadedComment>
  <threadedComment ref="BU6" dT="2020-10-09T15:36:27.97" personId="{DB4572D1-3311-4FC1-9E4F-7F95DCD2C968}" id="{D9FA09EA-4F68-4590-A16A-F0B1681C6A60}">
    <text>Conducting training of teachers, attending TOT</text>
  </threadedComment>
  <threadedComment ref="J7" dT="2020-10-09T16:39:55.31" personId="{DB4572D1-3311-4FC1-9E4F-7F95DCD2C968}" id="{6A9F43AF-D930-4193-9BF1-5CDDC39DAFEC}">
    <text>Full time work; 35 1 - hour sessions per week of 10 adolescents each</text>
  </threadedComment>
  <threadedComment ref="V7" dT="2020-10-09T16:06:07.74" personId="{DB4572D1-3311-4FC1-9E4F-7F95DCD2C968}" id="{C6F4BAB3-55C6-4DE7-A990-8069CE9BFD69}">
    <text>Weekly sessions for a group of 10 adolescents</text>
  </threadedComment>
  <threadedComment ref="Y7" dT="2020-10-09T16:09:06.51" personId="{DB4572D1-3311-4FC1-9E4F-7F95DCD2C968}" id="{D8A6780D-0C23-463E-8B06-67D2D1CD8D6F}">
    <text>Supervision of HW</text>
  </threadedComment>
  <threadedComment ref="J8" dT="2020-10-09T16:42:34.44" personId="{DB4572D1-3311-4FC1-9E4F-7F95DCD2C968}" id="{73AB9555-C643-4D63-8B26-F6F64E831965}">
    <text>Assume 5.4 hours of support over 12 weeks per adolescent, full-time work</text>
  </threadedComment>
  <threadedComment ref="V8" dT="2020-10-09T16:46:32.72" personId="{DB4572D1-3311-4FC1-9E4F-7F95DCD2C968}" id="{455D5544-8EB6-4790-B85C-1E02FBAA7525}">
    <text>5.4 hours of asynchronous support over 12 weeks</text>
  </threadedComment>
  <threadedComment ref="X8" dT="2020-10-09T15:31:47.25" personId="{DB4572D1-3311-4FC1-9E4F-7F95DCD2C968}" id="{FA58DC3E-E9B1-49C0-B5BF-A366E8023AE5}">
    <text>Adaptation of medical materials to country, once every five years</text>
  </threadedComment>
  <threadedComment ref="AC8" dT="2020-10-09T16:44:32.97" personId="{DB4572D1-3311-4FC1-9E4F-7F95DCD2C968}" id="{60E88230-9305-4B33-AB27-3A0C6A5525BF}">
    <text>Useful life of 5.4 years, straight-line amortization</text>
  </threadedComment>
  <threadedComment ref="AD8" dT="2020-10-09T16:46:32.72" personId="{DB4572D1-3311-4FC1-9E4F-7F95DCD2C968}" id="{EAEFE289-4895-4669-B7D5-D622AA0BD1F4}">
    <text>5.4 hours of asynchronous support over 12 weeks</text>
  </threadedComment>
  <threadedComment ref="J9" dT="2020-10-09T16:42:34.44" personId="{DB4572D1-3311-4FC1-9E4F-7F95DCD2C968}" id="{CACDDD0E-87EF-4D60-B7B7-CB52C85C8797}">
    <text>Assume 1 hours of support over 12 weeks per adolescent, full-time work</text>
  </threadedComment>
  <threadedComment ref="V9" dT="2020-10-09T16:46:32.72" personId="{DB4572D1-3311-4FC1-9E4F-7F95DCD2C968}" id="{320CEBDA-9719-43A6-BE7D-594613E927EC}">
    <text>5.4 hours of asynchronous support over 12 weeks</text>
  </threadedComment>
  <threadedComment ref="AB9" dT="2020-10-09T17:01:10.31" personId="{DB4572D1-3311-4FC1-9E4F-7F95DCD2C968}" id="{05E18668-2F17-4D7C-88F0-D21D43585ED4}">
    <text>Use of free Skype</text>
  </threadedComment>
  <threadedComment ref="AC9" dT="2020-10-09T16:44:32.97" personId="{DB4572D1-3311-4FC1-9E4F-7F95DCD2C968}" id="{DEB53EE6-3FC1-44D4-A2D0-6A67EF0E974B}">
    <text>Useful life of 5.4 years, straight-line amortization</text>
  </threadedComment>
  <threadedComment ref="AE9" dT="2020-10-09T16:46:32.72" personId="{DB4572D1-3311-4FC1-9E4F-7F95DCD2C968}" id="{8FB918B3-C640-41A3-94B0-0E15BF81D003}">
    <text>5.4 hours of asynchronous support over 12 weeks</text>
  </threadedComment>
  <threadedComment ref="AI10" dT="2020-10-09T17:55:02.21" personId="{DB4572D1-3311-4FC1-9E4F-7F95DCD2C968}" id="{1B193122-901C-43B2-91AB-6480F2A35963}">
    <text>2 tests per year after first year</text>
  </threadedComment>
  <threadedComment ref="AL10" dT="2020-10-09T17:55:02.21" personId="{DB4572D1-3311-4FC1-9E4F-7F95DCD2C968}" id="{DDD8DB81-EE42-4B98-BAD6-F4AFDB46FD1E}">
    <text>2 tests per year after first year</text>
  </threadedComment>
  <threadedComment ref="AM10" dT="2020-10-09T17:55:02.21" personId="{DB4572D1-3311-4FC1-9E4F-7F95DCD2C968}" id="{BB8422C8-941B-43C4-8088-77FE497882E5}">
    <text>2 tests per year after first year</text>
  </threadedComment>
  <threadedComment ref="AK11" dT="2020-10-09T17:55:02.21" personId="{DB4572D1-3311-4FC1-9E4F-7F95DCD2C968}" id="{FBE78057-A33F-4D9B-A2F5-F24E97D0064E}">
    <text>2 tests per year after first year</text>
  </threadedComment>
  <threadedComment ref="AM11" dT="2020-10-09T17:55:02.21" personId="{DB4572D1-3311-4FC1-9E4F-7F95DCD2C968}" id="{783DB464-5314-47B3-8FE3-4BFEC0EF7DFE}">
    <text>2 tests per year after first year</text>
  </threadedComment>
  <threadedComment ref="AM12" dT="2020-10-09T17:55:02.21" personId="{DB4572D1-3311-4FC1-9E4F-7F95DCD2C968}" id="{0A743B1B-A8A1-4D59-99B2-BF6FFC72C86B}">
    <text>2 tests per year after first year</text>
  </threadedComment>
  <threadedComment ref="M13" dT="2020-10-09T16:42:34.44" personId="{DB4572D1-3311-4FC1-9E4F-7F95DCD2C968}" id="{17573002-4B49-450F-9448-381637C55B11}">
    <text>Assume 1 hours of support over 12 weeks per adolescent, full-time work</text>
  </threadedComment>
  <threadedComment ref="J14" dT="2020-10-09T16:39:55.31" personId="{DB4572D1-3311-4FC1-9E4F-7F95DCD2C968}" id="{F08744DE-0637-4B54-972C-DEBF741C62CE}">
    <text>Full time work; 35 1 - hour sessions per week of 10 adolescents each</text>
  </threadedComment>
  <threadedComment ref="V14" dT="2020-10-09T16:46:32.72" personId="{DB4572D1-3311-4FC1-9E4F-7F95DCD2C968}" id="{E971C441-6083-4152-ADE1-D0A90A4842E4}">
    <text>5.4 hours of asynchronous support over 12 weeks</text>
  </threadedComment>
  <threadedComment ref="X14" dT="2020-10-09T15:31:47.25" personId="{DB4572D1-3311-4FC1-9E4F-7F95DCD2C968}" id="{FBA7B8A7-34F1-4312-A8F1-943409769693}">
    <text>Adaptation of medical materials to country, once every five years</text>
  </threadedComment>
  <threadedComment ref="AT14" dT="2020-10-09T20:08:41.03" personId="{DB4572D1-3311-4FC1-9E4F-7F95DCD2C968}" id="{F1A0A5ED-50B7-466B-BA25-C72C838F017E}">
    <text>Initial screening</text>
  </threadedComment>
  <threadedComment ref="J15" dT="2020-10-09T16:42:34.44" personId="{DB4572D1-3311-4FC1-9E4F-7F95DCD2C968}" id="{D2B58104-35C6-446F-987E-048E18FD641B}">
    <text>Assume 1 hours of support over 12 weeks per adolescent, full-time work</text>
  </threadedComment>
  <threadedComment ref="V15" dT="2020-10-09T16:46:32.72" personId="{DB4572D1-3311-4FC1-9E4F-7F95DCD2C968}" id="{12177C13-2B7D-47A7-A15D-19578F604939}">
    <text>5.4 hours of asynchronous support over 12 weeks</text>
  </threadedComment>
  <threadedComment ref="AB15" dT="2020-10-09T17:01:10.31" personId="{DB4572D1-3311-4FC1-9E4F-7F95DCD2C968}" id="{705DEA37-BFDD-47A3-A376-FBDDB081B626}">
    <text>Use of free Skype</text>
  </threadedComment>
  <threadedComment ref="AC15" dT="2020-10-09T16:44:32.97" personId="{DB4572D1-3311-4FC1-9E4F-7F95DCD2C968}" id="{36D77B7C-45CD-4595-B47A-C75B34C8E230}">
    <text>Useful life of 5.4 years, straight-line amortization</text>
  </threadedComment>
  <threadedComment ref="AE15" dT="2020-10-09T16:46:32.72" personId="{DB4572D1-3311-4FC1-9E4F-7F95DCD2C968}" id="{DB7A2096-259F-45E1-98B1-9877F4938A19}">
    <text>5.4 hours of asynchronous support over 12 weeks</text>
  </threadedComment>
  <threadedComment ref="J16" dT="2020-10-09T16:42:34.44" personId="{DB4572D1-3311-4FC1-9E4F-7F95DCD2C968}" id="{A63E138D-A73B-4FFA-AD4D-B0336EFF98D9}">
    <text>Assume 5.4 hours of support over 12 weeks per adolescent, full-time work</text>
  </threadedComment>
  <threadedComment ref="V16" dT="2020-10-09T16:46:32.72" personId="{DB4572D1-3311-4FC1-9E4F-7F95DCD2C968}" id="{855E32EA-FFF8-467D-951F-38E3B278903F}">
    <text>5.4 hours of asynchronous support over 12 weeks</text>
  </threadedComment>
  <threadedComment ref="X16" dT="2020-10-09T15:31:47.25" personId="{DB4572D1-3311-4FC1-9E4F-7F95DCD2C968}" id="{CE0D1BAF-AD51-4478-87AA-39EA2C5DB255}">
    <text>Adaptation of medical materials to country, once every five years</text>
  </threadedComment>
  <threadedComment ref="AC16" dT="2020-10-09T16:44:32.97" personId="{DB4572D1-3311-4FC1-9E4F-7F95DCD2C968}" id="{58A5D149-DC10-4736-BAEC-837C5D0DB742}">
    <text>Useful life of 5.4 years, straight-line amortization</text>
  </threadedComment>
  <threadedComment ref="AD16" dT="2020-10-09T16:46:32.72" personId="{DB4572D1-3311-4FC1-9E4F-7F95DCD2C968}" id="{ED01B092-FED2-4549-A66D-0E585C143D77}">
    <text>5.4 hours of asynchronous support over 12 weeks</text>
  </threadedComment>
  <threadedComment ref="X18" dT="2020-10-09T15:31:47.25" personId="{DB4572D1-3311-4FC1-9E4F-7F95DCD2C968}" id="{F2BA0482-97B8-4232-834A-2E94E7BFC91C}">
    <text>Adaptation of medical materials to country, once every five years</text>
  </threadedComment>
  <threadedComment ref="AB19" dT="2020-10-09T17:01:10.31" personId="{DB4572D1-3311-4FC1-9E4F-7F95DCD2C968}" id="{79D07080-728B-4A17-8A4E-F3F4FABF9C63}">
    <text>Use of free Skype</text>
  </threadedComment>
  <threadedComment ref="AC19" dT="2020-10-09T16:44:32.97" personId="{DB4572D1-3311-4FC1-9E4F-7F95DCD2C968}" id="{F6037301-5AC0-4E26-B7ED-A441BCF2D331}">
    <text>Useful life of 5.4 years, straight-line amortization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BC43A-36BF-43E3-A761-3CB326E5C8B6}">
  <sheetPr codeName="Sheet1" filterMode="1"/>
  <dimension ref="A1:DJ19"/>
  <sheetViews>
    <sheetView tabSelected="1" zoomScale="55" zoomScaleNormal="55" workbookViewId="0">
      <pane xSplit="1" ySplit="5" topLeftCell="CM6" activePane="bottomRight" state="frozen"/>
      <selection pane="topRight" activeCell="B1" sqref="B1"/>
      <selection pane="bottomLeft" activeCell="A4" sqref="A4"/>
      <selection pane="bottomRight" activeCell="DC19" sqref="DC19"/>
    </sheetView>
  </sheetViews>
  <sheetFormatPr defaultRowHeight="15" x14ac:dyDescent="0.25"/>
  <cols>
    <col min="1" max="2" width="23.5703125" style="2" customWidth="1"/>
    <col min="3" max="5" width="19.42578125" style="2" customWidth="1"/>
    <col min="6" max="6" width="18" style="2" customWidth="1"/>
    <col min="7" max="7" width="16.28515625" style="2" customWidth="1"/>
    <col min="8" max="13" width="21.7109375" style="2" customWidth="1"/>
    <col min="14" max="14" width="23.5703125" style="2" customWidth="1"/>
    <col min="15" max="15" width="21.7109375" style="2" customWidth="1"/>
    <col min="16" max="16" width="24" style="2" customWidth="1"/>
    <col min="17" max="20" width="26.140625" style="2" customWidth="1"/>
    <col min="21" max="27" width="16.28515625" style="8" customWidth="1"/>
    <col min="28" max="40" width="17.85546875" style="8" customWidth="1"/>
    <col min="41" max="47" width="16.28515625" style="9" customWidth="1"/>
    <col min="48" max="48" width="18.140625" style="9" customWidth="1"/>
    <col min="49" max="51" width="16.28515625" style="9" customWidth="1"/>
    <col min="52" max="60" width="17.85546875" style="9" customWidth="1"/>
    <col min="61" max="62" width="16.28515625" style="8" customWidth="1"/>
    <col min="63" max="63" width="20.5703125" style="10" customWidth="1"/>
    <col min="64" max="64" width="19.5703125" style="10" customWidth="1"/>
    <col min="65" max="65" width="25.7109375" style="10" customWidth="1"/>
    <col min="66" max="67" width="16.140625" style="11" customWidth="1"/>
    <col min="68" max="69" width="18" style="11" customWidth="1"/>
    <col min="70" max="70" width="21.5703125" style="11" customWidth="1"/>
    <col min="71" max="72" width="16.28515625" style="8" customWidth="1"/>
    <col min="73" max="73" width="20.5703125" style="10" customWidth="1"/>
    <col min="74" max="74" width="19.5703125" style="10" customWidth="1"/>
    <col min="75" max="75" width="22.85546875" style="10" customWidth="1"/>
    <col min="76" max="77" width="16.140625" style="11" customWidth="1"/>
    <col min="78" max="79" width="18.28515625" style="11" customWidth="1"/>
    <col min="80" max="80" width="23.28515625" style="11" customWidth="1"/>
    <col min="81" max="101" width="16.140625" style="2" customWidth="1"/>
    <col min="102" max="103" width="16.140625" style="3" customWidth="1"/>
    <col min="104" max="113" width="16.42578125" style="3" customWidth="1"/>
    <col min="114" max="114" width="19.28515625" style="3" customWidth="1"/>
    <col min="115" max="16384" width="9.140625" style="3"/>
  </cols>
  <sheetData>
    <row r="1" spans="1:114" ht="15" customHeight="1" x14ac:dyDescent="0.25">
      <c r="U1" s="25" t="s">
        <v>14</v>
      </c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7"/>
      <c r="BH1" s="21"/>
      <c r="BI1" s="13"/>
      <c r="BJ1" s="25" t="s">
        <v>15</v>
      </c>
      <c r="BK1" s="26"/>
      <c r="BL1" s="26"/>
      <c r="BM1" s="26"/>
      <c r="BN1" s="26"/>
      <c r="BO1" s="26"/>
      <c r="BP1" s="26"/>
      <c r="BQ1" s="26"/>
      <c r="BR1" s="27"/>
      <c r="BS1" s="28" t="s">
        <v>19</v>
      </c>
      <c r="BT1" s="28"/>
      <c r="BU1" s="28"/>
      <c r="BV1" s="28"/>
      <c r="BW1" s="28"/>
      <c r="BX1" s="28"/>
      <c r="BY1" s="28"/>
      <c r="BZ1" s="28"/>
      <c r="CA1" s="28"/>
      <c r="CB1" s="28"/>
    </row>
    <row r="2" spans="1:114" s="5" customFormat="1" ht="45" customHeight="1" x14ac:dyDescent="0.25">
      <c r="A2" s="4"/>
      <c r="B2" s="4"/>
      <c r="C2" s="4"/>
      <c r="D2" s="4"/>
      <c r="E2" s="4"/>
      <c r="F2" s="4"/>
      <c r="U2" s="31" t="s">
        <v>16</v>
      </c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3"/>
      <c r="AN2" s="16"/>
      <c r="AO2" s="34" t="s">
        <v>17</v>
      </c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6"/>
      <c r="BH2" s="18"/>
      <c r="BI2" s="29" t="s">
        <v>16</v>
      </c>
      <c r="BJ2" s="29"/>
      <c r="BK2" s="29"/>
      <c r="BL2" s="29"/>
      <c r="BM2" s="29"/>
      <c r="BN2" s="30" t="s">
        <v>17</v>
      </c>
      <c r="BO2" s="30"/>
      <c r="BP2" s="30"/>
      <c r="BQ2" s="30"/>
      <c r="BR2" s="30"/>
      <c r="BS2" s="29" t="s">
        <v>16</v>
      </c>
      <c r="BT2" s="29"/>
      <c r="BU2" s="29"/>
      <c r="BV2" s="29"/>
      <c r="BW2" s="29"/>
      <c r="BX2" s="30" t="s">
        <v>17</v>
      </c>
      <c r="BY2" s="30"/>
      <c r="BZ2" s="30"/>
      <c r="CA2" s="30"/>
      <c r="CB2" s="30"/>
      <c r="CC2" s="20" t="s">
        <v>23</v>
      </c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  <c r="DC2" s="19"/>
      <c r="DD2" s="19"/>
      <c r="DE2" s="19"/>
      <c r="DF2" s="19"/>
      <c r="DG2" s="19"/>
      <c r="DH2" s="19"/>
      <c r="DI2" s="19"/>
      <c r="DJ2" s="21"/>
    </row>
    <row r="3" spans="1:114" s="5" customFormat="1" ht="45" customHeight="1" x14ac:dyDescent="0.25">
      <c r="A3" s="4"/>
      <c r="B3" s="4"/>
      <c r="C3" s="4"/>
      <c r="D3" s="4"/>
      <c r="E3" s="4"/>
      <c r="F3" s="4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31" t="s">
        <v>34</v>
      </c>
      <c r="V3" s="32"/>
      <c r="W3" s="32"/>
      <c r="X3" s="32"/>
      <c r="Y3" s="32"/>
      <c r="Z3" s="32"/>
      <c r="AA3" s="33"/>
      <c r="AB3" s="31" t="s">
        <v>43</v>
      </c>
      <c r="AC3" s="32"/>
      <c r="AD3" s="32"/>
      <c r="AE3" s="33"/>
      <c r="AF3" s="29" t="s">
        <v>54</v>
      </c>
      <c r="AG3" s="29"/>
      <c r="AH3" s="29"/>
      <c r="AI3" s="31" t="s">
        <v>55</v>
      </c>
      <c r="AJ3" s="32"/>
      <c r="AK3" s="32"/>
      <c r="AL3" s="32"/>
      <c r="AM3" s="33"/>
      <c r="AN3" s="16" t="s">
        <v>83</v>
      </c>
      <c r="AO3" s="34" t="s">
        <v>34</v>
      </c>
      <c r="AP3" s="35"/>
      <c r="AQ3" s="35"/>
      <c r="AR3" s="35"/>
      <c r="AS3" s="35"/>
      <c r="AT3" s="35"/>
      <c r="AU3" s="36"/>
      <c r="AV3" s="34" t="s">
        <v>43</v>
      </c>
      <c r="AW3" s="35"/>
      <c r="AX3" s="35"/>
      <c r="AY3" s="36"/>
      <c r="AZ3" s="37" t="s">
        <v>54</v>
      </c>
      <c r="BA3" s="37"/>
      <c r="BB3" s="37"/>
      <c r="BC3" s="34" t="s">
        <v>55</v>
      </c>
      <c r="BD3" s="35"/>
      <c r="BE3" s="35"/>
      <c r="BF3" s="35"/>
      <c r="BG3" s="36"/>
      <c r="BH3" s="18" t="s">
        <v>83</v>
      </c>
      <c r="BI3" s="29" t="s">
        <v>34</v>
      </c>
      <c r="BJ3" s="29"/>
      <c r="BK3" s="29"/>
      <c r="BL3" s="29"/>
      <c r="BM3" s="29"/>
      <c r="BN3" s="37" t="s">
        <v>34</v>
      </c>
      <c r="BO3" s="37"/>
      <c r="BP3" s="37"/>
      <c r="BQ3" s="37"/>
      <c r="BR3" s="37"/>
      <c r="BS3" s="29" t="s">
        <v>34</v>
      </c>
      <c r="BT3" s="29"/>
      <c r="BU3" s="29"/>
      <c r="BV3" s="29"/>
      <c r="BW3" s="29"/>
      <c r="BX3" s="30" t="s">
        <v>34</v>
      </c>
      <c r="BY3" s="30"/>
      <c r="BZ3" s="30"/>
      <c r="CA3" s="30"/>
      <c r="CB3" s="30"/>
      <c r="CC3" s="20" t="s">
        <v>24</v>
      </c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21"/>
      <c r="CT3" s="20" t="s">
        <v>25</v>
      </c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21"/>
    </row>
    <row r="4" spans="1:114" s="5" customFormat="1" ht="45" customHeight="1" x14ac:dyDescent="0.25">
      <c r="A4" s="4"/>
      <c r="B4" s="4"/>
      <c r="C4" s="4"/>
      <c r="D4" s="4"/>
      <c r="E4" s="4"/>
      <c r="F4" s="4"/>
      <c r="G4" s="28" t="s">
        <v>10</v>
      </c>
      <c r="H4" s="28"/>
      <c r="I4" s="28"/>
      <c r="J4" s="28"/>
      <c r="K4" s="28"/>
      <c r="L4" s="28"/>
      <c r="M4" s="28"/>
      <c r="N4" s="28"/>
      <c r="O4" s="28"/>
      <c r="P4" s="28"/>
      <c r="Q4" s="28"/>
      <c r="R4" s="28" t="s">
        <v>20</v>
      </c>
      <c r="S4" s="28"/>
      <c r="T4" s="28"/>
      <c r="U4" s="15" t="s">
        <v>12</v>
      </c>
      <c r="V4" s="29" t="s">
        <v>35</v>
      </c>
      <c r="W4" s="29"/>
      <c r="X4" s="31" t="s">
        <v>13</v>
      </c>
      <c r="Y4" s="32"/>
      <c r="Z4" s="33"/>
      <c r="AA4" s="17" t="s">
        <v>38</v>
      </c>
      <c r="AB4" s="15" t="s">
        <v>45</v>
      </c>
      <c r="AC4" s="15" t="s">
        <v>44</v>
      </c>
      <c r="AD4" s="15" t="s">
        <v>88</v>
      </c>
      <c r="AE4" s="15" t="s">
        <v>89</v>
      </c>
      <c r="AF4" s="15" t="s">
        <v>56</v>
      </c>
      <c r="AG4" s="15" t="s">
        <v>57</v>
      </c>
      <c r="AH4" s="15" t="s">
        <v>58</v>
      </c>
      <c r="AI4" s="15" t="s">
        <v>59</v>
      </c>
      <c r="AJ4" s="15" t="s">
        <v>60</v>
      </c>
      <c r="AK4" s="15" t="s">
        <v>61</v>
      </c>
      <c r="AL4" s="15" t="s">
        <v>62</v>
      </c>
      <c r="AM4" s="15" t="s">
        <v>63</v>
      </c>
      <c r="AN4" s="15" t="s">
        <v>84</v>
      </c>
      <c r="AO4" s="14" t="s">
        <v>12</v>
      </c>
      <c r="AP4" s="37" t="s">
        <v>35</v>
      </c>
      <c r="AQ4" s="37"/>
      <c r="AR4" s="34" t="s">
        <v>13</v>
      </c>
      <c r="AS4" s="35"/>
      <c r="AT4" s="36"/>
      <c r="AU4" s="18" t="s">
        <v>38</v>
      </c>
      <c r="AV4" s="18" t="s">
        <v>45</v>
      </c>
      <c r="AW4" s="18" t="s">
        <v>44</v>
      </c>
      <c r="AX4" s="18" t="s">
        <v>88</v>
      </c>
      <c r="AY4" s="18" t="s">
        <v>89</v>
      </c>
      <c r="AZ4" s="14" t="s">
        <v>56</v>
      </c>
      <c r="BA4" s="14" t="s">
        <v>57</v>
      </c>
      <c r="BB4" s="14" t="s">
        <v>58</v>
      </c>
      <c r="BC4" s="14" t="s">
        <v>59</v>
      </c>
      <c r="BD4" s="14" t="s">
        <v>60</v>
      </c>
      <c r="BE4" s="14" t="s">
        <v>61</v>
      </c>
      <c r="BF4" s="14" t="s">
        <v>62</v>
      </c>
      <c r="BG4" s="14" t="s">
        <v>63</v>
      </c>
      <c r="BH4" s="14" t="s">
        <v>84</v>
      </c>
      <c r="BI4" s="15" t="s">
        <v>12</v>
      </c>
      <c r="BJ4" s="15" t="s">
        <v>35</v>
      </c>
      <c r="BK4" s="31" t="s">
        <v>13</v>
      </c>
      <c r="BL4" s="33"/>
      <c r="BM4" s="15" t="s">
        <v>38</v>
      </c>
      <c r="BN4" s="14" t="s">
        <v>12</v>
      </c>
      <c r="BO4" s="14" t="s">
        <v>35</v>
      </c>
      <c r="BP4" s="34" t="s">
        <v>13</v>
      </c>
      <c r="BQ4" s="36"/>
      <c r="BR4" s="14" t="s">
        <v>38</v>
      </c>
      <c r="BS4" s="15" t="s">
        <v>12</v>
      </c>
      <c r="BT4" s="15" t="s">
        <v>35</v>
      </c>
      <c r="BU4" s="31" t="s">
        <v>13</v>
      </c>
      <c r="BV4" s="33"/>
      <c r="BW4" s="15" t="s">
        <v>38</v>
      </c>
      <c r="BX4" s="14" t="s">
        <v>12</v>
      </c>
      <c r="BY4" s="14" t="s">
        <v>35</v>
      </c>
      <c r="BZ4" s="34" t="s">
        <v>13</v>
      </c>
      <c r="CA4" s="36"/>
      <c r="CB4" s="14" t="s">
        <v>38</v>
      </c>
      <c r="CC4" s="20" t="s">
        <v>34</v>
      </c>
      <c r="CD4" s="19"/>
      <c r="CE4" s="19"/>
      <c r="CF4" s="21"/>
      <c r="CG4" s="25" t="s">
        <v>43</v>
      </c>
      <c r="CH4" s="26"/>
      <c r="CI4" s="26"/>
      <c r="CJ4" s="27"/>
      <c r="CK4" s="25" t="s">
        <v>54</v>
      </c>
      <c r="CL4" s="26"/>
      <c r="CM4" s="27"/>
      <c r="CN4" s="25" t="s">
        <v>55</v>
      </c>
      <c r="CO4" s="26"/>
      <c r="CP4" s="26"/>
      <c r="CQ4" s="26"/>
      <c r="CR4" s="27"/>
      <c r="CS4" s="20" t="s">
        <v>83</v>
      </c>
      <c r="CT4" s="25" t="s">
        <v>34</v>
      </c>
      <c r="CU4" s="26"/>
      <c r="CV4" s="26"/>
      <c r="CW4" s="27"/>
      <c r="CX4" s="25" t="s">
        <v>43</v>
      </c>
      <c r="CY4" s="26"/>
      <c r="CZ4" s="26"/>
      <c r="DA4" s="27"/>
      <c r="DB4" s="25" t="s">
        <v>54</v>
      </c>
      <c r="DC4" s="26"/>
      <c r="DD4" s="27"/>
      <c r="DE4" s="25" t="s">
        <v>55</v>
      </c>
      <c r="DF4" s="26"/>
      <c r="DG4" s="26"/>
      <c r="DH4" s="26"/>
      <c r="DI4" s="27"/>
      <c r="DJ4" s="5" t="s">
        <v>83</v>
      </c>
    </row>
    <row r="5" spans="1:114" s="5" customFormat="1" ht="72" customHeight="1" x14ac:dyDescent="0.25">
      <c r="A5" s="4" t="s">
        <v>0</v>
      </c>
      <c r="B5" s="4" t="s">
        <v>90</v>
      </c>
      <c r="C5" s="4" t="s">
        <v>2</v>
      </c>
      <c r="D5" s="4" t="s">
        <v>4</v>
      </c>
      <c r="E5" s="4" t="s">
        <v>6</v>
      </c>
      <c r="F5" s="4" t="s">
        <v>8</v>
      </c>
      <c r="G5" s="4" t="s">
        <v>11</v>
      </c>
      <c r="H5" s="4" t="s">
        <v>67</v>
      </c>
      <c r="I5" s="4" t="s">
        <v>30</v>
      </c>
      <c r="J5" s="4" t="s">
        <v>29</v>
      </c>
      <c r="K5" s="4" t="s">
        <v>82</v>
      </c>
      <c r="L5" s="4" t="s">
        <v>51</v>
      </c>
      <c r="M5" s="4" t="s">
        <v>18</v>
      </c>
      <c r="N5" s="4" t="s">
        <v>32</v>
      </c>
      <c r="O5" s="4" t="s">
        <v>33</v>
      </c>
      <c r="P5" s="4" t="s">
        <v>53</v>
      </c>
      <c r="Q5" s="4" t="s">
        <v>52</v>
      </c>
      <c r="R5" s="4" t="s">
        <v>21</v>
      </c>
      <c r="S5" s="4" t="s">
        <v>41</v>
      </c>
      <c r="T5" s="4" t="s">
        <v>22</v>
      </c>
      <c r="U5" s="6" t="s">
        <v>14</v>
      </c>
      <c r="V5" s="6" t="s">
        <v>14</v>
      </c>
      <c r="W5" s="6" t="s">
        <v>36</v>
      </c>
      <c r="X5" s="6" t="s">
        <v>37</v>
      </c>
      <c r="Y5" s="6" t="s">
        <v>36</v>
      </c>
      <c r="Z5" s="6" t="s">
        <v>14</v>
      </c>
      <c r="AA5" s="6" t="s">
        <v>36</v>
      </c>
      <c r="AB5" s="6" t="s">
        <v>14</v>
      </c>
      <c r="AC5" s="6" t="s">
        <v>14</v>
      </c>
      <c r="AD5" s="6" t="s">
        <v>14</v>
      </c>
      <c r="AE5" s="6" t="s">
        <v>14</v>
      </c>
      <c r="AF5" s="6"/>
      <c r="AG5" s="6"/>
      <c r="AH5" s="6"/>
      <c r="AI5" s="6"/>
      <c r="AJ5" s="6"/>
      <c r="AK5" s="6"/>
      <c r="AL5" s="6"/>
      <c r="AM5" s="6"/>
      <c r="AN5" s="6"/>
      <c r="AO5" s="7" t="s">
        <v>14</v>
      </c>
      <c r="AP5" s="7" t="s">
        <v>14</v>
      </c>
      <c r="AQ5" s="7" t="s">
        <v>36</v>
      </c>
      <c r="AR5" s="7" t="s">
        <v>37</v>
      </c>
      <c r="AS5" s="7" t="s">
        <v>36</v>
      </c>
      <c r="AT5" s="7" t="s">
        <v>14</v>
      </c>
      <c r="AU5" s="7" t="s">
        <v>36</v>
      </c>
      <c r="AV5" s="7" t="s">
        <v>14</v>
      </c>
      <c r="AW5" s="7" t="s">
        <v>14</v>
      </c>
      <c r="AX5" s="7" t="s">
        <v>14</v>
      </c>
      <c r="AY5" s="7" t="s">
        <v>14</v>
      </c>
      <c r="AZ5" s="7"/>
      <c r="BA5" s="7"/>
      <c r="BB5" s="7"/>
      <c r="BC5" s="7"/>
      <c r="BD5" s="7"/>
      <c r="BE5" s="7"/>
      <c r="BF5" s="7"/>
      <c r="BG5" s="7"/>
      <c r="BH5" s="7"/>
      <c r="BI5" s="6" t="s">
        <v>39</v>
      </c>
      <c r="BJ5" s="6" t="s">
        <v>39</v>
      </c>
      <c r="BK5" s="6" t="s">
        <v>40</v>
      </c>
      <c r="BL5" s="6" t="s">
        <v>39</v>
      </c>
      <c r="BM5" s="6" t="s">
        <v>40</v>
      </c>
      <c r="BN5" s="7" t="s">
        <v>39</v>
      </c>
      <c r="BO5" s="7" t="s">
        <v>39</v>
      </c>
      <c r="BP5" s="7" t="s">
        <v>40</v>
      </c>
      <c r="BQ5" s="7" t="s">
        <v>39</v>
      </c>
      <c r="BR5" s="7" t="s">
        <v>40</v>
      </c>
      <c r="BS5" s="6" t="s">
        <v>39</v>
      </c>
      <c r="BT5" s="6" t="s">
        <v>39</v>
      </c>
      <c r="BU5" s="6" t="s">
        <v>40</v>
      </c>
      <c r="BV5" s="6" t="s">
        <v>39</v>
      </c>
      <c r="BW5" s="6" t="s">
        <v>40</v>
      </c>
      <c r="BX5" s="7" t="s">
        <v>39</v>
      </c>
      <c r="BY5" s="7" t="s">
        <v>39</v>
      </c>
      <c r="BZ5" s="7" t="s">
        <v>40</v>
      </c>
      <c r="CA5" s="7" t="s">
        <v>39</v>
      </c>
      <c r="CB5" s="7" t="s">
        <v>40</v>
      </c>
      <c r="CC5" s="4" t="s">
        <v>12</v>
      </c>
      <c r="CD5" s="4" t="s">
        <v>35</v>
      </c>
      <c r="CE5" s="4" t="s">
        <v>13</v>
      </c>
      <c r="CF5" s="4" t="s">
        <v>38</v>
      </c>
      <c r="CG5" s="4" t="s">
        <v>45</v>
      </c>
      <c r="CH5" s="4" t="s">
        <v>44</v>
      </c>
      <c r="CI5" s="4" t="s">
        <v>88</v>
      </c>
      <c r="CJ5" s="4" t="s">
        <v>89</v>
      </c>
      <c r="CK5" s="4" t="s">
        <v>56</v>
      </c>
      <c r="CL5" s="4" t="s">
        <v>57</v>
      </c>
      <c r="CM5" s="4" t="s">
        <v>58</v>
      </c>
      <c r="CN5" s="4" t="s">
        <v>59</v>
      </c>
      <c r="CO5" s="4" t="s">
        <v>60</v>
      </c>
      <c r="CP5" s="4" t="s">
        <v>61</v>
      </c>
      <c r="CQ5" s="4" t="s">
        <v>62</v>
      </c>
      <c r="CR5" s="4" t="s">
        <v>63</v>
      </c>
      <c r="CS5" s="4" t="s">
        <v>84</v>
      </c>
      <c r="CT5" s="4" t="s">
        <v>12</v>
      </c>
      <c r="CU5" s="4" t="s">
        <v>35</v>
      </c>
      <c r="CV5" s="4" t="s">
        <v>13</v>
      </c>
      <c r="CW5" s="4" t="s">
        <v>38</v>
      </c>
      <c r="CX5" s="4" t="s">
        <v>45</v>
      </c>
      <c r="CY5" s="4" t="s">
        <v>44</v>
      </c>
      <c r="CZ5" s="4" t="s">
        <v>88</v>
      </c>
      <c r="DA5" s="4" t="s">
        <v>89</v>
      </c>
      <c r="DB5" s="4" t="s">
        <v>56</v>
      </c>
      <c r="DC5" s="4" t="s">
        <v>57</v>
      </c>
      <c r="DD5" s="4" t="s">
        <v>58</v>
      </c>
      <c r="DE5" s="4" t="s">
        <v>59</v>
      </c>
      <c r="DF5" s="4" t="s">
        <v>60</v>
      </c>
      <c r="DG5" s="4" t="s">
        <v>61</v>
      </c>
      <c r="DH5" s="4" t="s">
        <v>62</v>
      </c>
      <c r="DI5" s="4" t="s">
        <v>63</v>
      </c>
      <c r="DJ5" s="5" t="s">
        <v>84</v>
      </c>
    </row>
    <row r="6" spans="1:114" ht="45" x14ac:dyDescent="0.25">
      <c r="A6" s="22" t="s">
        <v>1</v>
      </c>
      <c r="B6" s="22" t="s">
        <v>91</v>
      </c>
      <c r="C6" s="2" t="s">
        <v>3</v>
      </c>
      <c r="D6" s="2" t="s">
        <v>5</v>
      </c>
      <c r="E6" s="2" t="s">
        <v>7</v>
      </c>
      <c r="F6" s="2" t="s">
        <v>9</v>
      </c>
      <c r="G6" s="2">
        <v>23</v>
      </c>
      <c r="H6" s="2">
        <v>33</v>
      </c>
      <c r="M6" s="2">
        <v>16</v>
      </c>
      <c r="Q6" s="2">
        <v>16</v>
      </c>
      <c r="R6" s="2">
        <v>1</v>
      </c>
      <c r="T6" s="2">
        <v>8.7999999999999995E-2</v>
      </c>
      <c r="U6" s="8">
        <f>12/12</f>
        <v>1</v>
      </c>
      <c r="X6" s="8">
        <f>40/12/5</f>
        <v>0.66666666666666674</v>
      </c>
      <c r="AO6" s="9">
        <f>U6/G6</f>
        <v>4.3478260869565216E-2</v>
      </c>
      <c r="AR6" s="9">
        <f>X6/H6/G6</f>
        <v>8.7834870443566099E-4</v>
      </c>
      <c r="BI6" s="8">
        <f>9.5/12</f>
        <v>0.79166666666666663</v>
      </c>
      <c r="BK6" s="10">
        <f>9.5/12</f>
        <v>0.79166666666666663</v>
      </c>
      <c r="BL6" s="10">
        <f t="shared" ref="BL6:BM9" si="0">40/12</f>
        <v>3.3333333333333335</v>
      </c>
      <c r="BM6" s="10">
        <f t="shared" si="0"/>
        <v>3.3333333333333335</v>
      </c>
      <c r="BN6" s="11">
        <f>BI6/$G6</f>
        <v>3.4420289855072464E-2</v>
      </c>
      <c r="BP6" s="11">
        <f>BK6/$H6/$G6</f>
        <v>1.0430390865173473E-3</v>
      </c>
      <c r="BQ6" s="11">
        <f>BL6/$M6/$H6/$G6</f>
        <v>2.7448397013614406E-4</v>
      </c>
      <c r="BR6" s="12">
        <f>BM6/$Q6/$M6/$H6/$G6</f>
        <v>1.7155248133509004E-5</v>
      </c>
      <c r="BS6" s="8">
        <v>0</v>
      </c>
      <c r="BU6" s="10">
        <v>0</v>
      </c>
      <c r="BV6" s="10">
        <f t="shared" ref="BV6:BW9" si="1">8/12</f>
        <v>0.66666666666666663</v>
      </c>
      <c r="BW6" s="10">
        <f t="shared" si="1"/>
        <v>0.66666666666666663</v>
      </c>
      <c r="BX6" s="11">
        <f>BS6/$G6</f>
        <v>0</v>
      </c>
      <c r="BZ6" s="11">
        <f>BU6/$H6/$G6</f>
        <v>0</v>
      </c>
      <c r="CA6" s="11">
        <f>BV6/$M6/$H6/$G6</f>
        <v>5.4896794027228805E-5</v>
      </c>
      <c r="CB6" s="12">
        <f>BW6/$Q6/$M6/$H6/$G6</f>
        <v>3.4310496267018003E-6</v>
      </c>
      <c r="CC6" s="2">
        <f>AO6+BN6</f>
        <v>7.789855072463768E-2</v>
      </c>
      <c r="CE6" s="2">
        <f>AR6+BP6+BQ6</f>
        <v>2.1958717610891525E-3</v>
      </c>
      <c r="CF6" s="2">
        <f>BR6</f>
        <v>1.7155248133509004E-5</v>
      </c>
      <c r="CT6" s="2">
        <f>AO6 + R6 * BN6 + (1 - R6) * BX6</f>
        <v>7.789855072463768E-2</v>
      </c>
      <c r="CV6" s="2">
        <f>AR6 + R6 * BP6 + (1 - R6) * BZ6 + T6 * BQ6 + (1 - T6) * CA6</f>
        <v>1.9956082564778215E-3</v>
      </c>
      <c r="CW6" s="2">
        <f>T6 * BR6 + (1 - T6) * CB6</f>
        <v>4.6387790953008344E-6</v>
      </c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</row>
    <row r="7" spans="1:114" ht="30" x14ac:dyDescent="0.25">
      <c r="A7" s="22" t="s">
        <v>68</v>
      </c>
      <c r="B7" s="22" t="s">
        <v>92</v>
      </c>
      <c r="C7" s="2" t="s">
        <v>31</v>
      </c>
      <c r="D7" s="2" t="s">
        <v>26</v>
      </c>
      <c r="E7" s="2" t="s">
        <v>27</v>
      </c>
      <c r="F7" s="2" t="s">
        <v>28</v>
      </c>
      <c r="I7" s="2">
        <v>10</v>
      </c>
      <c r="J7" s="2">
        <f>40 * I7</f>
        <v>400</v>
      </c>
      <c r="N7" s="2">
        <v>10</v>
      </c>
      <c r="O7" s="2">
        <v>24</v>
      </c>
      <c r="Q7" s="2">
        <v>16</v>
      </c>
      <c r="S7" s="2">
        <f>46.8/1000</f>
        <v>4.6799999999999994E-2</v>
      </c>
      <c r="T7" s="2">
        <v>8.7999999999999995E-2</v>
      </c>
      <c r="V7" s="8">
        <v>4.333333333333333</v>
      </c>
      <c r="W7" s="8">
        <v>2</v>
      </c>
      <c r="Y7" s="8">
        <v>2</v>
      </c>
      <c r="AP7" s="9">
        <f t="shared" ref="AP7:AQ9" si="2">V7/I7</f>
        <v>0.43333333333333329</v>
      </c>
      <c r="AQ7" s="9">
        <f t="shared" si="2"/>
        <v>5.0000000000000001E-3</v>
      </c>
      <c r="AS7" s="9">
        <f>Y7/N7/J7</f>
        <v>5.0000000000000001E-4</v>
      </c>
      <c r="BJ7" s="8">
        <f t="shared" ref="BJ7:BK9" si="3">16.1/12</f>
        <v>1.3416666666666668</v>
      </c>
      <c r="BK7" s="10">
        <f t="shared" si="3"/>
        <v>1.3416666666666668</v>
      </c>
      <c r="BL7" s="10">
        <f t="shared" si="0"/>
        <v>3.3333333333333335</v>
      </c>
      <c r="BM7" s="10">
        <f t="shared" si="0"/>
        <v>3.3333333333333335</v>
      </c>
      <c r="BO7" s="11">
        <f>BJ7/$J7</f>
        <v>3.3541666666666668E-3</v>
      </c>
      <c r="BP7" s="11">
        <f>BK7/$O7/$J7</f>
        <v>1.3975694444444444E-4</v>
      </c>
      <c r="BQ7" s="11">
        <f>BL7/$N7/$J7</f>
        <v>8.3333333333333339E-4</v>
      </c>
      <c r="BR7" s="11">
        <f>BM7/$Q7/$N7/$J7</f>
        <v>5.2083333333333337E-5</v>
      </c>
      <c r="BT7" s="8">
        <f t="shared" ref="BT7:BU9" si="4">8/12</f>
        <v>0.66666666666666663</v>
      </c>
      <c r="BU7" s="10">
        <f t="shared" si="4"/>
        <v>0.66666666666666663</v>
      </c>
      <c r="BV7" s="10">
        <f t="shared" si="1"/>
        <v>0.66666666666666663</v>
      </c>
      <c r="BW7" s="10">
        <f t="shared" si="1"/>
        <v>0.66666666666666663</v>
      </c>
      <c r="BY7" s="11">
        <f>BT7/$J7</f>
        <v>1.6666666666666666E-3</v>
      </c>
      <c r="BZ7" s="11">
        <f>BU7/$O7/$J7</f>
        <v>6.9444444444444444E-5</v>
      </c>
      <c r="CA7" s="11">
        <f>BV7/$N7/$J7</f>
        <v>1.6666666666666666E-4</v>
      </c>
      <c r="CB7" s="11">
        <f>BW7/$Q7/$N7/$J7</f>
        <v>1.0416666666666666E-5</v>
      </c>
      <c r="CD7" s="2">
        <f>AP7+AQ7+BO7</f>
        <v>0.44168749999999996</v>
      </c>
      <c r="CE7" s="2">
        <f>AS7+BP7+BQ7</f>
        <v>1.4730902777777778E-3</v>
      </c>
      <c r="CF7" s="2">
        <f>BR7</f>
        <v>5.2083333333333337E-5</v>
      </c>
      <c r="CU7" s="2">
        <f>AP7+AQ7+S7*BO7+(1-S7)*BY7</f>
        <v>0.44007897499999998</v>
      </c>
      <c r="CV7" s="2">
        <f>AS7 + S7 * BP7  + (1-S7) * BZ7 + T7 * BQ7 + (1 - T7) * CA7</f>
        <v>7.9806840277777779E-4</v>
      </c>
      <c r="CW7" s="2">
        <f>T7 * BR7 + (1 - T7) * CB7</f>
        <v>1.4083333333333335E-5</v>
      </c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</row>
    <row r="8" spans="1:114" ht="30" x14ac:dyDescent="0.25">
      <c r="A8" s="22" t="s">
        <v>69</v>
      </c>
      <c r="B8" s="22" t="s">
        <v>93</v>
      </c>
      <c r="C8" s="2" t="s">
        <v>46</v>
      </c>
      <c r="D8" s="2" t="s">
        <v>26</v>
      </c>
      <c r="E8" s="2" t="s">
        <v>42</v>
      </c>
      <c r="F8" s="2" t="s">
        <v>42</v>
      </c>
      <c r="I8" s="2">
        <v>1</v>
      </c>
      <c r="J8" s="2">
        <f>ROUNDDOWN(40 / (5.4/12), 0)</f>
        <v>88</v>
      </c>
      <c r="N8" s="2">
        <v>10</v>
      </c>
      <c r="O8" s="2">
        <v>24</v>
      </c>
      <c r="Q8" s="2">
        <v>16</v>
      </c>
      <c r="S8" s="2">
        <f>46.8/1000</f>
        <v>4.6799999999999994E-2</v>
      </c>
      <c r="T8" s="2">
        <v>8.7999999999999995E-2</v>
      </c>
      <c r="V8" s="8">
        <f>5.4/12 * (52/12)</f>
        <v>1.95</v>
      </c>
      <c r="W8" s="8">
        <v>2</v>
      </c>
      <c r="X8" s="8">
        <f>40/12/5</f>
        <v>0.66666666666666674</v>
      </c>
      <c r="Y8" s="8">
        <v>2</v>
      </c>
      <c r="AB8" s="8">
        <v>1</v>
      </c>
      <c r="AC8" s="8">
        <f>1 / (5.4*12)</f>
        <v>1.5432098765432096E-2</v>
      </c>
      <c r="AD8" s="8">
        <f>5.4/12 * (52/12)</f>
        <v>1.95</v>
      </c>
      <c r="AP8" s="9">
        <f t="shared" si="2"/>
        <v>1.95</v>
      </c>
      <c r="AQ8" s="9">
        <f t="shared" si="2"/>
        <v>2.2727272727272728E-2</v>
      </c>
      <c r="AR8" s="9">
        <f>X8/N8/J8</f>
        <v>7.5757575757575768E-4</v>
      </c>
      <c r="AS8" s="9">
        <f>Y8/N8/J8</f>
        <v>2.2727272727272731E-3</v>
      </c>
      <c r="AV8" s="9">
        <f>AB8/J8</f>
        <v>1.1363636363636364E-2</v>
      </c>
      <c r="AW8" s="9">
        <f>AC8/J8</f>
        <v>1.7536475869809199E-4</v>
      </c>
      <c r="AX8" s="9">
        <f>AD8/I8</f>
        <v>1.95</v>
      </c>
      <c r="BJ8" s="8">
        <f t="shared" si="3"/>
        <v>1.3416666666666668</v>
      </c>
      <c r="BK8" s="10">
        <f t="shared" si="3"/>
        <v>1.3416666666666668</v>
      </c>
      <c r="BL8" s="10">
        <f t="shared" si="0"/>
        <v>3.3333333333333335</v>
      </c>
      <c r="BM8" s="10">
        <f t="shared" si="0"/>
        <v>3.3333333333333335</v>
      </c>
      <c r="BO8" s="11">
        <f>BJ8/$J8</f>
        <v>1.5246212121212122E-2</v>
      </c>
      <c r="BP8" s="11">
        <f>BK8/$O8/$J8</f>
        <v>6.3525883838383846E-4</v>
      </c>
      <c r="BQ8" s="11">
        <f>BL8/$N8/$J8</f>
        <v>3.7878787878787884E-3</v>
      </c>
      <c r="BR8" s="11">
        <f>BM8/$Q8/$N8/$J8</f>
        <v>2.3674242424242428E-4</v>
      </c>
      <c r="BT8" s="8">
        <f t="shared" si="4"/>
        <v>0.66666666666666663</v>
      </c>
      <c r="BU8" s="10">
        <f t="shared" si="4"/>
        <v>0.66666666666666663</v>
      </c>
      <c r="BV8" s="10">
        <f t="shared" si="1"/>
        <v>0.66666666666666663</v>
      </c>
      <c r="BW8" s="10">
        <f t="shared" si="1"/>
        <v>0.66666666666666663</v>
      </c>
      <c r="BY8" s="11">
        <f>BT8/$J8</f>
        <v>7.5757575757575751E-3</v>
      </c>
      <c r="BZ8" s="11">
        <f>BU8/$O8/$J8</f>
        <v>3.1565656565656563E-4</v>
      </c>
      <c r="CA8" s="11">
        <f>BV8/$N8/$J8</f>
        <v>7.5757575757575758E-4</v>
      </c>
      <c r="CB8" s="11">
        <f>BW8/$Q8/$N8/$J8</f>
        <v>4.7348484848484848E-5</v>
      </c>
      <c r="CD8" s="2">
        <f>AP8+AQ8+BO8</f>
        <v>1.9879734848484847</v>
      </c>
      <c r="CE8" s="2">
        <f>AS8+BP8+BQ8+AR8</f>
        <v>7.4534406565656582E-3</v>
      </c>
      <c r="CF8" s="2">
        <f>BR8</f>
        <v>2.3674242424242428E-4</v>
      </c>
      <c r="CG8" s="2">
        <f>$AV8</f>
        <v>1.1363636363636364E-2</v>
      </c>
      <c r="CH8" s="2">
        <f>$AW8</f>
        <v>1.7536475869809199E-4</v>
      </c>
      <c r="CI8" s="2">
        <f>$AX8</f>
        <v>1.95</v>
      </c>
      <c r="CU8" s="2">
        <f>AP8+AQ8+S8*BO8+(1-S8)*BY8</f>
        <v>1.9806620075757575</v>
      </c>
      <c r="CV8" s="2">
        <f>AS8 + AR8 + S8 * BP8  + (1-S8) * BZ8 + T8 * BQ8 + (1 - T8) * CA8</f>
        <v>4.3851594065656575E-3</v>
      </c>
      <c r="CW8" s="2">
        <f>T8 * BR8 + (1 - T8) * CB8</f>
        <v>6.4015151515151529E-5</v>
      </c>
      <c r="CX8" s="2">
        <f>$AV8</f>
        <v>1.1363636363636364E-2</v>
      </c>
      <c r="CY8" s="2">
        <f>$AW8</f>
        <v>1.7536475869809199E-4</v>
      </c>
      <c r="CZ8" s="2">
        <f>$AX8</f>
        <v>1.95</v>
      </c>
      <c r="DA8" s="2"/>
      <c r="DB8" s="2"/>
      <c r="DC8" s="2"/>
      <c r="DD8" s="2"/>
      <c r="DE8" s="2"/>
      <c r="DF8" s="2"/>
      <c r="DG8" s="2"/>
      <c r="DH8" s="2"/>
      <c r="DI8" s="2"/>
    </row>
    <row r="9" spans="1:114" ht="30" x14ac:dyDescent="0.25">
      <c r="A9" s="22" t="s">
        <v>73</v>
      </c>
      <c r="B9" s="22" t="s">
        <v>100</v>
      </c>
      <c r="C9" s="2" t="s">
        <v>31</v>
      </c>
      <c r="D9" s="2" t="s">
        <v>26</v>
      </c>
      <c r="E9" s="2" t="s">
        <v>27</v>
      </c>
      <c r="F9" s="2" t="s">
        <v>28</v>
      </c>
      <c r="I9" s="2">
        <v>1</v>
      </c>
      <c r="J9" s="2">
        <f>ROUNDDOWN(40 / (12/12), 0)</f>
        <v>40</v>
      </c>
      <c r="N9" s="2">
        <v>10</v>
      </c>
      <c r="O9" s="2">
        <v>24</v>
      </c>
      <c r="Q9" s="2">
        <v>16</v>
      </c>
      <c r="S9" s="2">
        <f>46.8/1000</f>
        <v>4.6799999999999994E-2</v>
      </c>
      <c r="T9" s="2">
        <v>8.7999999999999995E-2</v>
      </c>
      <c r="V9" s="8">
        <f>12/12 * (52/12)</f>
        <v>4.333333333333333</v>
      </c>
      <c r="W9" s="8">
        <v>2</v>
      </c>
      <c r="Y9" s="8">
        <v>2</v>
      </c>
      <c r="AB9" s="8">
        <v>0</v>
      </c>
      <c r="AC9" s="8">
        <f>1 / (5.4*12)</f>
        <v>1.5432098765432096E-2</v>
      </c>
      <c r="AE9" s="8">
        <f>12/12 * (52/12)</f>
        <v>4.333333333333333</v>
      </c>
      <c r="AP9" s="9">
        <f t="shared" si="2"/>
        <v>4.333333333333333</v>
      </c>
      <c r="AQ9" s="9">
        <f t="shared" si="2"/>
        <v>0.05</v>
      </c>
      <c r="AS9" s="9">
        <f>Y9/N9/J9</f>
        <v>5.0000000000000001E-3</v>
      </c>
      <c r="AV9" s="9">
        <f>AB9/J9</f>
        <v>0</v>
      </c>
      <c r="AW9" s="9">
        <f>AC9/J9</f>
        <v>3.8580246913580239E-4</v>
      </c>
      <c r="AY9" s="9">
        <f>AE9/I9</f>
        <v>4.333333333333333</v>
      </c>
      <c r="BJ9" s="8">
        <f t="shared" si="3"/>
        <v>1.3416666666666668</v>
      </c>
      <c r="BK9" s="10">
        <f t="shared" si="3"/>
        <v>1.3416666666666668</v>
      </c>
      <c r="BL9" s="10">
        <f t="shared" si="0"/>
        <v>3.3333333333333335</v>
      </c>
      <c r="BM9" s="10">
        <f t="shared" si="0"/>
        <v>3.3333333333333335</v>
      </c>
      <c r="BO9" s="11">
        <f>BJ9/$J9</f>
        <v>3.3541666666666671E-2</v>
      </c>
      <c r="BP9" s="11">
        <f>BK9/$O9/$J9</f>
        <v>1.3975694444444446E-3</v>
      </c>
      <c r="BQ9" s="11">
        <f>BL9/$N9/$J9</f>
        <v>8.333333333333335E-3</v>
      </c>
      <c r="BR9" s="11">
        <f>BM9/$Q9/$N9/$J9</f>
        <v>5.2083333333333343E-4</v>
      </c>
      <c r="BT9" s="8">
        <f t="shared" si="4"/>
        <v>0.66666666666666663</v>
      </c>
      <c r="BU9" s="10">
        <f t="shared" si="4"/>
        <v>0.66666666666666663</v>
      </c>
      <c r="BV9" s="10">
        <f t="shared" si="1"/>
        <v>0.66666666666666663</v>
      </c>
      <c r="BW9" s="10">
        <f t="shared" si="1"/>
        <v>0.66666666666666663</v>
      </c>
      <c r="BY9" s="11">
        <f>BT9/$J9</f>
        <v>1.6666666666666666E-2</v>
      </c>
      <c r="BZ9" s="11">
        <f>BU9/$O9/$J9</f>
        <v>6.9444444444444436E-4</v>
      </c>
      <c r="CA9" s="11">
        <f>BV9/$N9/$J9</f>
        <v>1.6666666666666666E-3</v>
      </c>
      <c r="CB9" s="11">
        <f>BW9/$Q9/$N9/$J9</f>
        <v>1.0416666666666666E-4</v>
      </c>
      <c r="CD9" s="2">
        <f>AP9+AQ9+BO9</f>
        <v>4.4168749999999992</v>
      </c>
      <c r="CE9" s="2">
        <f>AS9+BP9+BQ9+AR9</f>
        <v>1.473090277777778E-2</v>
      </c>
      <c r="CF9" s="2">
        <f>BR9</f>
        <v>5.2083333333333343E-4</v>
      </c>
      <c r="CG9" s="2">
        <f>$AV9</f>
        <v>0</v>
      </c>
      <c r="CH9" s="2">
        <f>$AW9</f>
        <v>3.8580246913580239E-4</v>
      </c>
      <c r="CJ9" s="2">
        <f>$AY9</f>
        <v>4.333333333333333</v>
      </c>
      <c r="CU9" s="2">
        <f>AP9+AQ9+S9*BO9+(1-S9)*BY9</f>
        <v>4.4007897499999995</v>
      </c>
      <c r="CV9" s="2">
        <f>AS9 + AR9 + S9 * BP9  + (1-S9) * BZ9 + T9 * BQ9 + (1 - T9) * CA9</f>
        <v>7.9806840277777784E-3</v>
      </c>
      <c r="CW9" s="2">
        <f>T9 * BR9 + (1 - T9) * CB9</f>
        <v>1.4083333333333333E-4</v>
      </c>
      <c r="CX9" s="2">
        <f>$AV9</f>
        <v>0</v>
      </c>
      <c r="CY9" s="2">
        <f>$AW9</f>
        <v>3.8580246913580239E-4</v>
      </c>
      <c r="DA9" s="2">
        <f>$AY9</f>
        <v>4.333333333333333</v>
      </c>
      <c r="DB9" s="2"/>
      <c r="DC9" s="2"/>
      <c r="DD9" s="2"/>
      <c r="DE9" s="2"/>
      <c r="DF9" s="2"/>
      <c r="DG9" s="2"/>
      <c r="DH9" s="2"/>
      <c r="DI9" s="2"/>
    </row>
    <row r="10" spans="1:114" ht="30" x14ac:dyDescent="0.25">
      <c r="A10" s="22" t="s">
        <v>70</v>
      </c>
      <c r="B10" s="22" t="s">
        <v>94</v>
      </c>
      <c r="C10" s="3" t="s">
        <v>48</v>
      </c>
      <c r="D10" s="2" t="s">
        <v>50</v>
      </c>
      <c r="E10" s="2" t="s">
        <v>49</v>
      </c>
      <c r="F10" s="2" t="s">
        <v>49</v>
      </c>
      <c r="I10" s="2">
        <v>1</v>
      </c>
      <c r="L10" s="2">
        <f>ROUNDDOWN(40 / ((21 / 9) * (50/60)), 0)</f>
        <v>20</v>
      </c>
      <c r="P10" s="2">
        <v>10</v>
      </c>
      <c r="Q10" s="2">
        <v>24</v>
      </c>
      <c r="T10" s="2">
        <v>8.7999999999999995E-2</v>
      </c>
      <c r="Y10" s="8">
        <v>2</v>
      </c>
      <c r="Z10" s="8">
        <f>21 / 9 * (50 / 60)</f>
        <v>1.9444444444444446</v>
      </c>
      <c r="AA10" s="8">
        <v>2</v>
      </c>
      <c r="AG10" s="8">
        <f t="shared" ref="AG10:AG12" si="5">365.25/12</f>
        <v>30.4375</v>
      </c>
      <c r="AI10" s="8">
        <f>2/12</f>
        <v>0.16666666666666666</v>
      </c>
      <c r="AL10" s="8">
        <f>2/12</f>
        <v>0.16666666666666666</v>
      </c>
      <c r="AM10" s="8">
        <f t="shared" ref="AM10:AM12" si="6">2/12</f>
        <v>0.16666666666666666</v>
      </c>
      <c r="AS10" s="9">
        <f>Y10/L10</f>
        <v>0.1</v>
      </c>
      <c r="AT10" s="9">
        <f>Z10/I10</f>
        <v>1.9444444444444446</v>
      </c>
      <c r="AU10" s="9">
        <f>AA10/P10/L10</f>
        <v>0.01</v>
      </c>
      <c r="BA10" s="9">
        <f>AG10/$I10</f>
        <v>30.4375</v>
      </c>
      <c r="BC10" s="9">
        <f>AI10/$I10</f>
        <v>0.16666666666666666</v>
      </c>
      <c r="BF10" s="9">
        <f t="shared" ref="BF10:BG12" si="7">AL10/$I10</f>
        <v>0.16666666666666666</v>
      </c>
      <c r="BG10" s="9">
        <f t="shared" si="7"/>
        <v>0.16666666666666666</v>
      </c>
      <c r="BL10" s="10">
        <f t="shared" ref="BL10:BM12" si="8">40/12</f>
        <v>3.3333333333333335</v>
      </c>
      <c r="BM10" s="10">
        <f t="shared" si="8"/>
        <v>3.3333333333333335</v>
      </c>
      <c r="BQ10" s="11">
        <f>BL10/$L10</f>
        <v>0.16666666666666669</v>
      </c>
      <c r="BR10" s="11">
        <f>BM10/$Q10/$L10</f>
        <v>6.9444444444444449E-3</v>
      </c>
      <c r="BV10" s="10">
        <f t="shared" ref="BV10:BW12" si="9">8/12</f>
        <v>0.66666666666666663</v>
      </c>
      <c r="BW10" s="10">
        <f t="shared" si="9"/>
        <v>0.66666666666666663</v>
      </c>
      <c r="CA10" s="11">
        <f>BV10/$L10</f>
        <v>3.3333333333333333E-2</v>
      </c>
      <c r="CB10" s="11">
        <f>BW10/$Q10/$L10</f>
        <v>1.3888888888888887E-3</v>
      </c>
      <c r="CE10" s="2">
        <f>AS10 + AT10 + BQ10</f>
        <v>2.2111111111111112</v>
      </c>
      <c r="CF10" s="2">
        <f>AU10+BR10</f>
        <v>1.6944444444444446E-2</v>
      </c>
      <c r="CK10" s="2">
        <f>AZ10</f>
        <v>0</v>
      </c>
      <c r="CL10" s="2">
        <f t="shared" ref="CL10:CR10" si="10">BA10</f>
        <v>30.4375</v>
      </c>
      <c r="CM10" s="2">
        <f t="shared" si="10"/>
        <v>0</v>
      </c>
      <c r="CN10" s="2">
        <f t="shared" si="10"/>
        <v>0.16666666666666666</v>
      </c>
      <c r="CO10" s="2">
        <f t="shared" si="10"/>
        <v>0</v>
      </c>
      <c r="CP10" s="2">
        <f t="shared" si="10"/>
        <v>0</v>
      </c>
      <c r="CQ10" s="2">
        <f t="shared" si="10"/>
        <v>0.16666666666666666</v>
      </c>
      <c r="CR10" s="2">
        <f t="shared" si="10"/>
        <v>0.16666666666666666</v>
      </c>
      <c r="CV10" s="2">
        <f>AS10+AT10+T10*BQ10+(1-T10)*CA10</f>
        <v>2.0895111111111118</v>
      </c>
      <c r="CW10" s="2">
        <f>AU10+T10*BR10+(1-T10)*CB10</f>
        <v>1.1877777777777777E-2</v>
      </c>
      <c r="DB10" s="3">
        <f>AZ10</f>
        <v>0</v>
      </c>
      <c r="DC10" s="3">
        <f t="shared" ref="DC10:DI10" si="11">BA10</f>
        <v>30.4375</v>
      </c>
      <c r="DD10" s="3">
        <f t="shared" si="11"/>
        <v>0</v>
      </c>
      <c r="DE10" s="3">
        <f t="shared" si="11"/>
        <v>0.16666666666666666</v>
      </c>
      <c r="DF10" s="3">
        <f t="shared" si="11"/>
        <v>0</v>
      </c>
      <c r="DG10" s="3">
        <f t="shared" si="11"/>
        <v>0</v>
      </c>
      <c r="DH10" s="3">
        <f t="shared" si="11"/>
        <v>0.16666666666666666</v>
      </c>
      <c r="DI10" s="3">
        <f t="shared" si="11"/>
        <v>0.16666666666666666</v>
      </c>
    </row>
    <row r="11" spans="1:114" ht="30" x14ac:dyDescent="0.25">
      <c r="A11" s="22" t="s">
        <v>71</v>
      </c>
      <c r="B11" s="22" t="s">
        <v>95</v>
      </c>
      <c r="C11" s="3" t="s">
        <v>48</v>
      </c>
      <c r="D11" s="2" t="s">
        <v>50</v>
      </c>
      <c r="E11" s="2" t="s">
        <v>49</v>
      </c>
      <c r="F11" s="2" t="s">
        <v>49</v>
      </c>
      <c r="I11" s="2">
        <v>1</v>
      </c>
      <c r="L11" s="2">
        <f>ROUNDDOWN(40 / ((21 / 9) * (50/60)), 0)</f>
        <v>20</v>
      </c>
      <c r="P11" s="2">
        <v>10</v>
      </c>
      <c r="Q11" s="2">
        <v>24</v>
      </c>
      <c r="T11" s="2">
        <v>8.7999999999999995E-2</v>
      </c>
      <c r="Y11" s="8">
        <v>2</v>
      </c>
      <c r="Z11" s="8">
        <f t="shared" ref="Z11:Z12" si="12">21 / 9 * (50 / 60)</f>
        <v>1.9444444444444446</v>
      </c>
      <c r="AA11" s="8">
        <v>2</v>
      </c>
      <c r="AF11" s="8">
        <f>365.25/12</f>
        <v>30.4375</v>
      </c>
      <c r="AG11" s="8">
        <f t="shared" si="5"/>
        <v>30.4375</v>
      </c>
      <c r="AI11" s="8">
        <f t="shared" ref="AI11:AI12" si="13">2/12</f>
        <v>0.16666666666666666</v>
      </c>
      <c r="AJ11" s="8">
        <v>1</v>
      </c>
      <c r="AK11" s="8">
        <f>2/12</f>
        <v>0.16666666666666666</v>
      </c>
      <c r="AL11" s="8">
        <f t="shared" ref="AL11:AL12" si="14">2/12</f>
        <v>0.16666666666666666</v>
      </c>
      <c r="AM11" s="8">
        <f t="shared" si="6"/>
        <v>0.16666666666666666</v>
      </c>
      <c r="AS11" s="9">
        <f>Y11/L11</f>
        <v>0.1</v>
      </c>
      <c r="AT11" s="9">
        <f>Z11/I11</f>
        <v>1.9444444444444446</v>
      </c>
      <c r="AU11" s="9">
        <f>AA11/P11/L11</f>
        <v>0.01</v>
      </c>
      <c r="AZ11" s="9">
        <f>AF11/$I11</f>
        <v>30.4375</v>
      </c>
      <c r="BA11" s="9">
        <f>AG11/$I11</f>
        <v>30.4375</v>
      </c>
      <c r="BC11" s="9">
        <f>AI11/$I11</f>
        <v>0.16666666666666666</v>
      </c>
      <c r="BD11" s="9">
        <f>AJ11/$I11</f>
        <v>1</v>
      </c>
      <c r="BE11" s="9">
        <f>AK11/$I11</f>
        <v>0.16666666666666666</v>
      </c>
      <c r="BF11" s="9">
        <f t="shared" si="7"/>
        <v>0.16666666666666666</v>
      </c>
      <c r="BG11" s="9">
        <f t="shared" si="7"/>
        <v>0.16666666666666666</v>
      </c>
      <c r="BL11" s="10">
        <f t="shared" si="8"/>
        <v>3.3333333333333335</v>
      </c>
      <c r="BM11" s="10">
        <f t="shared" si="8"/>
        <v>3.3333333333333335</v>
      </c>
      <c r="BQ11" s="11">
        <f t="shared" ref="BQ11:BQ12" si="15">BL11/$L11</f>
        <v>0.16666666666666669</v>
      </c>
      <c r="BR11" s="11">
        <f t="shared" ref="BR11:BR12" si="16">BM11/$Q11/$L11</f>
        <v>6.9444444444444449E-3</v>
      </c>
      <c r="BV11" s="10">
        <f t="shared" si="9"/>
        <v>0.66666666666666663</v>
      </c>
      <c r="BW11" s="10">
        <f t="shared" si="9"/>
        <v>0.66666666666666663</v>
      </c>
      <c r="CA11" s="11">
        <f t="shared" ref="CA11:CA12" si="17">BV11/$L11</f>
        <v>3.3333333333333333E-2</v>
      </c>
      <c r="CB11" s="11">
        <f t="shared" ref="CB11:CB12" si="18">BW11/$Q11/$L11</f>
        <v>1.3888888888888887E-3</v>
      </c>
      <c r="CE11" s="2">
        <f>AS11 + AT11 + BQ11</f>
        <v>2.2111111111111112</v>
      </c>
      <c r="CF11" s="2">
        <f>AU11+BR11</f>
        <v>1.6944444444444446E-2</v>
      </c>
      <c r="CK11" s="2">
        <f t="shared" ref="CK11:CK12" si="19">AZ11</f>
        <v>30.4375</v>
      </c>
      <c r="CL11" s="2">
        <f t="shared" ref="CL11:CL12" si="20">BA11</f>
        <v>30.4375</v>
      </c>
      <c r="CM11" s="2">
        <f t="shared" ref="CM11:CM12" si="21">BB11</f>
        <v>0</v>
      </c>
      <c r="CN11" s="2">
        <f t="shared" ref="CN11:CN12" si="22">BC11</f>
        <v>0.16666666666666666</v>
      </c>
      <c r="CO11" s="2">
        <f t="shared" ref="CO11:CO12" si="23">BD11</f>
        <v>1</v>
      </c>
      <c r="CP11" s="2">
        <f t="shared" ref="CP11:CP12" si="24">BE11</f>
        <v>0.16666666666666666</v>
      </c>
      <c r="CQ11" s="2">
        <f t="shared" ref="CQ11:CQ12" si="25">BF11</f>
        <v>0.16666666666666666</v>
      </c>
      <c r="CR11" s="2">
        <f t="shared" ref="CR11:CR12" si="26">BG11</f>
        <v>0.16666666666666666</v>
      </c>
      <c r="CV11" s="2">
        <f>AS11+AT11+T11*BQ11+(1-T11)*CA11</f>
        <v>2.0895111111111118</v>
      </c>
      <c r="CW11" s="2">
        <f>AU11+T11*BR11+(1-T11)*CB11</f>
        <v>1.1877777777777777E-2</v>
      </c>
      <c r="DB11" s="3">
        <f t="shared" ref="DB11:DB12" si="27">AZ11</f>
        <v>30.4375</v>
      </c>
      <c r="DC11" s="3">
        <f t="shared" ref="DC11:DC12" si="28">BA11</f>
        <v>30.4375</v>
      </c>
      <c r="DD11" s="3">
        <f t="shared" ref="DD11:DD12" si="29">BB11</f>
        <v>0</v>
      </c>
      <c r="DE11" s="3">
        <f t="shared" ref="DE11:DE12" si="30">BC11</f>
        <v>0.16666666666666666</v>
      </c>
      <c r="DF11" s="3">
        <f t="shared" ref="DF11:DF12" si="31">BD11</f>
        <v>1</v>
      </c>
      <c r="DG11" s="3">
        <f t="shared" ref="DG11:DG12" si="32">BE11</f>
        <v>0.16666666666666666</v>
      </c>
      <c r="DH11" s="3">
        <f t="shared" ref="DH11:DH12" si="33">BF11</f>
        <v>0.16666666666666666</v>
      </c>
      <c r="DI11" s="3">
        <f t="shared" ref="DI11:DI12" si="34">BG11</f>
        <v>0.16666666666666666</v>
      </c>
    </row>
    <row r="12" spans="1:114" ht="30" x14ac:dyDescent="0.25">
      <c r="A12" s="22" t="s">
        <v>72</v>
      </c>
      <c r="B12" s="22" t="s">
        <v>96</v>
      </c>
      <c r="C12" s="3" t="s">
        <v>48</v>
      </c>
      <c r="D12" s="2" t="s">
        <v>50</v>
      </c>
      <c r="E12" s="2" t="s">
        <v>49</v>
      </c>
      <c r="F12" s="2" t="s">
        <v>49</v>
      </c>
      <c r="I12" s="2">
        <v>1</v>
      </c>
      <c r="L12" s="2">
        <f>ROUNDDOWN(40 / ((21 / 9) * (50/60)), 0)</f>
        <v>20</v>
      </c>
      <c r="P12" s="2">
        <v>10</v>
      </c>
      <c r="Q12" s="2">
        <v>24</v>
      </c>
      <c r="T12" s="2">
        <v>8.7999999999999995E-2</v>
      </c>
      <c r="Y12" s="8">
        <v>2</v>
      </c>
      <c r="Z12" s="8">
        <f t="shared" si="12"/>
        <v>1.9444444444444446</v>
      </c>
      <c r="AA12" s="8">
        <v>2</v>
      </c>
      <c r="AG12" s="8">
        <f t="shared" si="5"/>
        <v>30.4375</v>
      </c>
      <c r="AH12" s="8">
        <f>365.25/12</f>
        <v>30.4375</v>
      </c>
      <c r="AI12" s="8">
        <f t="shared" si="13"/>
        <v>0.16666666666666666</v>
      </c>
      <c r="AL12" s="8">
        <f t="shared" si="14"/>
        <v>0.16666666666666666</v>
      </c>
      <c r="AM12" s="8">
        <f t="shared" si="6"/>
        <v>0.16666666666666666</v>
      </c>
      <c r="AS12" s="9">
        <f>Y12/L12</f>
        <v>0.1</v>
      </c>
      <c r="AT12" s="9">
        <f>Z12/I12</f>
        <v>1.9444444444444446</v>
      </c>
      <c r="AU12" s="9">
        <f>AA12/P12/L12</f>
        <v>0.01</v>
      </c>
      <c r="BA12" s="9">
        <f>AG12/$I12</f>
        <v>30.4375</v>
      </c>
      <c r="BB12" s="9">
        <f>AH12/$I12</f>
        <v>30.4375</v>
      </c>
      <c r="BC12" s="9">
        <f>AI12/$I12</f>
        <v>0.16666666666666666</v>
      </c>
      <c r="BF12" s="9">
        <f t="shared" si="7"/>
        <v>0.16666666666666666</v>
      </c>
      <c r="BG12" s="9">
        <f t="shared" si="7"/>
        <v>0.16666666666666666</v>
      </c>
      <c r="BL12" s="10">
        <f t="shared" si="8"/>
        <v>3.3333333333333335</v>
      </c>
      <c r="BM12" s="10">
        <f t="shared" si="8"/>
        <v>3.3333333333333335</v>
      </c>
      <c r="BQ12" s="11">
        <f t="shared" si="15"/>
        <v>0.16666666666666669</v>
      </c>
      <c r="BR12" s="11">
        <f t="shared" si="16"/>
        <v>6.9444444444444449E-3</v>
      </c>
      <c r="BV12" s="10">
        <f t="shared" si="9"/>
        <v>0.66666666666666663</v>
      </c>
      <c r="BW12" s="10">
        <f t="shared" si="9"/>
        <v>0.66666666666666663</v>
      </c>
      <c r="CA12" s="11">
        <f t="shared" si="17"/>
        <v>3.3333333333333333E-2</v>
      </c>
      <c r="CB12" s="11">
        <f t="shared" si="18"/>
        <v>1.3888888888888887E-3</v>
      </c>
      <c r="CE12" s="2">
        <f>AS12 + AT12 + BQ12</f>
        <v>2.2111111111111112</v>
      </c>
      <c r="CF12" s="2">
        <f>AU12+BR12</f>
        <v>1.6944444444444446E-2</v>
      </c>
      <c r="CK12" s="2">
        <f t="shared" si="19"/>
        <v>0</v>
      </c>
      <c r="CL12" s="2">
        <f t="shared" si="20"/>
        <v>30.4375</v>
      </c>
      <c r="CM12" s="2">
        <f t="shared" si="21"/>
        <v>30.4375</v>
      </c>
      <c r="CN12" s="2">
        <f t="shared" si="22"/>
        <v>0.16666666666666666</v>
      </c>
      <c r="CO12" s="2">
        <f t="shared" si="23"/>
        <v>0</v>
      </c>
      <c r="CP12" s="2">
        <f t="shared" si="24"/>
        <v>0</v>
      </c>
      <c r="CQ12" s="2">
        <f t="shared" si="25"/>
        <v>0.16666666666666666</v>
      </c>
      <c r="CR12" s="2">
        <f t="shared" si="26"/>
        <v>0.16666666666666666</v>
      </c>
      <c r="CV12" s="2">
        <f>AS12+AT12+T12*BQ12+(1-T12)*CA12</f>
        <v>2.0895111111111118</v>
      </c>
      <c r="CW12" s="2">
        <f>AU12+T12*BR12+(1-T12)*CB12</f>
        <v>1.1877777777777777E-2</v>
      </c>
      <c r="DB12" s="3">
        <f t="shared" si="27"/>
        <v>0</v>
      </c>
      <c r="DC12" s="3">
        <f t="shared" si="28"/>
        <v>30.4375</v>
      </c>
      <c r="DD12" s="3">
        <f t="shared" si="29"/>
        <v>30.4375</v>
      </c>
      <c r="DE12" s="3">
        <f t="shared" si="30"/>
        <v>0.16666666666666666</v>
      </c>
      <c r="DF12" s="3">
        <f t="shared" si="31"/>
        <v>0</v>
      </c>
      <c r="DG12" s="3">
        <f t="shared" si="32"/>
        <v>0</v>
      </c>
      <c r="DH12" s="3">
        <f t="shared" si="33"/>
        <v>0.16666666666666666</v>
      </c>
      <c r="DI12" s="3">
        <f t="shared" si="34"/>
        <v>0.16666666666666666</v>
      </c>
    </row>
    <row r="13" spans="1:114" ht="30" x14ac:dyDescent="0.25">
      <c r="A13" s="22" t="s">
        <v>64</v>
      </c>
      <c r="B13" s="22" t="s">
        <v>97</v>
      </c>
      <c r="C13" s="2" t="s">
        <v>65</v>
      </c>
      <c r="D13" s="2" t="s">
        <v>66</v>
      </c>
      <c r="E13" s="2" t="s">
        <v>9</v>
      </c>
      <c r="F13" s="2" t="s">
        <v>9</v>
      </c>
      <c r="G13" s="2">
        <v>23</v>
      </c>
      <c r="H13" s="2">
        <v>33</v>
      </c>
      <c r="M13" s="2">
        <f>ROUNDDOWN(40 * (52/12), 0)</f>
        <v>173</v>
      </c>
      <c r="R13" s="2">
        <v>1</v>
      </c>
      <c r="T13" s="2">
        <v>8.7999999999999995E-2</v>
      </c>
      <c r="U13" s="8">
        <f>1/12</f>
        <v>8.3333333333333329E-2</v>
      </c>
      <c r="AO13" s="9">
        <f>U13/G13</f>
        <v>3.6231884057971011E-3</v>
      </c>
      <c r="BI13" s="8">
        <f>1/12</f>
        <v>8.3333333333333329E-2</v>
      </c>
      <c r="BK13" s="10">
        <f>1/12</f>
        <v>8.3333333333333329E-2</v>
      </c>
      <c r="BN13" s="11">
        <f>BI13/G13</f>
        <v>3.6231884057971011E-3</v>
      </c>
      <c r="BP13" s="11">
        <f>BK13/M13/H13/G13</f>
        <v>6.3464501765582443E-7</v>
      </c>
      <c r="BS13" s="8">
        <v>0</v>
      </c>
      <c r="BU13" s="10">
        <v>0</v>
      </c>
      <c r="BX13" s="11">
        <v>0</v>
      </c>
      <c r="BZ13" s="11">
        <f>BU13/M13/H13/G13</f>
        <v>0</v>
      </c>
      <c r="CC13" s="2">
        <f>AO13+BN13</f>
        <v>7.2463768115942021E-3</v>
      </c>
      <c r="CE13" s="2">
        <f>AR13+BP13</f>
        <v>6.3464501765582443E-7</v>
      </c>
      <c r="CT13" s="2">
        <f>AO13+BN13</f>
        <v>7.2463768115942021E-3</v>
      </c>
      <c r="CU13" s="2">
        <f>AO13 + T13 * BP13 + (1 - T13) *BZ13</f>
        <v>3.6232442545586548E-3</v>
      </c>
    </row>
    <row r="14" spans="1:114" ht="30" x14ac:dyDescent="0.25">
      <c r="A14" s="2" t="s">
        <v>74</v>
      </c>
      <c r="B14" s="2" t="s">
        <v>98</v>
      </c>
      <c r="C14" s="2" t="s">
        <v>65</v>
      </c>
      <c r="D14" s="2" t="s">
        <v>66</v>
      </c>
      <c r="E14" s="2" t="s">
        <v>9</v>
      </c>
      <c r="F14" s="2" t="s">
        <v>9</v>
      </c>
      <c r="I14" s="2">
        <v>10</v>
      </c>
      <c r="J14" s="2">
        <f>40 * I14</f>
        <v>400</v>
      </c>
      <c r="N14" s="2">
        <v>10</v>
      </c>
      <c r="O14" s="2">
        <v>24</v>
      </c>
      <c r="Q14" s="2">
        <v>16</v>
      </c>
      <c r="T14" s="2">
        <v>8.7999999999999995E-2</v>
      </c>
      <c r="V14" s="8">
        <f>12/12 * (52/12)</f>
        <v>4.333333333333333</v>
      </c>
      <c r="W14" s="8">
        <v>2</v>
      </c>
      <c r="X14" s="8">
        <f>40/12/5</f>
        <v>0.66666666666666674</v>
      </c>
      <c r="Y14" s="8">
        <v>2</v>
      </c>
      <c r="Z14" s="8">
        <f>(0.5 + 1) / 12</f>
        <v>0.125</v>
      </c>
      <c r="AP14" s="9">
        <f t="shared" ref="AP14:AQ16" si="35">V14/I14</f>
        <v>0.43333333333333329</v>
      </c>
      <c r="AQ14" s="9">
        <f t="shared" si="35"/>
        <v>5.0000000000000001E-3</v>
      </c>
      <c r="AR14" s="9">
        <f>X14/N14/J14</f>
        <v>1.6666666666666669E-4</v>
      </c>
      <c r="AS14" s="9">
        <f>Y14/N14/J14</f>
        <v>5.0000000000000001E-4</v>
      </c>
      <c r="AT14" s="9">
        <f>Z14</f>
        <v>0.125</v>
      </c>
      <c r="BJ14" s="8">
        <f t="shared" ref="BJ14:BK16" si="36">16.1/12</f>
        <v>1.3416666666666668</v>
      </c>
      <c r="BK14" s="10">
        <f t="shared" si="36"/>
        <v>1.3416666666666668</v>
      </c>
      <c r="BL14" s="10">
        <f t="shared" ref="BL14:BM16" si="37">40/12</f>
        <v>3.3333333333333335</v>
      </c>
      <c r="BM14" s="10">
        <f t="shared" si="37"/>
        <v>3.3333333333333335</v>
      </c>
      <c r="BO14" s="11">
        <f>BJ14/$J14</f>
        <v>3.3541666666666668E-3</v>
      </c>
      <c r="BP14" s="11">
        <f>BK14/$O14/$J14</f>
        <v>1.3975694444444444E-4</v>
      </c>
      <c r="BQ14" s="11">
        <f>BL14/$O14/$J14</f>
        <v>3.4722222222222224E-4</v>
      </c>
      <c r="BR14" s="11">
        <f>BM14/$Q14/$O14/$J14</f>
        <v>2.170138888888889E-5</v>
      </c>
      <c r="BT14" s="8">
        <f t="shared" ref="BT14:BW16" si="38">8/12</f>
        <v>0.66666666666666663</v>
      </c>
      <c r="BU14" s="10">
        <f t="shared" si="38"/>
        <v>0.66666666666666663</v>
      </c>
      <c r="BV14" s="10">
        <f t="shared" si="38"/>
        <v>0.66666666666666663</v>
      </c>
      <c r="BW14" s="10">
        <f t="shared" si="38"/>
        <v>0.66666666666666663</v>
      </c>
      <c r="BY14" s="11">
        <f>BT14/$J14</f>
        <v>1.6666666666666666E-3</v>
      </c>
      <c r="BZ14" s="11">
        <f>BU14/$O14/$J14</f>
        <v>6.9444444444444444E-5</v>
      </c>
      <c r="CA14" s="11">
        <f>BV14/$O14/$J14</f>
        <v>6.9444444444444444E-5</v>
      </c>
      <c r="CB14" s="11">
        <f>BW14/$Q14/$O14/$J14</f>
        <v>4.3402777777777778E-6</v>
      </c>
      <c r="CD14" s="2">
        <f>AP14+AQ14+BO14</f>
        <v>0.44168749999999996</v>
      </c>
      <c r="CE14" s="2">
        <f>AR14+AS14+AT14+BP14+BQ14</f>
        <v>0.12615364583333336</v>
      </c>
      <c r="CF14" s="2">
        <f>BR14</f>
        <v>2.170138888888889E-5</v>
      </c>
      <c r="CU14" s="2">
        <f>AP14+AQ14+S14*BO14+(1-S14)*BY14</f>
        <v>0.43999999999999995</v>
      </c>
      <c r="CV14" s="2">
        <f>AS14 + S14 * BP14  + (1-S14) * BZ14 + T14 * BQ14 + (1 - T14) * CA14</f>
        <v>6.6333333333333337E-4</v>
      </c>
      <c r="CW14" s="2">
        <f>T14 * BR14 + (1 - T14) * CB14</f>
        <v>5.8680555555555549E-6</v>
      </c>
    </row>
    <row r="15" spans="1:114" ht="45" x14ac:dyDescent="0.25">
      <c r="A15" s="2" t="s">
        <v>75</v>
      </c>
      <c r="B15" s="2" t="s">
        <v>99</v>
      </c>
      <c r="C15" s="2" t="s">
        <v>31</v>
      </c>
      <c r="D15" s="2" t="s">
        <v>26</v>
      </c>
      <c r="E15" s="2" t="s">
        <v>27</v>
      </c>
      <c r="F15" s="2" t="s">
        <v>28</v>
      </c>
      <c r="I15" s="2">
        <v>1</v>
      </c>
      <c r="J15" s="2">
        <f>ROUNDDOWN(40 / (12/12), 0)</f>
        <v>40</v>
      </c>
      <c r="N15" s="2">
        <v>10</v>
      </c>
      <c r="O15" s="2">
        <v>24</v>
      </c>
      <c r="Q15" s="2">
        <v>16</v>
      </c>
      <c r="S15" s="2">
        <f>46.8/1000</f>
        <v>4.6799999999999994E-2</v>
      </c>
      <c r="T15" s="2">
        <v>8.7999999999999995E-2</v>
      </c>
      <c r="V15" s="8">
        <f>12/12 * (52/12)</f>
        <v>4.333333333333333</v>
      </c>
      <c r="W15" s="8">
        <v>2</v>
      </c>
      <c r="Y15" s="8">
        <v>2</v>
      </c>
      <c r="AB15" s="8">
        <v>0</v>
      </c>
      <c r="AC15" s="8">
        <f>1 / (5.4*12)</f>
        <v>1.5432098765432096E-2</v>
      </c>
      <c r="AE15" s="8">
        <f>12/12 * (52/12)</f>
        <v>4.333333333333333</v>
      </c>
      <c r="AP15" s="9">
        <f t="shared" si="35"/>
        <v>4.333333333333333</v>
      </c>
      <c r="AQ15" s="9">
        <f t="shared" si="35"/>
        <v>0.05</v>
      </c>
      <c r="AS15" s="9">
        <f>Y15/N15/J15</f>
        <v>5.0000000000000001E-3</v>
      </c>
      <c r="AV15" s="9">
        <f>AB15/J15</f>
        <v>0</v>
      </c>
      <c r="AW15" s="9">
        <f>AC15/J15</f>
        <v>3.8580246913580239E-4</v>
      </c>
      <c r="AY15" s="9">
        <f>AE15/I15</f>
        <v>4.333333333333333</v>
      </c>
      <c r="BJ15" s="8">
        <f t="shared" si="36"/>
        <v>1.3416666666666668</v>
      </c>
      <c r="BK15" s="10">
        <f t="shared" si="36"/>
        <v>1.3416666666666668</v>
      </c>
      <c r="BL15" s="10">
        <f t="shared" si="37"/>
        <v>3.3333333333333335</v>
      </c>
      <c r="BM15" s="10">
        <f t="shared" si="37"/>
        <v>3.3333333333333335</v>
      </c>
      <c r="BO15" s="11">
        <f>BJ15/$J15</f>
        <v>3.3541666666666671E-2</v>
      </c>
      <c r="BP15" s="11">
        <f>BK15/$O15/$J15</f>
        <v>1.3975694444444446E-3</v>
      </c>
      <c r="BQ15" s="11">
        <f>BL15/$N15/$J15</f>
        <v>8.333333333333335E-3</v>
      </c>
      <c r="BR15" s="11">
        <f>BM15/$Q15/$N15/$J15</f>
        <v>5.2083333333333343E-4</v>
      </c>
      <c r="BT15" s="8">
        <f t="shared" si="38"/>
        <v>0.66666666666666663</v>
      </c>
      <c r="BU15" s="10">
        <f t="shared" si="38"/>
        <v>0.66666666666666663</v>
      </c>
      <c r="BV15" s="10">
        <f t="shared" si="38"/>
        <v>0.66666666666666663</v>
      </c>
      <c r="BW15" s="10">
        <f t="shared" si="38"/>
        <v>0.66666666666666663</v>
      </c>
      <c r="BY15" s="11">
        <f>BT15/$J15</f>
        <v>1.6666666666666666E-2</v>
      </c>
      <c r="BZ15" s="11">
        <f>BU15/$O15/$J15</f>
        <v>6.9444444444444436E-4</v>
      </c>
      <c r="CA15" s="11">
        <f>BV15/$N15/$J15</f>
        <v>1.6666666666666666E-3</v>
      </c>
      <c r="CB15" s="11">
        <f>BW15/$Q15/$N15/$J15</f>
        <v>1.0416666666666666E-4</v>
      </c>
      <c r="CD15" s="2">
        <f>AP15+AQ15+BO15</f>
        <v>4.4168749999999992</v>
      </c>
      <c r="CE15" s="2">
        <f>AS15+BP15+BQ15+AR15</f>
        <v>1.473090277777778E-2</v>
      </c>
      <c r="CF15" s="2">
        <f>BR15</f>
        <v>5.2083333333333343E-4</v>
      </c>
      <c r="CG15" s="2">
        <f>$AV15</f>
        <v>0</v>
      </c>
      <c r="CH15" s="2">
        <f>$AW15</f>
        <v>3.8580246913580239E-4</v>
      </c>
      <c r="CJ15" s="2">
        <f>$AY15</f>
        <v>4.333333333333333</v>
      </c>
      <c r="CU15" s="2">
        <f>AP15+AQ15+S15*BO15+(1-S15)*BY15</f>
        <v>4.4007897499999995</v>
      </c>
      <c r="CV15" s="2">
        <f>AS15 + AR15 + S15 * BP15  + (1-S15) * BZ15 + T15 * BQ15 + (1 - T15) * CA15</f>
        <v>7.9806840277777784E-3</v>
      </c>
      <c r="CW15" s="2">
        <f>T15 * BR15 + (1 - T15) * CB15</f>
        <v>1.4083333333333333E-4</v>
      </c>
      <c r="CX15" s="2">
        <f>$AV15</f>
        <v>0</v>
      </c>
      <c r="CY15" s="2">
        <f>$AW15</f>
        <v>3.8580246913580239E-4</v>
      </c>
      <c r="DA15" s="2">
        <f>$AY15</f>
        <v>4.333333333333333</v>
      </c>
      <c r="DB15" s="2"/>
      <c r="DC15" s="2"/>
      <c r="DD15" s="2"/>
      <c r="DE15" s="2"/>
      <c r="DF15" s="2"/>
      <c r="DG15" s="2"/>
      <c r="DH15" s="2"/>
      <c r="DI15" s="2"/>
    </row>
    <row r="16" spans="1:114" ht="30" x14ac:dyDescent="0.25">
      <c r="A16" s="2" t="s">
        <v>76</v>
      </c>
      <c r="B16" s="2" t="s">
        <v>101</v>
      </c>
      <c r="C16" s="2" t="s">
        <v>46</v>
      </c>
      <c r="D16" s="2" t="s">
        <v>26</v>
      </c>
      <c r="E16" s="2" t="s">
        <v>42</v>
      </c>
      <c r="F16" s="2" t="s">
        <v>42</v>
      </c>
      <c r="I16" s="2">
        <v>1</v>
      </c>
      <c r="J16" s="2">
        <f>ROUNDDOWN(40 / (5.4/12), 0)</f>
        <v>88</v>
      </c>
      <c r="N16" s="2">
        <v>10</v>
      </c>
      <c r="O16" s="2">
        <v>24</v>
      </c>
      <c r="Q16" s="2">
        <v>16</v>
      </c>
      <c r="S16" s="2">
        <f>46.8/1000</f>
        <v>4.6799999999999994E-2</v>
      </c>
      <c r="T16" s="2">
        <v>8.7999999999999995E-2</v>
      </c>
      <c r="V16" s="8">
        <f>5.4/12 * (52/12)</f>
        <v>1.95</v>
      </c>
      <c r="W16" s="8">
        <v>2</v>
      </c>
      <c r="X16" s="8">
        <f>40/12/5</f>
        <v>0.66666666666666674</v>
      </c>
      <c r="Y16" s="8">
        <v>2</v>
      </c>
      <c r="AB16" s="8">
        <v>1</v>
      </c>
      <c r="AC16" s="8">
        <f>1 / (5.4*12)</f>
        <v>1.5432098765432096E-2</v>
      </c>
      <c r="AD16" s="8">
        <f>5.4/12 * (52/12)</f>
        <v>1.95</v>
      </c>
      <c r="AP16" s="9">
        <f t="shared" si="35"/>
        <v>1.95</v>
      </c>
      <c r="AQ16" s="9">
        <f t="shared" si="35"/>
        <v>2.2727272727272728E-2</v>
      </c>
      <c r="AR16" s="9">
        <f>X16/N16/J16</f>
        <v>7.5757575757575768E-4</v>
      </c>
      <c r="AS16" s="9">
        <f>Y16/N16/J16</f>
        <v>2.2727272727272731E-3</v>
      </c>
      <c r="AV16" s="9">
        <f>AB16/J16</f>
        <v>1.1363636363636364E-2</v>
      </c>
      <c r="AW16" s="9">
        <f>AC16/J16</f>
        <v>1.7536475869809199E-4</v>
      </c>
      <c r="AX16" s="9">
        <f>AD16/I16</f>
        <v>1.95</v>
      </c>
      <c r="BJ16" s="8">
        <f t="shared" si="36"/>
        <v>1.3416666666666668</v>
      </c>
      <c r="BK16" s="10">
        <f t="shared" si="36"/>
        <v>1.3416666666666668</v>
      </c>
      <c r="BL16" s="10">
        <f t="shared" si="37"/>
        <v>3.3333333333333335</v>
      </c>
      <c r="BM16" s="10">
        <f t="shared" si="37"/>
        <v>3.3333333333333335</v>
      </c>
      <c r="BO16" s="11">
        <f>BJ16/$J16</f>
        <v>1.5246212121212122E-2</v>
      </c>
      <c r="BP16" s="11">
        <f>BK16/$O16/$J16</f>
        <v>6.3525883838383846E-4</v>
      </c>
      <c r="BQ16" s="11">
        <f>BL16/$N16/$J16</f>
        <v>3.7878787878787884E-3</v>
      </c>
      <c r="BR16" s="11">
        <f>BM16/$Q16/$N16/$J16</f>
        <v>2.3674242424242428E-4</v>
      </c>
      <c r="BT16" s="8">
        <f t="shared" si="38"/>
        <v>0.66666666666666663</v>
      </c>
      <c r="BU16" s="10">
        <f t="shared" si="38"/>
        <v>0.66666666666666663</v>
      </c>
      <c r="BV16" s="10">
        <f t="shared" si="38"/>
        <v>0.66666666666666663</v>
      </c>
      <c r="BW16" s="10">
        <f t="shared" si="38"/>
        <v>0.66666666666666663</v>
      </c>
      <c r="BY16" s="11">
        <f>BT16/$J16</f>
        <v>7.5757575757575751E-3</v>
      </c>
      <c r="BZ16" s="11">
        <f>BU16/$O16/$J16</f>
        <v>3.1565656565656563E-4</v>
      </c>
      <c r="CA16" s="11">
        <f>BV16/$N16/$J16</f>
        <v>7.5757575757575758E-4</v>
      </c>
      <c r="CB16" s="11">
        <f>BW16/$Q16/$N16/$J16</f>
        <v>4.7348484848484848E-5</v>
      </c>
      <c r="CD16" s="2">
        <f>AP16+AQ16+BO16</f>
        <v>1.9879734848484847</v>
      </c>
      <c r="CE16" s="2">
        <f>AS16+BP16+BQ16+AR16</f>
        <v>7.4534406565656582E-3</v>
      </c>
      <c r="CF16" s="2">
        <f>BR16</f>
        <v>2.3674242424242428E-4</v>
      </c>
      <c r="CG16" s="2">
        <f>$AV16</f>
        <v>1.1363636363636364E-2</v>
      </c>
      <c r="CH16" s="2">
        <f>$AW16</f>
        <v>1.7536475869809199E-4</v>
      </c>
      <c r="CI16" s="2">
        <f>$AX16</f>
        <v>1.95</v>
      </c>
      <c r="CU16" s="2">
        <f>AP16+AQ16+S16*BO16+(1-S16)*BY16</f>
        <v>1.9806620075757575</v>
      </c>
      <c r="CV16" s="2">
        <f>AS16 + AR16 + S16 * BP16  + (1-S16) * BZ16 + T16 * BQ16 + (1 - T16) * CA16</f>
        <v>4.3851594065656575E-3</v>
      </c>
      <c r="CW16" s="2">
        <f>T16 * BR16 + (1 - T16) * CB16</f>
        <v>6.4015151515151529E-5</v>
      </c>
      <c r="CX16" s="2">
        <f>$AV16</f>
        <v>1.1363636363636364E-2</v>
      </c>
      <c r="CY16" s="2">
        <f>$AW16</f>
        <v>1.7536475869809199E-4</v>
      </c>
      <c r="CZ16" s="2">
        <f>$AX16</f>
        <v>1.95</v>
      </c>
      <c r="DA16" s="2"/>
      <c r="DB16" s="2"/>
      <c r="DC16" s="2"/>
      <c r="DD16" s="2"/>
      <c r="DE16" s="2"/>
      <c r="DF16" s="2"/>
      <c r="DG16" s="2"/>
      <c r="DH16" s="2"/>
      <c r="DI16" s="2"/>
    </row>
    <row r="17" spans="1:114" ht="75" x14ac:dyDescent="0.25">
      <c r="A17" s="2" t="s">
        <v>77</v>
      </c>
      <c r="B17" s="23" t="s">
        <v>102</v>
      </c>
      <c r="C17" s="1" t="s">
        <v>78</v>
      </c>
      <c r="D17" s="2" t="s">
        <v>26</v>
      </c>
      <c r="E17" s="2" t="s">
        <v>79</v>
      </c>
      <c r="F17" s="2" t="s">
        <v>80</v>
      </c>
      <c r="I17" s="2">
        <v>1</v>
      </c>
      <c r="L17" s="2">
        <f>ROUNDDOWN(40 / (15/12 * (52/12)), 0)</f>
        <v>7</v>
      </c>
      <c r="P17" s="2">
        <v>10</v>
      </c>
      <c r="Q17" s="2">
        <v>16</v>
      </c>
      <c r="S17" s="2">
        <f>46.8/1000</f>
        <v>4.6799999999999994E-2</v>
      </c>
      <c r="T17" s="2">
        <v>8.7999999999999995E-2</v>
      </c>
      <c r="Y17" s="8">
        <v>2</v>
      </c>
      <c r="Z17" s="8">
        <f>15/12 * (52/12)</f>
        <v>5.4166666666666661</v>
      </c>
      <c r="AA17" s="8">
        <v>2</v>
      </c>
      <c r="AH17" s="8">
        <f>365.25/12</f>
        <v>30.4375</v>
      </c>
      <c r="AS17" s="9">
        <f>Y17/L17</f>
        <v>0.2857142857142857</v>
      </c>
      <c r="AT17" s="9">
        <f>Z17/I17</f>
        <v>5.4166666666666661</v>
      </c>
      <c r="AU17" s="9">
        <f>AA17/P17/L17</f>
        <v>2.8571428571428574E-2</v>
      </c>
      <c r="BB17" s="9">
        <f>AH17/$I17</f>
        <v>30.4375</v>
      </c>
      <c r="BL17" s="10">
        <f t="shared" ref="BL17:BM17" si="39">40/12</f>
        <v>3.3333333333333335</v>
      </c>
      <c r="BM17" s="10">
        <f t="shared" si="39"/>
        <v>3.3333333333333335</v>
      </c>
      <c r="BQ17" s="11">
        <f t="shared" ref="BQ17" si="40">BL17/$L17</f>
        <v>0.47619047619047622</v>
      </c>
      <c r="BR17" s="11">
        <f t="shared" ref="BR17" si="41">BM17/$Q17/$L17</f>
        <v>2.9761904761904764E-2</v>
      </c>
      <c r="BV17" s="10">
        <f t="shared" ref="BV17:BW17" si="42">8/12</f>
        <v>0.66666666666666663</v>
      </c>
      <c r="BW17" s="10">
        <f t="shared" si="42"/>
        <v>0.66666666666666663</v>
      </c>
      <c r="CA17" s="11">
        <f t="shared" ref="CA17" si="43">BV17/$L17</f>
        <v>9.5238095238095233E-2</v>
      </c>
      <c r="CB17" s="11">
        <f t="shared" ref="CB17" si="44">BW17/$Q17/$L17</f>
        <v>5.9523809523809521E-3</v>
      </c>
      <c r="CE17" s="2">
        <f>AS17 + AT17 + BQ17</f>
        <v>6.1785714285714279</v>
      </c>
      <c r="CF17" s="2">
        <f>AU17+BR17</f>
        <v>5.8333333333333334E-2</v>
      </c>
      <c r="CM17" s="2">
        <f t="shared" ref="CM17" si="45">BB17</f>
        <v>30.4375</v>
      </c>
      <c r="CV17" s="2">
        <f>AS17+AT17+T17*BQ17+(1-T17)*CA17</f>
        <v>5.831142857142857</v>
      </c>
      <c r="CW17" s="2">
        <f>AU17+T17*BR17+(1-T17)*CB17</f>
        <v>3.6619047619047621E-2</v>
      </c>
      <c r="DD17" s="3">
        <f t="shared" ref="DD17" si="46">BB17</f>
        <v>30.4375</v>
      </c>
    </row>
    <row r="18" spans="1:114" ht="75" x14ac:dyDescent="0.25">
      <c r="A18" s="22" t="s">
        <v>81</v>
      </c>
      <c r="B18" s="24" t="s">
        <v>103</v>
      </c>
      <c r="C18" s="1" t="s">
        <v>78</v>
      </c>
      <c r="D18" s="2" t="s">
        <v>26</v>
      </c>
      <c r="E18" s="2" t="s">
        <v>79</v>
      </c>
      <c r="F18" s="2" t="s">
        <v>80</v>
      </c>
      <c r="I18" s="2">
        <v>23</v>
      </c>
      <c r="J18" s="2">
        <f>ROUNDDOWN(40 / (5/12) * 23, 0)</f>
        <v>2208</v>
      </c>
      <c r="N18" s="2">
        <v>10</v>
      </c>
      <c r="O18" s="2">
        <v>24</v>
      </c>
      <c r="Q18" s="2">
        <v>16</v>
      </c>
      <c r="S18" s="2">
        <f t="shared" ref="S18:S19" si="47">46.8/1000</f>
        <v>4.6799999999999994E-2</v>
      </c>
      <c r="T18" s="2">
        <v>8.7999999999999995E-2</v>
      </c>
      <c r="V18" s="8">
        <f>5/12</f>
        <v>0.41666666666666669</v>
      </c>
      <c r="W18" s="8">
        <v>2</v>
      </c>
      <c r="X18" s="8">
        <f>40/12/5</f>
        <v>0.66666666666666674</v>
      </c>
      <c r="Y18" s="8">
        <v>2</v>
      </c>
      <c r="AN18" s="8">
        <v>1</v>
      </c>
      <c r="AP18" s="9">
        <f>V18/$I18</f>
        <v>1.8115942028985508E-2</v>
      </c>
      <c r="AQ18" s="9">
        <f>W18/J18</f>
        <v>9.0579710144927537E-4</v>
      </c>
      <c r="AR18" s="9">
        <f>X18/O18/J18</f>
        <v>1.2580515297906604E-5</v>
      </c>
      <c r="AS18" s="9">
        <f>Y18/N18/J18</f>
        <v>9.0579710144927537E-5</v>
      </c>
      <c r="BH18" s="9">
        <f>AN18</f>
        <v>1</v>
      </c>
      <c r="BJ18" s="8">
        <f>15.4/12</f>
        <v>1.2833333333333334</v>
      </c>
      <c r="BK18" s="10">
        <f>16.1/12</f>
        <v>1.3416666666666668</v>
      </c>
      <c r="BL18" s="10">
        <f>40/12</f>
        <v>3.3333333333333335</v>
      </c>
      <c r="BM18" s="10">
        <f>40/12</f>
        <v>3.3333333333333335</v>
      </c>
      <c r="BO18" s="11">
        <f>BJ18/$J18</f>
        <v>5.8121980676328509E-4</v>
      </c>
      <c r="BP18" s="11">
        <f>BK18/$O18/$J18</f>
        <v>2.531828703703704E-5</v>
      </c>
      <c r="BQ18" s="11">
        <f>BL18/$N18/$J18</f>
        <v>1.5096618357487925E-4</v>
      </c>
      <c r="BR18" s="11">
        <f>BM18/$Q18/$N18/$J18</f>
        <v>9.4353864734299529E-6</v>
      </c>
      <c r="BT18" s="8">
        <f t="shared" ref="BT18:BW19" si="48">8/12</f>
        <v>0.66666666666666663</v>
      </c>
      <c r="BU18" s="10">
        <f t="shared" si="48"/>
        <v>0.66666666666666663</v>
      </c>
      <c r="BV18" s="10">
        <f t="shared" si="48"/>
        <v>0.66666666666666663</v>
      </c>
      <c r="BW18" s="10">
        <f t="shared" si="48"/>
        <v>0.66666666666666663</v>
      </c>
      <c r="BY18" s="11">
        <f>BT18/$J18</f>
        <v>3.0193236714975844E-4</v>
      </c>
      <c r="BZ18" s="11">
        <f>BU18/$O18/$J18</f>
        <v>1.2580515297906602E-5</v>
      </c>
      <c r="CA18" s="11">
        <f>BV18/$N18/$J18</f>
        <v>3.0193236714975845E-5</v>
      </c>
      <c r="CB18" s="11">
        <f>BW18/$Q18/$N18/$J18</f>
        <v>1.8870772946859903E-6</v>
      </c>
      <c r="CD18" s="2">
        <f>AP18+AQ18+BO18</f>
        <v>1.9602958937198069E-2</v>
      </c>
      <c r="CE18" s="2">
        <f>AR18+AS18+AT18+BP18+BQ18</f>
        <v>2.7944469605475041E-4</v>
      </c>
      <c r="CF18" s="2">
        <f>BR18</f>
        <v>9.4353864734299529E-6</v>
      </c>
      <c r="CS18" s="2">
        <f>AN18</f>
        <v>1</v>
      </c>
      <c r="CU18" s="2">
        <f>AP18+AQ18+S18*BO18+(1-S18)*BY18</f>
        <v>1.9336742149758456E-2</v>
      </c>
      <c r="CV18" s="2">
        <f>AS18 + AR18 + S18 * BP18  + (1-S18) * BZ18 + T18 * BQ18 + (1 - T18) * CA18</f>
        <v>1.5715812449677941E-4</v>
      </c>
      <c r="CW18" s="2">
        <f>T18 * BR18 + (1 - T18) * CB18</f>
        <v>2.5513285024154589E-6</v>
      </c>
      <c r="DJ18" s="3">
        <v>1</v>
      </c>
    </row>
    <row r="19" spans="1:114" ht="60" x14ac:dyDescent="0.25">
      <c r="A19" s="22" t="s">
        <v>85</v>
      </c>
      <c r="B19" s="24" t="s">
        <v>104</v>
      </c>
      <c r="C19" s="1" t="s">
        <v>86</v>
      </c>
      <c r="D19" s="2" t="s">
        <v>47</v>
      </c>
      <c r="E19" s="2" t="s">
        <v>87</v>
      </c>
      <c r="F19" s="2" t="s">
        <v>87</v>
      </c>
      <c r="I19" s="2">
        <v>1</v>
      </c>
      <c r="J19" s="2">
        <f>ROUNDDOWN(40 * (52/12) / (3.25/18), 0)</f>
        <v>960</v>
      </c>
      <c r="N19" s="2">
        <v>10</v>
      </c>
      <c r="O19" s="2">
        <v>24</v>
      </c>
      <c r="Q19" s="2">
        <v>16</v>
      </c>
      <c r="S19" s="2">
        <f t="shared" si="47"/>
        <v>4.6799999999999994E-2</v>
      </c>
      <c r="T19" s="2">
        <v>8.7999999999999995E-2</v>
      </c>
      <c r="V19" s="8">
        <f>(1 + 9 * 0.25) / 18</f>
        <v>0.18055555555555555</v>
      </c>
      <c r="W19" s="8">
        <v>2</v>
      </c>
      <c r="Y19" s="8">
        <v>2</v>
      </c>
      <c r="AB19" s="8">
        <v>0</v>
      </c>
      <c r="AC19" s="8">
        <f>1 / (5.4*12)</f>
        <v>1.5432098765432096E-2</v>
      </c>
      <c r="AE19" s="8">
        <f>(9*0.25) / 18</f>
        <v>0.125</v>
      </c>
      <c r="AP19" s="9">
        <f>V19/I19</f>
        <v>0.18055555555555555</v>
      </c>
      <c r="AQ19" s="9">
        <f>W19/J19</f>
        <v>2.0833333333333333E-3</v>
      </c>
      <c r="AS19" s="9">
        <f>Y19/N19/J19</f>
        <v>2.0833333333333335E-4</v>
      </c>
      <c r="AV19" s="9">
        <f>AB19/J19</f>
        <v>0</v>
      </c>
      <c r="AW19" s="9">
        <f>AC19/J19</f>
        <v>1.6075102880658434E-5</v>
      </c>
      <c r="AY19" s="9">
        <f>AE19/I19</f>
        <v>0.125</v>
      </c>
      <c r="BJ19" s="8">
        <f>15.4/12</f>
        <v>1.2833333333333334</v>
      </c>
      <c r="BK19" s="10">
        <f>16.1/12</f>
        <v>1.3416666666666668</v>
      </c>
      <c r="BL19" s="10">
        <f>40/12</f>
        <v>3.3333333333333335</v>
      </c>
      <c r="BM19" s="10">
        <f>40/12</f>
        <v>3.3333333333333335</v>
      </c>
      <c r="BO19" s="11">
        <f>BJ19/$J19</f>
        <v>1.3368055555555557E-3</v>
      </c>
      <c r="BP19" s="11">
        <f>BK19/$O19/$J19</f>
        <v>5.8232060185185185E-5</v>
      </c>
      <c r="BQ19" s="11">
        <f>BL19/$N19/$J19</f>
        <v>3.4722222222222224E-4</v>
      </c>
      <c r="BR19" s="11">
        <f>BM19/$Q19/$N19/$J19</f>
        <v>2.170138888888889E-5</v>
      </c>
      <c r="BT19" s="8">
        <f t="shared" si="48"/>
        <v>0.66666666666666663</v>
      </c>
      <c r="BU19" s="10">
        <f t="shared" si="48"/>
        <v>0.66666666666666663</v>
      </c>
      <c r="BV19" s="10">
        <f t="shared" si="48"/>
        <v>0.66666666666666663</v>
      </c>
      <c r="BW19" s="10">
        <f t="shared" si="48"/>
        <v>0.66666666666666663</v>
      </c>
      <c r="BY19" s="11">
        <f>BT19/$J19</f>
        <v>6.9444444444444436E-4</v>
      </c>
      <c r="BZ19" s="11">
        <f>BU19/$O19/$J19</f>
        <v>2.8935185185185183E-5</v>
      </c>
      <c r="CA19" s="11">
        <f>BV19/$N19/$J19</f>
        <v>6.9444444444444444E-5</v>
      </c>
      <c r="CB19" s="11">
        <f>BW19/$Q19/$N19/$J19</f>
        <v>4.3402777777777778E-6</v>
      </c>
      <c r="CD19" s="2">
        <f>AP19+AQ19+BO19</f>
        <v>0.18397569444444442</v>
      </c>
      <c r="CE19" s="2">
        <f>AR19+AS19+AT19+BP19+BQ19</f>
        <v>6.137876157407407E-4</v>
      </c>
      <c r="CF19" s="2">
        <f>BR19</f>
        <v>2.170138888888889E-5</v>
      </c>
      <c r="CG19" s="2">
        <f>$AV19</f>
        <v>0</v>
      </c>
      <c r="CH19" s="2">
        <f>$AW19</f>
        <v>1.6075102880658434E-5</v>
      </c>
      <c r="CI19" s="2">
        <f>$AY19</f>
        <v>0.125</v>
      </c>
      <c r="CU19" s="2">
        <f>AP19+AQ19+S19*BO19+(1-S19)*BY19</f>
        <v>0.18336339583333333</v>
      </c>
      <c r="CV19" s="2">
        <f>AS19 + AR19 + S19 * BP19  + (1-S19) * BZ19 + T19 * BQ19 + (1 - T19) * CA19</f>
        <v>3.3252850115740741E-4</v>
      </c>
      <c r="CW19" s="2">
        <f>T19 * BR19 + (1 - T19) * CB19</f>
        <v>5.8680555555555549E-6</v>
      </c>
      <c r="CX19" s="2">
        <f>$AV19</f>
        <v>0</v>
      </c>
      <c r="CY19" s="2">
        <f>$AW19</f>
        <v>1.6075102880658434E-5</v>
      </c>
      <c r="CZ19" s="2">
        <f>$AY19</f>
        <v>0.125</v>
      </c>
      <c r="DA19" s="2"/>
    </row>
  </sheetData>
  <autoFilter ref="A1:DJ19" xr:uid="{A5083325-7E01-45D3-95E8-61C06EABF005}"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  <filterColumn colId="70" showButton="0"/>
    <filterColumn colId="71" showButton="0"/>
    <filterColumn colId="72" showButton="0"/>
    <filterColumn colId="73" showButton="0"/>
    <filterColumn colId="74" showButton="0"/>
    <filterColumn colId="75" showButton="0"/>
    <filterColumn colId="76" showButton="0"/>
    <filterColumn colId="77" showButton="0"/>
    <filterColumn colId="78" showButton="0"/>
    <filterColumn colId="105">
      <colorFilter dxfId="0" cellColor="0"/>
    </filterColumn>
  </autoFilter>
  <mergeCells count="38">
    <mergeCell ref="BS3:BW3"/>
    <mergeCell ref="U1:BG1"/>
    <mergeCell ref="BJ1:BR1"/>
    <mergeCell ref="AF3:AH3"/>
    <mergeCell ref="AI3:AM3"/>
    <mergeCell ref="AZ3:BB3"/>
    <mergeCell ref="BC3:BG3"/>
    <mergeCell ref="AO2:BG2"/>
    <mergeCell ref="AO3:AU3"/>
    <mergeCell ref="U2:AM2"/>
    <mergeCell ref="BX3:CB3"/>
    <mergeCell ref="BS1:CB1"/>
    <mergeCell ref="BS2:BW2"/>
    <mergeCell ref="BX2:CB2"/>
    <mergeCell ref="R4:T4"/>
    <mergeCell ref="V4:W4"/>
    <mergeCell ref="AP4:AQ4"/>
    <mergeCell ref="X4:Z4"/>
    <mergeCell ref="AR4:AT4"/>
    <mergeCell ref="BU4:BV4"/>
    <mergeCell ref="BZ4:CA4"/>
    <mergeCell ref="BK4:BL4"/>
    <mergeCell ref="BP4:BQ4"/>
    <mergeCell ref="U3:AA3"/>
    <mergeCell ref="BI3:BM3"/>
    <mergeCell ref="BN3:BR3"/>
    <mergeCell ref="G4:Q4"/>
    <mergeCell ref="BI2:BM2"/>
    <mergeCell ref="BN2:BR2"/>
    <mergeCell ref="AB3:AE3"/>
    <mergeCell ref="AV3:AY3"/>
    <mergeCell ref="DB4:DD4"/>
    <mergeCell ref="DE4:DI4"/>
    <mergeCell ref="CX4:DA4"/>
    <mergeCell ref="CG4:CJ4"/>
    <mergeCell ref="CK4:CM4"/>
    <mergeCell ref="CN4:CR4"/>
    <mergeCell ref="CT4:CW4"/>
  </mergeCells>
  <phoneticPr fontId="2" type="noConversion"/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67CDAFF657C86439E92B77E14A31F0A" ma:contentTypeVersion="12" ma:contentTypeDescription="Create a new document." ma:contentTypeScope="" ma:versionID="1c4ae12d7cf95e0a96f771005222d1ae">
  <xsd:schema xmlns:xsd="http://www.w3.org/2001/XMLSchema" xmlns:xs="http://www.w3.org/2001/XMLSchema" xmlns:p="http://schemas.microsoft.com/office/2006/metadata/properties" xmlns:ns2="71ffa1c4-7894-4364-a990-eab4f9440748" xmlns:ns3="637908da-82ae-4acc-9154-33f184278deb" targetNamespace="http://schemas.microsoft.com/office/2006/metadata/properties" ma:root="true" ma:fieldsID="a6f5e4513ac44bd7e83c35f9e3bf7115" ns2:_="" ns3:_="">
    <xsd:import namespace="71ffa1c4-7894-4364-a990-eab4f9440748"/>
    <xsd:import namespace="637908da-82ae-4acc-9154-33f184278de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ffa1c4-7894-4364-a990-eab4f94407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7908da-82ae-4acc-9154-33f184278de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DC41981-20BE-4662-B540-77EBC4657E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ffa1c4-7894-4364-a990-eab4f9440748"/>
    <ds:schemaRef ds:uri="637908da-82ae-4acc-9154-33f184278d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068FFBC-904F-4818-8BD5-4134648265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9563AEE-B6DB-466F-8AA0-ED73E4E5BD7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Stelmach, Rachel</dc:creator>
  <cp:lastModifiedBy>Stelmach, Rachel</cp:lastModifiedBy>
  <dcterms:created xsi:type="dcterms:W3CDTF">2020-10-09T15:22:21Z</dcterms:created>
  <dcterms:modified xsi:type="dcterms:W3CDTF">2021-03-30T02:44:45Z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0x010100067CDAFF657C86439E92B77E14A31F0A</vt:lpwstr>
  </property>
</Properties>
</file>