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milangaz-my.sharepoint.com/personal/ridvan_memis_milangaz_com_tr/Documents/Documents/Udacity/Projects/LPG Sale Forecast/"/>
    </mc:Choice>
  </mc:AlternateContent>
  <xr:revisionPtr revIDLastSave="8" documentId="13_ncr:1_{8500FA38-230E-491E-AC43-E29FD0882777}" xr6:coauthVersionLast="47" xr6:coauthVersionMax="47" xr10:uidLastSave="{807A9EB8-F954-4073-8EE7-3FF4F211DC3D}"/>
  <bookViews>
    <workbookView xWindow="-96" yWindow="-96" windowWidth="23232" windowHeight="12552" activeTab="1" xr2:uid="{00000000-000D-0000-FFFF-FFFF00000000}"/>
  </bookViews>
  <sheets>
    <sheet name="Sheet1" sheetId="11" r:id="rId1"/>
    <sheet name="data" sheetId="3" r:id="rId2"/>
    <sheet name="Covid" sheetId="10" r:id="rId3"/>
    <sheet name="Satış Verisi" sheetId="9" r:id="rId4"/>
    <sheet name="Special Day Types" sheetId="7" r:id="rId5"/>
    <sheet name="tatiller" sheetId="1" r:id="rId6"/>
    <sheet name="Rafineri Fiyatları" sheetId="5" r:id="rId7"/>
    <sheet name="LPG Fup" sheetId="8" r:id="rId8"/>
  </sheets>
  <definedNames>
    <definedName name="_xlnm._FilterDatabase" localSheetId="2" hidden="1">Covid!$A$1:$L$671</definedName>
    <definedName name="_xlnm._FilterDatabase" localSheetId="1" hidden="1">data!$A$1:$T$595</definedName>
    <definedName name="_xlnm._FilterDatabase" localSheetId="6" hidden="1">'Rafineri Fiyatları'!$A$2:$B$2</definedName>
  </definedNames>
  <calcPr calcId="191029"/>
  <pivotCaches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02" i="3" l="1"/>
  <c r="H602" i="3" s="1"/>
  <c r="G602" i="3"/>
  <c r="T602" i="3"/>
  <c r="A595" i="3"/>
  <c r="H595" i="3" s="1"/>
  <c r="B595" i="3"/>
  <c r="C595" i="3"/>
  <c r="D595" i="3"/>
  <c r="E595" i="3"/>
  <c r="F595" i="3"/>
  <c r="G595" i="3"/>
  <c r="K595" i="3"/>
  <c r="L595" i="3"/>
  <c r="O595" i="3" s="1" a="1"/>
  <c r="O595" i="3" s="1"/>
  <c r="M595" i="3"/>
  <c r="N595" i="3"/>
  <c r="P595" i="3" a="1"/>
  <c r="P595" i="3" s="1"/>
  <c r="Q595" i="3" a="1"/>
  <c r="Q595" i="3" s="1"/>
  <c r="R595" i="3"/>
  <c r="S595" i="3"/>
  <c r="T595" i="3"/>
  <c r="F602" i="3" l="1"/>
  <c r="D602" i="3"/>
  <c r="C602" i="3"/>
  <c r="B602" i="3"/>
  <c r="N602" i="3"/>
  <c r="M602" i="3"/>
  <c r="S602" i="3"/>
  <c r="E602" i="3"/>
  <c r="Q602" i="3" a="1"/>
  <c r="Q602" i="3" s="1"/>
  <c r="L602" i="3"/>
  <c r="O602" i="3" s="1" a="1"/>
  <c r="O602" i="3" s="1"/>
  <c r="K602" i="3"/>
  <c r="R602" i="3"/>
  <c r="P602" i="3" a="1"/>
  <c r="P602" i="3" s="1"/>
  <c r="J602" i="3"/>
  <c r="I602" i="3"/>
  <c r="J595" i="3"/>
  <c r="I595" i="3"/>
  <c r="A596" i="3"/>
  <c r="K596" i="3" l="1"/>
  <c r="L596" i="3"/>
  <c r="O596" i="3" s="1" a="1"/>
  <c r="O596" i="3" s="1"/>
  <c r="M596" i="3"/>
  <c r="N596" i="3"/>
  <c r="P596" i="3" a="1"/>
  <c r="P596" i="3" s="1"/>
  <c r="B596" i="3"/>
  <c r="C596" i="3"/>
  <c r="Q596" i="3" a="1"/>
  <c r="Q596" i="3" s="1"/>
  <c r="D596" i="3"/>
  <c r="E596" i="3"/>
  <c r="R596" i="3"/>
  <c r="T596" i="3"/>
  <c r="F596" i="3"/>
  <c r="S596" i="3"/>
  <c r="G596" i="3"/>
  <c r="H596" i="3"/>
  <c r="A597" i="3"/>
  <c r="I596" i="3"/>
  <c r="J596" i="3"/>
  <c r="D597" i="3" l="1"/>
  <c r="E597" i="3"/>
  <c r="R597" i="3"/>
  <c r="A598" i="3"/>
  <c r="F597" i="3"/>
  <c r="S597" i="3"/>
  <c r="G597" i="3"/>
  <c r="T597" i="3"/>
  <c r="H597" i="3"/>
  <c r="J597" i="3"/>
  <c r="I597" i="3"/>
  <c r="K597" i="3"/>
  <c r="L597" i="3"/>
  <c r="O597" i="3" s="1" a="1"/>
  <c r="O597" i="3" s="1"/>
  <c r="C597" i="3"/>
  <c r="M597" i="3"/>
  <c r="Q597" i="3" a="1"/>
  <c r="Q597" i="3" s="1"/>
  <c r="N597" i="3"/>
  <c r="P597" i="3" a="1"/>
  <c r="P597" i="3" s="1"/>
  <c r="B597" i="3"/>
  <c r="M598" i="3" l="1"/>
  <c r="N598" i="3"/>
  <c r="P598" i="3" a="1"/>
  <c r="P598" i="3" s="1"/>
  <c r="B598" i="3"/>
  <c r="C598" i="3"/>
  <c r="Q598" i="3" a="1"/>
  <c r="Q598" i="3" s="1"/>
  <c r="D598" i="3"/>
  <c r="E598" i="3"/>
  <c r="R598" i="3"/>
  <c r="I598" i="3"/>
  <c r="F598" i="3"/>
  <c r="S598" i="3"/>
  <c r="G598" i="3"/>
  <c r="T598" i="3"/>
  <c r="L598" i="3"/>
  <c r="O598" i="3" s="1" a="1"/>
  <c r="O598" i="3" s="1"/>
  <c r="H598" i="3"/>
  <c r="A599" i="3"/>
  <c r="J598" i="3"/>
  <c r="K598" i="3"/>
  <c r="F599" i="3" l="1"/>
  <c r="S599" i="3"/>
  <c r="G599" i="3"/>
  <c r="T599" i="3"/>
  <c r="J599" i="3"/>
  <c r="H599" i="3"/>
  <c r="A600" i="3"/>
  <c r="I599" i="3"/>
  <c r="L599" i="3"/>
  <c r="O599" i="3" s="1" a="1"/>
  <c r="O599" i="3" s="1"/>
  <c r="M599" i="3"/>
  <c r="B599" i="3"/>
  <c r="E599" i="3"/>
  <c r="N599" i="3"/>
  <c r="K599" i="3"/>
  <c r="P599" i="3" a="1"/>
  <c r="P599" i="3" s="1"/>
  <c r="R599" i="3"/>
  <c r="C599" i="3"/>
  <c r="Q599" i="3" a="1"/>
  <c r="Q599" i="3" s="1"/>
  <c r="D599" i="3"/>
  <c r="Q600" i="3" l="1" a="1"/>
  <c r="Q600" i="3" s="1"/>
  <c r="P600" i="3" a="1"/>
  <c r="P600" i="3" s="1"/>
  <c r="B600" i="3"/>
  <c r="C600" i="3"/>
  <c r="E600" i="3"/>
  <c r="R600" i="3"/>
  <c r="F600" i="3"/>
  <c r="S600" i="3"/>
  <c r="G600" i="3"/>
  <c r="T600" i="3"/>
  <c r="N600" i="3"/>
  <c r="H600" i="3"/>
  <c r="A601" i="3"/>
  <c r="K600" i="3"/>
  <c r="I600" i="3"/>
  <c r="D600" i="3"/>
  <c r="J600" i="3"/>
  <c r="L600" i="3"/>
  <c r="O600" i="3" s="1" a="1"/>
  <c r="O600" i="3" s="1"/>
  <c r="M600" i="3"/>
  <c r="H601" i="3" l="1"/>
  <c r="I601" i="3"/>
  <c r="J601" i="3"/>
  <c r="K601" i="3"/>
  <c r="L601" i="3"/>
  <c r="O601" i="3" s="1" a="1"/>
  <c r="O601" i="3" s="1"/>
  <c r="N601" i="3"/>
  <c r="T601" i="3"/>
  <c r="P601" i="3" a="1"/>
  <c r="P601" i="3" s="1"/>
  <c r="D601" i="3"/>
  <c r="B601" i="3"/>
  <c r="C601" i="3"/>
  <c r="Q601" i="3" a="1"/>
  <c r="Q601" i="3" s="1"/>
  <c r="M601" i="3"/>
  <c r="E601" i="3"/>
  <c r="R601" i="3"/>
  <c r="F601" i="3"/>
  <c r="S601" i="3"/>
  <c r="G601" i="3"/>
  <c r="J9" i="3" l="1"/>
  <c r="S590" i="3"/>
  <c r="T590" i="3"/>
  <c r="T589" i="3"/>
  <c r="S589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2" i="3"/>
  <c r="S2" i="3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62" i="5"/>
  <c r="G591" i="3"/>
  <c r="J591" i="3"/>
  <c r="K591" i="3"/>
  <c r="P591" i="3" a="1"/>
  <c r="P591" i="3" s="1"/>
  <c r="Q591" i="3" a="1"/>
  <c r="Q591" i="3" s="1"/>
  <c r="A591" i="3"/>
  <c r="C591" i="3" s="1"/>
  <c r="B590" i="3"/>
  <c r="C590" i="3"/>
  <c r="D590" i="3"/>
  <c r="E590" i="3"/>
  <c r="F590" i="3"/>
  <c r="B588" i="3"/>
  <c r="C588" i="3"/>
  <c r="D588" i="3"/>
  <c r="E588" i="3"/>
  <c r="F588" i="3"/>
  <c r="B589" i="3"/>
  <c r="C589" i="3"/>
  <c r="D589" i="3"/>
  <c r="E589" i="3"/>
  <c r="F589" i="3"/>
  <c r="F587" i="3"/>
  <c r="E587" i="3"/>
  <c r="D587" i="3"/>
  <c r="C587" i="3"/>
  <c r="B587" i="3"/>
  <c r="G590" i="3"/>
  <c r="H590" i="3"/>
  <c r="I590" i="3"/>
  <c r="J590" i="3"/>
  <c r="K590" i="3"/>
  <c r="L590" i="3"/>
  <c r="O590" i="3" s="1" a="1"/>
  <c r="O590" i="3" s="1"/>
  <c r="M590" i="3"/>
  <c r="N590" i="3"/>
  <c r="P590" i="3" a="1"/>
  <c r="P590" i="3" s="1"/>
  <c r="Q590" i="3" a="1"/>
  <c r="Q590" i="3" s="1"/>
  <c r="I587" i="3"/>
  <c r="J587" i="3"/>
  <c r="K587" i="3"/>
  <c r="L587" i="3"/>
  <c r="O587" i="3" s="1" a="1"/>
  <c r="O587" i="3" s="1"/>
  <c r="M587" i="3"/>
  <c r="N587" i="3"/>
  <c r="G588" i="3"/>
  <c r="H588" i="3"/>
  <c r="I588" i="3"/>
  <c r="J588" i="3"/>
  <c r="K588" i="3"/>
  <c r="L588" i="3"/>
  <c r="O588" i="3" s="1" a="1"/>
  <c r="O588" i="3" s="1"/>
  <c r="M588" i="3"/>
  <c r="N588" i="3"/>
  <c r="G589" i="3"/>
  <c r="H589" i="3"/>
  <c r="I589" i="3"/>
  <c r="J589" i="3"/>
  <c r="K589" i="3"/>
  <c r="L589" i="3"/>
  <c r="O589" i="3" s="1" a="1"/>
  <c r="O589" i="3" s="1"/>
  <c r="M589" i="3"/>
  <c r="N589" i="3"/>
  <c r="B591" i="3" l="1"/>
  <c r="A592" i="3"/>
  <c r="R592" i="3" s="1"/>
  <c r="R591" i="3"/>
  <c r="H591" i="3"/>
  <c r="I591" i="3"/>
  <c r="T591" i="3"/>
  <c r="S591" i="3"/>
  <c r="H592" i="3"/>
  <c r="P592" i="3" a="1"/>
  <c r="P592" i="3" s="1"/>
  <c r="N591" i="3"/>
  <c r="M591" i="3"/>
  <c r="C592" i="3"/>
  <c r="M592" i="3"/>
  <c r="L591" i="3"/>
  <c r="O591" i="3" s="1" a="1"/>
  <c r="O591" i="3" s="1"/>
  <c r="L592" i="3"/>
  <c r="O592" i="3" s="1" a="1"/>
  <c r="O592" i="3" s="1"/>
  <c r="K592" i="3"/>
  <c r="J592" i="3"/>
  <c r="G592" i="3"/>
  <c r="F591" i="3"/>
  <c r="F592" i="3"/>
  <c r="E591" i="3"/>
  <c r="D591" i="3"/>
  <c r="D592" i="3"/>
  <c r="B592" i="3"/>
  <c r="Q592" i="3" a="1"/>
  <c r="Q592" i="3" s="1"/>
  <c r="Q3" i="3" a="1"/>
  <c r="Q3" i="3" s="1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2" i="3" a="1"/>
  <c r="Q12" i="3" s="1"/>
  <c r="Q13" i="3" a="1"/>
  <c r="Q13" i="3" s="1"/>
  <c r="Q14" i="3" a="1"/>
  <c r="Q14" i="3" s="1"/>
  <c r="Q15" i="3" a="1"/>
  <c r="Q15" i="3" s="1"/>
  <c r="Q16" i="3" a="1"/>
  <c r="Q16" i="3" s="1"/>
  <c r="Q17" i="3" a="1"/>
  <c r="Q17" i="3" s="1"/>
  <c r="Q18" i="3" a="1"/>
  <c r="Q18" i="3" s="1"/>
  <c r="Q19" i="3" a="1"/>
  <c r="Q19" i="3" s="1"/>
  <c r="Q20" i="3" a="1"/>
  <c r="Q20" i="3" s="1"/>
  <c r="Q21" i="3" a="1"/>
  <c r="Q21" i="3" s="1"/>
  <c r="Q22" i="3" a="1"/>
  <c r="Q22" i="3" s="1"/>
  <c r="Q23" i="3" a="1"/>
  <c r="Q23" i="3" s="1"/>
  <c r="Q24" i="3" a="1"/>
  <c r="Q24" i="3" s="1"/>
  <c r="Q25" i="3" a="1"/>
  <c r="Q25" i="3" s="1"/>
  <c r="Q26" i="3" a="1"/>
  <c r="Q26" i="3" s="1"/>
  <c r="Q27" i="3" a="1"/>
  <c r="Q27" i="3" s="1"/>
  <c r="Q28" i="3" a="1"/>
  <c r="Q28" i="3" s="1"/>
  <c r="Q29" i="3" a="1"/>
  <c r="Q29" i="3" s="1"/>
  <c r="Q30" i="3" a="1"/>
  <c r="Q30" i="3" s="1"/>
  <c r="Q31" i="3" a="1"/>
  <c r="Q31" i="3" s="1"/>
  <c r="Q32" i="3" a="1"/>
  <c r="Q32" i="3" s="1"/>
  <c r="Q33" i="3" a="1"/>
  <c r="Q33" i="3" s="1"/>
  <c r="Q34" i="3" a="1"/>
  <c r="Q34" i="3" s="1"/>
  <c r="Q35" i="3" a="1"/>
  <c r="Q35" i="3" s="1"/>
  <c r="Q36" i="3" a="1"/>
  <c r="Q36" i="3" s="1"/>
  <c r="Q37" i="3" a="1"/>
  <c r="Q37" i="3" s="1"/>
  <c r="Q38" i="3" a="1"/>
  <c r="Q38" i="3" s="1"/>
  <c r="Q39" i="3" a="1"/>
  <c r="Q39" i="3" s="1"/>
  <c r="Q40" i="3" a="1"/>
  <c r="Q40" i="3" s="1"/>
  <c r="Q41" i="3" a="1"/>
  <c r="Q41" i="3" s="1"/>
  <c r="Q42" i="3" a="1"/>
  <c r="Q42" i="3" s="1"/>
  <c r="Q43" i="3" a="1"/>
  <c r="Q43" i="3" s="1"/>
  <c r="Q44" i="3" a="1"/>
  <c r="Q44" i="3" s="1"/>
  <c r="Q45" i="3" a="1"/>
  <c r="Q45" i="3" s="1"/>
  <c r="Q46" i="3" a="1"/>
  <c r="Q46" i="3" s="1"/>
  <c r="Q47" i="3" a="1"/>
  <c r="Q47" i="3" s="1"/>
  <c r="Q48" i="3" a="1"/>
  <c r="Q48" i="3" s="1"/>
  <c r="Q49" i="3" a="1"/>
  <c r="Q49" i="3" s="1"/>
  <c r="Q50" i="3" a="1"/>
  <c r="Q50" i="3" s="1"/>
  <c r="Q51" i="3" a="1"/>
  <c r="Q51" i="3" s="1"/>
  <c r="Q52" i="3" a="1"/>
  <c r="Q52" i="3" s="1"/>
  <c r="Q53" i="3" a="1"/>
  <c r="Q53" i="3" s="1"/>
  <c r="Q54" i="3" a="1"/>
  <c r="Q54" i="3" s="1"/>
  <c r="Q55" i="3" a="1"/>
  <c r="Q55" i="3" s="1"/>
  <c r="Q56" i="3" a="1"/>
  <c r="Q56" i="3" s="1"/>
  <c r="Q57" i="3" a="1"/>
  <c r="Q57" i="3" s="1"/>
  <c r="Q58" i="3" a="1"/>
  <c r="Q58" i="3" s="1"/>
  <c r="Q59" i="3" a="1"/>
  <c r="Q59" i="3" s="1"/>
  <c r="Q60" i="3" a="1"/>
  <c r="Q60" i="3" s="1"/>
  <c r="Q61" i="3" a="1"/>
  <c r="Q61" i="3" s="1"/>
  <c r="Q62" i="3" a="1"/>
  <c r="Q62" i="3" s="1"/>
  <c r="Q63" i="3" a="1"/>
  <c r="Q63" i="3" s="1"/>
  <c r="Q64" i="3" a="1"/>
  <c r="Q64" i="3" s="1"/>
  <c r="Q65" i="3" a="1"/>
  <c r="Q65" i="3" s="1"/>
  <c r="Q66" i="3" a="1"/>
  <c r="Q66" i="3" s="1"/>
  <c r="Q67" i="3" a="1"/>
  <c r="Q67" i="3" s="1"/>
  <c r="Q68" i="3" a="1"/>
  <c r="Q68" i="3" s="1"/>
  <c r="Q69" i="3" a="1"/>
  <c r="Q69" i="3" s="1"/>
  <c r="Q70" i="3" a="1"/>
  <c r="Q70" i="3" s="1"/>
  <c r="Q71" i="3" a="1"/>
  <c r="Q71" i="3" s="1"/>
  <c r="Q72" i="3" a="1"/>
  <c r="Q72" i="3" s="1"/>
  <c r="Q73" i="3" a="1"/>
  <c r="Q73" i="3" s="1"/>
  <c r="Q74" i="3" a="1"/>
  <c r="Q74" i="3" s="1"/>
  <c r="Q75" i="3" a="1"/>
  <c r="Q75" i="3" s="1"/>
  <c r="Q76" i="3" a="1"/>
  <c r="Q76" i="3" s="1"/>
  <c r="Q77" i="3" a="1"/>
  <c r="Q77" i="3" s="1"/>
  <c r="Q78" i="3" a="1"/>
  <c r="Q78" i="3" s="1"/>
  <c r="Q79" i="3" a="1"/>
  <c r="Q79" i="3" s="1"/>
  <c r="Q80" i="3" a="1"/>
  <c r="Q80" i="3" s="1"/>
  <c r="Q81" i="3" a="1"/>
  <c r="Q81" i="3" s="1"/>
  <c r="Q82" i="3" a="1"/>
  <c r="Q82" i="3" s="1"/>
  <c r="Q83" i="3" a="1"/>
  <c r="Q83" i="3" s="1"/>
  <c r="Q84" i="3" a="1"/>
  <c r="Q84" i="3" s="1"/>
  <c r="Q85" i="3" a="1"/>
  <c r="Q85" i="3" s="1"/>
  <c r="Q86" i="3" a="1"/>
  <c r="Q86" i="3" s="1"/>
  <c r="Q87" i="3" a="1"/>
  <c r="Q87" i="3" s="1"/>
  <c r="Q88" i="3" a="1"/>
  <c r="Q88" i="3" s="1"/>
  <c r="Q89" i="3" a="1"/>
  <c r="Q89" i="3" s="1"/>
  <c r="Q90" i="3" a="1"/>
  <c r="Q90" i="3" s="1"/>
  <c r="Q91" i="3" a="1"/>
  <c r="Q91" i="3" s="1"/>
  <c r="Q92" i="3" a="1"/>
  <c r="Q92" i="3" s="1"/>
  <c r="Q93" i="3" a="1"/>
  <c r="Q93" i="3" s="1"/>
  <c r="Q94" i="3" a="1"/>
  <c r="Q94" i="3" s="1"/>
  <c r="Q95" i="3" a="1"/>
  <c r="Q95" i="3" s="1"/>
  <c r="Q96" i="3" a="1"/>
  <c r="Q96" i="3" s="1"/>
  <c r="Q97" i="3" a="1"/>
  <c r="Q97" i="3" s="1"/>
  <c r="Q98" i="3" a="1"/>
  <c r="Q98" i="3" s="1"/>
  <c r="Q99" i="3" a="1"/>
  <c r="Q99" i="3" s="1"/>
  <c r="Q100" i="3" a="1"/>
  <c r="Q100" i="3" s="1"/>
  <c r="Q101" i="3" a="1"/>
  <c r="Q101" i="3" s="1"/>
  <c r="Q102" i="3" a="1"/>
  <c r="Q102" i="3" s="1"/>
  <c r="Q103" i="3" a="1"/>
  <c r="Q103" i="3" s="1"/>
  <c r="Q104" i="3" a="1"/>
  <c r="Q104" i="3" s="1"/>
  <c r="Q105" i="3" a="1"/>
  <c r="Q105" i="3" s="1"/>
  <c r="Q106" i="3" a="1"/>
  <c r="Q106" i="3" s="1"/>
  <c r="Q107" i="3" a="1"/>
  <c r="Q107" i="3" s="1"/>
  <c r="Q108" i="3" a="1"/>
  <c r="Q108" i="3" s="1"/>
  <c r="Q109" i="3" a="1"/>
  <c r="Q109" i="3" s="1"/>
  <c r="Q110" i="3" a="1"/>
  <c r="Q110" i="3" s="1"/>
  <c r="Q111" i="3" a="1"/>
  <c r="Q111" i="3" s="1"/>
  <c r="Q112" i="3" a="1"/>
  <c r="Q112" i="3" s="1"/>
  <c r="Q113" i="3" a="1"/>
  <c r="Q113" i="3" s="1"/>
  <c r="Q114" i="3" a="1"/>
  <c r="Q114" i="3" s="1"/>
  <c r="Q115" i="3" a="1"/>
  <c r="Q115" i="3" s="1"/>
  <c r="Q116" i="3" a="1"/>
  <c r="Q116" i="3" s="1"/>
  <c r="Q117" i="3" a="1"/>
  <c r="Q117" i="3" s="1"/>
  <c r="Q118" i="3" a="1"/>
  <c r="Q118" i="3" s="1"/>
  <c r="Q119" i="3" a="1"/>
  <c r="Q119" i="3" s="1"/>
  <c r="Q120" i="3" a="1"/>
  <c r="Q120" i="3" s="1"/>
  <c r="Q121" i="3" a="1"/>
  <c r="Q121" i="3" s="1"/>
  <c r="Q122" i="3" a="1"/>
  <c r="Q122" i="3" s="1"/>
  <c r="Q123" i="3" a="1"/>
  <c r="Q123" i="3" s="1"/>
  <c r="Q124" i="3" a="1"/>
  <c r="Q124" i="3" s="1"/>
  <c r="Q125" i="3" a="1"/>
  <c r="Q125" i="3" s="1"/>
  <c r="Q126" i="3" a="1"/>
  <c r="Q126" i="3" s="1"/>
  <c r="Q127" i="3" a="1"/>
  <c r="Q127" i="3" s="1"/>
  <c r="Q128" i="3" a="1"/>
  <c r="Q128" i="3" s="1"/>
  <c r="Q129" i="3" a="1"/>
  <c r="Q129" i="3" s="1"/>
  <c r="Q130" i="3" a="1"/>
  <c r="Q130" i="3" s="1"/>
  <c r="Q131" i="3" a="1"/>
  <c r="Q131" i="3" s="1"/>
  <c r="Q132" i="3" a="1"/>
  <c r="Q132" i="3" s="1"/>
  <c r="Q133" i="3" a="1"/>
  <c r="Q133" i="3" s="1"/>
  <c r="Q134" i="3" a="1"/>
  <c r="Q134" i="3" s="1"/>
  <c r="Q135" i="3" a="1"/>
  <c r="Q135" i="3" s="1"/>
  <c r="Q136" i="3" a="1"/>
  <c r="Q136" i="3" s="1"/>
  <c r="Q137" i="3" a="1"/>
  <c r="Q137" i="3" s="1"/>
  <c r="Q138" i="3" a="1"/>
  <c r="Q138" i="3" s="1"/>
  <c r="Q139" i="3" a="1"/>
  <c r="Q139" i="3" s="1"/>
  <c r="Q140" i="3" a="1"/>
  <c r="Q140" i="3" s="1"/>
  <c r="Q141" i="3" a="1"/>
  <c r="Q141" i="3" s="1"/>
  <c r="Q142" i="3" a="1"/>
  <c r="Q142" i="3" s="1"/>
  <c r="Q143" i="3" a="1"/>
  <c r="Q143" i="3" s="1"/>
  <c r="Q144" i="3" a="1"/>
  <c r="Q144" i="3" s="1"/>
  <c r="Q145" i="3" a="1"/>
  <c r="Q145" i="3" s="1"/>
  <c r="Q146" i="3" a="1"/>
  <c r="Q146" i="3" s="1"/>
  <c r="Q147" i="3" a="1"/>
  <c r="Q147" i="3" s="1"/>
  <c r="Q148" i="3" a="1"/>
  <c r="Q148" i="3" s="1"/>
  <c r="Q149" i="3" a="1"/>
  <c r="Q149" i="3" s="1"/>
  <c r="Q150" i="3" a="1"/>
  <c r="Q150" i="3" s="1"/>
  <c r="Q151" i="3" a="1"/>
  <c r="Q151" i="3" s="1"/>
  <c r="Q152" i="3" a="1"/>
  <c r="Q152" i="3" s="1"/>
  <c r="Q153" i="3" a="1"/>
  <c r="Q153" i="3" s="1"/>
  <c r="Q154" i="3" a="1"/>
  <c r="Q154" i="3" s="1"/>
  <c r="Q155" i="3" a="1"/>
  <c r="Q155" i="3" s="1"/>
  <c r="Q156" i="3" a="1"/>
  <c r="Q156" i="3" s="1"/>
  <c r="Q157" i="3" a="1"/>
  <c r="Q157" i="3" s="1"/>
  <c r="Q158" i="3" a="1"/>
  <c r="Q158" i="3" s="1"/>
  <c r="Q159" i="3" a="1"/>
  <c r="Q159" i="3" s="1"/>
  <c r="Q160" i="3" a="1"/>
  <c r="Q160" i="3" s="1"/>
  <c r="Q161" i="3" a="1"/>
  <c r="Q161" i="3" s="1"/>
  <c r="Q162" i="3" a="1"/>
  <c r="Q162" i="3" s="1"/>
  <c r="Q163" i="3" a="1"/>
  <c r="Q163" i="3" s="1"/>
  <c r="Q164" i="3" a="1"/>
  <c r="Q164" i="3" s="1"/>
  <c r="Q165" i="3" a="1"/>
  <c r="Q165" i="3" s="1"/>
  <c r="Q166" i="3" a="1"/>
  <c r="Q166" i="3" s="1"/>
  <c r="Q167" i="3" a="1"/>
  <c r="Q167" i="3" s="1"/>
  <c r="Q168" i="3" a="1"/>
  <c r="Q168" i="3" s="1"/>
  <c r="Q169" i="3" a="1"/>
  <c r="Q169" i="3" s="1"/>
  <c r="Q170" i="3" a="1"/>
  <c r="Q170" i="3" s="1"/>
  <c r="Q171" i="3" a="1"/>
  <c r="Q171" i="3" s="1"/>
  <c r="Q172" i="3" a="1"/>
  <c r="Q172" i="3" s="1"/>
  <c r="Q173" i="3" a="1"/>
  <c r="Q173" i="3" s="1"/>
  <c r="Q174" i="3" a="1"/>
  <c r="Q174" i="3" s="1"/>
  <c r="Q175" i="3" a="1"/>
  <c r="Q175" i="3" s="1"/>
  <c r="Q176" i="3" a="1"/>
  <c r="Q176" i="3" s="1"/>
  <c r="Q177" i="3" a="1"/>
  <c r="Q177" i="3" s="1"/>
  <c r="Q178" i="3" a="1"/>
  <c r="Q178" i="3" s="1"/>
  <c r="Q179" i="3" a="1"/>
  <c r="Q179" i="3" s="1"/>
  <c r="Q180" i="3" a="1"/>
  <c r="Q180" i="3" s="1"/>
  <c r="Q181" i="3" a="1"/>
  <c r="Q181" i="3" s="1"/>
  <c r="Q182" i="3" a="1"/>
  <c r="Q182" i="3" s="1"/>
  <c r="Q183" i="3" a="1"/>
  <c r="Q183" i="3" s="1"/>
  <c r="Q184" i="3" a="1"/>
  <c r="Q184" i="3" s="1"/>
  <c r="Q185" i="3" a="1"/>
  <c r="Q185" i="3" s="1"/>
  <c r="Q186" i="3" a="1"/>
  <c r="Q186" i="3" s="1"/>
  <c r="Q187" i="3" a="1"/>
  <c r="Q187" i="3" s="1"/>
  <c r="Q188" i="3" a="1"/>
  <c r="Q188" i="3" s="1"/>
  <c r="Q189" i="3" a="1"/>
  <c r="Q189" i="3" s="1"/>
  <c r="Q190" i="3" a="1"/>
  <c r="Q190" i="3" s="1"/>
  <c r="Q191" i="3" a="1"/>
  <c r="Q191" i="3" s="1"/>
  <c r="Q192" i="3" a="1"/>
  <c r="Q192" i="3" s="1"/>
  <c r="Q193" i="3" a="1"/>
  <c r="Q193" i="3" s="1"/>
  <c r="Q194" i="3" a="1"/>
  <c r="Q194" i="3" s="1"/>
  <c r="Q195" i="3" a="1"/>
  <c r="Q195" i="3" s="1"/>
  <c r="Q196" i="3" a="1"/>
  <c r="Q196" i="3" s="1"/>
  <c r="Q197" i="3" a="1"/>
  <c r="Q197" i="3" s="1"/>
  <c r="Q198" i="3" a="1"/>
  <c r="Q198" i="3" s="1"/>
  <c r="Q199" i="3" a="1"/>
  <c r="Q199" i="3" s="1"/>
  <c r="Q200" i="3" a="1"/>
  <c r="Q200" i="3" s="1"/>
  <c r="Q201" i="3" a="1"/>
  <c r="Q201" i="3" s="1"/>
  <c r="Q202" i="3" a="1"/>
  <c r="Q202" i="3" s="1"/>
  <c r="Q203" i="3" a="1"/>
  <c r="Q203" i="3" s="1"/>
  <c r="Q204" i="3" a="1"/>
  <c r="Q204" i="3" s="1"/>
  <c r="Q205" i="3" a="1"/>
  <c r="Q205" i="3" s="1"/>
  <c r="Q206" i="3" a="1"/>
  <c r="Q206" i="3" s="1"/>
  <c r="Q207" i="3" a="1"/>
  <c r="Q207" i="3" s="1"/>
  <c r="Q208" i="3" a="1"/>
  <c r="Q208" i="3" s="1"/>
  <c r="Q209" i="3" a="1"/>
  <c r="Q209" i="3" s="1"/>
  <c r="Q210" i="3" a="1"/>
  <c r="Q210" i="3" s="1"/>
  <c r="Q211" i="3" a="1"/>
  <c r="Q211" i="3" s="1"/>
  <c r="Q212" i="3" a="1"/>
  <c r="Q212" i="3" s="1"/>
  <c r="Q213" i="3" a="1"/>
  <c r="Q213" i="3" s="1"/>
  <c r="Q214" i="3" a="1"/>
  <c r="Q214" i="3" s="1"/>
  <c r="Q215" i="3" a="1"/>
  <c r="Q215" i="3" s="1"/>
  <c r="Q216" i="3" a="1"/>
  <c r="Q216" i="3" s="1"/>
  <c r="Q217" i="3" a="1"/>
  <c r="Q217" i="3" s="1"/>
  <c r="Q218" i="3" a="1"/>
  <c r="Q218" i="3" s="1"/>
  <c r="Q219" i="3" a="1"/>
  <c r="Q219" i="3" s="1"/>
  <c r="Q220" i="3" a="1"/>
  <c r="Q220" i="3" s="1"/>
  <c r="Q221" i="3" a="1"/>
  <c r="Q221" i="3" s="1"/>
  <c r="Q222" i="3" a="1"/>
  <c r="Q222" i="3" s="1"/>
  <c r="Q223" i="3" a="1"/>
  <c r="Q223" i="3" s="1"/>
  <c r="Q224" i="3" a="1"/>
  <c r="Q224" i="3" s="1"/>
  <c r="Q225" i="3" a="1"/>
  <c r="Q225" i="3" s="1"/>
  <c r="Q226" i="3" a="1"/>
  <c r="Q226" i="3" s="1"/>
  <c r="Q227" i="3" a="1"/>
  <c r="Q227" i="3" s="1"/>
  <c r="Q228" i="3" a="1"/>
  <c r="Q228" i="3" s="1"/>
  <c r="Q229" i="3" a="1"/>
  <c r="Q229" i="3" s="1"/>
  <c r="Q230" i="3" a="1"/>
  <c r="Q230" i="3" s="1"/>
  <c r="Q231" i="3" a="1"/>
  <c r="Q231" i="3" s="1"/>
  <c r="Q232" i="3" a="1"/>
  <c r="Q232" i="3" s="1"/>
  <c r="Q233" i="3" a="1"/>
  <c r="Q233" i="3" s="1"/>
  <c r="Q234" i="3" a="1"/>
  <c r="Q234" i="3" s="1"/>
  <c r="Q235" i="3" a="1"/>
  <c r="Q235" i="3" s="1"/>
  <c r="Q236" i="3" a="1"/>
  <c r="Q236" i="3" s="1"/>
  <c r="Q237" i="3" a="1"/>
  <c r="Q237" i="3" s="1"/>
  <c r="Q238" i="3" a="1"/>
  <c r="Q238" i="3" s="1"/>
  <c r="Q239" i="3" a="1"/>
  <c r="Q239" i="3" s="1"/>
  <c r="Q240" i="3" a="1"/>
  <c r="Q240" i="3" s="1"/>
  <c r="Q241" i="3" a="1"/>
  <c r="Q241" i="3" s="1"/>
  <c r="Q242" i="3" a="1"/>
  <c r="Q242" i="3" s="1"/>
  <c r="Q243" i="3" a="1"/>
  <c r="Q243" i="3" s="1"/>
  <c r="Q244" i="3" a="1"/>
  <c r="Q244" i="3" s="1"/>
  <c r="Q245" i="3" a="1"/>
  <c r="Q245" i="3" s="1"/>
  <c r="Q246" i="3" a="1"/>
  <c r="Q246" i="3" s="1"/>
  <c r="Q247" i="3" a="1"/>
  <c r="Q247" i="3" s="1"/>
  <c r="Q248" i="3" a="1"/>
  <c r="Q248" i="3" s="1"/>
  <c r="Q249" i="3" a="1"/>
  <c r="Q249" i="3" s="1"/>
  <c r="Q250" i="3" a="1"/>
  <c r="Q250" i="3" s="1"/>
  <c r="Q251" i="3" a="1"/>
  <c r="Q251" i="3" s="1"/>
  <c r="Q252" i="3" a="1"/>
  <c r="Q252" i="3" s="1"/>
  <c r="Q253" i="3" a="1"/>
  <c r="Q253" i="3" s="1"/>
  <c r="Q254" i="3" a="1"/>
  <c r="Q254" i="3" s="1"/>
  <c r="Q255" i="3" a="1"/>
  <c r="Q255" i="3" s="1"/>
  <c r="Q256" i="3" a="1"/>
  <c r="Q256" i="3" s="1"/>
  <c r="Q257" i="3" a="1"/>
  <c r="Q257" i="3" s="1"/>
  <c r="Q258" i="3" a="1"/>
  <c r="Q258" i="3" s="1"/>
  <c r="Q259" i="3" a="1"/>
  <c r="Q259" i="3" s="1"/>
  <c r="Q260" i="3" a="1"/>
  <c r="Q260" i="3" s="1"/>
  <c r="Q261" i="3" a="1"/>
  <c r="Q261" i="3" s="1"/>
  <c r="Q262" i="3" a="1"/>
  <c r="Q262" i="3" s="1"/>
  <c r="Q263" i="3" a="1"/>
  <c r="Q263" i="3" s="1"/>
  <c r="Q264" i="3" a="1"/>
  <c r="Q264" i="3" s="1"/>
  <c r="Q265" i="3" a="1"/>
  <c r="Q265" i="3" s="1"/>
  <c r="Q266" i="3" a="1"/>
  <c r="Q266" i="3" s="1"/>
  <c r="Q267" i="3" a="1"/>
  <c r="Q267" i="3" s="1"/>
  <c r="Q268" i="3" a="1"/>
  <c r="Q268" i="3" s="1"/>
  <c r="Q269" i="3" a="1"/>
  <c r="Q269" i="3" s="1"/>
  <c r="Q270" i="3" a="1"/>
  <c r="Q270" i="3" s="1"/>
  <c r="Q271" i="3" a="1"/>
  <c r="Q271" i="3" s="1"/>
  <c r="Q272" i="3" a="1"/>
  <c r="Q272" i="3" s="1"/>
  <c r="Q273" i="3" a="1"/>
  <c r="Q273" i="3" s="1"/>
  <c r="Q274" i="3" a="1"/>
  <c r="Q274" i="3" s="1"/>
  <c r="Q275" i="3" a="1"/>
  <c r="Q275" i="3" s="1"/>
  <c r="Q276" i="3" a="1"/>
  <c r="Q276" i="3" s="1"/>
  <c r="Q277" i="3" a="1"/>
  <c r="Q277" i="3" s="1"/>
  <c r="Q278" i="3" a="1"/>
  <c r="Q278" i="3" s="1"/>
  <c r="Q279" i="3" a="1"/>
  <c r="Q279" i="3" s="1"/>
  <c r="Q280" i="3" a="1"/>
  <c r="Q280" i="3" s="1"/>
  <c r="Q281" i="3" a="1"/>
  <c r="Q281" i="3" s="1"/>
  <c r="Q282" i="3" a="1"/>
  <c r="Q282" i="3" s="1"/>
  <c r="Q283" i="3" a="1"/>
  <c r="Q283" i="3" s="1"/>
  <c r="Q284" i="3" a="1"/>
  <c r="Q284" i="3" s="1"/>
  <c r="Q285" i="3" a="1"/>
  <c r="Q285" i="3" s="1"/>
  <c r="Q286" i="3" a="1"/>
  <c r="Q286" i="3" s="1"/>
  <c r="Q287" i="3" a="1"/>
  <c r="Q287" i="3" s="1"/>
  <c r="Q288" i="3" a="1"/>
  <c r="Q288" i="3" s="1"/>
  <c r="Q289" i="3" a="1"/>
  <c r="Q289" i="3" s="1"/>
  <c r="Q290" i="3" a="1"/>
  <c r="Q290" i="3" s="1"/>
  <c r="Q291" i="3" a="1"/>
  <c r="Q291" i="3" s="1"/>
  <c r="Q292" i="3" a="1"/>
  <c r="Q292" i="3" s="1"/>
  <c r="Q293" i="3" a="1"/>
  <c r="Q293" i="3" s="1"/>
  <c r="Q294" i="3" a="1"/>
  <c r="Q294" i="3" s="1"/>
  <c r="Q295" i="3" a="1"/>
  <c r="Q295" i="3" s="1"/>
  <c r="Q296" i="3" a="1"/>
  <c r="Q296" i="3" s="1"/>
  <c r="Q297" i="3" a="1"/>
  <c r="Q297" i="3" s="1"/>
  <c r="Q298" i="3" a="1"/>
  <c r="Q298" i="3" s="1"/>
  <c r="Q299" i="3" a="1"/>
  <c r="Q299" i="3" s="1"/>
  <c r="Q300" i="3" a="1"/>
  <c r="Q300" i="3" s="1"/>
  <c r="Q301" i="3" a="1"/>
  <c r="Q301" i="3" s="1"/>
  <c r="Q302" i="3" a="1"/>
  <c r="Q302" i="3" s="1"/>
  <c r="Q303" i="3" a="1"/>
  <c r="Q303" i="3" s="1"/>
  <c r="Q304" i="3" a="1"/>
  <c r="Q304" i="3" s="1"/>
  <c r="Q305" i="3" a="1"/>
  <c r="Q305" i="3" s="1"/>
  <c r="Q306" i="3" a="1"/>
  <c r="Q306" i="3" s="1"/>
  <c r="Q307" i="3" a="1"/>
  <c r="Q307" i="3" s="1"/>
  <c r="Q308" i="3" a="1"/>
  <c r="Q308" i="3" s="1"/>
  <c r="Q309" i="3" a="1"/>
  <c r="Q309" i="3" s="1"/>
  <c r="Q310" i="3" a="1"/>
  <c r="Q310" i="3" s="1"/>
  <c r="Q311" i="3" a="1"/>
  <c r="Q311" i="3" s="1"/>
  <c r="Q312" i="3" a="1"/>
  <c r="Q312" i="3" s="1"/>
  <c r="Q313" i="3" a="1"/>
  <c r="Q313" i="3" s="1"/>
  <c r="Q314" i="3" a="1"/>
  <c r="Q314" i="3" s="1"/>
  <c r="Q315" i="3" a="1"/>
  <c r="Q315" i="3" s="1"/>
  <c r="Q316" i="3" a="1"/>
  <c r="Q316" i="3" s="1"/>
  <c r="Q317" i="3" a="1"/>
  <c r="Q317" i="3" s="1"/>
  <c r="Q318" i="3" a="1"/>
  <c r="Q318" i="3" s="1"/>
  <c r="Q319" i="3" a="1"/>
  <c r="Q319" i="3" s="1"/>
  <c r="Q320" i="3" a="1"/>
  <c r="Q320" i="3" s="1"/>
  <c r="Q321" i="3" a="1"/>
  <c r="Q321" i="3" s="1"/>
  <c r="Q322" i="3" a="1"/>
  <c r="Q322" i="3" s="1"/>
  <c r="Q323" i="3" a="1"/>
  <c r="Q323" i="3" s="1"/>
  <c r="Q324" i="3" a="1"/>
  <c r="Q324" i="3" s="1"/>
  <c r="Q325" i="3" a="1"/>
  <c r="Q325" i="3" s="1"/>
  <c r="Q326" i="3" a="1"/>
  <c r="Q326" i="3" s="1"/>
  <c r="Q327" i="3" a="1"/>
  <c r="Q327" i="3" s="1"/>
  <c r="Q328" i="3" a="1"/>
  <c r="Q328" i="3" s="1"/>
  <c r="Q329" i="3" a="1"/>
  <c r="Q329" i="3" s="1"/>
  <c r="Q330" i="3" a="1"/>
  <c r="Q330" i="3" s="1"/>
  <c r="Q331" i="3" a="1"/>
  <c r="Q331" i="3" s="1"/>
  <c r="Q332" i="3" a="1"/>
  <c r="Q332" i="3" s="1"/>
  <c r="Q333" i="3" a="1"/>
  <c r="Q333" i="3" s="1"/>
  <c r="Q334" i="3" a="1"/>
  <c r="Q334" i="3" s="1"/>
  <c r="Q335" i="3" a="1"/>
  <c r="Q335" i="3" s="1"/>
  <c r="Q336" i="3" a="1"/>
  <c r="Q336" i="3" s="1"/>
  <c r="Q337" i="3" a="1"/>
  <c r="Q337" i="3" s="1"/>
  <c r="Q338" i="3" a="1"/>
  <c r="Q338" i="3" s="1"/>
  <c r="Q339" i="3" a="1"/>
  <c r="Q339" i="3" s="1"/>
  <c r="Q340" i="3" a="1"/>
  <c r="Q340" i="3" s="1"/>
  <c r="Q341" i="3" a="1"/>
  <c r="Q341" i="3" s="1"/>
  <c r="Q342" i="3" a="1"/>
  <c r="Q342" i="3" s="1"/>
  <c r="Q343" i="3" a="1"/>
  <c r="Q343" i="3" s="1"/>
  <c r="Q344" i="3" a="1"/>
  <c r="Q344" i="3" s="1"/>
  <c r="Q345" i="3" a="1"/>
  <c r="Q345" i="3" s="1"/>
  <c r="Q346" i="3" a="1"/>
  <c r="Q346" i="3" s="1"/>
  <c r="Q347" i="3" a="1"/>
  <c r="Q347" i="3" s="1"/>
  <c r="Q348" i="3" a="1"/>
  <c r="Q348" i="3" s="1"/>
  <c r="Q349" i="3" a="1"/>
  <c r="Q349" i="3" s="1"/>
  <c r="Q350" i="3" a="1"/>
  <c r="Q350" i="3" s="1"/>
  <c r="Q351" i="3" a="1"/>
  <c r="Q351" i="3" s="1"/>
  <c r="Q352" i="3" a="1"/>
  <c r="Q352" i="3" s="1"/>
  <c r="Q353" i="3" a="1"/>
  <c r="Q353" i="3" s="1"/>
  <c r="Q354" i="3" a="1"/>
  <c r="Q354" i="3" s="1"/>
  <c r="Q355" i="3" a="1"/>
  <c r="Q355" i="3" s="1"/>
  <c r="Q356" i="3" a="1"/>
  <c r="Q356" i="3" s="1"/>
  <c r="Q357" i="3" a="1"/>
  <c r="Q357" i="3" s="1"/>
  <c r="Q358" i="3" a="1"/>
  <c r="Q358" i="3" s="1"/>
  <c r="Q359" i="3" a="1"/>
  <c r="Q359" i="3" s="1"/>
  <c r="Q360" i="3" a="1"/>
  <c r="Q360" i="3" s="1"/>
  <c r="Q361" i="3" a="1"/>
  <c r="Q361" i="3" s="1"/>
  <c r="Q362" i="3" a="1"/>
  <c r="Q362" i="3" s="1"/>
  <c r="Q363" i="3" a="1"/>
  <c r="Q363" i="3" s="1"/>
  <c r="Q364" i="3" a="1"/>
  <c r="Q364" i="3" s="1"/>
  <c r="Q365" i="3" a="1"/>
  <c r="Q365" i="3" s="1"/>
  <c r="Q366" i="3" a="1"/>
  <c r="Q366" i="3" s="1"/>
  <c r="Q367" i="3" a="1"/>
  <c r="Q367" i="3" s="1"/>
  <c r="Q368" i="3" a="1"/>
  <c r="Q368" i="3" s="1"/>
  <c r="Q369" i="3" a="1"/>
  <c r="Q369" i="3" s="1"/>
  <c r="Q370" i="3" a="1"/>
  <c r="Q370" i="3" s="1"/>
  <c r="Q371" i="3" a="1"/>
  <c r="Q371" i="3" s="1"/>
  <c r="Q372" i="3" a="1"/>
  <c r="Q372" i="3" s="1"/>
  <c r="Q373" i="3" a="1"/>
  <c r="Q373" i="3" s="1"/>
  <c r="Q374" i="3" a="1"/>
  <c r="Q374" i="3" s="1"/>
  <c r="Q375" i="3" a="1"/>
  <c r="Q375" i="3" s="1"/>
  <c r="Q376" i="3" a="1"/>
  <c r="Q376" i="3" s="1"/>
  <c r="Q377" i="3" a="1"/>
  <c r="Q377" i="3" s="1"/>
  <c r="Q378" i="3" a="1"/>
  <c r="Q378" i="3" s="1"/>
  <c r="Q379" i="3" a="1"/>
  <c r="Q379" i="3" s="1"/>
  <c r="Q380" i="3" a="1"/>
  <c r="Q380" i="3" s="1"/>
  <c r="Q381" i="3" a="1"/>
  <c r="Q381" i="3" s="1"/>
  <c r="Q382" i="3" a="1"/>
  <c r="Q382" i="3" s="1"/>
  <c r="Q383" i="3" a="1"/>
  <c r="Q383" i="3" s="1"/>
  <c r="Q384" i="3" a="1"/>
  <c r="Q384" i="3" s="1"/>
  <c r="Q385" i="3" a="1"/>
  <c r="Q385" i="3" s="1"/>
  <c r="Q386" i="3" a="1"/>
  <c r="Q386" i="3" s="1"/>
  <c r="Q387" i="3" a="1"/>
  <c r="Q387" i="3" s="1"/>
  <c r="Q388" i="3" a="1"/>
  <c r="Q388" i="3" s="1"/>
  <c r="Q389" i="3" a="1"/>
  <c r="Q389" i="3" s="1"/>
  <c r="Q390" i="3" a="1"/>
  <c r="Q390" i="3" s="1"/>
  <c r="Q391" i="3" a="1"/>
  <c r="Q391" i="3" s="1"/>
  <c r="Q392" i="3" a="1"/>
  <c r="Q392" i="3" s="1"/>
  <c r="Q393" i="3" a="1"/>
  <c r="Q393" i="3" s="1"/>
  <c r="Q394" i="3" a="1"/>
  <c r="Q394" i="3" s="1"/>
  <c r="Q395" i="3" a="1"/>
  <c r="Q395" i="3" s="1"/>
  <c r="Q396" i="3" a="1"/>
  <c r="Q396" i="3" s="1"/>
  <c r="Q397" i="3" a="1"/>
  <c r="Q397" i="3" s="1"/>
  <c r="Q398" i="3" a="1"/>
  <c r="Q398" i="3" s="1"/>
  <c r="Q399" i="3" a="1"/>
  <c r="Q399" i="3" s="1"/>
  <c r="Q400" i="3" a="1"/>
  <c r="Q400" i="3" s="1"/>
  <c r="Q401" i="3" a="1"/>
  <c r="Q401" i="3" s="1"/>
  <c r="Q402" i="3" a="1"/>
  <c r="Q402" i="3" s="1"/>
  <c r="Q403" i="3" a="1"/>
  <c r="Q403" i="3" s="1"/>
  <c r="Q404" i="3" a="1"/>
  <c r="Q404" i="3" s="1"/>
  <c r="Q405" i="3" a="1"/>
  <c r="Q405" i="3" s="1"/>
  <c r="Q406" i="3" a="1"/>
  <c r="Q406" i="3" s="1"/>
  <c r="Q407" i="3" a="1"/>
  <c r="Q407" i="3" s="1"/>
  <c r="Q408" i="3" a="1"/>
  <c r="Q408" i="3" s="1"/>
  <c r="Q409" i="3" a="1"/>
  <c r="Q409" i="3" s="1"/>
  <c r="Q410" i="3" a="1"/>
  <c r="Q410" i="3" s="1"/>
  <c r="Q411" i="3" a="1"/>
  <c r="Q411" i="3" s="1"/>
  <c r="Q412" i="3" a="1"/>
  <c r="Q412" i="3" s="1"/>
  <c r="Q413" i="3" a="1"/>
  <c r="Q413" i="3" s="1"/>
  <c r="Q414" i="3" a="1"/>
  <c r="Q414" i="3" s="1"/>
  <c r="Q415" i="3" a="1"/>
  <c r="Q415" i="3" s="1"/>
  <c r="Q416" i="3" a="1"/>
  <c r="Q416" i="3" s="1"/>
  <c r="Q417" i="3" a="1"/>
  <c r="Q417" i="3" s="1"/>
  <c r="Q418" i="3" a="1"/>
  <c r="Q418" i="3" s="1"/>
  <c r="Q419" i="3" a="1"/>
  <c r="Q419" i="3" s="1"/>
  <c r="Q420" i="3" a="1"/>
  <c r="Q420" i="3" s="1"/>
  <c r="Q421" i="3" a="1"/>
  <c r="Q421" i="3" s="1"/>
  <c r="Q422" i="3" a="1"/>
  <c r="Q422" i="3" s="1"/>
  <c r="Q423" i="3" a="1"/>
  <c r="Q423" i="3" s="1"/>
  <c r="Q424" i="3" a="1"/>
  <c r="Q424" i="3" s="1"/>
  <c r="Q425" i="3" a="1"/>
  <c r="Q425" i="3" s="1"/>
  <c r="Q426" i="3" a="1"/>
  <c r="Q426" i="3" s="1"/>
  <c r="Q427" i="3" a="1"/>
  <c r="Q427" i="3" s="1"/>
  <c r="Q428" i="3" a="1"/>
  <c r="Q428" i="3" s="1"/>
  <c r="Q429" i="3" a="1"/>
  <c r="Q429" i="3" s="1"/>
  <c r="Q430" i="3" a="1"/>
  <c r="Q430" i="3" s="1"/>
  <c r="Q431" i="3" a="1"/>
  <c r="Q431" i="3" s="1"/>
  <c r="Q432" i="3" a="1"/>
  <c r="Q432" i="3" s="1"/>
  <c r="Q433" i="3" a="1"/>
  <c r="Q433" i="3" s="1"/>
  <c r="Q434" i="3" a="1"/>
  <c r="Q434" i="3" s="1"/>
  <c r="Q435" i="3" a="1"/>
  <c r="Q435" i="3" s="1"/>
  <c r="Q436" i="3" a="1"/>
  <c r="Q436" i="3" s="1"/>
  <c r="Q437" i="3" a="1"/>
  <c r="Q437" i="3" s="1"/>
  <c r="Q438" i="3" a="1"/>
  <c r="Q438" i="3" s="1"/>
  <c r="Q439" i="3" a="1"/>
  <c r="Q439" i="3" s="1"/>
  <c r="Q440" i="3" a="1"/>
  <c r="Q440" i="3" s="1"/>
  <c r="Q441" i="3" a="1"/>
  <c r="Q441" i="3" s="1"/>
  <c r="Q442" i="3" a="1"/>
  <c r="Q442" i="3" s="1"/>
  <c r="Q443" i="3" a="1"/>
  <c r="Q443" i="3" s="1"/>
  <c r="Q444" i="3" a="1"/>
  <c r="Q444" i="3" s="1"/>
  <c r="Q445" i="3" a="1"/>
  <c r="Q445" i="3" s="1"/>
  <c r="Q446" i="3" a="1"/>
  <c r="Q446" i="3" s="1"/>
  <c r="Q447" i="3" a="1"/>
  <c r="Q447" i="3" s="1"/>
  <c r="Q448" i="3" a="1"/>
  <c r="Q448" i="3" s="1"/>
  <c r="Q449" i="3" a="1"/>
  <c r="Q449" i="3" s="1"/>
  <c r="Q450" i="3" a="1"/>
  <c r="Q450" i="3" s="1"/>
  <c r="Q451" i="3" a="1"/>
  <c r="Q451" i="3" s="1"/>
  <c r="Q452" i="3" a="1"/>
  <c r="Q452" i="3" s="1"/>
  <c r="Q453" i="3" a="1"/>
  <c r="Q453" i="3" s="1"/>
  <c r="Q454" i="3" a="1"/>
  <c r="Q454" i="3" s="1"/>
  <c r="Q455" i="3" a="1"/>
  <c r="Q455" i="3" s="1"/>
  <c r="Q456" i="3" a="1"/>
  <c r="Q456" i="3" s="1"/>
  <c r="Q457" i="3" a="1"/>
  <c r="Q457" i="3" s="1"/>
  <c r="Q458" i="3" a="1"/>
  <c r="Q458" i="3" s="1"/>
  <c r="Q459" i="3" a="1"/>
  <c r="Q459" i="3" s="1"/>
  <c r="Q460" i="3" a="1"/>
  <c r="Q460" i="3" s="1"/>
  <c r="Q461" i="3" a="1"/>
  <c r="Q461" i="3" s="1"/>
  <c r="Q462" i="3" a="1"/>
  <c r="Q462" i="3" s="1"/>
  <c r="Q463" i="3" a="1"/>
  <c r="Q463" i="3" s="1"/>
  <c r="Q464" i="3" a="1"/>
  <c r="Q464" i="3" s="1"/>
  <c r="Q465" i="3" a="1"/>
  <c r="Q465" i="3" s="1"/>
  <c r="Q466" i="3" a="1"/>
  <c r="Q466" i="3" s="1"/>
  <c r="Q467" i="3" a="1"/>
  <c r="Q467" i="3" s="1"/>
  <c r="Q468" i="3" a="1"/>
  <c r="Q468" i="3" s="1"/>
  <c r="Q469" i="3" a="1"/>
  <c r="Q469" i="3" s="1"/>
  <c r="Q470" i="3" a="1"/>
  <c r="Q470" i="3" s="1"/>
  <c r="Q471" i="3" a="1"/>
  <c r="Q471" i="3" s="1"/>
  <c r="Q472" i="3" a="1"/>
  <c r="Q472" i="3" s="1"/>
  <c r="Q473" i="3" a="1"/>
  <c r="Q473" i="3" s="1"/>
  <c r="Q474" i="3" a="1"/>
  <c r="Q474" i="3" s="1"/>
  <c r="Q475" i="3" a="1"/>
  <c r="Q475" i="3" s="1"/>
  <c r="Q476" i="3" a="1"/>
  <c r="Q476" i="3" s="1"/>
  <c r="Q477" i="3" a="1"/>
  <c r="Q477" i="3" s="1"/>
  <c r="Q478" i="3" a="1"/>
  <c r="Q478" i="3" s="1"/>
  <c r="Q479" i="3" a="1"/>
  <c r="Q479" i="3" s="1"/>
  <c r="Q480" i="3" a="1"/>
  <c r="Q480" i="3" s="1"/>
  <c r="Q481" i="3" a="1"/>
  <c r="Q481" i="3" s="1"/>
  <c r="Q482" i="3" a="1"/>
  <c r="Q482" i="3" s="1"/>
  <c r="Q483" i="3" a="1"/>
  <c r="Q483" i="3" s="1"/>
  <c r="Q484" i="3" a="1"/>
  <c r="Q484" i="3" s="1"/>
  <c r="Q485" i="3" a="1"/>
  <c r="Q485" i="3" s="1"/>
  <c r="Q486" i="3" a="1"/>
  <c r="Q486" i="3" s="1"/>
  <c r="Q487" i="3" a="1"/>
  <c r="Q487" i="3" s="1"/>
  <c r="Q488" i="3" a="1"/>
  <c r="Q488" i="3" s="1"/>
  <c r="Q489" i="3" a="1"/>
  <c r="Q489" i="3" s="1"/>
  <c r="Q490" i="3" a="1"/>
  <c r="Q490" i="3" s="1"/>
  <c r="Q491" i="3" a="1"/>
  <c r="Q491" i="3" s="1"/>
  <c r="Q492" i="3" a="1"/>
  <c r="Q492" i="3" s="1"/>
  <c r="Q493" i="3" a="1"/>
  <c r="Q493" i="3" s="1"/>
  <c r="Q494" i="3" a="1"/>
  <c r="Q494" i="3" s="1"/>
  <c r="Q495" i="3" a="1"/>
  <c r="Q495" i="3" s="1"/>
  <c r="Q496" i="3" a="1"/>
  <c r="Q496" i="3" s="1"/>
  <c r="Q497" i="3" a="1"/>
  <c r="Q497" i="3" s="1"/>
  <c r="Q498" i="3" a="1"/>
  <c r="Q498" i="3" s="1"/>
  <c r="Q499" i="3" a="1"/>
  <c r="Q499" i="3" s="1"/>
  <c r="Q500" i="3" a="1"/>
  <c r="Q500" i="3" s="1"/>
  <c r="Q501" i="3" a="1"/>
  <c r="Q501" i="3" s="1"/>
  <c r="Q502" i="3" a="1"/>
  <c r="Q502" i="3" s="1"/>
  <c r="Q503" i="3" a="1"/>
  <c r="Q503" i="3" s="1"/>
  <c r="Q504" i="3" a="1"/>
  <c r="Q504" i="3" s="1"/>
  <c r="Q505" i="3" a="1"/>
  <c r="Q505" i="3" s="1"/>
  <c r="Q506" i="3" a="1"/>
  <c r="Q506" i="3" s="1"/>
  <c r="Q507" i="3" a="1"/>
  <c r="Q507" i="3" s="1"/>
  <c r="Q508" i="3" a="1"/>
  <c r="Q508" i="3" s="1"/>
  <c r="Q509" i="3" a="1"/>
  <c r="Q509" i="3" s="1"/>
  <c r="Q510" i="3" a="1"/>
  <c r="Q510" i="3" s="1"/>
  <c r="Q511" i="3" a="1"/>
  <c r="Q511" i="3" s="1"/>
  <c r="Q512" i="3" a="1"/>
  <c r="Q512" i="3" s="1"/>
  <c r="Q513" i="3" a="1"/>
  <c r="Q513" i="3" s="1"/>
  <c r="Q514" i="3" a="1"/>
  <c r="Q514" i="3" s="1"/>
  <c r="Q515" i="3" a="1"/>
  <c r="Q515" i="3" s="1"/>
  <c r="Q516" i="3" a="1"/>
  <c r="Q516" i="3" s="1"/>
  <c r="Q517" i="3" a="1"/>
  <c r="Q517" i="3" s="1"/>
  <c r="Q518" i="3" a="1"/>
  <c r="Q518" i="3" s="1"/>
  <c r="Q519" i="3" a="1"/>
  <c r="Q519" i="3" s="1"/>
  <c r="Q520" i="3" a="1"/>
  <c r="Q520" i="3" s="1"/>
  <c r="Q521" i="3" a="1"/>
  <c r="Q521" i="3" s="1"/>
  <c r="Q522" i="3" a="1"/>
  <c r="Q522" i="3" s="1"/>
  <c r="Q523" i="3" a="1"/>
  <c r="Q523" i="3" s="1"/>
  <c r="Q524" i="3" a="1"/>
  <c r="Q524" i="3" s="1"/>
  <c r="Q525" i="3" a="1"/>
  <c r="Q525" i="3" s="1"/>
  <c r="Q526" i="3" a="1"/>
  <c r="Q526" i="3" s="1"/>
  <c r="Q527" i="3" a="1"/>
  <c r="Q527" i="3" s="1"/>
  <c r="Q528" i="3" a="1"/>
  <c r="Q528" i="3" s="1"/>
  <c r="Q529" i="3" a="1"/>
  <c r="Q529" i="3" s="1"/>
  <c r="Q530" i="3" a="1"/>
  <c r="Q530" i="3" s="1"/>
  <c r="Q531" i="3" a="1"/>
  <c r="Q531" i="3" s="1"/>
  <c r="Q532" i="3" a="1"/>
  <c r="Q532" i="3" s="1"/>
  <c r="Q533" i="3" a="1"/>
  <c r="Q533" i="3" s="1"/>
  <c r="Q534" i="3" a="1"/>
  <c r="Q534" i="3" s="1"/>
  <c r="Q535" i="3" a="1"/>
  <c r="Q535" i="3" s="1"/>
  <c r="Q536" i="3" a="1"/>
  <c r="Q536" i="3" s="1"/>
  <c r="Q537" i="3" a="1"/>
  <c r="Q537" i="3" s="1"/>
  <c r="Q538" i="3" a="1"/>
  <c r="Q538" i="3" s="1"/>
  <c r="Q539" i="3" a="1"/>
  <c r="Q539" i="3" s="1"/>
  <c r="Q540" i="3" a="1"/>
  <c r="Q540" i="3" s="1"/>
  <c r="Q541" i="3" a="1"/>
  <c r="Q541" i="3" s="1"/>
  <c r="Q542" i="3" a="1"/>
  <c r="Q542" i="3" s="1"/>
  <c r="Q543" i="3" a="1"/>
  <c r="Q543" i="3" s="1"/>
  <c r="Q544" i="3" a="1"/>
  <c r="Q544" i="3" s="1"/>
  <c r="Q545" i="3" a="1"/>
  <c r="Q545" i="3" s="1"/>
  <c r="Q546" i="3" a="1"/>
  <c r="Q546" i="3" s="1"/>
  <c r="Q547" i="3" a="1"/>
  <c r="Q547" i="3" s="1"/>
  <c r="Q548" i="3" a="1"/>
  <c r="Q548" i="3" s="1"/>
  <c r="Q549" i="3" a="1"/>
  <c r="Q549" i="3" s="1"/>
  <c r="Q550" i="3" a="1"/>
  <c r="Q550" i="3" s="1"/>
  <c r="Q551" i="3" a="1"/>
  <c r="Q551" i="3" s="1"/>
  <c r="Q552" i="3" a="1"/>
  <c r="Q552" i="3" s="1"/>
  <c r="Q553" i="3" a="1"/>
  <c r="Q553" i="3" s="1"/>
  <c r="Q554" i="3" a="1"/>
  <c r="Q554" i="3" s="1"/>
  <c r="Q555" i="3" a="1"/>
  <c r="Q555" i="3" s="1"/>
  <c r="Q556" i="3" a="1"/>
  <c r="Q556" i="3" s="1"/>
  <c r="Q557" i="3" a="1"/>
  <c r="Q557" i="3" s="1"/>
  <c r="Q558" i="3" a="1"/>
  <c r="Q558" i="3" s="1"/>
  <c r="Q559" i="3" a="1"/>
  <c r="Q559" i="3" s="1"/>
  <c r="Q560" i="3" a="1"/>
  <c r="Q560" i="3" s="1"/>
  <c r="Q561" i="3" a="1"/>
  <c r="Q561" i="3" s="1"/>
  <c r="Q562" i="3" a="1"/>
  <c r="Q562" i="3" s="1"/>
  <c r="Q563" i="3" a="1"/>
  <c r="Q563" i="3" s="1"/>
  <c r="Q564" i="3" a="1"/>
  <c r="Q564" i="3" s="1"/>
  <c r="Q565" i="3" a="1"/>
  <c r="Q565" i="3" s="1"/>
  <c r="Q566" i="3" a="1"/>
  <c r="Q566" i="3" s="1"/>
  <c r="Q567" i="3" a="1"/>
  <c r="Q567" i="3" s="1"/>
  <c r="Q568" i="3" a="1"/>
  <c r="Q568" i="3" s="1"/>
  <c r="Q569" i="3" a="1"/>
  <c r="Q569" i="3" s="1"/>
  <c r="Q570" i="3" a="1"/>
  <c r="Q570" i="3" s="1"/>
  <c r="Q571" i="3" a="1"/>
  <c r="Q571" i="3" s="1"/>
  <c r="Q572" i="3" a="1"/>
  <c r="Q572" i="3" s="1"/>
  <c r="Q573" i="3" a="1"/>
  <c r="Q573" i="3" s="1"/>
  <c r="Q574" i="3" a="1"/>
  <c r="Q574" i="3" s="1"/>
  <c r="Q575" i="3" a="1"/>
  <c r="Q575" i="3" s="1"/>
  <c r="Q576" i="3" a="1"/>
  <c r="Q576" i="3" s="1"/>
  <c r="Q577" i="3" a="1"/>
  <c r="Q577" i="3" s="1"/>
  <c r="Q578" i="3" a="1"/>
  <c r="Q578" i="3" s="1"/>
  <c r="Q579" i="3" a="1"/>
  <c r="Q579" i="3" s="1"/>
  <c r="Q580" i="3" a="1"/>
  <c r="Q580" i="3" s="1"/>
  <c r="Q581" i="3" a="1"/>
  <c r="Q581" i="3" s="1"/>
  <c r="Q582" i="3" a="1"/>
  <c r="Q582" i="3" s="1"/>
  <c r="Q2" i="3" a="1"/>
  <c r="Q2" i="3" s="1"/>
  <c r="P3" i="3" a="1"/>
  <c r="P3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P72" i="3" a="1"/>
  <c r="P72" i="3" s="1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 s="1"/>
  <c r="P82" i="3" a="1"/>
  <c r="P82" i="3" s="1"/>
  <c r="P83" i="3" a="1"/>
  <c r="P83" i="3" s="1"/>
  <c r="P84" i="3" a="1"/>
  <c r="P84" i="3" s="1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90" i="3" a="1"/>
  <c r="P90" i="3" s="1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 s="1"/>
  <c r="P100" i="3" a="1"/>
  <c r="P100" i="3" s="1"/>
  <c r="P101" i="3" a="1"/>
  <c r="P101" i="3" s="1"/>
  <c r="P102" i="3" a="1"/>
  <c r="P102" i="3" s="1"/>
  <c r="P103" i="3" a="1"/>
  <c r="P103" i="3" s="1"/>
  <c r="P104" i="3" a="1"/>
  <c r="P104" i="3" s="1"/>
  <c r="P105" i="3" a="1"/>
  <c r="P105" i="3" s="1"/>
  <c r="P106" i="3" a="1"/>
  <c r="P106" i="3" s="1"/>
  <c r="P107" i="3" a="1"/>
  <c r="P107" i="3" s="1"/>
  <c r="P108" i="3" a="1"/>
  <c r="P108" i="3" s="1"/>
  <c r="P109" i="3" a="1"/>
  <c r="P109" i="3" s="1"/>
  <c r="P110" i="3" a="1"/>
  <c r="P110" i="3" s="1"/>
  <c r="P111" i="3" a="1"/>
  <c r="P111" i="3" s="1"/>
  <c r="P112" i="3" a="1"/>
  <c r="P112" i="3" s="1"/>
  <c r="P113" i="3" a="1"/>
  <c r="P113" i="3" s="1"/>
  <c r="P114" i="3" a="1"/>
  <c r="P114" i="3" s="1"/>
  <c r="P115" i="3" a="1"/>
  <c r="P115" i="3" s="1"/>
  <c r="P116" i="3" a="1"/>
  <c r="P116" i="3" s="1"/>
  <c r="P117" i="3" a="1"/>
  <c r="P117" i="3" s="1"/>
  <c r="P118" i="3" a="1"/>
  <c r="P118" i="3" s="1"/>
  <c r="P119" i="3" a="1"/>
  <c r="P119" i="3" s="1"/>
  <c r="P120" i="3" a="1"/>
  <c r="P120" i="3" s="1"/>
  <c r="P121" i="3" a="1"/>
  <c r="P121" i="3" s="1"/>
  <c r="P122" i="3" a="1"/>
  <c r="P122" i="3" s="1"/>
  <c r="P123" i="3" a="1"/>
  <c r="P123" i="3" s="1"/>
  <c r="P124" i="3" a="1"/>
  <c r="P124" i="3" s="1"/>
  <c r="P125" i="3" a="1"/>
  <c r="P125" i="3" s="1"/>
  <c r="P126" i="3" a="1"/>
  <c r="P126" i="3" s="1"/>
  <c r="P127" i="3" a="1"/>
  <c r="P127" i="3" s="1"/>
  <c r="P128" i="3" a="1"/>
  <c r="P128" i="3" s="1"/>
  <c r="P129" i="3" a="1"/>
  <c r="P129" i="3" s="1"/>
  <c r="P130" i="3" a="1"/>
  <c r="P130" i="3" s="1"/>
  <c r="P131" i="3" a="1"/>
  <c r="P131" i="3" s="1"/>
  <c r="P132" i="3" a="1"/>
  <c r="P132" i="3" s="1"/>
  <c r="P133" i="3" a="1"/>
  <c r="P133" i="3" s="1"/>
  <c r="P134" i="3" a="1"/>
  <c r="P134" i="3" s="1"/>
  <c r="P135" i="3" a="1"/>
  <c r="P135" i="3" s="1"/>
  <c r="P136" i="3" a="1"/>
  <c r="P136" i="3" s="1"/>
  <c r="P137" i="3" a="1"/>
  <c r="P137" i="3" s="1"/>
  <c r="P138" i="3" a="1"/>
  <c r="P138" i="3" s="1"/>
  <c r="P139" i="3" a="1"/>
  <c r="P139" i="3" s="1"/>
  <c r="P140" i="3" a="1"/>
  <c r="P140" i="3" s="1"/>
  <c r="P141" i="3" a="1"/>
  <c r="P141" i="3" s="1"/>
  <c r="P142" i="3" a="1"/>
  <c r="P142" i="3" s="1"/>
  <c r="P143" i="3" a="1"/>
  <c r="P143" i="3" s="1"/>
  <c r="P144" i="3" a="1"/>
  <c r="P144" i="3" s="1"/>
  <c r="P145" i="3" a="1"/>
  <c r="P145" i="3" s="1"/>
  <c r="P146" i="3" a="1"/>
  <c r="P146" i="3" s="1"/>
  <c r="P147" i="3" a="1"/>
  <c r="P147" i="3" s="1"/>
  <c r="P148" i="3" a="1"/>
  <c r="P148" i="3" s="1"/>
  <c r="P149" i="3" a="1"/>
  <c r="P149" i="3" s="1"/>
  <c r="P150" i="3" a="1"/>
  <c r="P150" i="3" s="1"/>
  <c r="P151" i="3" a="1"/>
  <c r="P151" i="3" s="1"/>
  <c r="P152" i="3" a="1"/>
  <c r="P152" i="3" s="1"/>
  <c r="P153" i="3" a="1"/>
  <c r="P153" i="3" s="1"/>
  <c r="P154" i="3" a="1"/>
  <c r="P154" i="3" s="1"/>
  <c r="P155" i="3" a="1"/>
  <c r="P155" i="3" s="1"/>
  <c r="P156" i="3" a="1"/>
  <c r="P156" i="3" s="1"/>
  <c r="P157" i="3" a="1"/>
  <c r="P157" i="3" s="1"/>
  <c r="P158" i="3" a="1"/>
  <c r="P158" i="3" s="1"/>
  <c r="P159" i="3" a="1"/>
  <c r="P159" i="3" s="1"/>
  <c r="P160" i="3" a="1"/>
  <c r="P160" i="3" s="1"/>
  <c r="P161" i="3" a="1"/>
  <c r="P161" i="3" s="1"/>
  <c r="P162" i="3" a="1"/>
  <c r="P162" i="3" s="1"/>
  <c r="P163" i="3" a="1"/>
  <c r="P163" i="3" s="1"/>
  <c r="P164" i="3" a="1"/>
  <c r="P164" i="3" s="1"/>
  <c r="P165" i="3" a="1"/>
  <c r="P165" i="3" s="1"/>
  <c r="P166" i="3" a="1"/>
  <c r="P166" i="3" s="1"/>
  <c r="P167" i="3" a="1"/>
  <c r="P167" i="3" s="1"/>
  <c r="P168" i="3" a="1"/>
  <c r="P168" i="3" s="1"/>
  <c r="P169" i="3" a="1"/>
  <c r="P169" i="3" s="1"/>
  <c r="P170" i="3" a="1"/>
  <c r="P170" i="3" s="1"/>
  <c r="P171" i="3" a="1"/>
  <c r="P171" i="3" s="1"/>
  <c r="P172" i="3" a="1"/>
  <c r="P172" i="3" s="1"/>
  <c r="P173" i="3" a="1"/>
  <c r="P173" i="3" s="1"/>
  <c r="P174" i="3" a="1"/>
  <c r="P174" i="3" s="1"/>
  <c r="P175" i="3" a="1"/>
  <c r="P175" i="3" s="1"/>
  <c r="P176" i="3" a="1"/>
  <c r="P176" i="3" s="1"/>
  <c r="P177" i="3" a="1"/>
  <c r="P177" i="3" s="1"/>
  <c r="P178" i="3" a="1"/>
  <c r="P178" i="3" s="1"/>
  <c r="P179" i="3" a="1"/>
  <c r="P179" i="3" s="1"/>
  <c r="P180" i="3" a="1"/>
  <c r="P180" i="3" s="1"/>
  <c r="P181" i="3" a="1"/>
  <c r="P181" i="3" s="1"/>
  <c r="P182" i="3" a="1"/>
  <c r="P182" i="3" s="1"/>
  <c r="P183" i="3" a="1"/>
  <c r="P183" i="3" s="1"/>
  <c r="P184" i="3" a="1"/>
  <c r="P184" i="3" s="1"/>
  <c r="P185" i="3" a="1"/>
  <c r="P185" i="3" s="1"/>
  <c r="P186" i="3" a="1"/>
  <c r="P186" i="3" s="1"/>
  <c r="P187" i="3" a="1"/>
  <c r="P187" i="3" s="1"/>
  <c r="P188" i="3" a="1"/>
  <c r="P188" i="3" s="1"/>
  <c r="P189" i="3" a="1"/>
  <c r="P189" i="3" s="1"/>
  <c r="P190" i="3" a="1"/>
  <c r="P190" i="3" s="1"/>
  <c r="P191" i="3" a="1"/>
  <c r="P191" i="3" s="1"/>
  <c r="P192" i="3" a="1"/>
  <c r="P192" i="3" s="1"/>
  <c r="P193" i="3" a="1"/>
  <c r="P193" i="3" s="1"/>
  <c r="P194" i="3" a="1"/>
  <c r="P194" i="3" s="1"/>
  <c r="P195" i="3" a="1"/>
  <c r="P195" i="3" s="1"/>
  <c r="P196" i="3" a="1"/>
  <c r="P196" i="3" s="1"/>
  <c r="P197" i="3" a="1"/>
  <c r="P197" i="3" s="1"/>
  <c r="P198" i="3" a="1"/>
  <c r="P198" i="3" s="1"/>
  <c r="P199" i="3" a="1"/>
  <c r="P199" i="3" s="1"/>
  <c r="P200" i="3" a="1"/>
  <c r="P200" i="3" s="1"/>
  <c r="P201" i="3" a="1"/>
  <c r="P201" i="3" s="1"/>
  <c r="P202" i="3" a="1"/>
  <c r="P202" i="3" s="1"/>
  <c r="P203" i="3" a="1"/>
  <c r="P203" i="3" s="1"/>
  <c r="P204" i="3" a="1"/>
  <c r="P204" i="3" s="1"/>
  <c r="P205" i="3" a="1"/>
  <c r="P205" i="3" s="1"/>
  <c r="P206" i="3" a="1"/>
  <c r="P206" i="3" s="1"/>
  <c r="P207" i="3" a="1"/>
  <c r="P207" i="3" s="1"/>
  <c r="P208" i="3" a="1"/>
  <c r="P208" i="3" s="1"/>
  <c r="P209" i="3" a="1"/>
  <c r="P209" i="3" s="1"/>
  <c r="P210" i="3" a="1"/>
  <c r="P210" i="3" s="1"/>
  <c r="P211" i="3" a="1"/>
  <c r="P211" i="3" s="1"/>
  <c r="P212" i="3" a="1"/>
  <c r="P212" i="3" s="1"/>
  <c r="P213" i="3" a="1"/>
  <c r="P213" i="3" s="1"/>
  <c r="P214" i="3" a="1"/>
  <c r="P214" i="3" s="1"/>
  <c r="P215" i="3" a="1"/>
  <c r="P215" i="3" s="1"/>
  <c r="P216" i="3" a="1"/>
  <c r="P216" i="3" s="1"/>
  <c r="P217" i="3" a="1"/>
  <c r="P217" i="3" s="1"/>
  <c r="P218" i="3" a="1"/>
  <c r="P218" i="3" s="1"/>
  <c r="P219" i="3" a="1"/>
  <c r="P219" i="3" s="1"/>
  <c r="P220" i="3" a="1"/>
  <c r="P220" i="3" s="1"/>
  <c r="P221" i="3" a="1"/>
  <c r="P221" i="3" s="1"/>
  <c r="P222" i="3" a="1"/>
  <c r="P222" i="3" s="1"/>
  <c r="P223" i="3" a="1"/>
  <c r="P223" i="3" s="1"/>
  <c r="P224" i="3" a="1"/>
  <c r="P224" i="3" s="1"/>
  <c r="P225" i="3" a="1"/>
  <c r="P225" i="3" s="1"/>
  <c r="P226" i="3" a="1"/>
  <c r="P226" i="3" s="1"/>
  <c r="P227" i="3" a="1"/>
  <c r="P227" i="3" s="1"/>
  <c r="P228" i="3" a="1"/>
  <c r="P228" i="3" s="1"/>
  <c r="P229" i="3" a="1"/>
  <c r="P229" i="3" s="1"/>
  <c r="P230" i="3" a="1"/>
  <c r="P230" i="3" s="1"/>
  <c r="P231" i="3" a="1"/>
  <c r="P231" i="3" s="1"/>
  <c r="P232" i="3" a="1"/>
  <c r="P232" i="3" s="1"/>
  <c r="P233" i="3" a="1"/>
  <c r="P233" i="3" s="1"/>
  <c r="P234" i="3" a="1"/>
  <c r="P234" i="3" s="1"/>
  <c r="P235" i="3" a="1"/>
  <c r="P235" i="3" s="1"/>
  <c r="P236" i="3" a="1"/>
  <c r="P236" i="3" s="1"/>
  <c r="P237" i="3" a="1"/>
  <c r="P237" i="3" s="1"/>
  <c r="P238" i="3" a="1"/>
  <c r="P238" i="3" s="1"/>
  <c r="P239" i="3" a="1"/>
  <c r="P239" i="3" s="1"/>
  <c r="P240" i="3" a="1"/>
  <c r="P240" i="3" s="1"/>
  <c r="P241" i="3" a="1"/>
  <c r="P241" i="3" s="1"/>
  <c r="P242" i="3" a="1"/>
  <c r="P242" i="3" s="1"/>
  <c r="P243" i="3" a="1"/>
  <c r="P243" i="3" s="1"/>
  <c r="P244" i="3" a="1"/>
  <c r="P244" i="3" s="1"/>
  <c r="P245" i="3" a="1"/>
  <c r="P245" i="3" s="1"/>
  <c r="P246" i="3" a="1"/>
  <c r="P246" i="3" s="1"/>
  <c r="P247" i="3" a="1"/>
  <c r="P247" i="3" s="1"/>
  <c r="P248" i="3" a="1"/>
  <c r="P248" i="3" s="1"/>
  <c r="P249" i="3" a="1"/>
  <c r="P249" i="3" s="1"/>
  <c r="P250" i="3" a="1"/>
  <c r="P250" i="3" s="1"/>
  <c r="P251" i="3" a="1"/>
  <c r="P251" i="3" s="1"/>
  <c r="P252" i="3" a="1"/>
  <c r="P252" i="3" s="1"/>
  <c r="P253" i="3" a="1"/>
  <c r="P253" i="3" s="1"/>
  <c r="P254" i="3" a="1"/>
  <c r="P254" i="3" s="1"/>
  <c r="P255" i="3" a="1"/>
  <c r="P255" i="3" s="1"/>
  <c r="P256" i="3" a="1"/>
  <c r="P256" i="3" s="1"/>
  <c r="P257" i="3" a="1"/>
  <c r="P257" i="3" s="1"/>
  <c r="P258" i="3" a="1"/>
  <c r="P258" i="3" s="1"/>
  <c r="P259" i="3" a="1"/>
  <c r="P259" i="3" s="1"/>
  <c r="P260" i="3" a="1"/>
  <c r="P260" i="3" s="1"/>
  <c r="P261" i="3" a="1"/>
  <c r="P261" i="3" s="1"/>
  <c r="P262" i="3" a="1"/>
  <c r="P262" i="3" s="1"/>
  <c r="P263" i="3" a="1"/>
  <c r="P263" i="3" s="1"/>
  <c r="P264" i="3" a="1"/>
  <c r="P264" i="3" s="1"/>
  <c r="P265" i="3" a="1"/>
  <c r="P265" i="3" s="1"/>
  <c r="P266" i="3" a="1"/>
  <c r="P266" i="3" s="1"/>
  <c r="P267" i="3" a="1"/>
  <c r="P267" i="3" s="1"/>
  <c r="P268" i="3" a="1"/>
  <c r="P268" i="3" s="1"/>
  <c r="P269" i="3" a="1"/>
  <c r="P269" i="3" s="1"/>
  <c r="P270" i="3" a="1"/>
  <c r="P270" i="3" s="1"/>
  <c r="P271" i="3" a="1"/>
  <c r="P271" i="3" s="1"/>
  <c r="P272" i="3" a="1"/>
  <c r="P272" i="3" s="1"/>
  <c r="P273" i="3" a="1"/>
  <c r="P273" i="3" s="1"/>
  <c r="P274" i="3" a="1"/>
  <c r="P274" i="3" s="1"/>
  <c r="P275" i="3" a="1"/>
  <c r="P275" i="3" s="1"/>
  <c r="P276" i="3" a="1"/>
  <c r="P276" i="3" s="1"/>
  <c r="P277" i="3" a="1"/>
  <c r="P277" i="3" s="1"/>
  <c r="P278" i="3" a="1"/>
  <c r="P278" i="3" s="1"/>
  <c r="P279" i="3" a="1"/>
  <c r="P279" i="3" s="1"/>
  <c r="P280" i="3" a="1"/>
  <c r="P280" i="3" s="1"/>
  <c r="P281" i="3" a="1"/>
  <c r="P281" i="3" s="1"/>
  <c r="P282" i="3" a="1"/>
  <c r="P282" i="3" s="1"/>
  <c r="P283" i="3" a="1"/>
  <c r="P283" i="3" s="1"/>
  <c r="P284" i="3" a="1"/>
  <c r="P284" i="3" s="1"/>
  <c r="P285" i="3" a="1"/>
  <c r="P285" i="3" s="1"/>
  <c r="P286" i="3" a="1"/>
  <c r="P286" i="3" s="1"/>
  <c r="P287" i="3" a="1"/>
  <c r="P287" i="3" s="1"/>
  <c r="P288" i="3" a="1"/>
  <c r="P288" i="3" s="1"/>
  <c r="P289" i="3" a="1"/>
  <c r="P289" i="3" s="1"/>
  <c r="P290" i="3" a="1"/>
  <c r="P290" i="3" s="1"/>
  <c r="P291" i="3" a="1"/>
  <c r="P291" i="3" s="1"/>
  <c r="P292" i="3" a="1"/>
  <c r="P292" i="3" s="1"/>
  <c r="P293" i="3" a="1"/>
  <c r="P293" i="3" s="1"/>
  <c r="P294" i="3" a="1"/>
  <c r="P294" i="3" s="1"/>
  <c r="P295" i="3" a="1"/>
  <c r="P295" i="3" s="1"/>
  <c r="P296" i="3" a="1"/>
  <c r="P296" i="3" s="1"/>
  <c r="P297" i="3" a="1"/>
  <c r="P297" i="3" s="1"/>
  <c r="P298" i="3" a="1"/>
  <c r="P298" i="3" s="1"/>
  <c r="P299" i="3" a="1"/>
  <c r="P299" i="3" s="1"/>
  <c r="P300" i="3" a="1"/>
  <c r="P300" i="3" s="1"/>
  <c r="P301" i="3" a="1"/>
  <c r="P301" i="3" s="1"/>
  <c r="P302" i="3" a="1"/>
  <c r="P302" i="3" s="1"/>
  <c r="P303" i="3" a="1"/>
  <c r="P303" i="3" s="1"/>
  <c r="P304" i="3" a="1"/>
  <c r="P304" i="3" s="1"/>
  <c r="P305" i="3" a="1"/>
  <c r="P305" i="3" s="1"/>
  <c r="P306" i="3" a="1"/>
  <c r="P306" i="3" s="1"/>
  <c r="P307" i="3" a="1"/>
  <c r="P307" i="3" s="1"/>
  <c r="P308" i="3" a="1"/>
  <c r="P308" i="3" s="1"/>
  <c r="P309" i="3" a="1"/>
  <c r="P309" i="3" s="1"/>
  <c r="P310" i="3" a="1"/>
  <c r="P310" i="3" s="1"/>
  <c r="P311" i="3" a="1"/>
  <c r="P311" i="3" s="1"/>
  <c r="P312" i="3" a="1"/>
  <c r="P312" i="3" s="1"/>
  <c r="P313" i="3" a="1"/>
  <c r="P313" i="3" s="1"/>
  <c r="P314" i="3" a="1"/>
  <c r="P314" i="3" s="1"/>
  <c r="P315" i="3" a="1"/>
  <c r="P315" i="3" s="1"/>
  <c r="P316" i="3" a="1"/>
  <c r="P316" i="3" s="1"/>
  <c r="P317" i="3" a="1"/>
  <c r="P317" i="3" s="1"/>
  <c r="P318" i="3" a="1"/>
  <c r="P318" i="3" s="1"/>
  <c r="P319" i="3" a="1"/>
  <c r="P319" i="3" s="1"/>
  <c r="P320" i="3" a="1"/>
  <c r="P320" i="3" s="1"/>
  <c r="P321" i="3" a="1"/>
  <c r="P321" i="3" s="1"/>
  <c r="P322" i="3" a="1"/>
  <c r="P322" i="3" s="1"/>
  <c r="P323" i="3" a="1"/>
  <c r="P323" i="3" s="1"/>
  <c r="P324" i="3" a="1"/>
  <c r="P324" i="3" s="1"/>
  <c r="P325" i="3" a="1"/>
  <c r="P325" i="3" s="1"/>
  <c r="P326" i="3" a="1"/>
  <c r="P326" i="3" s="1"/>
  <c r="P327" i="3" a="1"/>
  <c r="P327" i="3" s="1"/>
  <c r="P328" i="3" a="1"/>
  <c r="P328" i="3" s="1"/>
  <c r="P329" i="3" a="1"/>
  <c r="P329" i="3" s="1"/>
  <c r="P330" i="3" a="1"/>
  <c r="P330" i="3" s="1"/>
  <c r="P331" i="3" a="1"/>
  <c r="P331" i="3" s="1"/>
  <c r="P332" i="3" a="1"/>
  <c r="P332" i="3" s="1"/>
  <c r="P333" i="3" a="1"/>
  <c r="P333" i="3" s="1"/>
  <c r="P334" i="3" a="1"/>
  <c r="P334" i="3" s="1"/>
  <c r="P335" i="3" a="1"/>
  <c r="P335" i="3" s="1"/>
  <c r="P336" i="3" a="1"/>
  <c r="P336" i="3" s="1"/>
  <c r="P337" i="3" a="1"/>
  <c r="P337" i="3" s="1"/>
  <c r="P338" i="3" a="1"/>
  <c r="P338" i="3" s="1"/>
  <c r="P339" i="3" a="1"/>
  <c r="P339" i="3" s="1"/>
  <c r="P340" i="3" a="1"/>
  <c r="P340" i="3" s="1"/>
  <c r="P341" i="3" a="1"/>
  <c r="P341" i="3" s="1"/>
  <c r="P342" i="3" a="1"/>
  <c r="P342" i="3" s="1"/>
  <c r="P343" i="3" a="1"/>
  <c r="P343" i="3" s="1"/>
  <c r="P344" i="3" a="1"/>
  <c r="P344" i="3" s="1"/>
  <c r="P345" i="3" a="1"/>
  <c r="P345" i="3" s="1"/>
  <c r="P346" i="3" a="1"/>
  <c r="P346" i="3" s="1"/>
  <c r="P347" i="3" a="1"/>
  <c r="P347" i="3" s="1"/>
  <c r="P348" i="3" a="1"/>
  <c r="P348" i="3" s="1"/>
  <c r="P349" i="3" a="1"/>
  <c r="P349" i="3" s="1"/>
  <c r="P350" i="3" a="1"/>
  <c r="P350" i="3" s="1"/>
  <c r="P351" i="3" a="1"/>
  <c r="P351" i="3" s="1"/>
  <c r="P352" i="3" a="1"/>
  <c r="P352" i="3" s="1"/>
  <c r="P353" i="3" a="1"/>
  <c r="P353" i="3" s="1"/>
  <c r="P354" i="3" a="1"/>
  <c r="P354" i="3" s="1"/>
  <c r="P355" i="3" a="1"/>
  <c r="P355" i="3" s="1"/>
  <c r="P356" i="3" a="1"/>
  <c r="P356" i="3" s="1"/>
  <c r="P357" i="3" a="1"/>
  <c r="P357" i="3" s="1"/>
  <c r="P358" i="3" a="1"/>
  <c r="P358" i="3" s="1"/>
  <c r="P359" i="3" a="1"/>
  <c r="P359" i="3" s="1"/>
  <c r="P360" i="3" a="1"/>
  <c r="P360" i="3" s="1"/>
  <c r="P361" i="3" a="1"/>
  <c r="P361" i="3" s="1"/>
  <c r="P362" i="3" a="1"/>
  <c r="P362" i="3" s="1"/>
  <c r="P363" i="3" a="1"/>
  <c r="P363" i="3" s="1"/>
  <c r="P364" i="3" a="1"/>
  <c r="P364" i="3" s="1"/>
  <c r="P365" i="3" a="1"/>
  <c r="P365" i="3" s="1"/>
  <c r="P366" i="3" a="1"/>
  <c r="P366" i="3" s="1"/>
  <c r="P367" i="3" a="1"/>
  <c r="P367" i="3" s="1"/>
  <c r="P368" i="3" a="1"/>
  <c r="P368" i="3" s="1"/>
  <c r="P369" i="3" a="1"/>
  <c r="P369" i="3" s="1"/>
  <c r="P370" i="3" a="1"/>
  <c r="P370" i="3" s="1"/>
  <c r="P371" i="3" a="1"/>
  <c r="P371" i="3" s="1"/>
  <c r="P372" i="3" a="1"/>
  <c r="P372" i="3" s="1"/>
  <c r="P373" i="3" a="1"/>
  <c r="P373" i="3" s="1"/>
  <c r="P374" i="3" a="1"/>
  <c r="P374" i="3" s="1"/>
  <c r="P375" i="3" a="1"/>
  <c r="P375" i="3" s="1"/>
  <c r="P376" i="3" a="1"/>
  <c r="P376" i="3" s="1"/>
  <c r="P377" i="3" a="1"/>
  <c r="P377" i="3" s="1"/>
  <c r="P378" i="3" a="1"/>
  <c r="P378" i="3" s="1"/>
  <c r="P379" i="3" a="1"/>
  <c r="P379" i="3" s="1"/>
  <c r="P380" i="3" a="1"/>
  <c r="P380" i="3" s="1"/>
  <c r="P381" i="3" a="1"/>
  <c r="P381" i="3" s="1"/>
  <c r="P382" i="3" a="1"/>
  <c r="P382" i="3" s="1"/>
  <c r="P383" i="3" a="1"/>
  <c r="P383" i="3" s="1"/>
  <c r="P384" i="3" a="1"/>
  <c r="P384" i="3" s="1"/>
  <c r="P385" i="3" a="1"/>
  <c r="P385" i="3" s="1"/>
  <c r="P386" i="3" a="1"/>
  <c r="P386" i="3" s="1"/>
  <c r="P387" i="3" a="1"/>
  <c r="P387" i="3" s="1"/>
  <c r="P388" i="3" a="1"/>
  <c r="P388" i="3" s="1"/>
  <c r="P389" i="3" a="1"/>
  <c r="P389" i="3" s="1"/>
  <c r="P390" i="3" a="1"/>
  <c r="P390" i="3" s="1"/>
  <c r="P391" i="3" a="1"/>
  <c r="P391" i="3" s="1"/>
  <c r="P392" i="3" a="1"/>
  <c r="P392" i="3" s="1"/>
  <c r="P393" i="3" a="1"/>
  <c r="P393" i="3" s="1"/>
  <c r="P394" i="3" a="1"/>
  <c r="P394" i="3" s="1"/>
  <c r="P395" i="3" a="1"/>
  <c r="P395" i="3" s="1"/>
  <c r="P396" i="3" a="1"/>
  <c r="P396" i="3" s="1"/>
  <c r="P397" i="3" a="1"/>
  <c r="P397" i="3" s="1"/>
  <c r="P398" i="3" a="1"/>
  <c r="P398" i="3" s="1"/>
  <c r="P399" i="3" a="1"/>
  <c r="P399" i="3" s="1"/>
  <c r="P400" i="3" a="1"/>
  <c r="P400" i="3" s="1"/>
  <c r="P401" i="3" a="1"/>
  <c r="P401" i="3" s="1"/>
  <c r="P402" i="3" a="1"/>
  <c r="P402" i="3" s="1"/>
  <c r="P403" i="3" a="1"/>
  <c r="P403" i="3" s="1"/>
  <c r="P404" i="3" a="1"/>
  <c r="P404" i="3" s="1"/>
  <c r="P405" i="3" a="1"/>
  <c r="P405" i="3" s="1"/>
  <c r="P406" i="3" a="1"/>
  <c r="P406" i="3" s="1"/>
  <c r="P407" i="3" a="1"/>
  <c r="P407" i="3" s="1"/>
  <c r="P408" i="3" a="1"/>
  <c r="P408" i="3" s="1"/>
  <c r="P409" i="3" a="1"/>
  <c r="P409" i="3" s="1"/>
  <c r="P410" i="3" a="1"/>
  <c r="P410" i="3" s="1"/>
  <c r="P411" i="3" a="1"/>
  <c r="P411" i="3" s="1"/>
  <c r="P412" i="3" a="1"/>
  <c r="P412" i="3" s="1"/>
  <c r="P413" i="3" a="1"/>
  <c r="P413" i="3" s="1"/>
  <c r="P414" i="3" a="1"/>
  <c r="P414" i="3" s="1"/>
  <c r="P415" i="3" a="1"/>
  <c r="P415" i="3" s="1"/>
  <c r="P416" i="3" a="1"/>
  <c r="P416" i="3" s="1"/>
  <c r="P417" i="3" a="1"/>
  <c r="P417" i="3" s="1"/>
  <c r="P418" i="3" a="1"/>
  <c r="P418" i="3" s="1"/>
  <c r="P419" i="3" a="1"/>
  <c r="P419" i="3" s="1"/>
  <c r="P420" i="3" a="1"/>
  <c r="P420" i="3" s="1"/>
  <c r="P421" i="3" a="1"/>
  <c r="P421" i="3" s="1"/>
  <c r="P422" i="3" a="1"/>
  <c r="P422" i="3" s="1"/>
  <c r="P423" i="3" a="1"/>
  <c r="P423" i="3" s="1"/>
  <c r="P424" i="3" a="1"/>
  <c r="P424" i="3" s="1"/>
  <c r="P425" i="3" a="1"/>
  <c r="P425" i="3" s="1"/>
  <c r="P426" i="3" a="1"/>
  <c r="P426" i="3" s="1"/>
  <c r="P427" i="3" a="1"/>
  <c r="P427" i="3" s="1"/>
  <c r="P428" i="3" a="1"/>
  <c r="P428" i="3" s="1"/>
  <c r="P429" i="3" a="1"/>
  <c r="P429" i="3" s="1"/>
  <c r="P430" i="3" a="1"/>
  <c r="P430" i="3" s="1"/>
  <c r="P431" i="3" a="1"/>
  <c r="P431" i="3" s="1"/>
  <c r="P432" i="3" a="1"/>
  <c r="P432" i="3" s="1"/>
  <c r="P433" i="3" a="1"/>
  <c r="P433" i="3" s="1"/>
  <c r="P434" i="3" a="1"/>
  <c r="P434" i="3" s="1"/>
  <c r="P435" i="3" a="1"/>
  <c r="P435" i="3" s="1"/>
  <c r="P436" i="3" a="1"/>
  <c r="P436" i="3" s="1"/>
  <c r="P437" i="3" a="1"/>
  <c r="P437" i="3" s="1"/>
  <c r="P438" i="3" a="1"/>
  <c r="P438" i="3" s="1"/>
  <c r="P439" i="3" a="1"/>
  <c r="P439" i="3" s="1"/>
  <c r="P440" i="3" a="1"/>
  <c r="P440" i="3" s="1"/>
  <c r="P441" i="3" a="1"/>
  <c r="P441" i="3" s="1"/>
  <c r="P442" i="3" a="1"/>
  <c r="P442" i="3" s="1"/>
  <c r="P443" i="3" a="1"/>
  <c r="P443" i="3" s="1"/>
  <c r="P444" i="3" a="1"/>
  <c r="P444" i="3" s="1"/>
  <c r="P445" i="3" a="1"/>
  <c r="P445" i="3" s="1"/>
  <c r="P446" i="3" a="1"/>
  <c r="P446" i="3" s="1"/>
  <c r="P447" i="3" a="1"/>
  <c r="P447" i="3" s="1"/>
  <c r="P448" i="3" a="1"/>
  <c r="P448" i="3" s="1"/>
  <c r="P449" i="3" a="1"/>
  <c r="P449" i="3" s="1"/>
  <c r="P450" i="3" a="1"/>
  <c r="P450" i="3" s="1"/>
  <c r="P451" i="3" a="1"/>
  <c r="P451" i="3" s="1"/>
  <c r="P452" i="3" a="1"/>
  <c r="P452" i="3" s="1"/>
  <c r="P453" i="3" a="1"/>
  <c r="P453" i="3" s="1"/>
  <c r="P454" i="3" a="1"/>
  <c r="P454" i="3" s="1"/>
  <c r="P455" i="3" a="1"/>
  <c r="P455" i="3" s="1"/>
  <c r="P456" i="3" a="1"/>
  <c r="P456" i="3" s="1"/>
  <c r="P457" i="3" a="1"/>
  <c r="P457" i="3" s="1"/>
  <c r="P458" i="3" a="1"/>
  <c r="P458" i="3" s="1"/>
  <c r="P459" i="3" a="1"/>
  <c r="P459" i="3" s="1"/>
  <c r="P460" i="3" a="1"/>
  <c r="P460" i="3" s="1"/>
  <c r="P461" i="3" a="1"/>
  <c r="P461" i="3" s="1"/>
  <c r="P462" i="3" a="1"/>
  <c r="P462" i="3" s="1"/>
  <c r="P463" i="3" a="1"/>
  <c r="P463" i="3" s="1"/>
  <c r="P464" i="3" a="1"/>
  <c r="P464" i="3" s="1"/>
  <c r="P465" i="3" a="1"/>
  <c r="P465" i="3" s="1"/>
  <c r="P466" i="3" a="1"/>
  <c r="P466" i="3" s="1"/>
  <c r="P467" i="3" a="1"/>
  <c r="P467" i="3" s="1"/>
  <c r="P468" i="3" a="1"/>
  <c r="P468" i="3" s="1"/>
  <c r="P469" i="3" a="1"/>
  <c r="P469" i="3" s="1"/>
  <c r="P470" i="3" a="1"/>
  <c r="P470" i="3" s="1"/>
  <c r="P471" i="3" a="1"/>
  <c r="P471" i="3" s="1"/>
  <c r="P472" i="3" a="1"/>
  <c r="P472" i="3" s="1"/>
  <c r="P473" i="3" a="1"/>
  <c r="P473" i="3" s="1"/>
  <c r="P474" i="3" a="1"/>
  <c r="P474" i="3" s="1"/>
  <c r="P475" i="3" a="1"/>
  <c r="P475" i="3" s="1"/>
  <c r="P476" i="3" a="1"/>
  <c r="P476" i="3" s="1"/>
  <c r="P477" i="3" a="1"/>
  <c r="P477" i="3" s="1"/>
  <c r="P478" i="3" a="1"/>
  <c r="P478" i="3" s="1"/>
  <c r="P479" i="3" a="1"/>
  <c r="P479" i="3" s="1"/>
  <c r="P480" i="3" a="1"/>
  <c r="P480" i="3" s="1"/>
  <c r="P481" i="3" a="1"/>
  <c r="P481" i="3" s="1"/>
  <c r="P482" i="3" a="1"/>
  <c r="P482" i="3" s="1"/>
  <c r="P483" i="3" a="1"/>
  <c r="P483" i="3" s="1"/>
  <c r="P484" i="3" a="1"/>
  <c r="P484" i="3" s="1"/>
  <c r="P485" i="3" a="1"/>
  <c r="P485" i="3" s="1"/>
  <c r="P486" i="3" a="1"/>
  <c r="P486" i="3" s="1"/>
  <c r="P487" i="3" a="1"/>
  <c r="P487" i="3" s="1"/>
  <c r="P488" i="3" a="1"/>
  <c r="P488" i="3" s="1"/>
  <c r="P489" i="3" a="1"/>
  <c r="P489" i="3" s="1"/>
  <c r="P490" i="3" a="1"/>
  <c r="P490" i="3" s="1"/>
  <c r="P491" i="3" a="1"/>
  <c r="P491" i="3" s="1"/>
  <c r="P492" i="3" a="1"/>
  <c r="P492" i="3" s="1"/>
  <c r="P493" i="3" a="1"/>
  <c r="P493" i="3" s="1"/>
  <c r="P494" i="3" a="1"/>
  <c r="P494" i="3" s="1"/>
  <c r="P495" i="3" a="1"/>
  <c r="P495" i="3" s="1"/>
  <c r="P496" i="3" a="1"/>
  <c r="P496" i="3" s="1"/>
  <c r="P497" i="3" a="1"/>
  <c r="P497" i="3" s="1"/>
  <c r="P498" i="3" a="1"/>
  <c r="P498" i="3" s="1"/>
  <c r="P499" i="3" a="1"/>
  <c r="P499" i="3" s="1"/>
  <c r="P500" i="3" a="1"/>
  <c r="P500" i="3" s="1"/>
  <c r="P501" i="3" a="1"/>
  <c r="P501" i="3" s="1"/>
  <c r="P502" i="3" a="1"/>
  <c r="P502" i="3" s="1"/>
  <c r="P503" i="3" a="1"/>
  <c r="P503" i="3" s="1"/>
  <c r="P504" i="3" a="1"/>
  <c r="P504" i="3" s="1"/>
  <c r="P505" i="3" a="1"/>
  <c r="P505" i="3" s="1"/>
  <c r="P506" i="3" a="1"/>
  <c r="P506" i="3" s="1"/>
  <c r="P507" i="3" a="1"/>
  <c r="P507" i="3" s="1"/>
  <c r="P508" i="3" a="1"/>
  <c r="P508" i="3" s="1"/>
  <c r="P509" i="3" a="1"/>
  <c r="P509" i="3" s="1"/>
  <c r="P510" i="3" a="1"/>
  <c r="P510" i="3" s="1"/>
  <c r="P511" i="3" a="1"/>
  <c r="P511" i="3" s="1"/>
  <c r="P512" i="3" a="1"/>
  <c r="P512" i="3" s="1"/>
  <c r="P513" i="3" a="1"/>
  <c r="P513" i="3" s="1"/>
  <c r="P514" i="3" a="1"/>
  <c r="P514" i="3" s="1"/>
  <c r="P515" i="3" a="1"/>
  <c r="P515" i="3" s="1"/>
  <c r="P516" i="3" a="1"/>
  <c r="P516" i="3" s="1"/>
  <c r="P517" i="3" a="1"/>
  <c r="P517" i="3" s="1"/>
  <c r="P518" i="3" a="1"/>
  <c r="P518" i="3" s="1"/>
  <c r="P519" i="3" a="1"/>
  <c r="P519" i="3" s="1"/>
  <c r="P520" i="3" a="1"/>
  <c r="P520" i="3" s="1"/>
  <c r="P521" i="3" a="1"/>
  <c r="P521" i="3" s="1"/>
  <c r="P522" i="3" a="1"/>
  <c r="P522" i="3" s="1"/>
  <c r="P523" i="3" a="1"/>
  <c r="P523" i="3" s="1"/>
  <c r="P524" i="3" a="1"/>
  <c r="P524" i="3" s="1"/>
  <c r="P525" i="3" a="1"/>
  <c r="P525" i="3" s="1"/>
  <c r="P526" i="3" a="1"/>
  <c r="P526" i="3" s="1"/>
  <c r="P527" i="3" a="1"/>
  <c r="P527" i="3" s="1"/>
  <c r="P528" i="3" a="1"/>
  <c r="P528" i="3" s="1"/>
  <c r="P529" i="3" a="1"/>
  <c r="P529" i="3" s="1"/>
  <c r="P530" i="3" a="1"/>
  <c r="P530" i="3" s="1"/>
  <c r="P531" i="3" a="1"/>
  <c r="P531" i="3" s="1"/>
  <c r="P532" i="3" a="1"/>
  <c r="P532" i="3" s="1"/>
  <c r="P533" i="3" a="1"/>
  <c r="P533" i="3" s="1"/>
  <c r="P534" i="3" a="1"/>
  <c r="P534" i="3" s="1"/>
  <c r="P535" i="3" a="1"/>
  <c r="P535" i="3" s="1"/>
  <c r="P536" i="3" a="1"/>
  <c r="P536" i="3" s="1"/>
  <c r="P537" i="3" a="1"/>
  <c r="P537" i="3" s="1"/>
  <c r="P538" i="3" a="1"/>
  <c r="P538" i="3" s="1"/>
  <c r="P539" i="3" a="1"/>
  <c r="P539" i="3" s="1"/>
  <c r="P540" i="3" a="1"/>
  <c r="P540" i="3" s="1"/>
  <c r="P541" i="3" a="1"/>
  <c r="P541" i="3" s="1"/>
  <c r="P542" i="3" a="1"/>
  <c r="P542" i="3" s="1"/>
  <c r="P543" i="3" a="1"/>
  <c r="P543" i="3" s="1"/>
  <c r="P544" i="3" a="1"/>
  <c r="P544" i="3" s="1"/>
  <c r="P545" i="3" a="1"/>
  <c r="P545" i="3" s="1"/>
  <c r="P546" i="3" a="1"/>
  <c r="P546" i="3" s="1"/>
  <c r="P547" i="3" a="1"/>
  <c r="P547" i="3" s="1"/>
  <c r="P548" i="3" a="1"/>
  <c r="P548" i="3" s="1"/>
  <c r="P549" i="3" a="1"/>
  <c r="P549" i="3" s="1"/>
  <c r="P550" i="3" a="1"/>
  <c r="P550" i="3" s="1"/>
  <c r="P551" i="3" a="1"/>
  <c r="P551" i="3" s="1"/>
  <c r="P552" i="3" a="1"/>
  <c r="P552" i="3" s="1"/>
  <c r="P553" i="3" a="1"/>
  <c r="P553" i="3" s="1"/>
  <c r="P554" i="3" a="1"/>
  <c r="P554" i="3" s="1"/>
  <c r="P555" i="3" a="1"/>
  <c r="P555" i="3" s="1"/>
  <c r="P556" i="3" a="1"/>
  <c r="P556" i="3" s="1"/>
  <c r="P557" i="3" a="1"/>
  <c r="P557" i="3" s="1"/>
  <c r="P558" i="3" a="1"/>
  <c r="P558" i="3" s="1"/>
  <c r="P559" i="3" a="1"/>
  <c r="P559" i="3" s="1"/>
  <c r="P560" i="3" a="1"/>
  <c r="P560" i="3" s="1"/>
  <c r="P561" i="3" a="1"/>
  <c r="P561" i="3" s="1"/>
  <c r="P562" i="3" a="1"/>
  <c r="P562" i="3" s="1"/>
  <c r="P563" i="3" a="1"/>
  <c r="P563" i="3" s="1"/>
  <c r="P564" i="3" a="1"/>
  <c r="P564" i="3" s="1"/>
  <c r="P565" i="3" a="1"/>
  <c r="P565" i="3" s="1"/>
  <c r="P566" i="3" a="1"/>
  <c r="P566" i="3" s="1"/>
  <c r="P567" i="3" a="1"/>
  <c r="P567" i="3" s="1"/>
  <c r="P568" i="3" a="1"/>
  <c r="P568" i="3" s="1"/>
  <c r="P569" i="3" a="1"/>
  <c r="P569" i="3" s="1"/>
  <c r="P570" i="3" a="1"/>
  <c r="P570" i="3" s="1"/>
  <c r="P571" i="3" a="1"/>
  <c r="P571" i="3" s="1"/>
  <c r="P572" i="3" a="1"/>
  <c r="P572" i="3" s="1"/>
  <c r="P573" i="3" a="1"/>
  <c r="P573" i="3" s="1"/>
  <c r="P574" i="3" a="1"/>
  <c r="P574" i="3" s="1"/>
  <c r="P575" i="3" a="1"/>
  <c r="P575" i="3" s="1"/>
  <c r="P576" i="3" a="1"/>
  <c r="P576" i="3" s="1"/>
  <c r="P577" i="3" a="1"/>
  <c r="P577" i="3" s="1"/>
  <c r="P578" i="3" a="1"/>
  <c r="P578" i="3" s="1"/>
  <c r="P579" i="3" a="1"/>
  <c r="P579" i="3" s="1"/>
  <c r="P580" i="3" a="1"/>
  <c r="P580" i="3" s="1"/>
  <c r="P581" i="3" a="1"/>
  <c r="P581" i="3" s="1"/>
  <c r="P582" i="3" a="1"/>
  <c r="P582" i="3" s="1"/>
  <c r="P2" i="3" a="1"/>
  <c r="P2" i="3" s="1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620" i="8"/>
  <c r="M738" i="8"/>
  <c r="M739" i="8"/>
  <c r="M740" i="8"/>
  <c r="M741" i="8"/>
  <c r="M742" i="8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S592" i="3" l="1"/>
  <c r="T592" i="3"/>
  <c r="N592" i="3"/>
  <c r="E592" i="3"/>
  <c r="A593" i="3"/>
  <c r="I592" i="3"/>
  <c r="H7" i="3"/>
  <c r="H8" i="3"/>
  <c r="H14" i="3"/>
  <c r="H15" i="3"/>
  <c r="H21" i="3"/>
  <c r="H22" i="3"/>
  <c r="H28" i="3"/>
  <c r="H29" i="3"/>
  <c r="H35" i="3"/>
  <c r="H36" i="3"/>
  <c r="H42" i="3"/>
  <c r="H43" i="3"/>
  <c r="H49" i="3"/>
  <c r="H50" i="3"/>
  <c r="H56" i="3"/>
  <c r="H57" i="3"/>
  <c r="H63" i="3"/>
  <c r="H64" i="3"/>
  <c r="H70" i="3"/>
  <c r="H71" i="3"/>
  <c r="H77" i="3"/>
  <c r="H78" i="3"/>
  <c r="H84" i="3"/>
  <c r="H85" i="3"/>
  <c r="H91" i="3"/>
  <c r="H92" i="3"/>
  <c r="H98" i="3"/>
  <c r="H99" i="3"/>
  <c r="H105" i="3"/>
  <c r="H106" i="3"/>
  <c r="H112" i="3"/>
  <c r="H113" i="3"/>
  <c r="H119" i="3"/>
  <c r="H120" i="3"/>
  <c r="H126" i="3"/>
  <c r="H127" i="3"/>
  <c r="H133" i="3"/>
  <c r="H134" i="3"/>
  <c r="H140" i="3"/>
  <c r="H141" i="3"/>
  <c r="H147" i="3"/>
  <c r="H148" i="3"/>
  <c r="H154" i="3"/>
  <c r="H155" i="3"/>
  <c r="H161" i="3"/>
  <c r="H162" i="3"/>
  <c r="H168" i="3"/>
  <c r="H169" i="3"/>
  <c r="H175" i="3"/>
  <c r="H176" i="3"/>
  <c r="H182" i="3"/>
  <c r="H183" i="3"/>
  <c r="H189" i="3"/>
  <c r="H190" i="3"/>
  <c r="H196" i="3"/>
  <c r="H197" i="3"/>
  <c r="H203" i="3"/>
  <c r="H204" i="3"/>
  <c r="H210" i="3"/>
  <c r="H211" i="3"/>
  <c r="H217" i="3"/>
  <c r="H218" i="3"/>
  <c r="H224" i="3"/>
  <c r="H225" i="3"/>
  <c r="H231" i="3"/>
  <c r="H232" i="3"/>
  <c r="H238" i="3"/>
  <c r="H239" i="3"/>
  <c r="H245" i="3"/>
  <c r="H246" i="3"/>
  <c r="H252" i="3"/>
  <c r="H253" i="3"/>
  <c r="H259" i="3"/>
  <c r="H260" i="3"/>
  <c r="H266" i="3"/>
  <c r="H267" i="3"/>
  <c r="H273" i="3"/>
  <c r="H274" i="3"/>
  <c r="H280" i="3"/>
  <c r="H281" i="3"/>
  <c r="H287" i="3"/>
  <c r="H288" i="3"/>
  <c r="H294" i="3"/>
  <c r="H295" i="3"/>
  <c r="H301" i="3"/>
  <c r="H302" i="3"/>
  <c r="H308" i="3"/>
  <c r="H309" i="3"/>
  <c r="H315" i="3"/>
  <c r="H316" i="3"/>
  <c r="H322" i="3"/>
  <c r="H323" i="3"/>
  <c r="H329" i="3"/>
  <c r="H330" i="3"/>
  <c r="H336" i="3"/>
  <c r="H337" i="3"/>
  <c r="H343" i="3"/>
  <c r="H344" i="3"/>
  <c r="H350" i="3"/>
  <c r="H351" i="3"/>
  <c r="H357" i="3"/>
  <c r="H358" i="3"/>
  <c r="H363" i="3"/>
  <c r="H364" i="3"/>
  <c r="H365" i="3"/>
  <c r="H371" i="3"/>
  <c r="H372" i="3"/>
  <c r="H378" i="3"/>
  <c r="H379" i="3"/>
  <c r="H385" i="3"/>
  <c r="H386" i="3"/>
  <c r="H392" i="3"/>
  <c r="H393" i="3"/>
  <c r="H399" i="3"/>
  <c r="H400" i="3"/>
  <c r="H406" i="3"/>
  <c r="H407" i="3"/>
  <c r="H413" i="3"/>
  <c r="H414" i="3"/>
  <c r="H420" i="3"/>
  <c r="H421" i="3"/>
  <c r="H427" i="3"/>
  <c r="H428" i="3"/>
  <c r="H434" i="3"/>
  <c r="H435" i="3"/>
  <c r="H441" i="3"/>
  <c r="H442" i="3"/>
  <c r="H448" i="3"/>
  <c r="H449" i="3"/>
  <c r="H455" i="3"/>
  <c r="H456" i="3"/>
  <c r="H462" i="3"/>
  <c r="H463" i="3"/>
  <c r="H469" i="3"/>
  <c r="H470" i="3"/>
  <c r="H476" i="3"/>
  <c r="H477" i="3"/>
  <c r="H483" i="3"/>
  <c r="H484" i="3"/>
  <c r="H490" i="3"/>
  <c r="H491" i="3"/>
  <c r="H497" i="3"/>
  <c r="H498" i="3"/>
  <c r="H504" i="3"/>
  <c r="H505" i="3"/>
  <c r="H511" i="3"/>
  <c r="H512" i="3"/>
  <c r="H517" i="3"/>
  <c r="H518" i="3"/>
  <c r="H519" i="3"/>
  <c r="H525" i="3"/>
  <c r="H526" i="3"/>
  <c r="H532" i="3"/>
  <c r="H533" i="3"/>
  <c r="H539" i="3"/>
  <c r="H540" i="3"/>
  <c r="H544" i="3"/>
  <c r="H546" i="3"/>
  <c r="H547" i="3"/>
  <c r="H553" i="3"/>
  <c r="H554" i="3"/>
  <c r="H560" i="3"/>
  <c r="H561" i="3"/>
  <c r="H567" i="3"/>
  <c r="H568" i="3"/>
  <c r="H569" i="3"/>
  <c r="H570" i="3"/>
  <c r="H571" i="3"/>
  <c r="H572" i="3"/>
  <c r="H574" i="3"/>
  <c r="H575" i="3"/>
  <c r="H581" i="3"/>
  <c r="H582" i="3"/>
  <c r="G8" i="3"/>
  <c r="G14" i="3"/>
  <c r="G15" i="3"/>
  <c r="G21" i="3"/>
  <c r="G22" i="3"/>
  <c r="G28" i="3"/>
  <c r="G29" i="3"/>
  <c r="G35" i="3"/>
  <c r="G36" i="3"/>
  <c r="G42" i="3"/>
  <c r="G43" i="3"/>
  <c r="G49" i="3"/>
  <c r="G50" i="3"/>
  <c r="G56" i="3"/>
  <c r="G57" i="3"/>
  <c r="G63" i="3"/>
  <c r="G64" i="3"/>
  <c r="G70" i="3"/>
  <c r="G71" i="3"/>
  <c r="G77" i="3"/>
  <c r="G78" i="3"/>
  <c r="G84" i="3"/>
  <c r="G85" i="3"/>
  <c r="G91" i="3"/>
  <c r="G92" i="3"/>
  <c r="G98" i="3"/>
  <c r="G99" i="3"/>
  <c r="G105" i="3"/>
  <c r="G106" i="3"/>
  <c r="G112" i="3"/>
  <c r="G113" i="3"/>
  <c r="G119" i="3"/>
  <c r="G120" i="3"/>
  <c r="G126" i="3"/>
  <c r="G127" i="3"/>
  <c r="G133" i="3"/>
  <c r="G134" i="3"/>
  <c r="G140" i="3"/>
  <c r="G141" i="3"/>
  <c r="G147" i="3"/>
  <c r="G148" i="3"/>
  <c r="G154" i="3"/>
  <c r="G155" i="3"/>
  <c r="G161" i="3"/>
  <c r="G162" i="3"/>
  <c r="G168" i="3"/>
  <c r="G169" i="3"/>
  <c r="G175" i="3"/>
  <c r="G176" i="3"/>
  <c r="G182" i="3"/>
  <c r="G183" i="3"/>
  <c r="G189" i="3"/>
  <c r="G190" i="3"/>
  <c r="G196" i="3"/>
  <c r="G197" i="3"/>
  <c r="G203" i="3"/>
  <c r="G204" i="3"/>
  <c r="G210" i="3"/>
  <c r="G211" i="3"/>
  <c r="G217" i="3"/>
  <c r="G218" i="3"/>
  <c r="G224" i="3"/>
  <c r="G225" i="3"/>
  <c r="G231" i="3"/>
  <c r="G232" i="3"/>
  <c r="G238" i="3"/>
  <c r="G239" i="3"/>
  <c r="G245" i="3"/>
  <c r="G246" i="3"/>
  <c r="G252" i="3"/>
  <c r="G253" i="3"/>
  <c r="G259" i="3"/>
  <c r="G260" i="3"/>
  <c r="G266" i="3"/>
  <c r="G267" i="3"/>
  <c r="G273" i="3"/>
  <c r="G274" i="3"/>
  <c r="G280" i="3"/>
  <c r="G281" i="3"/>
  <c r="G287" i="3"/>
  <c r="G288" i="3"/>
  <c r="G294" i="3"/>
  <c r="G295" i="3"/>
  <c r="G301" i="3"/>
  <c r="G302" i="3"/>
  <c r="G308" i="3"/>
  <c r="G309" i="3"/>
  <c r="G315" i="3"/>
  <c r="G316" i="3"/>
  <c r="G322" i="3"/>
  <c r="G323" i="3"/>
  <c r="G329" i="3"/>
  <c r="G330" i="3"/>
  <c r="G336" i="3"/>
  <c r="G337" i="3"/>
  <c r="G343" i="3"/>
  <c r="G344" i="3"/>
  <c r="G350" i="3"/>
  <c r="G351" i="3"/>
  <c r="G357" i="3"/>
  <c r="G358" i="3"/>
  <c r="G364" i="3"/>
  <c r="G365" i="3"/>
  <c r="G371" i="3"/>
  <c r="G372" i="3"/>
  <c r="G378" i="3"/>
  <c r="G379" i="3"/>
  <c r="G385" i="3"/>
  <c r="G386" i="3"/>
  <c r="G392" i="3"/>
  <c r="G393" i="3"/>
  <c r="G399" i="3"/>
  <c r="G400" i="3"/>
  <c r="G406" i="3"/>
  <c r="G407" i="3"/>
  <c r="G413" i="3"/>
  <c r="G414" i="3"/>
  <c r="G420" i="3"/>
  <c r="G421" i="3"/>
  <c r="G427" i="3"/>
  <c r="G428" i="3"/>
  <c r="G434" i="3"/>
  <c r="G435" i="3"/>
  <c r="G441" i="3"/>
  <c r="G442" i="3"/>
  <c r="G448" i="3"/>
  <c r="G449" i="3"/>
  <c r="G455" i="3"/>
  <c r="G456" i="3"/>
  <c r="G462" i="3"/>
  <c r="G463" i="3"/>
  <c r="G469" i="3"/>
  <c r="G470" i="3"/>
  <c r="G476" i="3"/>
  <c r="G477" i="3"/>
  <c r="G483" i="3"/>
  <c r="G484" i="3"/>
  <c r="G490" i="3"/>
  <c r="G491" i="3"/>
  <c r="G497" i="3"/>
  <c r="G498" i="3"/>
  <c r="G504" i="3"/>
  <c r="G505" i="3"/>
  <c r="G511" i="3"/>
  <c r="G512" i="3"/>
  <c r="G518" i="3"/>
  <c r="G519" i="3"/>
  <c r="G525" i="3"/>
  <c r="G526" i="3"/>
  <c r="G532" i="3"/>
  <c r="G533" i="3"/>
  <c r="G539" i="3"/>
  <c r="G540" i="3"/>
  <c r="G546" i="3"/>
  <c r="G547" i="3"/>
  <c r="G553" i="3"/>
  <c r="G554" i="3"/>
  <c r="G560" i="3"/>
  <c r="G561" i="3"/>
  <c r="G567" i="3"/>
  <c r="G568" i="3"/>
  <c r="G574" i="3"/>
  <c r="G575" i="3"/>
  <c r="G581" i="3"/>
  <c r="G582" i="3"/>
  <c r="G7" i="3"/>
  <c r="O1562" i="8"/>
  <c r="O1560" i="8"/>
  <c r="O1559" i="8"/>
  <c r="E1559" i="8"/>
  <c r="P1558" i="8"/>
  <c r="O1557" i="8"/>
  <c r="Q1548" i="8"/>
  <c r="F1547" i="8"/>
  <c r="F1548" i="8" s="1"/>
  <c r="F1546" i="8"/>
  <c r="I1546" i="8" s="1"/>
  <c r="I1545" i="8"/>
  <c r="F1545" i="8"/>
  <c r="G1545" i="8" s="1"/>
  <c r="I1544" i="8"/>
  <c r="G1544" i="8"/>
  <c r="F1544" i="8"/>
  <c r="I1543" i="8"/>
  <c r="G1543" i="8"/>
  <c r="F1543" i="8"/>
  <c r="I1542" i="8"/>
  <c r="G1542" i="8"/>
  <c r="F1542" i="8"/>
  <c r="F1541" i="8"/>
  <c r="G1540" i="8"/>
  <c r="F1540" i="8"/>
  <c r="I1540" i="8" s="1"/>
  <c r="G1539" i="8"/>
  <c r="F1539" i="8"/>
  <c r="I1539" i="8" s="1"/>
  <c r="G1538" i="8"/>
  <c r="F1538" i="8"/>
  <c r="I1538" i="8" s="1"/>
  <c r="Q1537" i="8"/>
  <c r="G1537" i="8"/>
  <c r="F1537" i="8"/>
  <c r="Q1536" i="8"/>
  <c r="I1536" i="8"/>
  <c r="G1536" i="8"/>
  <c r="F1536" i="8"/>
  <c r="E1536" i="8"/>
  <c r="Q1535" i="8"/>
  <c r="F1535" i="8"/>
  <c r="I1535" i="8" s="1"/>
  <c r="E1535" i="8"/>
  <c r="F1534" i="8"/>
  <c r="I1534" i="8" s="1"/>
  <c r="E1534" i="8"/>
  <c r="G1535" i="8" s="1"/>
  <c r="Q1533" i="8"/>
  <c r="I1533" i="8"/>
  <c r="G1533" i="8"/>
  <c r="F1533" i="8"/>
  <c r="E1533" i="8"/>
  <c r="G1534" i="8" s="1"/>
  <c r="Q1532" i="8"/>
  <c r="F1532" i="8"/>
  <c r="E1532" i="8"/>
  <c r="I1537" i="8" s="1"/>
  <c r="Q1531" i="8"/>
  <c r="I1531" i="8"/>
  <c r="G1531" i="8"/>
  <c r="F1531" i="8"/>
  <c r="Q1530" i="8"/>
  <c r="I1530" i="8"/>
  <c r="G1530" i="8"/>
  <c r="F1530" i="8"/>
  <c r="Q1529" i="8"/>
  <c r="I1529" i="8"/>
  <c r="G1529" i="8"/>
  <c r="F1529" i="8"/>
  <c r="Q1528" i="8"/>
  <c r="I1528" i="8"/>
  <c r="G1528" i="8"/>
  <c r="F1528" i="8"/>
  <c r="Q1527" i="8"/>
  <c r="I1527" i="8"/>
  <c r="G1527" i="8"/>
  <c r="F1527" i="8"/>
  <c r="Q1526" i="8"/>
  <c r="I1526" i="8"/>
  <c r="G1526" i="8"/>
  <c r="F1526" i="8"/>
  <c r="Q1525" i="8"/>
  <c r="G1525" i="8"/>
  <c r="F1525" i="8"/>
  <c r="F1524" i="8"/>
  <c r="G1524" i="8" s="1"/>
  <c r="E1520" i="8"/>
  <c r="E1500" i="8"/>
  <c r="E1499" i="8"/>
  <c r="E1498" i="8"/>
  <c r="E1497" i="8"/>
  <c r="E1496" i="8"/>
  <c r="E1495" i="8"/>
  <c r="E1493" i="8"/>
  <c r="E1491" i="8"/>
  <c r="E1490" i="8"/>
  <c r="E1489" i="8"/>
  <c r="E1486" i="8"/>
  <c r="E1485" i="8"/>
  <c r="E1484" i="8"/>
  <c r="E1483" i="8"/>
  <c r="G1484" i="8" s="1"/>
  <c r="G1482" i="8"/>
  <c r="F1482" i="8"/>
  <c r="F1483" i="8" s="1"/>
  <c r="F1484" i="8" s="1"/>
  <c r="E1482" i="8"/>
  <c r="G1483" i="8" s="1"/>
  <c r="G1481" i="8"/>
  <c r="E1480" i="8"/>
  <c r="E1478" i="8"/>
  <c r="E1477" i="8"/>
  <c r="E1476" i="8"/>
  <c r="E1475" i="8"/>
  <c r="E1474" i="8"/>
  <c r="E1473" i="8"/>
  <c r="E1472" i="8"/>
  <c r="E1471" i="8"/>
  <c r="E1468" i="8"/>
  <c r="E1467" i="8"/>
  <c r="E1466" i="8"/>
  <c r="E1465" i="8"/>
  <c r="E1461" i="8"/>
  <c r="E1460" i="8"/>
  <c r="E1459" i="8"/>
  <c r="E1458" i="8"/>
  <c r="E1457" i="8"/>
  <c r="E1456" i="8"/>
  <c r="E1455" i="8"/>
  <c r="E1454" i="8"/>
  <c r="E1450" i="8"/>
  <c r="E1448" i="8"/>
  <c r="E1449" i="8" s="1"/>
  <c r="E1447" i="8"/>
  <c r="E1446" i="8"/>
  <c r="E1445" i="8"/>
  <c r="E1444" i="8"/>
  <c r="E1443" i="8"/>
  <c r="E1442" i="8"/>
  <c r="E1441" i="8"/>
  <c r="E1440" i="8"/>
  <c r="F1439" i="8"/>
  <c r="F1440" i="8" s="1"/>
  <c r="E1439" i="8"/>
  <c r="I1438" i="8"/>
  <c r="G1438" i="8"/>
  <c r="F1438" i="8"/>
  <c r="E1438" i="8"/>
  <c r="G1439" i="8" s="1"/>
  <c r="I1437" i="8"/>
  <c r="G1437" i="8"/>
  <c r="E1437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F1417" i="8"/>
  <c r="F1418" i="8" s="1"/>
  <c r="E1417" i="8"/>
  <c r="G1416" i="8"/>
  <c r="F1416" i="8"/>
  <c r="F1415" i="8"/>
  <c r="E1415" i="8"/>
  <c r="E1414" i="8"/>
  <c r="G1415" i="8" s="1"/>
  <c r="E1413" i="8"/>
  <c r="E1412" i="8"/>
  <c r="E1411" i="8"/>
  <c r="E1409" i="8"/>
  <c r="E1408" i="8"/>
  <c r="E1405" i="8"/>
  <c r="E1406" i="8" s="1"/>
  <c r="E1404" i="8"/>
  <c r="E1403" i="8"/>
  <c r="E1401" i="8"/>
  <c r="E1402" i="8" s="1"/>
  <c r="E1400" i="8"/>
  <c r="E1399" i="8"/>
  <c r="E1398" i="8"/>
  <c r="E1397" i="8"/>
  <c r="F1396" i="8"/>
  <c r="E1396" i="8"/>
  <c r="F1395" i="8"/>
  <c r="E1395" i="8"/>
  <c r="G1394" i="8"/>
  <c r="F1394" i="8"/>
  <c r="E1394" i="8"/>
  <c r="E1393" i="8"/>
  <c r="E1392" i="8"/>
  <c r="E1390" i="8"/>
  <c r="E1389" i="8"/>
  <c r="I1394" i="8" s="1"/>
  <c r="E1388" i="8"/>
  <c r="E1387" i="8"/>
  <c r="E1385" i="8"/>
  <c r="E1384" i="8"/>
  <c r="E1383" i="8"/>
  <c r="E1382" i="8"/>
  <c r="E1381" i="8"/>
  <c r="E1379" i="8"/>
  <c r="E1378" i="8"/>
  <c r="E1376" i="8"/>
  <c r="E1375" i="8"/>
  <c r="E1374" i="8"/>
  <c r="E1373" i="8"/>
  <c r="G1372" i="8"/>
  <c r="F1372" i="8"/>
  <c r="E1372" i="8"/>
  <c r="E1371" i="8"/>
  <c r="E1370" i="8"/>
  <c r="E1369" i="8"/>
  <c r="E1367" i="8"/>
  <c r="E1366" i="8"/>
  <c r="E1363" i="8"/>
  <c r="E1362" i="8"/>
  <c r="E1361" i="8"/>
  <c r="E1358" i="8"/>
  <c r="E1357" i="8"/>
  <c r="E1356" i="8"/>
  <c r="E1355" i="8"/>
  <c r="E1354" i="8"/>
  <c r="E1353" i="8"/>
  <c r="E1352" i="8"/>
  <c r="E1351" i="8"/>
  <c r="E1350" i="8"/>
  <c r="F1349" i="8"/>
  <c r="E1340" i="8"/>
  <c r="E1339" i="8"/>
  <c r="E1334" i="8"/>
  <c r="E1333" i="8"/>
  <c r="E1332" i="8"/>
  <c r="E1331" i="8"/>
  <c r="I1330" i="8"/>
  <c r="F1330" i="8"/>
  <c r="F1331" i="8" s="1"/>
  <c r="E1330" i="8"/>
  <c r="I1329" i="8"/>
  <c r="F1329" i="8"/>
  <c r="E1328" i="8"/>
  <c r="E1327" i="8"/>
  <c r="E1326" i="8"/>
  <c r="E1325" i="8"/>
  <c r="E1324" i="8"/>
  <c r="E1323" i="8"/>
  <c r="E1322" i="8"/>
  <c r="E1321" i="8"/>
  <c r="E1320" i="8"/>
  <c r="E1318" i="8"/>
  <c r="E1317" i="8"/>
  <c r="E1316" i="8"/>
  <c r="E1315" i="8"/>
  <c r="E1314" i="8"/>
  <c r="E1312" i="8"/>
  <c r="F1309" i="8"/>
  <c r="E1309" i="8"/>
  <c r="E1308" i="8"/>
  <c r="G1309" i="8" s="1"/>
  <c r="E1306" i="8"/>
  <c r="E1305" i="8"/>
  <c r="E1304" i="8"/>
  <c r="E1303" i="8"/>
  <c r="E1302" i="8"/>
  <c r="E1300" i="8"/>
  <c r="E1299" i="8"/>
  <c r="E1298" i="8"/>
  <c r="E1297" i="8"/>
  <c r="E1296" i="8"/>
  <c r="E1295" i="8"/>
  <c r="E1294" i="8"/>
  <c r="E1293" i="8"/>
  <c r="E1292" i="8"/>
  <c r="E1290" i="8"/>
  <c r="E1289" i="8"/>
  <c r="E1288" i="8"/>
  <c r="E1287" i="8"/>
  <c r="K1286" i="8"/>
  <c r="F1285" i="8"/>
  <c r="F1286" i="8" s="1"/>
  <c r="F1287" i="8" s="1"/>
  <c r="E1285" i="8"/>
  <c r="E1284" i="8"/>
  <c r="G1285" i="8" s="1"/>
  <c r="E1282" i="8"/>
  <c r="E1280" i="8"/>
  <c r="E1279" i="8"/>
  <c r="E1278" i="8"/>
  <c r="E1277" i="8"/>
  <c r="E1276" i="8"/>
  <c r="E1274" i="8"/>
  <c r="E1273" i="8"/>
  <c r="E1272" i="8"/>
  <c r="E1269" i="8"/>
  <c r="E1268" i="8"/>
  <c r="E1267" i="8"/>
  <c r="E1266" i="8"/>
  <c r="F1265" i="8"/>
  <c r="E1265" i="8"/>
  <c r="G1264" i="8"/>
  <c r="E1264" i="8"/>
  <c r="E1262" i="8"/>
  <c r="E1261" i="8"/>
  <c r="E1260" i="8"/>
  <c r="E1259" i="8"/>
  <c r="E1258" i="8"/>
  <c r="E1257" i="8"/>
  <c r="E1255" i="8"/>
  <c r="E1254" i="8"/>
  <c r="E1253" i="8"/>
  <c r="E1250" i="8"/>
  <c r="E1249" i="8"/>
  <c r="E1248" i="8"/>
  <c r="E1247" i="8"/>
  <c r="E1246" i="8"/>
  <c r="E1245" i="8"/>
  <c r="E1244" i="8"/>
  <c r="F1243" i="8"/>
  <c r="I1242" i="8"/>
  <c r="G1242" i="8"/>
  <c r="F1242" i="8"/>
  <c r="N1223" i="8"/>
  <c r="I1221" i="8"/>
  <c r="G1221" i="8"/>
  <c r="F1221" i="8"/>
  <c r="F1222" i="8" s="1"/>
  <c r="I1220" i="8"/>
  <c r="F1220" i="8"/>
  <c r="G1220" i="8" s="1"/>
  <c r="F1200" i="8"/>
  <c r="I1199" i="8"/>
  <c r="F1199" i="8"/>
  <c r="G1199" i="8" s="1"/>
  <c r="R1181" i="8"/>
  <c r="Q1181" i="8"/>
  <c r="P1181" i="8"/>
  <c r="R1180" i="8"/>
  <c r="R1179" i="8"/>
  <c r="G1176" i="8"/>
  <c r="F1176" i="8"/>
  <c r="F1177" i="8" s="1"/>
  <c r="G1177" i="8" s="1"/>
  <c r="F1154" i="8"/>
  <c r="Q1137" i="8"/>
  <c r="P1137" i="8"/>
  <c r="R1136" i="8"/>
  <c r="R1135" i="8"/>
  <c r="R1137" i="8" s="1"/>
  <c r="N1134" i="8"/>
  <c r="I1134" i="8"/>
  <c r="F1134" i="8"/>
  <c r="I1133" i="8"/>
  <c r="G1133" i="8"/>
  <c r="F1133" i="8"/>
  <c r="Q1126" i="8"/>
  <c r="P1126" i="8"/>
  <c r="R1125" i="8"/>
  <c r="R1126" i="8" s="1"/>
  <c r="R1124" i="8"/>
  <c r="F1113" i="8"/>
  <c r="Q1112" i="8"/>
  <c r="P1112" i="8"/>
  <c r="I1112" i="8"/>
  <c r="G1112" i="8"/>
  <c r="F1112" i="8"/>
  <c r="R1111" i="8"/>
  <c r="R1112" i="8" s="1"/>
  <c r="I1111" i="8"/>
  <c r="G1111" i="8"/>
  <c r="N1104" i="8"/>
  <c r="F1090" i="8"/>
  <c r="I1089" i="8"/>
  <c r="G1089" i="8"/>
  <c r="Q1088" i="8"/>
  <c r="R1088" i="8" s="1"/>
  <c r="P1088" i="8"/>
  <c r="Q1087" i="8"/>
  <c r="P1087" i="8"/>
  <c r="Q1082" i="8"/>
  <c r="P1082" i="8"/>
  <c r="V1081" i="8"/>
  <c r="U1081" i="8"/>
  <c r="R1081" i="8"/>
  <c r="R1082" i="8" s="1"/>
  <c r="W1080" i="8"/>
  <c r="W1081" i="8" s="1"/>
  <c r="R1080" i="8"/>
  <c r="W1079" i="8"/>
  <c r="R1079" i="8"/>
  <c r="F1070" i="8"/>
  <c r="I1069" i="8"/>
  <c r="G1069" i="8"/>
  <c r="G1048" i="8"/>
  <c r="F1048" i="8"/>
  <c r="I1047" i="8"/>
  <c r="G1047" i="8"/>
  <c r="G1025" i="8"/>
  <c r="F1025" i="8"/>
  <c r="I1024" i="8"/>
  <c r="G1024" i="8"/>
  <c r="I1005" i="8"/>
  <c r="F1005" i="8"/>
  <c r="I1004" i="8"/>
  <c r="G1004" i="8"/>
  <c r="F1004" i="8"/>
  <c r="O1003" i="8"/>
  <c r="I1003" i="8"/>
  <c r="G1003" i="8"/>
  <c r="I981" i="8"/>
  <c r="F981" i="8"/>
  <c r="I980" i="8"/>
  <c r="G980" i="8"/>
  <c r="F962" i="8"/>
  <c r="G961" i="8"/>
  <c r="F961" i="8"/>
  <c r="I961" i="8" s="1"/>
  <c r="I960" i="8"/>
  <c r="G960" i="8"/>
  <c r="F960" i="8"/>
  <c r="I959" i="8"/>
  <c r="G959" i="8"/>
  <c r="I938" i="8"/>
  <c r="G938" i="8"/>
  <c r="F938" i="8"/>
  <c r="F939" i="8" s="1"/>
  <c r="I937" i="8"/>
  <c r="G937" i="8"/>
  <c r="F917" i="8"/>
  <c r="G916" i="8"/>
  <c r="F916" i="8"/>
  <c r="I916" i="8" s="1"/>
  <c r="I915" i="8"/>
  <c r="G915" i="8"/>
  <c r="F915" i="8"/>
  <c r="I914" i="8"/>
  <c r="G914" i="8"/>
  <c r="G851" i="8"/>
  <c r="F851" i="8"/>
  <c r="I851" i="8" s="1"/>
  <c r="I850" i="8"/>
  <c r="G850" i="8"/>
  <c r="F850" i="8"/>
  <c r="I849" i="8"/>
  <c r="G849" i="8"/>
  <c r="I810" i="8"/>
  <c r="F810" i="8"/>
  <c r="F809" i="8"/>
  <c r="I808" i="8"/>
  <c r="G808" i="8"/>
  <c r="F808" i="8"/>
  <c r="D788" i="8"/>
  <c r="D787" i="8"/>
  <c r="B787" i="8" s="1"/>
  <c r="B786" i="8"/>
  <c r="Q768" i="8"/>
  <c r="Q767" i="8"/>
  <c r="Q766" i="8"/>
  <c r="Q765" i="8"/>
  <c r="Q764" i="8"/>
  <c r="F743" i="8"/>
  <c r="F744" i="8" s="1"/>
  <c r="F656" i="8"/>
  <c r="G655" i="8"/>
  <c r="F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I622" i="8"/>
  <c r="L622" i="8" s="1"/>
  <c r="L620" i="8"/>
  <c r="K621" i="8" s="1"/>
  <c r="G620" i="8"/>
  <c r="G619" i="8"/>
  <c r="G618" i="8"/>
  <c r="G617" i="8"/>
  <c r="G616" i="8"/>
  <c r="G615" i="8"/>
  <c r="I619" i="8" s="1"/>
  <c r="L619" i="8" s="1"/>
  <c r="G614" i="8"/>
  <c r="G613" i="8"/>
  <c r="I618" i="8" s="1"/>
  <c r="L618" i="8" s="1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I511" i="8"/>
  <c r="G511" i="8"/>
  <c r="G510" i="8"/>
  <c r="G509" i="8"/>
  <c r="I509" i="8"/>
  <c r="G508" i="8"/>
  <c r="G507" i="8"/>
  <c r="I508" i="8"/>
  <c r="G506" i="8"/>
  <c r="G505" i="8"/>
  <c r="I506" i="8"/>
  <c r="G504" i="8"/>
  <c r="G503" i="8"/>
  <c r="G502" i="8"/>
  <c r="I502" i="8"/>
  <c r="G501" i="8"/>
  <c r="G500" i="8"/>
  <c r="G499" i="8"/>
  <c r="I500" i="8"/>
  <c r="G498" i="8"/>
  <c r="G497" i="8"/>
  <c r="I498" i="8"/>
  <c r="G496" i="8"/>
  <c r="G495" i="8"/>
  <c r="G494" i="8"/>
  <c r="G493" i="8"/>
  <c r="G492" i="8"/>
  <c r="I495" i="8" s="1"/>
  <c r="G491" i="8"/>
  <c r="I492" i="8"/>
  <c r="G490" i="8"/>
  <c r="G489" i="8"/>
  <c r="I490" i="8"/>
  <c r="G488" i="8"/>
  <c r="G487" i="8"/>
  <c r="G486" i="8"/>
  <c r="I486" i="8"/>
  <c r="G485" i="8"/>
  <c r="G484" i="8"/>
  <c r="G483" i="8"/>
  <c r="I484" i="8"/>
  <c r="G482" i="8"/>
  <c r="G481" i="8"/>
  <c r="I482" i="8"/>
  <c r="G480" i="8"/>
  <c r="G479" i="8"/>
  <c r="G478" i="8"/>
  <c r="I478" i="8"/>
  <c r="G477" i="8"/>
  <c r="I477" i="8"/>
  <c r="G476" i="8"/>
  <c r="G475" i="8"/>
  <c r="I476" i="8"/>
  <c r="G474" i="8"/>
  <c r="G473" i="8"/>
  <c r="I474" i="8"/>
  <c r="G472" i="8"/>
  <c r="G471" i="8"/>
  <c r="G470" i="8"/>
  <c r="G469" i="8"/>
  <c r="I469" i="8"/>
  <c r="G468" i="8"/>
  <c r="I471" i="8" s="1"/>
  <c r="G467" i="8"/>
  <c r="I468" i="8"/>
  <c r="G466" i="8"/>
  <c r="G465" i="8"/>
  <c r="I466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I453" i="8"/>
  <c r="G452" i="8"/>
  <c r="G451" i="8"/>
  <c r="G450" i="8"/>
  <c r="I455" i="8" s="1"/>
  <c r="G449" i="8"/>
  <c r="I450" i="8"/>
  <c r="G448" i="8"/>
  <c r="G447" i="8"/>
  <c r="G446" i="8"/>
  <c r="G445" i="8"/>
  <c r="I447" i="8" s="1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I420" i="8" s="1"/>
  <c r="G414" i="8"/>
  <c r="I416" i="8" s="1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I404" i="8" s="1"/>
  <c r="G398" i="8"/>
  <c r="G397" i="8"/>
  <c r="G396" i="8"/>
  <c r="G395" i="8"/>
  <c r="I400" i="8" s="1"/>
  <c r="G394" i="8"/>
  <c r="G393" i="8"/>
  <c r="G392" i="8"/>
  <c r="G391" i="8"/>
  <c r="G390" i="8"/>
  <c r="G389" i="8"/>
  <c r="I388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I380" i="8" s="1"/>
  <c r="G375" i="8"/>
  <c r="G374" i="8"/>
  <c r="G373" i="8"/>
  <c r="I372" i="8"/>
  <c r="G372" i="8"/>
  <c r="G371" i="8"/>
  <c r="G370" i="8"/>
  <c r="I370" i="8"/>
  <c r="G369" i="8"/>
  <c r="G368" i="8"/>
  <c r="G367" i="8"/>
  <c r="G366" i="8"/>
  <c r="G365" i="8"/>
  <c r="I365" i="8"/>
  <c r="G364" i="8"/>
  <c r="G363" i="8"/>
  <c r="G362" i="8"/>
  <c r="G361" i="8"/>
  <c r="G360" i="8"/>
  <c r="G359" i="8"/>
  <c r="I364" i="8" s="1"/>
  <c r="G358" i="8"/>
  <c r="G357" i="8"/>
  <c r="I356" i="8"/>
  <c r="G356" i="8"/>
  <c r="G355" i="8"/>
  <c r="G354" i="8"/>
  <c r="I354" i="8"/>
  <c r="G353" i="8"/>
  <c r="G352" i="8"/>
  <c r="G351" i="8"/>
  <c r="G350" i="8"/>
  <c r="G349" i="8"/>
  <c r="G348" i="8"/>
  <c r="G347" i="8"/>
  <c r="G346" i="8"/>
  <c r="G345" i="8"/>
  <c r="G344" i="8"/>
  <c r="G343" i="8"/>
  <c r="I348" i="8" s="1"/>
  <c r="G342" i="8"/>
  <c r="G341" i="8"/>
  <c r="G340" i="8"/>
  <c r="G339" i="8"/>
  <c r="G338" i="8"/>
  <c r="G337" i="8"/>
  <c r="I340" i="8" s="1"/>
  <c r="G336" i="8"/>
  <c r="G335" i="8"/>
  <c r="G334" i="8"/>
  <c r="G333" i="8"/>
  <c r="G332" i="8"/>
  <c r="G331" i="8"/>
  <c r="G330" i="8"/>
  <c r="G329" i="8"/>
  <c r="G328" i="8"/>
  <c r="G327" i="8"/>
  <c r="I332" i="8" s="1"/>
  <c r="G326" i="8"/>
  <c r="G325" i="8"/>
  <c r="G324" i="8"/>
  <c r="G323" i="8"/>
  <c r="G322" i="8"/>
  <c r="G321" i="8"/>
  <c r="G320" i="8"/>
  <c r="I324" i="8" s="1"/>
  <c r="G319" i="8"/>
  <c r="G318" i="8"/>
  <c r="G317" i="8"/>
  <c r="G316" i="8"/>
  <c r="G315" i="8"/>
  <c r="G314" i="8"/>
  <c r="I313" i="8"/>
  <c r="G313" i="8"/>
  <c r="G312" i="8"/>
  <c r="G311" i="8"/>
  <c r="I316" i="8" s="1"/>
  <c r="G310" i="8"/>
  <c r="I315" i="8" s="1"/>
  <c r="G309" i="8"/>
  <c r="I314" i="8" s="1"/>
  <c r="G308" i="8"/>
  <c r="G307" i="8"/>
  <c r="I312" i="8" s="1"/>
  <c r="G306" i="8"/>
  <c r="I311" i="8" s="1"/>
  <c r="I305" i="8"/>
  <c r="G305" i="8"/>
  <c r="I310" i="8" s="1"/>
  <c r="G304" i="8"/>
  <c r="I309" i="8" s="1"/>
  <c r="G303" i="8"/>
  <c r="I308" i="8" s="1"/>
  <c r="G302" i="8"/>
  <c r="I307" i="8" s="1"/>
  <c r="G301" i="8"/>
  <c r="I306" i="8" s="1"/>
  <c r="G300" i="8"/>
  <c r="G299" i="8"/>
  <c r="I304" i="8" s="1"/>
  <c r="G298" i="8"/>
  <c r="I303" i="8" s="1"/>
  <c r="I297" i="8"/>
  <c r="G297" i="8"/>
  <c r="I302" i="8" s="1"/>
  <c r="G296" i="8"/>
  <c r="I301" i="8" s="1"/>
  <c r="G295" i="8"/>
  <c r="I300" i="8" s="1"/>
  <c r="G294" i="8"/>
  <c r="I299" i="8" s="1"/>
  <c r="G293" i="8"/>
  <c r="I298" i="8" s="1"/>
  <c r="G292" i="8"/>
  <c r="G291" i="8"/>
  <c r="I296" i="8" s="1"/>
  <c r="G290" i="8"/>
  <c r="I295" i="8" s="1"/>
  <c r="I289" i="8"/>
  <c r="G289" i="8"/>
  <c r="I294" i="8" s="1"/>
  <c r="G288" i="8"/>
  <c r="I293" i="8" s="1"/>
  <c r="G287" i="8"/>
  <c r="I292" i="8" s="1"/>
  <c r="G286" i="8"/>
  <c r="I291" i="8" s="1"/>
  <c r="G285" i="8"/>
  <c r="I290" i="8" s="1"/>
  <c r="G284" i="8"/>
  <c r="G283" i="8"/>
  <c r="I288" i="8" s="1"/>
  <c r="G282" i="8"/>
  <c r="I287" i="8" s="1"/>
  <c r="I281" i="8"/>
  <c r="G281" i="8"/>
  <c r="I286" i="8" s="1"/>
  <c r="G280" i="8"/>
  <c r="I285" i="8" s="1"/>
  <c r="G279" i="8"/>
  <c r="I284" i="8" s="1"/>
  <c r="G278" i="8"/>
  <c r="I283" i="8" s="1"/>
  <c r="G277" i="8"/>
  <c r="I282" i="8" s="1"/>
  <c r="G276" i="8"/>
  <c r="G275" i="8"/>
  <c r="I280" i="8" s="1"/>
  <c r="G274" i="8"/>
  <c r="I279" i="8" s="1"/>
  <c r="I273" i="8"/>
  <c r="G273" i="8"/>
  <c r="I278" i="8" s="1"/>
  <c r="G272" i="8"/>
  <c r="I277" i="8" s="1"/>
  <c r="G271" i="8"/>
  <c r="I276" i="8" s="1"/>
  <c r="G270" i="8"/>
  <c r="I275" i="8" s="1"/>
  <c r="G269" i="8"/>
  <c r="I274" i="8" s="1"/>
  <c r="G268" i="8"/>
  <c r="G267" i="8"/>
  <c r="I272" i="8" s="1"/>
  <c r="D267" i="8"/>
  <c r="D268" i="8" s="1"/>
  <c r="G266" i="8"/>
  <c r="I271" i="8" s="1"/>
  <c r="C266" i="8"/>
  <c r="B266" i="8"/>
  <c r="G265" i="8"/>
  <c r="I270" i="8" s="1"/>
  <c r="C265" i="8"/>
  <c r="B265" i="8"/>
  <c r="G264" i="8"/>
  <c r="C264" i="8"/>
  <c r="B264" i="8"/>
  <c r="G263" i="8"/>
  <c r="C263" i="8"/>
  <c r="B263" i="8"/>
  <c r="G262" i="8"/>
  <c r="C262" i="8"/>
  <c r="B262" i="8"/>
  <c r="I262" i="8"/>
  <c r="G261" i="8"/>
  <c r="C261" i="8"/>
  <c r="B261" i="8"/>
  <c r="G260" i="8"/>
  <c r="C260" i="8"/>
  <c r="B260" i="8"/>
  <c r="G259" i="8"/>
  <c r="C259" i="8"/>
  <c r="B259" i="8"/>
  <c r="G258" i="8"/>
  <c r="C258" i="8"/>
  <c r="B258" i="8"/>
  <c r="G257" i="8"/>
  <c r="C257" i="8"/>
  <c r="B257" i="8"/>
  <c r="G256" i="8"/>
  <c r="C256" i="8"/>
  <c r="B256" i="8"/>
  <c r="G255" i="8"/>
  <c r="I259" i="8" s="1"/>
  <c r="C255" i="8"/>
  <c r="B255" i="8"/>
  <c r="G254" i="8"/>
  <c r="C254" i="8"/>
  <c r="B254" i="8"/>
  <c r="G253" i="8"/>
  <c r="C253" i="8"/>
  <c r="B253" i="8"/>
  <c r="G252" i="8"/>
  <c r="C252" i="8"/>
  <c r="B252" i="8"/>
  <c r="I252" i="8"/>
  <c r="G251" i="8"/>
  <c r="C251" i="8"/>
  <c r="B251" i="8"/>
  <c r="G250" i="8"/>
  <c r="C250" i="8"/>
  <c r="B250" i="8"/>
  <c r="G249" i="8"/>
  <c r="C249" i="8"/>
  <c r="B249" i="8"/>
  <c r="G248" i="8"/>
  <c r="C248" i="8"/>
  <c r="B248" i="8"/>
  <c r="G247" i="8"/>
  <c r="C247" i="8"/>
  <c r="B247" i="8"/>
  <c r="I250" i="8"/>
  <c r="G246" i="8"/>
  <c r="C246" i="8"/>
  <c r="B246" i="8"/>
  <c r="G245" i="8"/>
  <c r="C245" i="8"/>
  <c r="B245" i="8"/>
  <c r="G244" i="8"/>
  <c r="C244" i="8"/>
  <c r="B244" i="8"/>
  <c r="G243" i="8"/>
  <c r="C243" i="8"/>
  <c r="B243" i="8"/>
  <c r="G242" i="8"/>
  <c r="C242" i="8"/>
  <c r="B242" i="8"/>
  <c r="G241" i="8"/>
  <c r="C241" i="8"/>
  <c r="B241" i="8"/>
  <c r="G240" i="8"/>
  <c r="C240" i="8"/>
  <c r="B240" i="8"/>
  <c r="G239" i="8"/>
  <c r="C239" i="8"/>
  <c r="B239" i="8"/>
  <c r="G238" i="8"/>
  <c r="C238" i="8"/>
  <c r="B238" i="8"/>
  <c r="G237" i="8"/>
  <c r="I242" i="8" s="1"/>
  <c r="C237" i="8"/>
  <c r="B237" i="8"/>
  <c r="G236" i="8"/>
  <c r="C236" i="8"/>
  <c r="B236" i="8"/>
  <c r="G235" i="8"/>
  <c r="C235" i="8"/>
  <c r="B235" i="8"/>
  <c r="G234" i="8"/>
  <c r="C234" i="8"/>
  <c r="B234" i="8"/>
  <c r="G233" i="8"/>
  <c r="C233" i="8"/>
  <c r="B233" i="8"/>
  <c r="G232" i="8"/>
  <c r="C232" i="8"/>
  <c r="B232" i="8"/>
  <c r="G231" i="8"/>
  <c r="I234" i="8" s="1"/>
  <c r="C231" i="8"/>
  <c r="B231" i="8"/>
  <c r="G230" i="8"/>
  <c r="C230" i="8"/>
  <c r="B230" i="8"/>
  <c r="G229" i="8"/>
  <c r="C229" i="8"/>
  <c r="B229" i="8"/>
  <c r="G228" i="8"/>
  <c r="C228" i="8"/>
  <c r="B228" i="8"/>
  <c r="G227" i="8"/>
  <c r="C227" i="8"/>
  <c r="B227" i="8"/>
  <c r="G226" i="8"/>
  <c r="C226" i="8"/>
  <c r="B226" i="8"/>
  <c r="G225" i="8"/>
  <c r="C225" i="8"/>
  <c r="B225" i="8"/>
  <c r="G224" i="8"/>
  <c r="C224" i="8"/>
  <c r="B224" i="8"/>
  <c r="G223" i="8"/>
  <c r="I226" i="8" s="1"/>
  <c r="C223" i="8"/>
  <c r="B223" i="8"/>
  <c r="G222" i="8"/>
  <c r="C222" i="8"/>
  <c r="B222" i="8"/>
  <c r="G221" i="8"/>
  <c r="C221" i="8"/>
  <c r="B221" i="8"/>
  <c r="G220" i="8"/>
  <c r="C220" i="8"/>
  <c r="B220" i="8"/>
  <c r="G219" i="8"/>
  <c r="C219" i="8"/>
  <c r="B219" i="8"/>
  <c r="G218" i="8"/>
  <c r="C218" i="8"/>
  <c r="B218" i="8"/>
  <c r="G217" i="8"/>
  <c r="I218" i="8" s="1"/>
  <c r="C217" i="8"/>
  <c r="B217" i="8"/>
  <c r="G216" i="8"/>
  <c r="C216" i="8"/>
  <c r="B216" i="8"/>
  <c r="G215" i="8"/>
  <c r="C215" i="8"/>
  <c r="B215" i="8"/>
  <c r="G214" i="8"/>
  <c r="C214" i="8"/>
  <c r="B214" i="8"/>
  <c r="G213" i="8"/>
  <c r="C213" i="8"/>
  <c r="B213" i="8"/>
  <c r="G212" i="8"/>
  <c r="C212" i="8"/>
  <c r="B212" i="8"/>
  <c r="G211" i="8"/>
  <c r="C211" i="8"/>
  <c r="B211" i="8"/>
  <c r="G210" i="8"/>
  <c r="C210" i="8"/>
  <c r="B210" i="8"/>
  <c r="G209" i="8"/>
  <c r="C209" i="8"/>
  <c r="B209" i="8"/>
  <c r="G208" i="8"/>
  <c r="C208" i="8"/>
  <c r="B208" i="8"/>
  <c r="G207" i="8"/>
  <c r="I211" i="8" s="1"/>
  <c r="C207" i="8"/>
  <c r="B207" i="8"/>
  <c r="G206" i="8"/>
  <c r="C206" i="8"/>
  <c r="B206" i="8"/>
  <c r="G205" i="8"/>
  <c r="C205" i="8"/>
  <c r="B205" i="8"/>
  <c r="G204" i="8"/>
  <c r="C204" i="8"/>
  <c r="B204" i="8"/>
  <c r="G203" i="8"/>
  <c r="C203" i="8"/>
  <c r="B203" i="8"/>
  <c r="G202" i="8"/>
  <c r="C202" i="8"/>
  <c r="B202" i="8"/>
  <c r="G201" i="8"/>
  <c r="C201" i="8"/>
  <c r="B201" i="8"/>
  <c r="G200" i="8"/>
  <c r="C200" i="8"/>
  <c r="B200" i="8"/>
  <c r="G199" i="8"/>
  <c r="I203" i="8" s="1"/>
  <c r="C199" i="8"/>
  <c r="B199" i="8"/>
  <c r="G198" i="8"/>
  <c r="C198" i="8"/>
  <c r="B198" i="8"/>
  <c r="G197" i="8"/>
  <c r="C197" i="8"/>
  <c r="B197" i="8"/>
  <c r="G196" i="8"/>
  <c r="C196" i="8"/>
  <c r="B196" i="8"/>
  <c r="I195" i="8"/>
  <c r="G195" i="8"/>
  <c r="C195" i="8"/>
  <c r="B195" i="8"/>
  <c r="G194" i="8"/>
  <c r="C194" i="8"/>
  <c r="B194" i="8"/>
  <c r="G193" i="8"/>
  <c r="C193" i="8"/>
  <c r="B193" i="8"/>
  <c r="G192" i="8"/>
  <c r="C192" i="8"/>
  <c r="B192" i="8"/>
  <c r="G191" i="8"/>
  <c r="C191" i="8"/>
  <c r="B191" i="8"/>
  <c r="G190" i="8"/>
  <c r="C190" i="8"/>
  <c r="B190" i="8"/>
  <c r="G189" i="8"/>
  <c r="C189" i="8"/>
  <c r="B189" i="8"/>
  <c r="G188" i="8"/>
  <c r="C188" i="8"/>
  <c r="B188" i="8"/>
  <c r="G187" i="8"/>
  <c r="C187" i="8"/>
  <c r="B187" i="8"/>
  <c r="G186" i="8"/>
  <c r="C186" i="8"/>
  <c r="B186" i="8"/>
  <c r="G185" i="8"/>
  <c r="C185" i="8"/>
  <c r="B185" i="8"/>
  <c r="G184" i="8"/>
  <c r="C184" i="8"/>
  <c r="B184" i="8"/>
  <c r="G183" i="8"/>
  <c r="C183" i="8"/>
  <c r="B183" i="8"/>
  <c r="G182" i="8"/>
  <c r="C182" i="8"/>
  <c r="B182" i="8"/>
  <c r="G181" i="8"/>
  <c r="C181" i="8"/>
  <c r="B181" i="8"/>
  <c r="G180" i="8"/>
  <c r="C180" i="8"/>
  <c r="B180" i="8"/>
  <c r="I180" i="8"/>
  <c r="G179" i="8"/>
  <c r="C179" i="8"/>
  <c r="B179" i="8"/>
  <c r="I178" i="8"/>
  <c r="G178" i="8"/>
  <c r="C178" i="8"/>
  <c r="B178" i="8"/>
  <c r="G177" i="8"/>
  <c r="C177" i="8"/>
  <c r="B177" i="8"/>
  <c r="G176" i="8"/>
  <c r="C176" i="8"/>
  <c r="B176" i="8"/>
  <c r="G175" i="8"/>
  <c r="C175" i="8"/>
  <c r="B175" i="8"/>
  <c r="G174" i="8"/>
  <c r="C174" i="8"/>
  <c r="B174" i="8"/>
  <c r="G173" i="8"/>
  <c r="C173" i="8"/>
  <c r="B173" i="8"/>
  <c r="G172" i="8"/>
  <c r="C172" i="8"/>
  <c r="B172" i="8"/>
  <c r="G171" i="8"/>
  <c r="C171" i="8"/>
  <c r="B171" i="8"/>
  <c r="G170" i="8"/>
  <c r="C170" i="8"/>
  <c r="B170" i="8"/>
  <c r="G169" i="8"/>
  <c r="C169" i="8"/>
  <c r="B169" i="8"/>
  <c r="G168" i="8"/>
  <c r="C168" i="8"/>
  <c r="B168" i="8"/>
  <c r="G167" i="8"/>
  <c r="I171" i="8" s="1"/>
  <c r="C167" i="8"/>
  <c r="B167" i="8"/>
  <c r="G166" i="8"/>
  <c r="C166" i="8"/>
  <c r="B166" i="8"/>
  <c r="G165" i="8"/>
  <c r="C165" i="8"/>
  <c r="B165" i="8"/>
  <c r="G164" i="8"/>
  <c r="C164" i="8"/>
  <c r="B164" i="8"/>
  <c r="G163" i="8"/>
  <c r="C163" i="8"/>
  <c r="B163" i="8"/>
  <c r="G162" i="8"/>
  <c r="C162" i="8"/>
  <c r="B162" i="8"/>
  <c r="G161" i="8"/>
  <c r="C161" i="8"/>
  <c r="B161" i="8"/>
  <c r="G160" i="8"/>
  <c r="C160" i="8"/>
  <c r="B160" i="8"/>
  <c r="G159" i="8"/>
  <c r="C159" i="8"/>
  <c r="B159" i="8"/>
  <c r="G158" i="8"/>
  <c r="C158" i="8"/>
  <c r="B158" i="8"/>
  <c r="G157" i="8"/>
  <c r="C157" i="8"/>
  <c r="B157" i="8"/>
  <c r="G156" i="8"/>
  <c r="I161" i="8" s="1"/>
  <c r="C156" i="8"/>
  <c r="B156" i="8"/>
  <c r="G155" i="8"/>
  <c r="C155" i="8"/>
  <c r="B155" i="8"/>
  <c r="G154" i="8"/>
  <c r="C154" i="8"/>
  <c r="B154" i="8"/>
  <c r="G153" i="8"/>
  <c r="C153" i="8"/>
  <c r="B153" i="8"/>
  <c r="G152" i="8"/>
  <c r="C152" i="8"/>
  <c r="B152" i="8"/>
  <c r="G151" i="8"/>
  <c r="C151" i="8"/>
  <c r="B151" i="8"/>
  <c r="G150" i="8"/>
  <c r="C150" i="8"/>
  <c r="B150" i="8"/>
  <c r="G149" i="8"/>
  <c r="C149" i="8"/>
  <c r="B149" i="8"/>
  <c r="G148" i="8"/>
  <c r="C148" i="8"/>
  <c r="B148" i="8"/>
  <c r="G147" i="8"/>
  <c r="C147" i="8"/>
  <c r="B147" i="8"/>
  <c r="G146" i="8"/>
  <c r="C146" i="8"/>
  <c r="B146" i="8"/>
  <c r="G145" i="8"/>
  <c r="C145" i="8"/>
  <c r="B145" i="8"/>
  <c r="G144" i="8"/>
  <c r="I146" i="8" s="1"/>
  <c r="C144" i="8"/>
  <c r="B144" i="8"/>
  <c r="G143" i="8"/>
  <c r="C143" i="8"/>
  <c r="B143" i="8"/>
  <c r="G142" i="8"/>
  <c r="C142" i="8"/>
  <c r="B142" i="8"/>
  <c r="G141" i="8"/>
  <c r="C141" i="8"/>
  <c r="B141" i="8"/>
  <c r="G140" i="8"/>
  <c r="I145" i="8" s="1"/>
  <c r="C140" i="8"/>
  <c r="B140" i="8"/>
  <c r="G139" i="8"/>
  <c r="C139" i="8"/>
  <c r="B139" i="8"/>
  <c r="G138" i="8"/>
  <c r="C138" i="8"/>
  <c r="B138" i="8"/>
  <c r="G137" i="8"/>
  <c r="C137" i="8"/>
  <c r="B137" i="8"/>
  <c r="G136" i="8"/>
  <c r="C136" i="8"/>
  <c r="B136" i="8"/>
  <c r="G135" i="8"/>
  <c r="C135" i="8"/>
  <c r="B135" i="8"/>
  <c r="G134" i="8"/>
  <c r="C134" i="8"/>
  <c r="B134" i="8"/>
  <c r="G133" i="8"/>
  <c r="C133" i="8"/>
  <c r="B133" i="8"/>
  <c r="I134" i="8"/>
  <c r="I132" i="8"/>
  <c r="G132" i="8"/>
  <c r="C132" i="8"/>
  <c r="B132" i="8"/>
  <c r="G131" i="8"/>
  <c r="C131" i="8"/>
  <c r="B131" i="8"/>
  <c r="I131" i="8"/>
  <c r="G130" i="8"/>
  <c r="C130" i="8"/>
  <c r="B130" i="8"/>
  <c r="G129" i="8"/>
  <c r="C129" i="8"/>
  <c r="B129" i="8"/>
  <c r="I129" i="8"/>
  <c r="G128" i="8"/>
  <c r="C128" i="8"/>
  <c r="B128" i="8"/>
  <c r="G127" i="8"/>
  <c r="C127" i="8"/>
  <c r="B127" i="8"/>
  <c r="G126" i="8"/>
  <c r="C126" i="8"/>
  <c r="B126" i="8"/>
  <c r="G125" i="8"/>
  <c r="C125" i="8"/>
  <c r="B125" i="8"/>
  <c r="I126" i="8"/>
  <c r="G124" i="8"/>
  <c r="C124" i="8"/>
  <c r="B124" i="8"/>
  <c r="G123" i="8"/>
  <c r="C123" i="8"/>
  <c r="B123" i="8"/>
  <c r="G122" i="8"/>
  <c r="C122" i="8"/>
  <c r="B122" i="8"/>
  <c r="G121" i="8"/>
  <c r="C121" i="8"/>
  <c r="B121" i="8"/>
  <c r="G120" i="8"/>
  <c r="C120" i="8"/>
  <c r="B120" i="8"/>
  <c r="G119" i="8"/>
  <c r="I124" i="8" s="1"/>
  <c r="C119" i="8"/>
  <c r="B119" i="8"/>
  <c r="G118" i="8"/>
  <c r="C118" i="8"/>
  <c r="B118" i="8"/>
  <c r="G117" i="8"/>
  <c r="C117" i="8"/>
  <c r="B117" i="8"/>
  <c r="G116" i="8"/>
  <c r="C116" i="8"/>
  <c r="B116" i="8"/>
  <c r="G115" i="8"/>
  <c r="C115" i="8"/>
  <c r="B115" i="8"/>
  <c r="G114" i="8"/>
  <c r="C114" i="8"/>
  <c r="B114" i="8"/>
  <c r="G113" i="8"/>
  <c r="C113" i="8"/>
  <c r="B113" i="8"/>
  <c r="G112" i="8"/>
  <c r="C112" i="8"/>
  <c r="B112" i="8"/>
  <c r="G111" i="8"/>
  <c r="I116" i="8" s="1"/>
  <c r="C111" i="8"/>
  <c r="B111" i="8"/>
  <c r="G110" i="8"/>
  <c r="C110" i="8"/>
  <c r="B110" i="8"/>
  <c r="G109" i="8"/>
  <c r="C109" i="8"/>
  <c r="B109" i="8"/>
  <c r="G108" i="8"/>
  <c r="C108" i="8"/>
  <c r="B108" i="8"/>
  <c r="G107" i="8"/>
  <c r="I109" i="8" s="1"/>
  <c r="C107" i="8"/>
  <c r="B107" i="8"/>
  <c r="G106" i="8"/>
  <c r="C106" i="8"/>
  <c r="B106" i="8"/>
  <c r="G105" i="8"/>
  <c r="C105" i="8"/>
  <c r="B105" i="8"/>
  <c r="G104" i="8"/>
  <c r="C104" i="8"/>
  <c r="B104" i="8"/>
  <c r="G103" i="8"/>
  <c r="I108" i="8" s="1"/>
  <c r="C103" i="8"/>
  <c r="B103" i="8"/>
  <c r="G102" i="8"/>
  <c r="C102" i="8"/>
  <c r="B102" i="8"/>
  <c r="G101" i="8"/>
  <c r="I104" i="8" s="1"/>
  <c r="C101" i="8"/>
  <c r="B101" i="8"/>
  <c r="C100" i="8"/>
  <c r="B100" i="8"/>
  <c r="I100" i="8"/>
  <c r="C99" i="8"/>
  <c r="B99" i="8"/>
  <c r="C98" i="8"/>
  <c r="B98" i="8"/>
  <c r="C97" i="8"/>
  <c r="B97" i="8"/>
  <c r="C96" i="8"/>
  <c r="B96" i="8"/>
  <c r="I96" i="8"/>
  <c r="C95" i="8"/>
  <c r="B95" i="8"/>
  <c r="I97" i="8"/>
  <c r="C94" i="8"/>
  <c r="B94" i="8"/>
  <c r="C93" i="8"/>
  <c r="B93" i="8"/>
  <c r="C92" i="8"/>
  <c r="B92" i="8"/>
  <c r="I92" i="8"/>
  <c r="C91" i="8"/>
  <c r="B91" i="8"/>
  <c r="I93" i="8"/>
  <c r="C90" i="8"/>
  <c r="B90" i="8"/>
  <c r="C89" i="8"/>
  <c r="B89" i="8"/>
  <c r="C88" i="8"/>
  <c r="B88" i="8"/>
  <c r="I88" i="8"/>
  <c r="C87" i="8"/>
  <c r="B87" i="8"/>
  <c r="I89" i="8"/>
  <c r="C86" i="8"/>
  <c r="B86" i="8"/>
  <c r="C85" i="8"/>
  <c r="B85" i="8"/>
  <c r="C84" i="8"/>
  <c r="B84" i="8"/>
  <c r="I84" i="8"/>
  <c r="C83" i="8"/>
  <c r="B83" i="8"/>
  <c r="I85" i="8"/>
  <c r="C82" i="8"/>
  <c r="B82" i="8"/>
  <c r="C81" i="8"/>
  <c r="B81" i="8"/>
  <c r="C80" i="8"/>
  <c r="B80" i="8"/>
  <c r="I80" i="8"/>
  <c r="C79" i="8"/>
  <c r="B79" i="8"/>
  <c r="I81" i="8"/>
  <c r="C78" i="8"/>
  <c r="B78" i="8"/>
  <c r="C77" i="8"/>
  <c r="B77" i="8"/>
  <c r="C76" i="8"/>
  <c r="B76" i="8"/>
  <c r="I76" i="8"/>
  <c r="C75" i="8"/>
  <c r="B75" i="8"/>
  <c r="I77" i="8"/>
  <c r="C74" i="8"/>
  <c r="B74" i="8"/>
  <c r="C73" i="8"/>
  <c r="B73" i="8"/>
  <c r="C72" i="8"/>
  <c r="B72" i="8"/>
  <c r="I72" i="8"/>
  <c r="C71" i="8"/>
  <c r="B71" i="8"/>
  <c r="I73" i="8"/>
  <c r="C70" i="8"/>
  <c r="B70" i="8"/>
  <c r="C69" i="8"/>
  <c r="B69" i="8"/>
  <c r="C68" i="8"/>
  <c r="B68" i="8"/>
  <c r="I68" i="8"/>
  <c r="C67" i="8"/>
  <c r="B67" i="8"/>
  <c r="I69" i="8"/>
  <c r="C66" i="8"/>
  <c r="B66" i="8"/>
  <c r="C65" i="8"/>
  <c r="B65" i="8"/>
  <c r="C64" i="8"/>
  <c r="B64" i="8"/>
  <c r="I64" i="8"/>
  <c r="C63" i="8"/>
  <c r="B63" i="8"/>
  <c r="I65" i="8"/>
  <c r="C62" i="8"/>
  <c r="B62" i="8"/>
  <c r="C61" i="8"/>
  <c r="B61" i="8"/>
  <c r="C60" i="8"/>
  <c r="B60" i="8"/>
  <c r="I60" i="8"/>
  <c r="C59" i="8"/>
  <c r="B59" i="8"/>
  <c r="I61" i="8"/>
  <c r="C58" i="8"/>
  <c r="B58" i="8"/>
  <c r="C57" i="8"/>
  <c r="B57" i="8"/>
  <c r="C56" i="8"/>
  <c r="B56" i="8"/>
  <c r="I56" i="8"/>
  <c r="C55" i="8"/>
  <c r="B55" i="8"/>
  <c r="I57" i="8"/>
  <c r="C54" i="8"/>
  <c r="B54" i="8"/>
  <c r="I53" i="8"/>
  <c r="C53" i="8"/>
  <c r="B53" i="8"/>
  <c r="C52" i="8"/>
  <c r="B52" i="8"/>
  <c r="I52" i="8"/>
  <c r="C51" i="8"/>
  <c r="B51" i="8"/>
  <c r="I54" i="8"/>
  <c r="C50" i="8"/>
  <c r="B50" i="8"/>
  <c r="I49" i="8"/>
  <c r="C49" i="8"/>
  <c r="B49" i="8"/>
  <c r="C48" i="8"/>
  <c r="B48" i="8"/>
  <c r="I48" i="8"/>
  <c r="C47" i="8"/>
  <c r="B47" i="8"/>
  <c r="I50" i="8"/>
  <c r="C46" i="8"/>
  <c r="B46" i="8"/>
  <c r="I45" i="8"/>
  <c r="C45" i="8"/>
  <c r="B45" i="8"/>
  <c r="C44" i="8"/>
  <c r="B44" i="8"/>
  <c r="I44" i="8"/>
  <c r="C43" i="8"/>
  <c r="B43" i="8"/>
  <c r="I46" i="8"/>
  <c r="C42" i="8"/>
  <c r="B42" i="8"/>
  <c r="I41" i="8"/>
  <c r="C41" i="8"/>
  <c r="B41" i="8"/>
  <c r="C40" i="8"/>
  <c r="B40" i="8"/>
  <c r="I40" i="8"/>
  <c r="C39" i="8"/>
  <c r="B39" i="8"/>
  <c r="I42" i="8"/>
  <c r="C38" i="8"/>
  <c r="B38" i="8"/>
  <c r="I37" i="8"/>
  <c r="C37" i="8"/>
  <c r="B37" i="8"/>
  <c r="C36" i="8"/>
  <c r="B36" i="8"/>
  <c r="I36" i="8"/>
  <c r="C35" i="8"/>
  <c r="B35" i="8"/>
  <c r="I38" i="8"/>
  <c r="C34" i="8"/>
  <c r="B34" i="8"/>
  <c r="I33" i="8"/>
  <c r="C33" i="8"/>
  <c r="B33" i="8"/>
  <c r="C32" i="8"/>
  <c r="B32" i="8"/>
  <c r="I32" i="8"/>
  <c r="C31" i="8"/>
  <c r="B31" i="8"/>
  <c r="I34" i="8"/>
  <c r="C30" i="8"/>
  <c r="B30" i="8"/>
  <c r="I29" i="8"/>
  <c r="C29" i="8"/>
  <c r="B29" i="8"/>
  <c r="C28" i="8"/>
  <c r="B28" i="8"/>
  <c r="I28" i="8"/>
  <c r="C27" i="8"/>
  <c r="B27" i="8"/>
  <c r="I30" i="8"/>
  <c r="C26" i="8"/>
  <c r="B26" i="8"/>
  <c r="I25" i="8"/>
  <c r="C25" i="8"/>
  <c r="B25" i="8"/>
  <c r="C24" i="8"/>
  <c r="B24" i="8"/>
  <c r="I24" i="8"/>
  <c r="C23" i="8"/>
  <c r="B23" i="8"/>
  <c r="I26" i="8"/>
  <c r="C22" i="8"/>
  <c r="B22" i="8"/>
  <c r="I21" i="8"/>
  <c r="C21" i="8"/>
  <c r="B21" i="8"/>
  <c r="C20" i="8"/>
  <c r="B20" i="8"/>
  <c r="I20" i="8"/>
  <c r="C19" i="8"/>
  <c r="B19" i="8"/>
  <c r="I22" i="8"/>
  <c r="C18" i="8"/>
  <c r="B18" i="8"/>
  <c r="I17" i="8"/>
  <c r="C17" i="8"/>
  <c r="B17" i="8"/>
  <c r="C16" i="8"/>
  <c r="B16" i="8"/>
  <c r="I16" i="8"/>
  <c r="C15" i="8"/>
  <c r="B15" i="8"/>
  <c r="I18" i="8"/>
  <c r="C14" i="8"/>
  <c r="B14" i="8"/>
  <c r="I13" i="8"/>
  <c r="C13" i="8"/>
  <c r="B13" i="8"/>
  <c r="C12" i="8"/>
  <c r="B12" i="8"/>
  <c r="I12" i="8"/>
  <c r="C11" i="8"/>
  <c r="B11" i="8"/>
  <c r="I14" i="8"/>
  <c r="I10" i="8"/>
  <c r="C10" i="8"/>
  <c r="B10" i="8"/>
  <c r="I9" i="8"/>
  <c r="C9" i="8"/>
  <c r="B9" i="8"/>
  <c r="C8" i="8"/>
  <c r="B8" i="8"/>
  <c r="I8" i="8"/>
  <c r="L7" i="8"/>
  <c r="K8" i="8" s="1"/>
  <c r="K7" i="8"/>
  <c r="I7" i="8"/>
  <c r="C7" i="8"/>
  <c r="B7" i="8"/>
  <c r="C6" i="8"/>
  <c r="B6" i="8"/>
  <c r="C5" i="8"/>
  <c r="B5" i="8"/>
  <c r="C4" i="8"/>
  <c r="B4" i="8"/>
  <c r="C3" i="8"/>
  <c r="B3" i="8"/>
  <c r="C2" i="8"/>
  <c r="B2" i="8"/>
  <c r="A594" i="3" l="1"/>
  <c r="H593" i="3"/>
  <c r="M593" i="3"/>
  <c r="R593" i="3"/>
  <c r="F593" i="3"/>
  <c r="P593" i="3" a="1"/>
  <c r="P593" i="3" s="1"/>
  <c r="L593" i="3"/>
  <c r="O593" i="3" s="1" a="1"/>
  <c r="O593" i="3" s="1"/>
  <c r="E593" i="3"/>
  <c r="T593" i="3"/>
  <c r="N593" i="3"/>
  <c r="K593" i="3"/>
  <c r="S593" i="3"/>
  <c r="D593" i="3"/>
  <c r="J593" i="3"/>
  <c r="C593" i="3"/>
  <c r="B593" i="3"/>
  <c r="G593" i="3"/>
  <c r="I593" i="3"/>
  <c r="Q593" i="3" a="1"/>
  <c r="Q593" i="3" s="1"/>
  <c r="I202" i="8"/>
  <c r="I110" i="8"/>
  <c r="I113" i="8"/>
  <c r="I115" i="8"/>
  <c r="I147" i="8"/>
  <c r="I152" i="8"/>
  <c r="I155" i="8"/>
  <c r="I261" i="8"/>
  <c r="I338" i="8"/>
  <c r="I349" i="8"/>
  <c r="I431" i="8"/>
  <c r="I102" i="8"/>
  <c r="I118" i="8"/>
  <c r="I121" i="8"/>
  <c r="I123" i="8"/>
  <c r="I164" i="8"/>
  <c r="B267" i="8"/>
  <c r="I346" i="8"/>
  <c r="I357" i="8"/>
  <c r="I412" i="8"/>
  <c r="I426" i="8"/>
  <c r="I434" i="8"/>
  <c r="I442" i="8"/>
  <c r="I445" i="8"/>
  <c r="I103" i="8"/>
  <c r="I106" i="8"/>
  <c r="I117" i="8"/>
  <c r="I139" i="8"/>
  <c r="I141" i="8"/>
  <c r="I143" i="8"/>
  <c r="I198" i="8"/>
  <c r="I214" i="8"/>
  <c r="I222" i="8"/>
  <c r="I362" i="8"/>
  <c r="I373" i="8"/>
  <c r="I422" i="8"/>
  <c r="I438" i="8"/>
  <c r="I458" i="8"/>
  <c r="I461" i="8"/>
  <c r="I112" i="8"/>
  <c r="I114" i="8"/>
  <c r="I125" i="8"/>
  <c r="I149" i="8"/>
  <c r="I153" i="8"/>
  <c r="I160" i="8"/>
  <c r="I179" i="8"/>
  <c r="I244" i="8"/>
  <c r="I317" i="8"/>
  <c r="I381" i="8"/>
  <c r="I454" i="8"/>
  <c r="I120" i="8"/>
  <c r="I122" i="8"/>
  <c r="I133" i="8"/>
  <c r="I187" i="8"/>
  <c r="I325" i="8"/>
  <c r="I378" i="8"/>
  <c r="I428" i="8"/>
  <c r="I436" i="8"/>
  <c r="I444" i="8"/>
  <c r="I462" i="8"/>
  <c r="I128" i="8"/>
  <c r="I130" i="8"/>
  <c r="I186" i="8"/>
  <c r="I243" i="8"/>
  <c r="I322" i="8"/>
  <c r="I333" i="8"/>
  <c r="I452" i="8"/>
  <c r="I105" i="8"/>
  <c r="I107" i="8"/>
  <c r="I136" i="8"/>
  <c r="I140" i="8"/>
  <c r="I142" i="8"/>
  <c r="I144" i="8"/>
  <c r="I154" i="8"/>
  <c r="I162" i="8"/>
  <c r="I197" i="8"/>
  <c r="I330" i="8"/>
  <c r="I341" i="8"/>
  <c r="I396" i="8"/>
  <c r="I432" i="8"/>
  <c r="I460" i="8"/>
  <c r="L8" i="8"/>
  <c r="K9" i="8" s="1"/>
  <c r="L9" i="8" s="1"/>
  <c r="K10" i="8" s="1"/>
  <c r="L10" i="8" s="1"/>
  <c r="K11" i="8" s="1"/>
  <c r="I167" i="8"/>
  <c r="I193" i="8"/>
  <c r="I191" i="8"/>
  <c r="I319" i="8"/>
  <c r="I327" i="8"/>
  <c r="I375" i="8"/>
  <c r="I383" i="8"/>
  <c r="I496" i="8"/>
  <c r="I138" i="8"/>
  <c r="I150" i="8"/>
  <c r="I156" i="8"/>
  <c r="I159" i="8"/>
  <c r="I168" i="8"/>
  <c r="I188" i="8"/>
  <c r="I201" i="8"/>
  <c r="I199" i="8"/>
  <c r="I200" i="8"/>
  <c r="I205" i="8"/>
  <c r="I230" i="8"/>
  <c r="I254" i="8"/>
  <c r="D269" i="8"/>
  <c r="C268" i="8"/>
  <c r="B268" i="8"/>
  <c r="I429" i="8"/>
  <c r="I446" i="8"/>
  <c r="I456" i="8"/>
  <c r="I479" i="8"/>
  <c r="I493" i="8"/>
  <c r="I510" i="8"/>
  <c r="I151" i="8"/>
  <c r="I174" i="8"/>
  <c r="I194" i="8"/>
  <c r="I196" i="8"/>
  <c r="I209" i="8"/>
  <c r="I207" i="8"/>
  <c r="I208" i="8"/>
  <c r="I213" i="8"/>
  <c r="I238" i="8"/>
  <c r="I251" i="8"/>
  <c r="I318" i="8"/>
  <c r="I326" i="8"/>
  <c r="I334" i="8"/>
  <c r="I342" i="8"/>
  <c r="I350" i="8"/>
  <c r="I358" i="8"/>
  <c r="I366" i="8"/>
  <c r="I374" i="8"/>
  <c r="I382" i="8"/>
  <c r="I394" i="8"/>
  <c r="I395" i="8"/>
  <c r="I397" i="8"/>
  <c r="I410" i="8"/>
  <c r="I411" i="8"/>
  <c r="I413" i="8"/>
  <c r="I439" i="8"/>
  <c r="I470" i="8"/>
  <c r="I480" i="8"/>
  <c r="I503" i="8"/>
  <c r="I359" i="8"/>
  <c r="I367" i="8"/>
  <c r="I393" i="8"/>
  <c r="I23" i="8"/>
  <c r="I27" i="8"/>
  <c r="I31" i="8"/>
  <c r="I35" i="8"/>
  <c r="I39" i="8"/>
  <c r="I43" i="8"/>
  <c r="I47" i="8"/>
  <c r="I51" i="8"/>
  <c r="I55" i="8"/>
  <c r="I59" i="8"/>
  <c r="I63" i="8"/>
  <c r="I67" i="8"/>
  <c r="I71" i="8"/>
  <c r="I75" i="8"/>
  <c r="I91" i="8"/>
  <c r="I95" i="8"/>
  <c r="I99" i="8"/>
  <c r="I137" i="8"/>
  <c r="I182" i="8"/>
  <c r="I204" i="8"/>
  <c r="I217" i="8"/>
  <c r="I215" i="8"/>
  <c r="I216" i="8"/>
  <c r="I219" i="8"/>
  <c r="I221" i="8"/>
  <c r="I246" i="8"/>
  <c r="I265" i="8"/>
  <c r="I264" i="8"/>
  <c r="I267" i="8"/>
  <c r="I269" i="8"/>
  <c r="I320" i="8"/>
  <c r="I328" i="8"/>
  <c r="I336" i="8"/>
  <c r="I344" i="8"/>
  <c r="I352" i="8"/>
  <c r="I360" i="8"/>
  <c r="I368" i="8"/>
  <c r="I376" i="8"/>
  <c r="I384" i="8"/>
  <c r="I430" i="8"/>
  <c r="I440" i="8"/>
  <c r="I463" i="8"/>
  <c r="I494" i="8"/>
  <c r="I504" i="8"/>
  <c r="I101" i="8"/>
  <c r="I158" i="8"/>
  <c r="I192" i="8"/>
  <c r="I335" i="8"/>
  <c r="I343" i="8"/>
  <c r="I351" i="8"/>
  <c r="I390" i="8"/>
  <c r="I391" i="8"/>
  <c r="I406" i="8"/>
  <c r="I407" i="8"/>
  <c r="I409" i="8"/>
  <c r="I11" i="8"/>
  <c r="I15" i="8"/>
  <c r="I19" i="8"/>
  <c r="I79" i="8"/>
  <c r="I83" i="8"/>
  <c r="I87" i="8"/>
  <c r="I190" i="8"/>
  <c r="I210" i="8"/>
  <c r="I212" i="8"/>
  <c r="I225" i="8"/>
  <c r="I223" i="8"/>
  <c r="I224" i="8"/>
  <c r="I227" i="8"/>
  <c r="I229" i="8"/>
  <c r="I321" i="8"/>
  <c r="I323" i="8"/>
  <c r="I329" i="8"/>
  <c r="I331" i="8"/>
  <c r="I337" i="8"/>
  <c r="I339" i="8"/>
  <c r="I345" i="8"/>
  <c r="I347" i="8"/>
  <c r="I353" i="8"/>
  <c r="I355" i="8"/>
  <c r="I361" i="8"/>
  <c r="I363" i="8"/>
  <c r="I369" i="8"/>
  <c r="I371" i="8"/>
  <c r="I377" i="8"/>
  <c r="I379" i="8"/>
  <c r="I385" i="8"/>
  <c r="I398" i="8"/>
  <c r="I399" i="8"/>
  <c r="I401" i="8"/>
  <c r="I414" i="8"/>
  <c r="I415" i="8"/>
  <c r="I417" i="8"/>
  <c r="I423" i="8"/>
  <c r="I437" i="8"/>
  <c r="I464" i="8"/>
  <c r="I487" i="8"/>
  <c r="I501" i="8"/>
  <c r="I94" i="8"/>
  <c r="I98" i="8"/>
  <c r="I111" i="8"/>
  <c r="I119" i="8"/>
  <c r="I127" i="8"/>
  <c r="I135" i="8"/>
  <c r="I148" i="8"/>
  <c r="I163" i="8"/>
  <c r="I170" i="8"/>
  <c r="I173" i="8"/>
  <c r="I220" i="8"/>
  <c r="I233" i="8"/>
  <c r="I231" i="8"/>
  <c r="I232" i="8"/>
  <c r="I235" i="8"/>
  <c r="I237" i="8"/>
  <c r="I253" i="8"/>
  <c r="I257" i="8"/>
  <c r="I256" i="8"/>
  <c r="I266" i="8"/>
  <c r="I424" i="8"/>
  <c r="I488" i="8"/>
  <c r="I58" i="8"/>
  <c r="I62" i="8"/>
  <c r="I66" i="8"/>
  <c r="I70" i="8"/>
  <c r="I74" i="8"/>
  <c r="I78" i="8"/>
  <c r="I82" i="8"/>
  <c r="I86" i="8"/>
  <c r="I90" i="8"/>
  <c r="I165" i="8"/>
  <c r="I177" i="8"/>
  <c r="I175" i="8"/>
  <c r="I176" i="8"/>
  <c r="I181" i="8"/>
  <c r="I206" i="8"/>
  <c r="I228" i="8"/>
  <c r="I241" i="8"/>
  <c r="I239" i="8"/>
  <c r="I240" i="8"/>
  <c r="I245" i="8"/>
  <c r="I260" i="8"/>
  <c r="I386" i="8"/>
  <c r="I387" i="8"/>
  <c r="I389" i="8"/>
  <c r="I402" i="8"/>
  <c r="I403" i="8"/>
  <c r="I405" i="8"/>
  <c r="I418" i="8"/>
  <c r="I419" i="8"/>
  <c r="I421" i="8"/>
  <c r="I448" i="8"/>
  <c r="I485" i="8"/>
  <c r="I512" i="8"/>
  <c r="I157" i="8"/>
  <c r="I166" i="8"/>
  <c r="I169" i="8"/>
  <c r="I172" i="8"/>
  <c r="I185" i="8"/>
  <c r="I183" i="8"/>
  <c r="I184" i="8"/>
  <c r="I189" i="8"/>
  <c r="I236" i="8"/>
  <c r="I249" i="8"/>
  <c r="I247" i="8"/>
  <c r="I248" i="8"/>
  <c r="I258" i="8"/>
  <c r="I268" i="8"/>
  <c r="I392" i="8"/>
  <c r="I408" i="8"/>
  <c r="I472" i="8"/>
  <c r="I425" i="8"/>
  <c r="I433" i="8"/>
  <c r="I441" i="8"/>
  <c r="I449" i="8"/>
  <c r="I457" i="8"/>
  <c r="I465" i="8"/>
  <c r="I473" i="8"/>
  <c r="I481" i="8"/>
  <c r="I489" i="8"/>
  <c r="I497" i="8"/>
  <c r="I505" i="8"/>
  <c r="I255" i="8"/>
  <c r="I263" i="8"/>
  <c r="I514" i="8"/>
  <c r="I516" i="8"/>
  <c r="I518" i="8"/>
  <c r="I520" i="8"/>
  <c r="I522" i="8"/>
  <c r="I524" i="8"/>
  <c r="I526" i="8"/>
  <c r="F745" i="8"/>
  <c r="G744" i="8"/>
  <c r="I427" i="8"/>
  <c r="I435" i="8"/>
  <c r="I443" i="8"/>
  <c r="I451" i="8"/>
  <c r="I459" i="8"/>
  <c r="I467" i="8"/>
  <c r="I475" i="8"/>
  <c r="I483" i="8"/>
  <c r="I491" i="8"/>
  <c r="I499" i="8"/>
  <c r="I507" i="8"/>
  <c r="C267" i="8"/>
  <c r="I513" i="8"/>
  <c r="I515" i="8"/>
  <c r="I517" i="8"/>
  <c r="I519" i="8"/>
  <c r="I521" i="8"/>
  <c r="I523" i="8"/>
  <c r="I525" i="8"/>
  <c r="I621" i="8"/>
  <c r="L621" i="8" s="1"/>
  <c r="I623" i="8"/>
  <c r="L623" i="8" s="1"/>
  <c r="I630" i="8"/>
  <c r="L630" i="8" s="1"/>
  <c r="F657" i="8"/>
  <c r="G656" i="8"/>
  <c r="I625" i="8"/>
  <c r="I624" i="8"/>
  <c r="L624" i="8" s="1"/>
  <c r="G743" i="8"/>
  <c r="D789" i="8"/>
  <c r="B788" i="8"/>
  <c r="G809" i="8"/>
  <c r="I809" i="8"/>
  <c r="F811" i="8"/>
  <c r="G810" i="8"/>
  <c r="F852" i="8"/>
  <c r="I962" i="8"/>
  <c r="F963" i="8"/>
  <c r="G962" i="8"/>
  <c r="I939" i="8"/>
  <c r="F940" i="8"/>
  <c r="G939" i="8"/>
  <c r="I917" i="8"/>
  <c r="F918" i="8"/>
  <c r="G917" i="8"/>
  <c r="F1006" i="8"/>
  <c r="G1005" i="8"/>
  <c r="F1071" i="8"/>
  <c r="I1070" i="8"/>
  <c r="G1070" i="8"/>
  <c r="F1091" i="8"/>
  <c r="I1090" i="8"/>
  <c r="G1090" i="8"/>
  <c r="F982" i="8"/>
  <c r="G981" i="8"/>
  <c r="I1025" i="8"/>
  <c r="F1026" i="8"/>
  <c r="F1049" i="8"/>
  <c r="I1048" i="8"/>
  <c r="F1155" i="8"/>
  <c r="G1154" i="8"/>
  <c r="I1154" i="8"/>
  <c r="G1113" i="8"/>
  <c r="I1113" i="8"/>
  <c r="F1114" i="8"/>
  <c r="F1288" i="8"/>
  <c r="I1287" i="8"/>
  <c r="G1287" i="8"/>
  <c r="R1087" i="8"/>
  <c r="F1135" i="8"/>
  <c r="G1134" i="8"/>
  <c r="F1223" i="8"/>
  <c r="I1222" i="8"/>
  <c r="G1222" i="8"/>
  <c r="F1266" i="8"/>
  <c r="I1265" i="8"/>
  <c r="G1265" i="8"/>
  <c r="F1244" i="8"/>
  <c r="I1243" i="8"/>
  <c r="G1288" i="8"/>
  <c r="F1178" i="8"/>
  <c r="I1177" i="8"/>
  <c r="G1200" i="8"/>
  <c r="F1201" i="8"/>
  <c r="I1200" i="8"/>
  <c r="G1286" i="8"/>
  <c r="G1329" i="8"/>
  <c r="I1372" i="8"/>
  <c r="I1286" i="8"/>
  <c r="F1310" i="8"/>
  <c r="I1309" i="8"/>
  <c r="I1264" i="8"/>
  <c r="I1176" i="8"/>
  <c r="G1349" i="8"/>
  <c r="I1349" i="8"/>
  <c r="F1350" i="8"/>
  <c r="I1285" i="8"/>
  <c r="I1331" i="8"/>
  <c r="F1332" i="8"/>
  <c r="G1331" i="8"/>
  <c r="G1330" i="8"/>
  <c r="G1396" i="8"/>
  <c r="G1397" i="8"/>
  <c r="I1396" i="8"/>
  <c r="F1397" i="8"/>
  <c r="G1310" i="8"/>
  <c r="I1418" i="8"/>
  <c r="F1419" i="8"/>
  <c r="G1419" i="8" s="1"/>
  <c r="F1373" i="8"/>
  <c r="G1395" i="8"/>
  <c r="I1395" i="8"/>
  <c r="I1481" i="8"/>
  <c r="F1441" i="8"/>
  <c r="I1440" i="8"/>
  <c r="G1418" i="8"/>
  <c r="E1451" i="8"/>
  <c r="G1417" i="8"/>
  <c r="I1417" i="8"/>
  <c r="I1416" i="8"/>
  <c r="I1415" i="8"/>
  <c r="G1440" i="8"/>
  <c r="I1439" i="8"/>
  <c r="F1485" i="8"/>
  <c r="G1485" i="8" s="1"/>
  <c r="E1479" i="8"/>
  <c r="I1541" i="8"/>
  <c r="G1541" i="8"/>
  <c r="I1548" i="8"/>
  <c r="F1549" i="8"/>
  <c r="G1548" i="8"/>
  <c r="I1532" i="8"/>
  <c r="G1532" i="8"/>
  <c r="I1524" i="8"/>
  <c r="I1547" i="8"/>
  <c r="E1575" i="8"/>
  <c r="I1525" i="8"/>
  <c r="G1546" i="8"/>
  <c r="G1547" i="8"/>
  <c r="Q594" i="3" l="1" a="1"/>
  <c r="Q594" i="3" s="1"/>
  <c r="R594" i="3"/>
  <c r="E594" i="3"/>
  <c r="N594" i="3"/>
  <c r="K594" i="3"/>
  <c r="D594" i="3"/>
  <c r="L594" i="3"/>
  <c r="O594" i="3" s="1" a="1"/>
  <c r="O594" i="3" s="1"/>
  <c r="T594" i="3"/>
  <c r="S594" i="3"/>
  <c r="M594" i="3"/>
  <c r="J594" i="3"/>
  <c r="C594" i="3"/>
  <c r="I594" i="3"/>
  <c r="H594" i="3"/>
  <c r="B594" i="3"/>
  <c r="G594" i="3"/>
  <c r="F594" i="3"/>
  <c r="P594" i="3" a="1"/>
  <c r="P594" i="3" s="1"/>
  <c r="M630" i="8"/>
  <c r="F1442" i="8"/>
  <c r="I1441" i="8"/>
  <c r="F1202" i="8"/>
  <c r="I1201" i="8"/>
  <c r="G1201" i="8"/>
  <c r="I1006" i="8"/>
  <c r="F1007" i="8"/>
  <c r="G1006" i="8"/>
  <c r="I963" i="8"/>
  <c r="F964" i="8"/>
  <c r="G963" i="8"/>
  <c r="P1550" i="8"/>
  <c r="I1483" i="8"/>
  <c r="E1452" i="8"/>
  <c r="I1373" i="8"/>
  <c r="F1374" i="8"/>
  <c r="G1441" i="8"/>
  <c r="I982" i="8"/>
  <c r="F983" i="8"/>
  <c r="G982" i="8"/>
  <c r="F746" i="8"/>
  <c r="G745" i="8"/>
  <c r="I1549" i="8"/>
  <c r="F1550" i="8"/>
  <c r="G1549" i="8"/>
  <c r="I1266" i="8"/>
  <c r="F1267" i="8"/>
  <c r="G1266" i="8"/>
  <c r="I1155" i="8"/>
  <c r="F1156" i="8"/>
  <c r="G1155" i="8"/>
  <c r="I918" i="8"/>
  <c r="F919" i="8"/>
  <c r="G918" i="8"/>
  <c r="I852" i="8"/>
  <c r="F853" i="8"/>
  <c r="G852" i="8"/>
  <c r="L11" i="8"/>
  <c r="K12" i="8" s="1"/>
  <c r="L12" i="8" s="1"/>
  <c r="K13" i="8" s="1"/>
  <c r="L13" i="8" s="1"/>
  <c r="K14" i="8" s="1"/>
  <c r="L14" i="8" s="1"/>
  <c r="K15" i="8" s="1"/>
  <c r="L15" i="8" s="1"/>
  <c r="K16" i="8" s="1"/>
  <c r="L16" i="8" s="1"/>
  <c r="K17" i="8" s="1"/>
  <c r="L17" i="8" s="1"/>
  <c r="K18" i="8" s="1"/>
  <c r="L18" i="8" s="1"/>
  <c r="K19" i="8" s="1"/>
  <c r="L19" i="8" s="1"/>
  <c r="K20" i="8" s="1"/>
  <c r="L20" i="8" s="1"/>
  <c r="K21" i="8" s="1"/>
  <c r="L21" i="8" s="1"/>
  <c r="K22" i="8" s="1"/>
  <c r="L22" i="8" s="1"/>
  <c r="K23" i="8" s="1"/>
  <c r="L23" i="8" s="1"/>
  <c r="K24" i="8" s="1"/>
  <c r="L24" i="8" s="1"/>
  <c r="K25" i="8" s="1"/>
  <c r="L25" i="8" s="1"/>
  <c r="K26" i="8" s="1"/>
  <c r="L26" i="8" s="1"/>
  <c r="K27" i="8" s="1"/>
  <c r="L27" i="8" s="1"/>
  <c r="K28" i="8" s="1"/>
  <c r="L28" i="8" s="1"/>
  <c r="K29" i="8" s="1"/>
  <c r="L29" i="8" s="1"/>
  <c r="K30" i="8" s="1"/>
  <c r="L30" i="8" s="1"/>
  <c r="K31" i="8" s="1"/>
  <c r="L31" i="8" s="1"/>
  <c r="K32" i="8" s="1"/>
  <c r="L32" i="8" s="1"/>
  <c r="K33" i="8" s="1"/>
  <c r="L33" i="8" s="1"/>
  <c r="K34" i="8" s="1"/>
  <c r="L34" i="8" s="1"/>
  <c r="K35" i="8" s="1"/>
  <c r="L35" i="8" s="1"/>
  <c r="K36" i="8" s="1"/>
  <c r="L36" i="8" s="1"/>
  <c r="K37" i="8" s="1"/>
  <c r="L37" i="8" s="1"/>
  <c r="K38" i="8" s="1"/>
  <c r="L38" i="8" s="1"/>
  <c r="K39" i="8" s="1"/>
  <c r="L39" i="8" s="1"/>
  <c r="K40" i="8" s="1"/>
  <c r="L40" i="8" s="1"/>
  <c r="K41" i="8" s="1"/>
  <c r="L41" i="8" s="1"/>
  <c r="K42" i="8" s="1"/>
  <c r="L42" i="8" s="1"/>
  <c r="K43" i="8" s="1"/>
  <c r="L43" i="8" s="1"/>
  <c r="K44" i="8" s="1"/>
  <c r="L44" i="8" s="1"/>
  <c r="K45" i="8" s="1"/>
  <c r="L45" i="8" s="1"/>
  <c r="K46" i="8" s="1"/>
  <c r="L46" i="8" s="1"/>
  <c r="K47" i="8" s="1"/>
  <c r="L47" i="8" s="1"/>
  <c r="K48" i="8" s="1"/>
  <c r="L48" i="8" s="1"/>
  <c r="K49" i="8" s="1"/>
  <c r="L49" i="8" s="1"/>
  <c r="K50" i="8" s="1"/>
  <c r="L50" i="8" s="1"/>
  <c r="K51" i="8" s="1"/>
  <c r="L51" i="8" s="1"/>
  <c r="K52" i="8" s="1"/>
  <c r="L52" i="8" s="1"/>
  <c r="K53" i="8" s="1"/>
  <c r="L53" i="8" s="1"/>
  <c r="K54" i="8" s="1"/>
  <c r="L54" i="8" s="1"/>
  <c r="K55" i="8" s="1"/>
  <c r="L55" i="8" s="1"/>
  <c r="K56" i="8" s="1"/>
  <c r="L56" i="8" s="1"/>
  <c r="K57" i="8" s="1"/>
  <c r="L57" i="8" s="1"/>
  <c r="K58" i="8" s="1"/>
  <c r="L58" i="8" s="1"/>
  <c r="K59" i="8" s="1"/>
  <c r="L59" i="8" s="1"/>
  <c r="K60" i="8" s="1"/>
  <c r="L60" i="8" s="1"/>
  <c r="K61" i="8" s="1"/>
  <c r="L61" i="8" s="1"/>
  <c r="K62" i="8" s="1"/>
  <c r="L62" i="8" s="1"/>
  <c r="K63" i="8" s="1"/>
  <c r="L63" i="8" s="1"/>
  <c r="K64" i="8" s="1"/>
  <c r="L64" i="8" s="1"/>
  <c r="K65" i="8" s="1"/>
  <c r="L65" i="8" s="1"/>
  <c r="K66" i="8" s="1"/>
  <c r="L66" i="8" s="1"/>
  <c r="K67" i="8" s="1"/>
  <c r="L67" i="8" s="1"/>
  <c r="K68" i="8" s="1"/>
  <c r="L68" i="8" s="1"/>
  <c r="K69" i="8" s="1"/>
  <c r="L69" i="8" s="1"/>
  <c r="K70" i="8" s="1"/>
  <c r="L70" i="8" s="1"/>
  <c r="K71" i="8" s="1"/>
  <c r="L71" i="8" s="1"/>
  <c r="K72" i="8" s="1"/>
  <c r="L72" i="8" s="1"/>
  <c r="K73" i="8" s="1"/>
  <c r="L73" i="8" s="1"/>
  <c r="K74" i="8" s="1"/>
  <c r="L74" i="8" s="1"/>
  <c r="K75" i="8" s="1"/>
  <c r="L75" i="8" s="1"/>
  <c r="K76" i="8" s="1"/>
  <c r="L76" i="8" s="1"/>
  <c r="K77" i="8" s="1"/>
  <c r="L77" i="8" s="1"/>
  <c r="K78" i="8" s="1"/>
  <c r="L78" i="8" s="1"/>
  <c r="K79" i="8" s="1"/>
  <c r="L79" i="8" s="1"/>
  <c r="K80" i="8" s="1"/>
  <c r="L80" i="8" s="1"/>
  <c r="K81" i="8" s="1"/>
  <c r="L81" i="8" s="1"/>
  <c r="K82" i="8" s="1"/>
  <c r="L82" i="8" s="1"/>
  <c r="K83" i="8" s="1"/>
  <c r="L83" i="8" s="1"/>
  <c r="K84" i="8" s="1"/>
  <c r="L84" i="8" s="1"/>
  <c r="K85" i="8" s="1"/>
  <c r="L85" i="8" s="1"/>
  <c r="K86" i="8" s="1"/>
  <c r="L86" i="8" s="1"/>
  <c r="K87" i="8" s="1"/>
  <c r="L87" i="8" s="1"/>
  <c r="K88" i="8" s="1"/>
  <c r="L88" i="8" s="1"/>
  <c r="K89" i="8" s="1"/>
  <c r="L89" i="8" s="1"/>
  <c r="K90" i="8" s="1"/>
  <c r="L90" i="8" s="1"/>
  <c r="K91" i="8" s="1"/>
  <c r="L91" i="8" s="1"/>
  <c r="K92" i="8" s="1"/>
  <c r="L92" i="8" s="1"/>
  <c r="K93" i="8" s="1"/>
  <c r="L93" i="8" s="1"/>
  <c r="K94" i="8" s="1"/>
  <c r="L94" i="8" s="1"/>
  <c r="K95" i="8" s="1"/>
  <c r="L95" i="8" s="1"/>
  <c r="K96" i="8" s="1"/>
  <c r="L96" i="8" s="1"/>
  <c r="K97" i="8" s="1"/>
  <c r="L97" i="8" s="1"/>
  <c r="K98" i="8" s="1"/>
  <c r="L98" i="8" s="1"/>
  <c r="K99" i="8" s="1"/>
  <c r="L99" i="8" s="1"/>
  <c r="K100" i="8" s="1"/>
  <c r="L100" i="8" s="1"/>
  <c r="K101" i="8" s="1"/>
  <c r="L101" i="8" s="1"/>
  <c r="K102" i="8" s="1"/>
  <c r="L102" i="8" s="1"/>
  <c r="K103" i="8" s="1"/>
  <c r="L103" i="8" s="1"/>
  <c r="K104" i="8" s="1"/>
  <c r="K105" i="8" s="1"/>
  <c r="L105" i="8" s="1"/>
  <c r="K106" i="8" s="1"/>
  <c r="L106" i="8" s="1"/>
  <c r="K107" i="8" s="1"/>
  <c r="L107" i="8" s="1"/>
  <c r="K108" i="8" s="1"/>
  <c r="L108" i="8" s="1"/>
  <c r="K109" i="8" s="1"/>
  <c r="L109" i="8" s="1"/>
  <c r="K110" i="8" s="1"/>
  <c r="L110" i="8" s="1"/>
  <c r="K111" i="8" s="1"/>
  <c r="L111" i="8" s="1"/>
  <c r="K112" i="8" s="1"/>
  <c r="L112" i="8" s="1"/>
  <c r="K113" i="8" s="1"/>
  <c r="L113" i="8" s="1"/>
  <c r="K114" i="8" s="1"/>
  <c r="L114" i="8" s="1"/>
  <c r="K115" i="8" s="1"/>
  <c r="L115" i="8" s="1"/>
  <c r="K116" i="8" s="1"/>
  <c r="L116" i="8" s="1"/>
  <c r="K117" i="8" s="1"/>
  <c r="L117" i="8" s="1"/>
  <c r="K118" i="8" s="1"/>
  <c r="L118" i="8" s="1"/>
  <c r="K119" i="8" s="1"/>
  <c r="L119" i="8" s="1"/>
  <c r="K120" i="8" s="1"/>
  <c r="L120" i="8" s="1"/>
  <c r="K121" i="8" s="1"/>
  <c r="L121" i="8" s="1"/>
  <c r="K122" i="8" s="1"/>
  <c r="L122" i="8" s="1"/>
  <c r="K123" i="8" s="1"/>
  <c r="L123" i="8" s="1"/>
  <c r="K124" i="8" s="1"/>
  <c r="L124" i="8" s="1"/>
  <c r="K125" i="8" s="1"/>
  <c r="L125" i="8" s="1"/>
  <c r="K126" i="8" s="1"/>
  <c r="L126" i="8" s="1"/>
  <c r="K127" i="8" s="1"/>
  <c r="L127" i="8" s="1"/>
  <c r="K128" i="8" s="1"/>
  <c r="L128" i="8" s="1"/>
  <c r="K129" i="8" s="1"/>
  <c r="L129" i="8" s="1"/>
  <c r="K130" i="8" s="1"/>
  <c r="L130" i="8" s="1"/>
  <c r="K131" i="8" s="1"/>
  <c r="L131" i="8" s="1"/>
  <c r="K132" i="8" s="1"/>
  <c r="L132" i="8" s="1"/>
  <c r="K133" i="8" s="1"/>
  <c r="L133" i="8" s="1"/>
  <c r="K134" i="8" s="1"/>
  <c r="L134" i="8" s="1"/>
  <c r="K135" i="8" s="1"/>
  <c r="L135" i="8" s="1"/>
  <c r="K136" i="8" s="1"/>
  <c r="L136" i="8" s="1"/>
  <c r="K137" i="8" s="1"/>
  <c r="K138" i="8" s="1"/>
  <c r="K139" i="8" s="1"/>
  <c r="K140" i="8" s="1"/>
  <c r="L140" i="8" s="1"/>
  <c r="K141" i="8" s="1"/>
  <c r="L141" i="8" s="1"/>
  <c r="K142" i="8" s="1"/>
  <c r="L142" i="8" s="1"/>
  <c r="K143" i="8" s="1"/>
  <c r="L143" i="8" s="1"/>
  <c r="K144" i="8" s="1"/>
  <c r="L144" i="8" s="1"/>
  <c r="K145" i="8" s="1"/>
  <c r="L145" i="8" s="1"/>
  <c r="K146" i="8" s="1"/>
  <c r="L146" i="8" s="1"/>
  <c r="K147" i="8" s="1"/>
  <c r="L147" i="8" s="1"/>
  <c r="K148" i="8" s="1"/>
  <c r="L148" i="8" s="1"/>
  <c r="K149" i="8" s="1"/>
  <c r="L149" i="8" s="1"/>
  <c r="K150" i="8" s="1"/>
  <c r="L150" i="8" s="1"/>
  <c r="K151" i="8" s="1"/>
  <c r="L151" i="8" s="1"/>
  <c r="K152" i="8" s="1"/>
  <c r="L152" i="8" s="1"/>
  <c r="K153" i="8" s="1"/>
  <c r="L153" i="8" s="1"/>
  <c r="K154" i="8" s="1"/>
  <c r="L154" i="8" s="1"/>
  <c r="K155" i="8" s="1"/>
  <c r="L155" i="8" s="1"/>
  <c r="K156" i="8" s="1"/>
  <c r="L156" i="8" s="1"/>
  <c r="K157" i="8" s="1"/>
  <c r="L157" i="8" s="1"/>
  <c r="K158" i="8" s="1"/>
  <c r="L158" i="8" s="1"/>
  <c r="K159" i="8" s="1"/>
  <c r="L159" i="8" s="1"/>
  <c r="K160" i="8" s="1"/>
  <c r="L160" i="8" s="1"/>
  <c r="K161" i="8" s="1"/>
  <c r="L161" i="8" s="1"/>
  <c r="K162" i="8" s="1"/>
  <c r="L162" i="8" s="1"/>
  <c r="K163" i="8" s="1"/>
  <c r="L163" i="8" s="1"/>
  <c r="K164" i="8" s="1"/>
  <c r="L164" i="8" s="1"/>
  <c r="K165" i="8" s="1"/>
  <c r="L165" i="8" s="1"/>
  <c r="K166" i="8" s="1"/>
  <c r="L166" i="8" s="1"/>
  <c r="K167" i="8" s="1"/>
  <c r="L167" i="8" s="1"/>
  <c r="K168" i="8" s="1"/>
  <c r="L168" i="8" s="1"/>
  <c r="K169" i="8" s="1"/>
  <c r="L169" i="8" s="1"/>
  <c r="K170" i="8" s="1"/>
  <c r="L170" i="8" s="1"/>
  <c r="K171" i="8" s="1"/>
  <c r="L171" i="8" s="1"/>
  <c r="K172" i="8" s="1"/>
  <c r="L172" i="8" s="1"/>
  <c r="K173" i="8" s="1"/>
  <c r="L173" i="8" s="1"/>
  <c r="K174" i="8" s="1"/>
  <c r="L174" i="8" s="1"/>
  <c r="K175" i="8" s="1"/>
  <c r="L175" i="8" s="1"/>
  <c r="K176" i="8" s="1"/>
  <c r="L176" i="8" s="1"/>
  <c r="K177" i="8" s="1"/>
  <c r="L177" i="8" s="1"/>
  <c r="K178" i="8" s="1"/>
  <c r="L178" i="8" s="1"/>
  <c r="K179" i="8" s="1"/>
  <c r="L179" i="8" s="1"/>
  <c r="K180" i="8" s="1"/>
  <c r="L180" i="8" s="1"/>
  <c r="K181" i="8" s="1"/>
  <c r="L181" i="8" s="1"/>
  <c r="K182" i="8" s="1"/>
  <c r="L182" i="8" s="1"/>
  <c r="K183" i="8" s="1"/>
  <c r="L183" i="8" s="1"/>
  <c r="K184" i="8" s="1"/>
  <c r="L184" i="8" s="1"/>
  <c r="K185" i="8" s="1"/>
  <c r="L185" i="8" s="1"/>
  <c r="K186" i="8" s="1"/>
  <c r="L186" i="8" s="1"/>
  <c r="K187" i="8" s="1"/>
  <c r="L187" i="8" s="1"/>
  <c r="K188" i="8" s="1"/>
  <c r="L188" i="8" s="1"/>
  <c r="K189" i="8" s="1"/>
  <c r="L189" i="8" s="1"/>
  <c r="K190" i="8" s="1"/>
  <c r="L190" i="8" s="1"/>
  <c r="K191" i="8" s="1"/>
  <c r="L191" i="8" s="1"/>
  <c r="K192" i="8" s="1"/>
  <c r="L192" i="8" s="1"/>
  <c r="K193" i="8" s="1"/>
  <c r="L193" i="8" s="1"/>
  <c r="K194" i="8" s="1"/>
  <c r="L194" i="8" s="1"/>
  <c r="K195" i="8" s="1"/>
  <c r="L195" i="8" s="1"/>
  <c r="K196" i="8" s="1"/>
  <c r="L196" i="8" s="1"/>
  <c r="K197" i="8" s="1"/>
  <c r="L197" i="8" s="1"/>
  <c r="K198" i="8" s="1"/>
  <c r="L198" i="8" s="1"/>
  <c r="K199" i="8" s="1"/>
  <c r="L199" i="8" s="1"/>
  <c r="K200" i="8" s="1"/>
  <c r="L200" i="8" s="1"/>
  <c r="K201" i="8" s="1"/>
  <c r="L201" i="8" s="1"/>
  <c r="K202" i="8" s="1"/>
  <c r="L202" i="8" s="1"/>
  <c r="K203" i="8" s="1"/>
  <c r="L203" i="8" s="1"/>
  <c r="K204" i="8" s="1"/>
  <c r="L204" i="8" s="1"/>
  <c r="K205" i="8" s="1"/>
  <c r="L205" i="8" s="1"/>
  <c r="K206" i="8" s="1"/>
  <c r="L206" i="8" s="1"/>
  <c r="K207" i="8" s="1"/>
  <c r="L207" i="8" s="1"/>
  <c r="K208" i="8" s="1"/>
  <c r="L208" i="8" s="1"/>
  <c r="K209" i="8" s="1"/>
  <c r="L209" i="8" s="1"/>
  <c r="K210" i="8" s="1"/>
  <c r="L210" i="8" s="1"/>
  <c r="K211" i="8" s="1"/>
  <c r="L211" i="8" s="1"/>
  <c r="K212" i="8" s="1"/>
  <c r="L212" i="8" s="1"/>
  <c r="K213" i="8" s="1"/>
  <c r="L213" i="8" s="1"/>
  <c r="K214" i="8" s="1"/>
  <c r="L214" i="8" s="1"/>
  <c r="K215" i="8" s="1"/>
  <c r="L215" i="8" s="1"/>
  <c r="K216" i="8" s="1"/>
  <c r="L216" i="8" s="1"/>
  <c r="K217" i="8" s="1"/>
  <c r="L217" i="8" s="1"/>
  <c r="K218" i="8" s="1"/>
  <c r="L218" i="8" s="1"/>
  <c r="K219" i="8" s="1"/>
  <c r="L219" i="8" s="1"/>
  <c r="K220" i="8" s="1"/>
  <c r="L220" i="8" s="1"/>
  <c r="K221" i="8" s="1"/>
  <c r="L221" i="8" s="1"/>
  <c r="K222" i="8" s="1"/>
  <c r="L222" i="8" s="1"/>
  <c r="K223" i="8" s="1"/>
  <c r="L223" i="8" s="1"/>
  <c r="K224" i="8" s="1"/>
  <c r="L224" i="8" s="1"/>
  <c r="K225" i="8" s="1"/>
  <c r="L225" i="8" s="1"/>
  <c r="K226" i="8" s="1"/>
  <c r="L226" i="8" s="1"/>
  <c r="K227" i="8" s="1"/>
  <c r="L227" i="8" s="1"/>
  <c r="K228" i="8" s="1"/>
  <c r="L228" i="8" s="1"/>
  <c r="K229" i="8" s="1"/>
  <c r="L229" i="8" s="1"/>
  <c r="K230" i="8" s="1"/>
  <c r="L230" i="8" s="1"/>
  <c r="K231" i="8" s="1"/>
  <c r="L231" i="8" s="1"/>
  <c r="K232" i="8" s="1"/>
  <c r="L232" i="8" s="1"/>
  <c r="K233" i="8" s="1"/>
  <c r="L233" i="8" s="1"/>
  <c r="K234" i="8" s="1"/>
  <c r="L234" i="8" s="1"/>
  <c r="K235" i="8" s="1"/>
  <c r="L235" i="8" s="1"/>
  <c r="K236" i="8" s="1"/>
  <c r="L236" i="8" s="1"/>
  <c r="K237" i="8" s="1"/>
  <c r="L237" i="8" s="1"/>
  <c r="K238" i="8" s="1"/>
  <c r="L238" i="8" s="1"/>
  <c r="K239" i="8" s="1"/>
  <c r="L239" i="8" s="1"/>
  <c r="K240" i="8" s="1"/>
  <c r="L240" i="8" s="1"/>
  <c r="K241" i="8" s="1"/>
  <c r="L241" i="8" s="1"/>
  <c r="K242" i="8" s="1"/>
  <c r="L242" i="8" s="1"/>
  <c r="K243" i="8" s="1"/>
  <c r="L243" i="8" s="1"/>
  <c r="K244" i="8" s="1"/>
  <c r="L244" i="8" s="1"/>
  <c r="K245" i="8" s="1"/>
  <c r="L245" i="8" s="1"/>
  <c r="K246" i="8" s="1"/>
  <c r="L246" i="8" s="1"/>
  <c r="K247" i="8" s="1"/>
  <c r="L247" i="8" s="1"/>
  <c r="K248" i="8" s="1"/>
  <c r="L248" i="8" s="1"/>
  <c r="K249" i="8" s="1"/>
  <c r="L249" i="8" s="1"/>
  <c r="K250" i="8" s="1"/>
  <c r="L250" i="8" s="1"/>
  <c r="K251" i="8" s="1"/>
  <c r="L251" i="8" s="1"/>
  <c r="K252" i="8" s="1"/>
  <c r="L252" i="8" s="1"/>
  <c r="K253" i="8" s="1"/>
  <c r="L253" i="8" s="1"/>
  <c r="K254" i="8" s="1"/>
  <c r="L254" i="8" s="1"/>
  <c r="K255" i="8" s="1"/>
  <c r="L255" i="8" s="1"/>
  <c r="K256" i="8" s="1"/>
  <c r="L256" i="8" s="1"/>
  <c r="K257" i="8" s="1"/>
  <c r="L257" i="8" s="1"/>
  <c r="K258" i="8" s="1"/>
  <c r="L258" i="8" s="1"/>
  <c r="K259" i="8" s="1"/>
  <c r="L259" i="8" s="1"/>
  <c r="K260" i="8" s="1"/>
  <c r="L260" i="8" s="1"/>
  <c r="K261" i="8" s="1"/>
  <c r="L261" i="8" s="1"/>
  <c r="K262" i="8" s="1"/>
  <c r="L262" i="8" s="1"/>
  <c r="K263" i="8" s="1"/>
  <c r="L263" i="8" s="1"/>
  <c r="K264" i="8" s="1"/>
  <c r="L264" i="8" s="1"/>
  <c r="K265" i="8" s="1"/>
  <c r="L265" i="8" s="1"/>
  <c r="K266" i="8" s="1"/>
  <c r="L266" i="8" s="1"/>
  <c r="K267" i="8" s="1"/>
  <c r="L267" i="8" s="1"/>
  <c r="K268" i="8" s="1"/>
  <c r="L268" i="8" s="1"/>
  <c r="K269" i="8" s="1"/>
  <c r="L269" i="8" s="1"/>
  <c r="K270" i="8" s="1"/>
  <c r="L270" i="8" s="1"/>
  <c r="K271" i="8" s="1"/>
  <c r="L271" i="8" s="1"/>
  <c r="K272" i="8" s="1"/>
  <c r="L272" i="8" s="1"/>
  <c r="K273" i="8" s="1"/>
  <c r="L273" i="8" s="1"/>
  <c r="K274" i="8" s="1"/>
  <c r="L274" i="8" s="1"/>
  <c r="K275" i="8" s="1"/>
  <c r="L275" i="8" s="1"/>
  <c r="K276" i="8" s="1"/>
  <c r="L276" i="8" s="1"/>
  <c r="K277" i="8" s="1"/>
  <c r="L277" i="8" s="1"/>
  <c r="K278" i="8" s="1"/>
  <c r="L278" i="8" s="1"/>
  <c r="K279" i="8" s="1"/>
  <c r="L279" i="8" s="1"/>
  <c r="K280" i="8" s="1"/>
  <c r="L280" i="8" s="1"/>
  <c r="K281" i="8" s="1"/>
  <c r="L281" i="8" s="1"/>
  <c r="K282" i="8" s="1"/>
  <c r="L282" i="8" s="1"/>
  <c r="K283" i="8" s="1"/>
  <c r="L283" i="8" s="1"/>
  <c r="K284" i="8" s="1"/>
  <c r="L284" i="8" s="1"/>
  <c r="K285" i="8" s="1"/>
  <c r="L285" i="8" s="1"/>
  <c r="K286" i="8" s="1"/>
  <c r="L286" i="8" s="1"/>
  <c r="K287" i="8" s="1"/>
  <c r="L287" i="8" s="1"/>
  <c r="K288" i="8" s="1"/>
  <c r="L288" i="8" s="1"/>
  <c r="K289" i="8" s="1"/>
  <c r="L289" i="8" s="1"/>
  <c r="K290" i="8" s="1"/>
  <c r="L290" i="8" s="1"/>
  <c r="K291" i="8" s="1"/>
  <c r="L291" i="8" s="1"/>
  <c r="K292" i="8" s="1"/>
  <c r="L292" i="8" s="1"/>
  <c r="K293" i="8" s="1"/>
  <c r="L293" i="8" s="1"/>
  <c r="K294" i="8" s="1"/>
  <c r="L294" i="8" s="1"/>
  <c r="K295" i="8" s="1"/>
  <c r="L295" i="8" s="1"/>
  <c r="K296" i="8" s="1"/>
  <c r="L296" i="8" s="1"/>
  <c r="K297" i="8" s="1"/>
  <c r="L297" i="8" s="1"/>
  <c r="K298" i="8" s="1"/>
  <c r="L298" i="8" s="1"/>
  <c r="K299" i="8" s="1"/>
  <c r="L299" i="8" s="1"/>
  <c r="K300" i="8" s="1"/>
  <c r="L300" i="8" s="1"/>
  <c r="K301" i="8" s="1"/>
  <c r="L301" i="8" s="1"/>
  <c r="K302" i="8" s="1"/>
  <c r="L302" i="8" s="1"/>
  <c r="K303" i="8" s="1"/>
  <c r="L303" i="8" s="1"/>
  <c r="K304" i="8" s="1"/>
  <c r="L304" i="8" s="1"/>
  <c r="K305" i="8" s="1"/>
  <c r="L305" i="8" s="1"/>
  <c r="K306" i="8" s="1"/>
  <c r="L306" i="8" s="1"/>
  <c r="K307" i="8" s="1"/>
  <c r="L307" i="8" s="1"/>
  <c r="K308" i="8" s="1"/>
  <c r="L308" i="8" s="1"/>
  <c r="K309" i="8" s="1"/>
  <c r="L309" i="8" s="1"/>
  <c r="K310" i="8" s="1"/>
  <c r="L310" i="8" s="1"/>
  <c r="K311" i="8" s="1"/>
  <c r="L311" i="8" s="1"/>
  <c r="K312" i="8" s="1"/>
  <c r="L312" i="8" s="1"/>
  <c r="K313" i="8" s="1"/>
  <c r="L313" i="8" s="1"/>
  <c r="K314" i="8" s="1"/>
  <c r="L314" i="8" s="1"/>
  <c r="K315" i="8" s="1"/>
  <c r="L315" i="8" s="1"/>
  <c r="K316" i="8" s="1"/>
  <c r="L316" i="8" s="1"/>
  <c r="K317" i="8" s="1"/>
  <c r="L317" i="8" s="1"/>
  <c r="K318" i="8" s="1"/>
  <c r="L318" i="8" s="1"/>
  <c r="K319" i="8" s="1"/>
  <c r="L319" i="8" s="1"/>
  <c r="K320" i="8" s="1"/>
  <c r="L320" i="8" s="1"/>
  <c r="K321" i="8" s="1"/>
  <c r="L321" i="8" s="1"/>
  <c r="K322" i="8" s="1"/>
  <c r="L322" i="8" s="1"/>
  <c r="K323" i="8" s="1"/>
  <c r="L323" i="8" s="1"/>
  <c r="K324" i="8" s="1"/>
  <c r="L324" i="8" s="1"/>
  <c r="K325" i="8" s="1"/>
  <c r="L325" i="8" s="1"/>
  <c r="K326" i="8" s="1"/>
  <c r="L326" i="8" s="1"/>
  <c r="K327" i="8" s="1"/>
  <c r="L327" i="8" s="1"/>
  <c r="K328" i="8" s="1"/>
  <c r="L328" i="8" s="1"/>
  <c r="K329" i="8" s="1"/>
  <c r="L329" i="8" s="1"/>
  <c r="K330" i="8" s="1"/>
  <c r="L330" i="8" s="1"/>
  <c r="K331" i="8" s="1"/>
  <c r="L331" i="8" s="1"/>
  <c r="K332" i="8" s="1"/>
  <c r="L332" i="8" s="1"/>
  <c r="K333" i="8" s="1"/>
  <c r="L333" i="8" s="1"/>
  <c r="K334" i="8" s="1"/>
  <c r="L334" i="8" s="1"/>
  <c r="K335" i="8" s="1"/>
  <c r="L335" i="8" s="1"/>
  <c r="K336" i="8" s="1"/>
  <c r="L336" i="8" s="1"/>
  <c r="K337" i="8" s="1"/>
  <c r="L337" i="8" s="1"/>
  <c r="K338" i="8" s="1"/>
  <c r="L338" i="8" s="1"/>
  <c r="K339" i="8" s="1"/>
  <c r="L339" i="8" s="1"/>
  <c r="K340" i="8" s="1"/>
  <c r="L340" i="8" s="1"/>
  <c r="K341" i="8" s="1"/>
  <c r="L341" i="8" s="1"/>
  <c r="K342" i="8" s="1"/>
  <c r="L342" i="8" s="1"/>
  <c r="K343" i="8" s="1"/>
  <c r="L343" i="8" s="1"/>
  <c r="K344" i="8" s="1"/>
  <c r="L344" i="8" s="1"/>
  <c r="K345" i="8" s="1"/>
  <c r="L345" i="8" s="1"/>
  <c r="K346" i="8" s="1"/>
  <c r="L346" i="8" s="1"/>
  <c r="K347" i="8" s="1"/>
  <c r="L347" i="8" s="1"/>
  <c r="K348" i="8" s="1"/>
  <c r="L348" i="8" s="1"/>
  <c r="K349" i="8" s="1"/>
  <c r="L349" i="8" s="1"/>
  <c r="K350" i="8" s="1"/>
  <c r="L350" i="8" s="1"/>
  <c r="K351" i="8" s="1"/>
  <c r="L351" i="8" s="1"/>
  <c r="K352" i="8" s="1"/>
  <c r="L352" i="8" s="1"/>
  <c r="K353" i="8" s="1"/>
  <c r="L353" i="8" s="1"/>
  <c r="K354" i="8" s="1"/>
  <c r="L354" i="8" s="1"/>
  <c r="K355" i="8" s="1"/>
  <c r="L355" i="8" s="1"/>
  <c r="K356" i="8" s="1"/>
  <c r="L356" i="8" s="1"/>
  <c r="K357" i="8" s="1"/>
  <c r="L357" i="8" s="1"/>
  <c r="K358" i="8" s="1"/>
  <c r="L358" i="8" s="1"/>
  <c r="K359" i="8" s="1"/>
  <c r="L359" i="8" s="1"/>
  <c r="K360" i="8" s="1"/>
  <c r="L360" i="8" s="1"/>
  <c r="K361" i="8" s="1"/>
  <c r="L361" i="8" s="1"/>
  <c r="K362" i="8" s="1"/>
  <c r="L362" i="8" s="1"/>
  <c r="K363" i="8" s="1"/>
  <c r="L363" i="8" s="1"/>
  <c r="K364" i="8" s="1"/>
  <c r="L364" i="8" s="1"/>
  <c r="K365" i="8" s="1"/>
  <c r="L365" i="8" s="1"/>
  <c r="K366" i="8" s="1"/>
  <c r="L366" i="8" s="1"/>
  <c r="K367" i="8" s="1"/>
  <c r="L367" i="8" s="1"/>
  <c r="K368" i="8" s="1"/>
  <c r="L368" i="8" s="1"/>
  <c r="K369" i="8" s="1"/>
  <c r="L369" i="8" s="1"/>
  <c r="K370" i="8" s="1"/>
  <c r="L370" i="8" s="1"/>
  <c r="K371" i="8" s="1"/>
  <c r="L371" i="8" s="1"/>
  <c r="K372" i="8" s="1"/>
  <c r="L372" i="8" s="1"/>
  <c r="K373" i="8" s="1"/>
  <c r="L373" i="8" s="1"/>
  <c r="K374" i="8" s="1"/>
  <c r="L374" i="8" s="1"/>
  <c r="K375" i="8" s="1"/>
  <c r="L375" i="8" s="1"/>
  <c r="K376" i="8" s="1"/>
  <c r="L376" i="8" s="1"/>
  <c r="K377" i="8" s="1"/>
  <c r="L377" i="8" s="1"/>
  <c r="K378" i="8" s="1"/>
  <c r="L378" i="8" s="1"/>
  <c r="K379" i="8" s="1"/>
  <c r="L379" i="8" s="1"/>
  <c r="K380" i="8" s="1"/>
  <c r="L380" i="8" s="1"/>
  <c r="K381" i="8" s="1"/>
  <c r="L381" i="8" s="1"/>
  <c r="K382" i="8" s="1"/>
  <c r="L382" i="8" s="1"/>
  <c r="K383" i="8" s="1"/>
  <c r="L383" i="8" s="1"/>
  <c r="K384" i="8" s="1"/>
  <c r="L384" i="8" s="1"/>
  <c r="K385" i="8" s="1"/>
  <c r="L385" i="8" s="1"/>
  <c r="K386" i="8" s="1"/>
  <c r="L386" i="8" s="1"/>
  <c r="K387" i="8" s="1"/>
  <c r="L387" i="8" s="1"/>
  <c r="K388" i="8" s="1"/>
  <c r="L388" i="8" s="1"/>
  <c r="K389" i="8" s="1"/>
  <c r="L389" i="8" s="1"/>
  <c r="K390" i="8" s="1"/>
  <c r="L390" i="8" s="1"/>
  <c r="K391" i="8" s="1"/>
  <c r="L391" i="8" s="1"/>
  <c r="K392" i="8" s="1"/>
  <c r="L392" i="8" s="1"/>
  <c r="K393" i="8" s="1"/>
  <c r="L393" i="8" s="1"/>
  <c r="K394" i="8" s="1"/>
  <c r="L394" i="8" s="1"/>
  <c r="K395" i="8" s="1"/>
  <c r="L395" i="8" s="1"/>
  <c r="K396" i="8" s="1"/>
  <c r="L396" i="8" s="1"/>
  <c r="K397" i="8" s="1"/>
  <c r="L397" i="8" s="1"/>
  <c r="K398" i="8" s="1"/>
  <c r="L398" i="8" s="1"/>
  <c r="K399" i="8" s="1"/>
  <c r="L399" i="8" s="1"/>
  <c r="K400" i="8" s="1"/>
  <c r="L400" i="8" s="1"/>
  <c r="K401" i="8" s="1"/>
  <c r="L401" i="8" s="1"/>
  <c r="K402" i="8" s="1"/>
  <c r="L402" i="8" s="1"/>
  <c r="K403" i="8" s="1"/>
  <c r="L403" i="8" s="1"/>
  <c r="K404" i="8" s="1"/>
  <c r="L404" i="8" s="1"/>
  <c r="K405" i="8" s="1"/>
  <c r="L405" i="8" s="1"/>
  <c r="K406" i="8" s="1"/>
  <c r="L406" i="8" s="1"/>
  <c r="K407" i="8" s="1"/>
  <c r="L407" i="8" s="1"/>
  <c r="K408" i="8" s="1"/>
  <c r="L408" i="8" s="1"/>
  <c r="K409" i="8" s="1"/>
  <c r="L409" i="8" s="1"/>
  <c r="K410" i="8" s="1"/>
  <c r="L410" i="8" s="1"/>
  <c r="K411" i="8" s="1"/>
  <c r="L411" i="8" s="1"/>
  <c r="K412" i="8" s="1"/>
  <c r="L412" i="8" s="1"/>
  <c r="K413" i="8" s="1"/>
  <c r="L413" i="8" s="1"/>
  <c r="K414" i="8" s="1"/>
  <c r="L414" i="8" s="1"/>
  <c r="K415" i="8" s="1"/>
  <c r="L415" i="8" s="1"/>
  <c r="K416" i="8" s="1"/>
  <c r="L416" i="8" s="1"/>
  <c r="K417" i="8" s="1"/>
  <c r="L417" i="8" s="1"/>
  <c r="K418" i="8" s="1"/>
  <c r="L418" i="8" s="1"/>
  <c r="K419" i="8" s="1"/>
  <c r="L419" i="8" s="1"/>
  <c r="K420" i="8" s="1"/>
  <c r="L420" i="8" s="1"/>
  <c r="K421" i="8" s="1"/>
  <c r="L421" i="8" s="1"/>
  <c r="K422" i="8" s="1"/>
  <c r="L422" i="8" s="1"/>
  <c r="K423" i="8" s="1"/>
  <c r="L423" i="8" s="1"/>
  <c r="K424" i="8" s="1"/>
  <c r="L424" i="8" s="1"/>
  <c r="K425" i="8" s="1"/>
  <c r="L425" i="8" s="1"/>
  <c r="K426" i="8" s="1"/>
  <c r="L426" i="8" s="1"/>
  <c r="K427" i="8" s="1"/>
  <c r="L427" i="8" s="1"/>
  <c r="K428" i="8" s="1"/>
  <c r="L428" i="8" s="1"/>
  <c r="K429" i="8" s="1"/>
  <c r="L429" i="8" s="1"/>
  <c r="K430" i="8" s="1"/>
  <c r="L430" i="8" s="1"/>
  <c r="K431" i="8" s="1"/>
  <c r="L431" i="8" s="1"/>
  <c r="K432" i="8" s="1"/>
  <c r="L432" i="8" s="1"/>
  <c r="K433" i="8" s="1"/>
  <c r="L433" i="8" s="1"/>
  <c r="K434" i="8" s="1"/>
  <c r="L434" i="8" s="1"/>
  <c r="K435" i="8" s="1"/>
  <c r="L435" i="8" s="1"/>
  <c r="K436" i="8" s="1"/>
  <c r="L436" i="8" s="1"/>
  <c r="K437" i="8" s="1"/>
  <c r="L437" i="8" s="1"/>
  <c r="K438" i="8" s="1"/>
  <c r="L438" i="8" s="1"/>
  <c r="K439" i="8" s="1"/>
  <c r="L439" i="8" s="1"/>
  <c r="K440" i="8" s="1"/>
  <c r="L440" i="8" s="1"/>
  <c r="K441" i="8" s="1"/>
  <c r="L441" i="8" s="1"/>
  <c r="K442" i="8" s="1"/>
  <c r="L442" i="8" s="1"/>
  <c r="K443" i="8" s="1"/>
  <c r="L443" i="8" s="1"/>
  <c r="K444" i="8" s="1"/>
  <c r="L444" i="8" s="1"/>
  <c r="K445" i="8" s="1"/>
  <c r="L445" i="8" s="1"/>
  <c r="K446" i="8" s="1"/>
  <c r="L446" i="8" s="1"/>
  <c r="K447" i="8" s="1"/>
  <c r="L447" i="8" s="1"/>
  <c r="K448" i="8" s="1"/>
  <c r="L448" i="8" s="1"/>
  <c r="K449" i="8" s="1"/>
  <c r="L449" i="8" s="1"/>
  <c r="K450" i="8" s="1"/>
  <c r="L450" i="8" s="1"/>
  <c r="K451" i="8" s="1"/>
  <c r="L451" i="8" s="1"/>
  <c r="K452" i="8" s="1"/>
  <c r="L452" i="8" s="1"/>
  <c r="K453" i="8" s="1"/>
  <c r="L453" i="8" s="1"/>
  <c r="K454" i="8" s="1"/>
  <c r="L454" i="8" s="1"/>
  <c r="K455" i="8" s="1"/>
  <c r="L455" i="8" s="1"/>
  <c r="K456" i="8" s="1"/>
  <c r="L456" i="8" s="1"/>
  <c r="K457" i="8" s="1"/>
  <c r="L457" i="8" s="1"/>
  <c r="K458" i="8" s="1"/>
  <c r="L458" i="8" s="1"/>
  <c r="K459" i="8" s="1"/>
  <c r="L459" i="8" s="1"/>
  <c r="K460" i="8" s="1"/>
  <c r="L460" i="8" s="1"/>
  <c r="K461" i="8" s="1"/>
  <c r="L461" i="8" s="1"/>
  <c r="K462" i="8" s="1"/>
  <c r="L462" i="8" s="1"/>
  <c r="K463" i="8" s="1"/>
  <c r="L463" i="8" s="1"/>
  <c r="K464" i="8" s="1"/>
  <c r="L464" i="8" s="1"/>
  <c r="K465" i="8" s="1"/>
  <c r="L465" i="8" s="1"/>
  <c r="K466" i="8" s="1"/>
  <c r="L466" i="8" s="1"/>
  <c r="K467" i="8" s="1"/>
  <c r="L467" i="8" s="1"/>
  <c r="K468" i="8" s="1"/>
  <c r="L468" i="8" s="1"/>
  <c r="K469" i="8" s="1"/>
  <c r="L469" i="8" s="1"/>
  <c r="K470" i="8" s="1"/>
  <c r="L470" i="8" s="1"/>
  <c r="K471" i="8" s="1"/>
  <c r="L471" i="8" s="1"/>
  <c r="K472" i="8" s="1"/>
  <c r="L472" i="8" s="1"/>
  <c r="K473" i="8" s="1"/>
  <c r="L473" i="8" s="1"/>
  <c r="K474" i="8" s="1"/>
  <c r="L474" i="8" s="1"/>
  <c r="K475" i="8" s="1"/>
  <c r="L475" i="8" s="1"/>
  <c r="K476" i="8" s="1"/>
  <c r="L476" i="8" s="1"/>
  <c r="K477" i="8" s="1"/>
  <c r="L477" i="8" s="1"/>
  <c r="K478" i="8" s="1"/>
  <c r="L478" i="8" s="1"/>
  <c r="K479" i="8" s="1"/>
  <c r="L479" i="8" s="1"/>
  <c r="K480" i="8" s="1"/>
  <c r="L480" i="8" s="1"/>
  <c r="K481" i="8" s="1"/>
  <c r="L481" i="8" s="1"/>
  <c r="K482" i="8" s="1"/>
  <c r="L482" i="8" s="1"/>
  <c r="K483" i="8" s="1"/>
  <c r="L483" i="8" s="1"/>
  <c r="K484" i="8" s="1"/>
  <c r="L484" i="8" s="1"/>
  <c r="K485" i="8" s="1"/>
  <c r="L485" i="8" s="1"/>
  <c r="K486" i="8" s="1"/>
  <c r="L486" i="8" s="1"/>
  <c r="K487" i="8" s="1"/>
  <c r="L487" i="8" s="1"/>
  <c r="K488" i="8" s="1"/>
  <c r="L488" i="8" s="1"/>
  <c r="K489" i="8" s="1"/>
  <c r="L489" i="8" s="1"/>
  <c r="K490" i="8" s="1"/>
  <c r="L490" i="8" s="1"/>
  <c r="K491" i="8" s="1"/>
  <c r="L491" i="8" s="1"/>
  <c r="K492" i="8" s="1"/>
  <c r="L492" i="8" s="1"/>
  <c r="K493" i="8" s="1"/>
  <c r="L493" i="8" s="1"/>
  <c r="K494" i="8" s="1"/>
  <c r="L494" i="8" s="1"/>
  <c r="K495" i="8" s="1"/>
  <c r="L495" i="8" s="1"/>
  <c r="K496" i="8" s="1"/>
  <c r="L496" i="8" s="1"/>
  <c r="K497" i="8" s="1"/>
  <c r="L497" i="8" s="1"/>
  <c r="K498" i="8" s="1"/>
  <c r="L498" i="8" s="1"/>
  <c r="K499" i="8" s="1"/>
  <c r="L499" i="8" s="1"/>
  <c r="K500" i="8" s="1"/>
  <c r="L500" i="8" s="1"/>
  <c r="K501" i="8" s="1"/>
  <c r="L501" i="8" s="1"/>
  <c r="K502" i="8" s="1"/>
  <c r="L502" i="8" s="1"/>
  <c r="K503" i="8" s="1"/>
  <c r="L503" i="8" s="1"/>
  <c r="K504" i="8" s="1"/>
  <c r="L504" i="8" s="1"/>
  <c r="K505" i="8" s="1"/>
  <c r="L505" i="8" s="1"/>
  <c r="K506" i="8" s="1"/>
  <c r="L506" i="8" s="1"/>
  <c r="K507" i="8" s="1"/>
  <c r="L507" i="8" s="1"/>
  <c r="K508" i="8" s="1"/>
  <c r="L508" i="8" s="1"/>
  <c r="K509" i="8" s="1"/>
  <c r="L509" i="8" s="1"/>
  <c r="K510" i="8" s="1"/>
  <c r="L510" i="8" s="1"/>
  <c r="K511" i="8" s="1"/>
  <c r="L511" i="8" s="1"/>
  <c r="K512" i="8" s="1"/>
  <c r="L512" i="8" s="1"/>
  <c r="K513" i="8" s="1"/>
  <c r="L513" i="8" s="1"/>
  <c r="K514" i="8" s="1"/>
  <c r="L514" i="8" s="1"/>
  <c r="K515" i="8" s="1"/>
  <c r="L515" i="8" s="1"/>
  <c r="K516" i="8" s="1"/>
  <c r="L516" i="8" s="1"/>
  <c r="K517" i="8" s="1"/>
  <c r="L517" i="8" s="1"/>
  <c r="K518" i="8" s="1"/>
  <c r="L518" i="8" s="1"/>
  <c r="K519" i="8" s="1"/>
  <c r="L519" i="8" s="1"/>
  <c r="K520" i="8" s="1"/>
  <c r="L520" i="8" s="1"/>
  <c r="K521" i="8" s="1"/>
  <c r="L521" i="8" s="1"/>
  <c r="K522" i="8" s="1"/>
  <c r="L522" i="8" s="1"/>
  <c r="K523" i="8" s="1"/>
  <c r="L523" i="8" s="1"/>
  <c r="K524" i="8" s="1"/>
  <c r="L524" i="8" s="1"/>
  <c r="K525" i="8" s="1"/>
  <c r="L525" i="8" s="1"/>
  <c r="K526" i="8" s="1"/>
  <c r="L526" i="8" s="1"/>
  <c r="M526" i="8" s="1"/>
  <c r="D270" i="8"/>
  <c r="C269" i="8"/>
  <c r="B269" i="8"/>
  <c r="F1136" i="8"/>
  <c r="I1135" i="8"/>
  <c r="G1135" i="8"/>
  <c r="F1420" i="8"/>
  <c r="I1419" i="8"/>
  <c r="I1332" i="8"/>
  <c r="F1333" i="8"/>
  <c r="I1310" i="8"/>
  <c r="F1311" i="8"/>
  <c r="I1091" i="8"/>
  <c r="G1091" i="8"/>
  <c r="F1092" i="8"/>
  <c r="F1179" i="8"/>
  <c r="I1178" i="8"/>
  <c r="G1178" i="8"/>
  <c r="E1576" i="8"/>
  <c r="I1484" i="8"/>
  <c r="I1350" i="8"/>
  <c r="F1351" i="8"/>
  <c r="G1350" i="8"/>
  <c r="G1373" i="8"/>
  <c r="F1289" i="8"/>
  <c r="I1288" i="8"/>
  <c r="F1050" i="8"/>
  <c r="I1049" i="8"/>
  <c r="G1049" i="8"/>
  <c r="I811" i="8"/>
  <c r="F812" i="8"/>
  <c r="G811" i="8"/>
  <c r="H625" i="8"/>
  <c r="L625" i="8"/>
  <c r="M625" i="8" s="1"/>
  <c r="F1398" i="8"/>
  <c r="I1397" i="8"/>
  <c r="F1486" i="8"/>
  <c r="I1485" i="8"/>
  <c r="I1482" i="8"/>
  <c r="G1332" i="8"/>
  <c r="I1244" i="8"/>
  <c r="F1245" i="8"/>
  <c r="G1244" i="8"/>
  <c r="G1223" i="8"/>
  <c r="I1223" i="8"/>
  <c r="F1224" i="8"/>
  <c r="G1114" i="8"/>
  <c r="F1115" i="8"/>
  <c r="I1114" i="8"/>
  <c r="I1026" i="8"/>
  <c r="G1026" i="8"/>
  <c r="F1027" i="8"/>
  <c r="F941" i="8"/>
  <c r="G940" i="8"/>
  <c r="I940" i="8"/>
  <c r="D790" i="8"/>
  <c r="B789" i="8"/>
  <c r="F1072" i="8"/>
  <c r="I1071" i="8"/>
  <c r="G1071" i="8"/>
  <c r="F658" i="8"/>
  <c r="G657" i="8"/>
  <c r="K631" i="8"/>
  <c r="I631" i="8" l="1"/>
  <c r="L631" i="8" s="1"/>
  <c r="M631" i="8" s="1"/>
  <c r="I632" i="8" s="1"/>
  <c r="I527" i="8"/>
  <c r="K527" i="8"/>
  <c r="F1093" i="8"/>
  <c r="I1092" i="8"/>
  <c r="G1092" i="8"/>
  <c r="G1156" i="8"/>
  <c r="I1156" i="8"/>
  <c r="F1157" i="8"/>
  <c r="F1203" i="8"/>
  <c r="I1202" i="8"/>
  <c r="G1202" i="8"/>
  <c r="F659" i="8"/>
  <c r="G658" i="8"/>
  <c r="I941" i="8"/>
  <c r="F942" i="8"/>
  <c r="G941" i="8"/>
  <c r="F1487" i="8"/>
  <c r="I1486" i="8"/>
  <c r="G1486" i="8"/>
  <c r="I812" i="8"/>
  <c r="F813" i="8"/>
  <c r="G812" i="8"/>
  <c r="F1137" i="8"/>
  <c r="I1136" i="8"/>
  <c r="G1136" i="8"/>
  <c r="F1375" i="8"/>
  <c r="I1374" i="8"/>
  <c r="G1374" i="8"/>
  <c r="I964" i="8"/>
  <c r="F965" i="8"/>
  <c r="G964" i="8"/>
  <c r="I853" i="8"/>
  <c r="F854" i="8"/>
  <c r="G853" i="8"/>
  <c r="G1442" i="8"/>
  <c r="F1443" i="8"/>
  <c r="I1442" i="8"/>
  <c r="I1398" i="8"/>
  <c r="G1398" i="8"/>
  <c r="F1399" i="8"/>
  <c r="F1312" i="8"/>
  <c r="I1311" i="8"/>
  <c r="G1311" i="8"/>
  <c r="D271" i="8"/>
  <c r="C270" i="8"/>
  <c r="B270" i="8"/>
  <c r="I1267" i="8"/>
  <c r="F1268" i="8"/>
  <c r="G1267" i="8"/>
  <c r="F984" i="8"/>
  <c r="G983" i="8"/>
  <c r="I983" i="8"/>
  <c r="E1453" i="8"/>
  <c r="F1246" i="8"/>
  <c r="I1245" i="8"/>
  <c r="G1245" i="8"/>
  <c r="F1008" i="8"/>
  <c r="G1007" i="8"/>
  <c r="I1007" i="8"/>
  <c r="G1224" i="8"/>
  <c r="F1225" i="8"/>
  <c r="I1224" i="8"/>
  <c r="I1420" i="8"/>
  <c r="G1420" i="8"/>
  <c r="F1421" i="8"/>
  <c r="F1352" i="8"/>
  <c r="G1351" i="8"/>
  <c r="I1351" i="8"/>
  <c r="G1072" i="8"/>
  <c r="F1073" i="8"/>
  <c r="I1072" i="8"/>
  <c r="G1050" i="8"/>
  <c r="F1051" i="8"/>
  <c r="I1050" i="8"/>
  <c r="E1577" i="8"/>
  <c r="F1334" i="8"/>
  <c r="I1333" i="8"/>
  <c r="G1333" i="8"/>
  <c r="I919" i="8"/>
  <c r="F920" i="8"/>
  <c r="G919" i="8"/>
  <c r="I1027" i="8"/>
  <c r="F1028" i="8"/>
  <c r="G1027" i="8"/>
  <c r="B790" i="8"/>
  <c r="D791" i="8"/>
  <c r="F1116" i="8"/>
  <c r="I1115" i="8"/>
  <c r="G1115" i="8"/>
  <c r="I626" i="8"/>
  <c r="L626" i="8" s="1"/>
  <c r="I627" i="8"/>
  <c r="L627" i="8" s="1"/>
  <c r="I628" i="8"/>
  <c r="L628" i="8" s="1"/>
  <c r="I629" i="8"/>
  <c r="L629" i="8" s="1"/>
  <c r="I1550" i="8"/>
  <c r="F1551" i="8"/>
  <c r="G1550" i="8"/>
  <c r="G746" i="8"/>
  <c r="F747" i="8"/>
  <c r="F1290" i="8"/>
  <c r="I1289" i="8"/>
  <c r="G1289" i="8"/>
  <c r="G1179" i="8"/>
  <c r="F1180" i="8"/>
  <c r="I1179" i="8"/>
  <c r="K632" i="8" l="1"/>
  <c r="D792" i="8"/>
  <c r="B791" i="8"/>
  <c r="G1399" i="8"/>
  <c r="I1399" i="8"/>
  <c r="F1400" i="8"/>
  <c r="F1204" i="8"/>
  <c r="I1203" i="8"/>
  <c r="G1203" i="8"/>
  <c r="I1137" i="8"/>
  <c r="F1138" i="8"/>
  <c r="G1137" i="8"/>
  <c r="I942" i="8"/>
  <c r="F943" i="8"/>
  <c r="G942" i="8"/>
  <c r="L527" i="8"/>
  <c r="G1028" i="8"/>
  <c r="F1029" i="8"/>
  <c r="I1028" i="8"/>
  <c r="E1578" i="8"/>
  <c r="D272" i="8"/>
  <c r="C271" i="8"/>
  <c r="B271" i="8"/>
  <c r="I1443" i="8"/>
  <c r="F1444" i="8"/>
  <c r="G1443" i="8"/>
  <c r="G1268" i="8"/>
  <c r="F1269" i="8"/>
  <c r="I1268" i="8"/>
  <c r="F1291" i="8"/>
  <c r="I1290" i="8"/>
  <c r="G1290" i="8"/>
  <c r="F1074" i="8"/>
  <c r="I1073" i="8"/>
  <c r="G1073" i="8"/>
  <c r="I1246" i="8"/>
  <c r="F1247" i="8"/>
  <c r="G1246" i="8"/>
  <c r="G1157" i="8"/>
  <c r="I1157" i="8"/>
  <c r="F1158" i="8"/>
  <c r="F1335" i="8"/>
  <c r="I1334" i="8"/>
  <c r="G1334" i="8"/>
  <c r="F1226" i="8"/>
  <c r="I1225" i="8"/>
  <c r="G1225" i="8"/>
  <c r="G965" i="8"/>
  <c r="I965" i="8"/>
  <c r="F966" i="8"/>
  <c r="G813" i="8"/>
  <c r="I813" i="8"/>
  <c r="F814" i="8"/>
  <c r="F748" i="8"/>
  <c r="G747" i="8"/>
  <c r="G1180" i="8"/>
  <c r="F1181" i="8"/>
  <c r="I1180" i="8"/>
  <c r="I1352" i="8"/>
  <c r="F1353" i="8"/>
  <c r="G1352" i="8"/>
  <c r="F660" i="8"/>
  <c r="G659" i="8"/>
  <c r="G920" i="8"/>
  <c r="I920" i="8"/>
  <c r="F921" i="8"/>
  <c r="G1051" i="8"/>
  <c r="I1051" i="8"/>
  <c r="F1052" i="8"/>
  <c r="F1422" i="8"/>
  <c r="G1421" i="8"/>
  <c r="I1421" i="8"/>
  <c r="I1008" i="8"/>
  <c r="G1008" i="8"/>
  <c r="F1009" i="8"/>
  <c r="I984" i="8"/>
  <c r="F985" i="8"/>
  <c r="G984" i="8"/>
  <c r="F1376" i="8"/>
  <c r="G1375" i="8"/>
  <c r="I1375" i="8"/>
  <c r="G1093" i="8"/>
  <c r="F1094" i="8"/>
  <c r="I1093" i="8"/>
  <c r="I1551" i="8"/>
  <c r="F1552" i="8"/>
  <c r="G1551" i="8"/>
  <c r="F1117" i="8"/>
  <c r="I1116" i="8"/>
  <c r="G1116" i="8"/>
  <c r="I1312" i="8"/>
  <c r="G1312" i="8"/>
  <c r="F1313" i="8"/>
  <c r="F855" i="8"/>
  <c r="G854" i="8"/>
  <c r="I854" i="8"/>
  <c r="F1488" i="8"/>
  <c r="I1487" i="8"/>
  <c r="G1487" i="8"/>
  <c r="L632" i="8"/>
  <c r="M632" i="8" s="1"/>
  <c r="M527" i="8" l="1"/>
  <c r="I528" i="8" s="1"/>
  <c r="L528" i="8" s="1"/>
  <c r="K633" i="8"/>
  <c r="I633" i="8"/>
  <c r="L633" i="8" s="1"/>
  <c r="M633" i="8" s="1"/>
  <c r="F749" i="8"/>
  <c r="G748" i="8"/>
  <c r="G1094" i="8"/>
  <c r="I1094" i="8"/>
  <c r="F1095" i="8"/>
  <c r="F1010" i="8"/>
  <c r="G1009" i="8"/>
  <c r="I1009" i="8"/>
  <c r="I1353" i="8"/>
  <c r="F1354" i="8"/>
  <c r="G1353" i="8"/>
  <c r="I921" i="8"/>
  <c r="F922" i="8"/>
  <c r="G921" i="8"/>
  <c r="I814" i="8"/>
  <c r="F815" i="8"/>
  <c r="G814" i="8"/>
  <c r="F1292" i="8"/>
  <c r="I1291" i="8"/>
  <c r="G1291" i="8"/>
  <c r="G1204" i="8"/>
  <c r="F1205" i="8"/>
  <c r="I1204" i="8"/>
  <c r="I1488" i="8"/>
  <c r="G1488" i="8"/>
  <c r="F1489" i="8"/>
  <c r="G1226" i="8"/>
  <c r="I1226" i="8"/>
  <c r="F1227" i="8"/>
  <c r="F1248" i="8"/>
  <c r="I1247" i="8"/>
  <c r="G1247" i="8"/>
  <c r="D273" i="8"/>
  <c r="C272" i="8"/>
  <c r="B272" i="8"/>
  <c r="I943" i="8"/>
  <c r="F944" i="8"/>
  <c r="G943" i="8"/>
  <c r="I1400" i="8"/>
  <c r="F1401" i="8"/>
  <c r="G1400" i="8"/>
  <c r="I1117" i="8"/>
  <c r="F1118" i="8"/>
  <c r="G1117" i="8"/>
  <c r="G1181" i="8"/>
  <c r="I1181" i="8"/>
  <c r="F1182" i="8"/>
  <c r="I1269" i="8"/>
  <c r="F1270" i="8"/>
  <c r="G1269" i="8"/>
  <c r="I1376" i="8"/>
  <c r="F1377" i="8"/>
  <c r="G1376" i="8"/>
  <c r="I966" i="8"/>
  <c r="F967" i="8"/>
  <c r="G966" i="8"/>
  <c r="E1579" i="8"/>
  <c r="I855" i="8"/>
  <c r="F856" i="8"/>
  <c r="G855" i="8"/>
  <c r="F1553" i="8"/>
  <c r="G1552" i="8"/>
  <c r="I1552" i="8"/>
  <c r="F1423" i="8"/>
  <c r="I1422" i="8"/>
  <c r="G1422" i="8"/>
  <c r="F1336" i="8"/>
  <c r="G1335" i="8"/>
  <c r="I1335" i="8"/>
  <c r="G1138" i="8"/>
  <c r="F1139" i="8"/>
  <c r="I1138" i="8"/>
  <c r="I1313" i="8"/>
  <c r="F1314" i="8"/>
  <c r="G1313" i="8"/>
  <c r="F986" i="8"/>
  <c r="G985" i="8"/>
  <c r="I985" i="8"/>
  <c r="F1053" i="8"/>
  <c r="I1052" i="8"/>
  <c r="G1052" i="8"/>
  <c r="G660" i="8"/>
  <c r="F661" i="8"/>
  <c r="G1158" i="8"/>
  <c r="I1158" i="8"/>
  <c r="F1159" i="8"/>
  <c r="F1075" i="8"/>
  <c r="I1074" i="8"/>
  <c r="G1074" i="8"/>
  <c r="F1445" i="8"/>
  <c r="I1444" i="8"/>
  <c r="G1444" i="8"/>
  <c r="I1029" i="8"/>
  <c r="F1030" i="8"/>
  <c r="G1029" i="8"/>
  <c r="D793" i="8"/>
  <c r="B792" i="8"/>
  <c r="M528" i="8" l="1"/>
  <c r="I529" i="8" s="1"/>
  <c r="L529" i="8" s="1"/>
  <c r="K528" i="8"/>
  <c r="K529" i="8"/>
  <c r="I986" i="8"/>
  <c r="F987" i="8"/>
  <c r="G986" i="8"/>
  <c r="F945" i="8"/>
  <c r="G944" i="8"/>
  <c r="I944" i="8"/>
  <c r="I922" i="8"/>
  <c r="F923" i="8"/>
  <c r="G922" i="8"/>
  <c r="K634" i="8"/>
  <c r="I634" i="8"/>
  <c r="L634" i="8" s="1"/>
  <c r="I1314" i="8"/>
  <c r="F1315" i="8"/>
  <c r="G1314" i="8"/>
  <c r="F1119" i="8"/>
  <c r="I1118" i="8"/>
  <c r="G1118" i="8"/>
  <c r="I1010" i="8"/>
  <c r="F1011" i="8"/>
  <c r="G1010" i="8"/>
  <c r="B793" i="8"/>
  <c r="D794" i="8"/>
  <c r="E1580" i="8"/>
  <c r="F1490" i="8"/>
  <c r="I1489" i="8"/>
  <c r="G1489" i="8"/>
  <c r="I1292" i="8"/>
  <c r="G1292" i="8"/>
  <c r="F1293" i="8"/>
  <c r="F1096" i="8"/>
  <c r="I1095" i="8"/>
  <c r="G1095" i="8"/>
  <c r="F662" i="8"/>
  <c r="G661" i="8"/>
  <c r="F1228" i="8"/>
  <c r="I1227" i="8"/>
  <c r="G1227" i="8"/>
  <c r="F1446" i="8"/>
  <c r="I1445" i="8"/>
  <c r="G1445" i="8"/>
  <c r="I1336" i="8"/>
  <c r="G1336" i="8"/>
  <c r="F1337" i="8"/>
  <c r="I856" i="8"/>
  <c r="F857" i="8"/>
  <c r="G856" i="8"/>
  <c r="I1377" i="8"/>
  <c r="F1378" i="8"/>
  <c r="G1377" i="8"/>
  <c r="F1076" i="8"/>
  <c r="I1075" i="8"/>
  <c r="G1075" i="8"/>
  <c r="G1423" i="8"/>
  <c r="F1424" i="8"/>
  <c r="I1423" i="8"/>
  <c r="F1271" i="8"/>
  <c r="I1270" i="8"/>
  <c r="G1270" i="8"/>
  <c r="D274" i="8"/>
  <c r="C273" i="8"/>
  <c r="B273" i="8"/>
  <c r="I1030" i="8"/>
  <c r="G1030" i="8"/>
  <c r="F1031" i="8"/>
  <c r="F1160" i="8"/>
  <c r="I1159" i="8"/>
  <c r="G1159" i="8"/>
  <c r="F1054" i="8"/>
  <c r="I1053" i="8"/>
  <c r="G1053" i="8"/>
  <c r="G1139" i="8"/>
  <c r="F1140" i="8"/>
  <c r="I1139" i="8"/>
  <c r="F1402" i="8"/>
  <c r="I1401" i="8"/>
  <c r="G1401" i="8"/>
  <c r="I815" i="8"/>
  <c r="F816" i="8"/>
  <c r="G815" i="8"/>
  <c r="I967" i="8"/>
  <c r="F968" i="8"/>
  <c r="G967" i="8"/>
  <c r="F1183" i="8"/>
  <c r="I1182" i="8"/>
  <c r="G1182" i="8"/>
  <c r="I1354" i="8"/>
  <c r="F1355" i="8"/>
  <c r="G1354" i="8"/>
  <c r="F1554" i="8"/>
  <c r="G1553" i="8"/>
  <c r="I1553" i="8"/>
  <c r="I1248" i="8"/>
  <c r="F1249" i="8"/>
  <c r="G1248" i="8"/>
  <c r="I1205" i="8"/>
  <c r="G1205" i="8"/>
  <c r="F1206" i="8"/>
  <c r="F750" i="8"/>
  <c r="G749" i="8"/>
  <c r="M529" i="8" l="1"/>
  <c r="I530" i="8" s="1"/>
  <c r="L530" i="8" s="1"/>
  <c r="M530" i="8" s="1"/>
  <c r="I531" i="8" s="1"/>
  <c r="L531" i="8" s="1"/>
  <c r="M531" i="8" s="1"/>
  <c r="K530" i="8"/>
  <c r="F1055" i="8"/>
  <c r="I1054" i="8"/>
  <c r="G1054" i="8"/>
  <c r="I1424" i="8"/>
  <c r="F1425" i="8"/>
  <c r="G1424" i="8"/>
  <c r="F1447" i="8"/>
  <c r="I1446" i="8"/>
  <c r="G1446" i="8"/>
  <c r="E1581" i="8"/>
  <c r="I923" i="8"/>
  <c r="F924" i="8"/>
  <c r="G923" i="8"/>
  <c r="G1183" i="8"/>
  <c r="F1184" i="8"/>
  <c r="I1183" i="8"/>
  <c r="I857" i="8"/>
  <c r="F858" i="8"/>
  <c r="G857" i="8"/>
  <c r="F1097" i="8"/>
  <c r="I1096" i="8"/>
  <c r="G1096" i="8"/>
  <c r="G1119" i="8"/>
  <c r="F1120" i="8"/>
  <c r="I1119" i="8"/>
  <c r="G750" i="8"/>
  <c r="F751" i="8"/>
  <c r="I1402" i="8"/>
  <c r="F1403" i="8"/>
  <c r="G1402" i="8"/>
  <c r="I1293" i="8"/>
  <c r="G1293" i="8"/>
  <c r="F1294" i="8"/>
  <c r="D795" i="8"/>
  <c r="B794" i="8"/>
  <c r="F1207" i="8"/>
  <c r="I1206" i="8"/>
  <c r="G1206" i="8"/>
  <c r="I1554" i="8"/>
  <c r="G1554" i="8"/>
  <c r="F1555" i="8"/>
  <c r="I968" i="8"/>
  <c r="F969" i="8"/>
  <c r="G968" i="8"/>
  <c r="F1161" i="8"/>
  <c r="I1160" i="8"/>
  <c r="G1160" i="8"/>
  <c r="D275" i="8"/>
  <c r="C274" i="8"/>
  <c r="B274" i="8"/>
  <c r="I1337" i="8"/>
  <c r="F1338" i="8"/>
  <c r="G1337" i="8"/>
  <c r="F1229" i="8"/>
  <c r="I1228" i="8"/>
  <c r="G1228" i="8"/>
  <c r="I1315" i="8"/>
  <c r="F1316" i="8"/>
  <c r="G1315" i="8"/>
  <c r="F1141" i="8"/>
  <c r="I1140" i="8"/>
  <c r="G1140" i="8"/>
  <c r="I1031" i="8"/>
  <c r="F1032" i="8"/>
  <c r="G1031" i="8"/>
  <c r="F1077" i="8"/>
  <c r="I1076" i="8"/>
  <c r="G1076" i="8"/>
  <c r="I945" i="8"/>
  <c r="F946" i="8"/>
  <c r="G945" i="8"/>
  <c r="F1356" i="8"/>
  <c r="I1355" i="8"/>
  <c r="G1355" i="8"/>
  <c r="F663" i="8"/>
  <c r="G662" i="8"/>
  <c r="F1012" i="8"/>
  <c r="G1011" i="8"/>
  <c r="I1011" i="8"/>
  <c r="K635" i="8"/>
  <c r="M634" i="8" s="1"/>
  <c r="I635" i="8" s="1"/>
  <c r="L635" i="8" s="1"/>
  <c r="M635" i="8" s="1"/>
  <c r="I816" i="8"/>
  <c r="F817" i="8"/>
  <c r="G816" i="8"/>
  <c r="I1271" i="8"/>
  <c r="G1271" i="8"/>
  <c r="F1272" i="8"/>
  <c r="F1379" i="8"/>
  <c r="G1378" i="8"/>
  <c r="I1378" i="8"/>
  <c r="F988" i="8"/>
  <c r="G987" i="8"/>
  <c r="I987" i="8"/>
  <c r="F1250" i="8"/>
  <c r="I1249" i="8"/>
  <c r="G1249" i="8"/>
  <c r="F1491" i="8"/>
  <c r="I1490" i="8"/>
  <c r="G1490" i="8"/>
  <c r="K531" i="8" l="1"/>
  <c r="D276" i="8"/>
  <c r="C275" i="8"/>
  <c r="B275" i="8"/>
  <c r="F1162" i="8"/>
  <c r="I1161" i="8"/>
  <c r="G1161" i="8"/>
  <c r="I1403" i="8"/>
  <c r="F1404" i="8"/>
  <c r="G1403" i="8"/>
  <c r="I1447" i="8"/>
  <c r="F1448" i="8"/>
  <c r="G1447" i="8"/>
  <c r="G1055" i="8"/>
  <c r="I1055" i="8"/>
  <c r="F1056" i="8"/>
  <c r="I988" i="8"/>
  <c r="F989" i="8"/>
  <c r="G988" i="8"/>
  <c r="G817" i="8"/>
  <c r="I817" i="8"/>
  <c r="F818" i="8"/>
  <c r="F1142" i="8"/>
  <c r="I1141" i="8"/>
  <c r="G1141" i="8"/>
  <c r="I1338" i="8"/>
  <c r="F1339" i="8"/>
  <c r="G1338" i="8"/>
  <c r="G1207" i="8"/>
  <c r="I1207" i="8"/>
  <c r="F1208" i="8"/>
  <c r="F752" i="8"/>
  <c r="G751" i="8"/>
  <c r="G1097" i="8"/>
  <c r="F1098" i="8"/>
  <c r="I1097" i="8"/>
  <c r="G924" i="8"/>
  <c r="I924" i="8"/>
  <c r="F925" i="8"/>
  <c r="F1426" i="8"/>
  <c r="I1425" i="8"/>
  <c r="G1425" i="8"/>
  <c r="I1272" i="8"/>
  <c r="G1272" i="8"/>
  <c r="F1273" i="8"/>
  <c r="F664" i="8"/>
  <c r="G663" i="8"/>
  <c r="G969" i="8"/>
  <c r="I969" i="8"/>
  <c r="F970" i="8"/>
  <c r="F1492" i="8"/>
  <c r="I1491" i="8"/>
  <c r="G1491" i="8"/>
  <c r="K636" i="8"/>
  <c r="I636" i="8"/>
  <c r="G1077" i="8"/>
  <c r="F1078" i="8"/>
  <c r="I1077" i="8"/>
  <c r="I1316" i="8"/>
  <c r="F1317" i="8"/>
  <c r="G1316" i="8"/>
  <c r="D796" i="8"/>
  <c r="B795" i="8"/>
  <c r="I1379" i="8"/>
  <c r="F1380" i="8"/>
  <c r="G1379" i="8"/>
  <c r="I1555" i="8"/>
  <c r="F1556" i="8"/>
  <c r="G1555" i="8"/>
  <c r="I1294" i="8"/>
  <c r="F1295" i="8"/>
  <c r="G1294" i="8"/>
  <c r="F859" i="8"/>
  <c r="G858" i="8"/>
  <c r="I858" i="8"/>
  <c r="E1582" i="8"/>
  <c r="I532" i="8"/>
  <c r="K532" i="8"/>
  <c r="F1251" i="8"/>
  <c r="I1250" i="8"/>
  <c r="G1250" i="8"/>
  <c r="F1121" i="8"/>
  <c r="I1120" i="8"/>
  <c r="G1120" i="8"/>
  <c r="I1012" i="8"/>
  <c r="G1012" i="8"/>
  <c r="F1013" i="8"/>
  <c r="I946" i="8"/>
  <c r="F947" i="8"/>
  <c r="G946" i="8"/>
  <c r="G1184" i="8"/>
  <c r="F1185" i="8"/>
  <c r="I1184" i="8"/>
  <c r="I1356" i="8"/>
  <c r="F1357" i="8"/>
  <c r="G1356" i="8"/>
  <c r="G1032" i="8"/>
  <c r="F1033" i="8"/>
  <c r="I1032" i="8"/>
  <c r="G1229" i="8"/>
  <c r="F1230" i="8"/>
  <c r="I1229" i="8"/>
  <c r="L532" i="8" l="1"/>
  <c r="M532" i="8" s="1"/>
  <c r="I533" i="8" s="1"/>
  <c r="L533" i="8" s="1"/>
  <c r="M533" i="8" s="1"/>
  <c r="I947" i="8"/>
  <c r="F948" i="8"/>
  <c r="G947" i="8"/>
  <c r="I970" i="8"/>
  <c r="F971" i="8"/>
  <c r="G970" i="8"/>
  <c r="F1099" i="8"/>
  <c r="I1098" i="8"/>
  <c r="G1098" i="8"/>
  <c r="I859" i="8"/>
  <c r="F860" i="8"/>
  <c r="G859" i="8"/>
  <c r="I1357" i="8"/>
  <c r="F1358" i="8"/>
  <c r="G1357" i="8"/>
  <c r="F1014" i="8"/>
  <c r="G1013" i="8"/>
  <c r="I1013" i="8"/>
  <c r="G1251" i="8"/>
  <c r="F1252" i="8"/>
  <c r="I1251" i="8"/>
  <c r="F990" i="8"/>
  <c r="G989" i="8"/>
  <c r="I989" i="8"/>
  <c r="D277" i="8"/>
  <c r="C276" i="8"/>
  <c r="B276" i="8"/>
  <c r="I1295" i="8"/>
  <c r="G1295" i="8"/>
  <c r="F1296" i="8"/>
  <c r="L636" i="8"/>
  <c r="M636" i="8" s="1"/>
  <c r="F1427" i="8"/>
  <c r="I1426" i="8"/>
  <c r="G1426" i="8"/>
  <c r="I1404" i="8"/>
  <c r="F1405" i="8"/>
  <c r="G1404" i="8"/>
  <c r="I1230" i="8"/>
  <c r="F1231" i="8"/>
  <c r="G1230" i="8"/>
  <c r="D797" i="8"/>
  <c r="B796" i="8"/>
  <c r="I925" i="8"/>
  <c r="F926" i="8"/>
  <c r="G925" i="8"/>
  <c r="F753" i="8"/>
  <c r="G752" i="8"/>
  <c r="F1057" i="8"/>
  <c r="I1056" i="8"/>
  <c r="G1056" i="8"/>
  <c r="F1186" i="8"/>
  <c r="I1185" i="8"/>
  <c r="G1185" i="8"/>
  <c r="F665" i="8"/>
  <c r="G664" i="8"/>
  <c r="G1208" i="8"/>
  <c r="F1209" i="8"/>
  <c r="I1208" i="8"/>
  <c r="F1143" i="8"/>
  <c r="I1142" i="8"/>
  <c r="G1142" i="8"/>
  <c r="E1583" i="8"/>
  <c r="I1556" i="8"/>
  <c r="F1557" i="8"/>
  <c r="G1556" i="8"/>
  <c r="I1317" i="8"/>
  <c r="G1317" i="8"/>
  <c r="F1318" i="8"/>
  <c r="F1274" i="8"/>
  <c r="I1273" i="8"/>
  <c r="G1273" i="8"/>
  <c r="I818" i="8"/>
  <c r="F819" i="8"/>
  <c r="G818" i="8"/>
  <c r="I1033" i="8"/>
  <c r="F1034" i="8"/>
  <c r="G1033" i="8"/>
  <c r="G1121" i="8"/>
  <c r="F1122" i="8"/>
  <c r="I1121" i="8"/>
  <c r="I1492" i="8"/>
  <c r="F1493" i="8"/>
  <c r="G1492" i="8"/>
  <c r="F1163" i="8"/>
  <c r="I1162" i="8"/>
  <c r="G1162" i="8"/>
  <c r="F1449" i="8"/>
  <c r="I1448" i="8"/>
  <c r="G1448" i="8"/>
  <c r="F1381" i="8"/>
  <c r="I1380" i="8"/>
  <c r="G1380" i="8"/>
  <c r="I1078" i="8"/>
  <c r="F1079" i="8"/>
  <c r="G1078" i="8"/>
  <c r="G1339" i="8"/>
  <c r="I1339" i="8"/>
  <c r="F1340" i="8"/>
  <c r="K533" i="8" l="1"/>
  <c r="F1275" i="8"/>
  <c r="I1274" i="8"/>
  <c r="F949" i="8"/>
  <c r="G948" i="8"/>
  <c r="I948" i="8"/>
  <c r="G1163" i="8"/>
  <c r="F1164" i="8"/>
  <c r="I1163" i="8"/>
  <c r="I1034" i="8"/>
  <c r="G1034" i="8"/>
  <c r="F1035" i="8"/>
  <c r="I1318" i="8"/>
  <c r="G1318" i="8"/>
  <c r="F1319" i="8"/>
  <c r="F666" i="8"/>
  <c r="G665" i="8"/>
  <c r="F754" i="8"/>
  <c r="G753" i="8"/>
  <c r="I534" i="8"/>
  <c r="L534" i="8" s="1"/>
  <c r="M534" i="8" s="1"/>
  <c r="K534" i="8"/>
  <c r="D278" i="8"/>
  <c r="C277" i="8"/>
  <c r="B277" i="8"/>
  <c r="F1428" i="8"/>
  <c r="I1427" i="8"/>
  <c r="G1427" i="8"/>
  <c r="I1014" i="8"/>
  <c r="F1015" i="8"/>
  <c r="G1014" i="8"/>
  <c r="I1493" i="8"/>
  <c r="G1493" i="8"/>
  <c r="F1494" i="8"/>
  <c r="G1231" i="8"/>
  <c r="F1232" i="8"/>
  <c r="I1231" i="8"/>
  <c r="K637" i="8"/>
  <c r="I637" i="8"/>
  <c r="F1100" i="8"/>
  <c r="I1099" i="8"/>
  <c r="G1099" i="8"/>
  <c r="I1381" i="8"/>
  <c r="F1382" i="8"/>
  <c r="G1381" i="8"/>
  <c r="F1144" i="8"/>
  <c r="I1143" i="8"/>
  <c r="G1143" i="8"/>
  <c r="G1340" i="8"/>
  <c r="F1341" i="8"/>
  <c r="I1340" i="8"/>
  <c r="I819" i="8"/>
  <c r="F820" i="8"/>
  <c r="G819" i="8"/>
  <c r="F1187" i="8"/>
  <c r="I1186" i="8"/>
  <c r="G1186" i="8"/>
  <c r="I926" i="8"/>
  <c r="F927" i="8"/>
  <c r="G926" i="8"/>
  <c r="F1297" i="8"/>
  <c r="I1296" i="8"/>
  <c r="G1296" i="8"/>
  <c r="I990" i="8"/>
  <c r="F991" i="8"/>
  <c r="G990" i="8"/>
  <c r="I1358" i="8"/>
  <c r="F1359" i="8"/>
  <c r="G1358" i="8"/>
  <c r="I1557" i="8"/>
  <c r="F1558" i="8"/>
  <c r="G1557" i="8"/>
  <c r="F1210" i="8"/>
  <c r="I1209" i="8"/>
  <c r="G1209" i="8"/>
  <c r="I971" i="8"/>
  <c r="F972" i="8"/>
  <c r="G971" i="8"/>
  <c r="F1450" i="8"/>
  <c r="I1449" i="8"/>
  <c r="G1449" i="8"/>
  <c r="G1122" i="8"/>
  <c r="I1122" i="8"/>
  <c r="F1123" i="8"/>
  <c r="F1406" i="8"/>
  <c r="I1405" i="8"/>
  <c r="G1405" i="8"/>
  <c r="F1253" i="8"/>
  <c r="I1252" i="8"/>
  <c r="G1252" i="8"/>
  <c r="B797" i="8"/>
  <c r="D798" i="8"/>
  <c r="I860" i="8"/>
  <c r="F861" i="8"/>
  <c r="G860" i="8"/>
  <c r="I1079" i="8"/>
  <c r="G1079" i="8"/>
  <c r="F1080" i="8"/>
  <c r="E1584" i="8"/>
  <c r="F1058" i="8"/>
  <c r="I1057" i="8"/>
  <c r="G1057" i="8"/>
  <c r="L637" i="8" l="1"/>
  <c r="M637" i="8" s="1"/>
  <c r="I638" i="8" s="1"/>
  <c r="B798" i="8"/>
  <c r="D799" i="8"/>
  <c r="G1232" i="8"/>
  <c r="F1233" i="8"/>
  <c r="I1232" i="8"/>
  <c r="I927" i="8"/>
  <c r="F928" i="8"/>
  <c r="G927" i="8"/>
  <c r="I1035" i="8"/>
  <c r="F1036" i="8"/>
  <c r="G1035" i="8"/>
  <c r="I949" i="8"/>
  <c r="F950" i="8"/>
  <c r="G949" i="8"/>
  <c r="G1080" i="8"/>
  <c r="F1081" i="8"/>
  <c r="I1080" i="8"/>
  <c r="F1342" i="8"/>
  <c r="G1341" i="8"/>
  <c r="I1341" i="8"/>
  <c r="F1495" i="8"/>
  <c r="I1494" i="8"/>
  <c r="G1494" i="8"/>
  <c r="I1428" i="8"/>
  <c r="F1429" i="8"/>
  <c r="G1428" i="8"/>
  <c r="F755" i="8"/>
  <c r="G754" i="8"/>
  <c r="F1211" i="8"/>
  <c r="I1210" i="8"/>
  <c r="G1210" i="8"/>
  <c r="F992" i="8"/>
  <c r="G991" i="8"/>
  <c r="I991" i="8"/>
  <c r="I1275" i="8"/>
  <c r="G1275" i="8"/>
  <c r="F1276" i="8"/>
  <c r="G1253" i="8"/>
  <c r="I1253" i="8"/>
  <c r="F1254" i="8"/>
  <c r="F1101" i="8"/>
  <c r="I1100" i="8"/>
  <c r="G1100" i="8"/>
  <c r="F667" i="8"/>
  <c r="G666" i="8"/>
  <c r="I1359" i="8"/>
  <c r="F1360" i="8"/>
  <c r="G1359" i="8"/>
  <c r="G1123" i="8"/>
  <c r="F1124" i="8"/>
  <c r="I1123" i="8"/>
  <c r="F1451" i="8"/>
  <c r="I1450" i="8"/>
  <c r="G1450" i="8"/>
  <c r="F1559" i="8"/>
  <c r="I1558" i="8"/>
  <c r="G1558" i="8"/>
  <c r="F1188" i="8"/>
  <c r="I1187" i="8"/>
  <c r="G1187" i="8"/>
  <c r="D279" i="8"/>
  <c r="C278" i="8"/>
  <c r="B278" i="8"/>
  <c r="G1164" i="8"/>
  <c r="I1164" i="8"/>
  <c r="F1165" i="8"/>
  <c r="I861" i="8"/>
  <c r="F862" i="8"/>
  <c r="G861" i="8"/>
  <c r="F1145" i="8"/>
  <c r="I1144" i="8"/>
  <c r="G1144" i="8"/>
  <c r="F1016" i="8"/>
  <c r="G1015" i="8"/>
  <c r="I1015" i="8"/>
  <c r="F1320" i="8"/>
  <c r="I1319" i="8"/>
  <c r="G1319" i="8"/>
  <c r="G1058" i="8"/>
  <c r="F1059" i="8"/>
  <c r="I1058" i="8"/>
  <c r="I1406" i="8"/>
  <c r="F1407" i="8"/>
  <c r="G1406" i="8"/>
  <c r="I972" i="8"/>
  <c r="F973" i="8"/>
  <c r="G972" i="8"/>
  <c r="F1298" i="8"/>
  <c r="I1297" i="8"/>
  <c r="G1297" i="8"/>
  <c r="I820" i="8"/>
  <c r="F821" i="8"/>
  <c r="G820" i="8"/>
  <c r="I535" i="8"/>
  <c r="L535" i="8" s="1"/>
  <c r="M535" i="8" s="1"/>
  <c r="K535" i="8"/>
  <c r="E1585" i="8"/>
  <c r="I1382" i="8"/>
  <c r="F1383" i="8"/>
  <c r="G1382" i="8"/>
  <c r="K638" i="8" l="1"/>
  <c r="L638" i="8" s="1"/>
  <c r="M638" i="8" s="1"/>
  <c r="I536" i="8"/>
  <c r="K536" i="8"/>
  <c r="G973" i="8"/>
  <c r="I973" i="8"/>
  <c r="F974" i="8"/>
  <c r="G1145" i="8"/>
  <c r="I1145" i="8"/>
  <c r="F1146" i="8"/>
  <c r="G1101" i="8"/>
  <c r="I1101" i="8"/>
  <c r="F1102" i="8"/>
  <c r="I1342" i="8"/>
  <c r="F1343" i="8"/>
  <c r="G1342" i="8"/>
  <c r="G1036" i="8"/>
  <c r="F1037" i="8"/>
  <c r="I1036" i="8"/>
  <c r="D800" i="8"/>
  <c r="B799" i="8"/>
  <c r="D280" i="8"/>
  <c r="C279" i="8"/>
  <c r="B279" i="8"/>
  <c r="F1560" i="8"/>
  <c r="I1559" i="8"/>
  <c r="G1559" i="8"/>
  <c r="F1361" i="8"/>
  <c r="G1360" i="8"/>
  <c r="I1360" i="8"/>
  <c r="F1255" i="8"/>
  <c r="I1254" i="8"/>
  <c r="G1254" i="8"/>
  <c r="I992" i="8"/>
  <c r="G992" i="8"/>
  <c r="F993" i="8"/>
  <c r="F1430" i="8"/>
  <c r="I1429" i="8"/>
  <c r="G1429" i="8"/>
  <c r="G821" i="8"/>
  <c r="I821" i="8"/>
  <c r="F822" i="8"/>
  <c r="F1321" i="8"/>
  <c r="I1320" i="8"/>
  <c r="G1320" i="8"/>
  <c r="F863" i="8"/>
  <c r="G862" i="8"/>
  <c r="I862" i="8"/>
  <c r="G1081" i="8"/>
  <c r="F1082" i="8"/>
  <c r="I1081" i="8"/>
  <c r="F1384" i="8"/>
  <c r="I1383" i="8"/>
  <c r="G1383" i="8"/>
  <c r="F1408" i="8"/>
  <c r="I1407" i="8"/>
  <c r="G1407" i="8"/>
  <c r="G928" i="8"/>
  <c r="I928" i="8"/>
  <c r="F929" i="8"/>
  <c r="F1166" i="8"/>
  <c r="I1165" i="8"/>
  <c r="G1165" i="8"/>
  <c r="F1452" i="8"/>
  <c r="I1451" i="8"/>
  <c r="G1451" i="8"/>
  <c r="F1277" i="8"/>
  <c r="I1276" i="8"/>
  <c r="G1276" i="8"/>
  <c r="F1212" i="8"/>
  <c r="I1211" i="8"/>
  <c r="G1211" i="8"/>
  <c r="E1586" i="8"/>
  <c r="I1016" i="8"/>
  <c r="G1016" i="8"/>
  <c r="F1017" i="8"/>
  <c r="F668" i="8"/>
  <c r="G667" i="8"/>
  <c r="F1496" i="8"/>
  <c r="I1495" i="8"/>
  <c r="G1495" i="8"/>
  <c r="I950" i="8"/>
  <c r="F951" i="8"/>
  <c r="G950" i="8"/>
  <c r="F1299" i="8"/>
  <c r="I1298" i="8"/>
  <c r="G1298" i="8"/>
  <c r="G1059" i="8"/>
  <c r="I1059" i="8"/>
  <c r="F1060" i="8"/>
  <c r="G1188" i="8"/>
  <c r="I1188" i="8"/>
  <c r="F1189" i="8"/>
  <c r="I1124" i="8"/>
  <c r="G1124" i="8"/>
  <c r="F1125" i="8"/>
  <c r="F1234" i="8"/>
  <c r="I1233" i="8"/>
  <c r="G1233" i="8"/>
  <c r="G755" i="8"/>
  <c r="F756" i="8"/>
  <c r="I951" i="8" l="1"/>
  <c r="F952" i="8"/>
  <c r="G951" i="8"/>
  <c r="G1102" i="8"/>
  <c r="F1103" i="8"/>
  <c r="I1102" i="8"/>
  <c r="G1234" i="8"/>
  <c r="F1235" i="8"/>
  <c r="I1234" i="8"/>
  <c r="I1277" i="8"/>
  <c r="F1278" i="8"/>
  <c r="G1277" i="8"/>
  <c r="F994" i="8"/>
  <c r="G993" i="8"/>
  <c r="I993" i="8"/>
  <c r="I1361" i="8"/>
  <c r="G1361" i="8"/>
  <c r="F1362" i="8"/>
  <c r="D801" i="8"/>
  <c r="B800" i="8"/>
  <c r="F1126" i="8"/>
  <c r="G1125" i="8"/>
  <c r="I1125" i="8"/>
  <c r="I1082" i="8"/>
  <c r="G1082" i="8"/>
  <c r="F1083" i="8"/>
  <c r="G1321" i="8"/>
  <c r="F1322" i="8"/>
  <c r="I1321" i="8"/>
  <c r="L536" i="8"/>
  <c r="M536" i="8" s="1"/>
  <c r="F1497" i="8"/>
  <c r="I1496" i="8"/>
  <c r="G1496" i="8"/>
  <c r="I822" i="8"/>
  <c r="F823" i="8"/>
  <c r="G822" i="8"/>
  <c r="I1037" i="8"/>
  <c r="F1038" i="8"/>
  <c r="G1037" i="8"/>
  <c r="G1146" i="8"/>
  <c r="F1147" i="8"/>
  <c r="I1146" i="8"/>
  <c r="G1166" i="8"/>
  <c r="F1167" i="8"/>
  <c r="I1166" i="8"/>
  <c r="F1453" i="8"/>
  <c r="I1452" i="8"/>
  <c r="G1452" i="8"/>
  <c r="F1061" i="8"/>
  <c r="I1060" i="8"/>
  <c r="G1060" i="8"/>
  <c r="F1431" i="8"/>
  <c r="I1430" i="8"/>
  <c r="G1430" i="8"/>
  <c r="K639" i="8"/>
  <c r="I639" i="8"/>
  <c r="L639" i="8" s="1"/>
  <c r="M639" i="8" s="1"/>
  <c r="F1561" i="8"/>
  <c r="I1560" i="8"/>
  <c r="G1560" i="8"/>
  <c r="F757" i="8"/>
  <c r="G756" i="8"/>
  <c r="F1190" i="8"/>
  <c r="I1189" i="8"/>
  <c r="G1189" i="8"/>
  <c r="F1300" i="8"/>
  <c r="I1299" i="8"/>
  <c r="G1299" i="8"/>
  <c r="I1408" i="8"/>
  <c r="F1409" i="8"/>
  <c r="G1408" i="8"/>
  <c r="F669" i="8"/>
  <c r="G668" i="8"/>
  <c r="G1212" i="8"/>
  <c r="F1213" i="8"/>
  <c r="I1212" i="8"/>
  <c r="I1255" i="8"/>
  <c r="F1256" i="8"/>
  <c r="G1255" i="8"/>
  <c r="I1343" i="8"/>
  <c r="F1344" i="8"/>
  <c r="G1343" i="8"/>
  <c r="I974" i="8"/>
  <c r="F975" i="8"/>
  <c r="G974" i="8"/>
  <c r="D281" i="8"/>
  <c r="C280" i="8"/>
  <c r="B280" i="8"/>
  <c r="F1385" i="8"/>
  <c r="I1384" i="8"/>
  <c r="G1384" i="8"/>
  <c r="F1018" i="8"/>
  <c r="G1017" i="8"/>
  <c r="I1017" i="8"/>
  <c r="I863" i="8"/>
  <c r="F864" i="8"/>
  <c r="G863" i="8"/>
  <c r="I929" i="8"/>
  <c r="F930" i="8"/>
  <c r="G929" i="8"/>
  <c r="K640" i="8" l="1"/>
  <c r="I640" i="8"/>
  <c r="L640" i="8" s="1"/>
  <c r="M640" i="8" s="1"/>
  <c r="D282" i="8"/>
  <c r="C281" i="8"/>
  <c r="B281" i="8"/>
  <c r="I1256" i="8"/>
  <c r="F1257" i="8"/>
  <c r="G1256" i="8"/>
  <c r="F1191" i="8"/>
  <c r="I1190" i="8"/>
  <c r="G1190" i="8"/>
  <c r="I1497" i="8"/>
  <c r="F1498" i="8"/>
  <c r="G1497" i="8"/>
  <c r="F1236" i="8"/>
  <c r="I1235" i="8"/>
  <c r="G1235" i="8"/>
  <c r="I1409" i="8"/>
  <c r="F1410" i="8"/>
  <c r="G1409" i="8"/>
  <c r="I1453" i="8"/>
  <c r="F1454" i="8"/>
  <c r="G1453" i="8"/>
  <c r="I537" i="8"/>
  <c r="K537" i="8"/>
  <c r="I975" i="8"/>
  <c r="F976" i="8"/>
  <c r="G975" i="8"/>
  <c r="I1038" i="8"/>
  <c r="G1038" i="8"/>
  <c r="F1039" i="8"/>
  <c r="I1018" i="8"/>
  <c r="F1019" i="8"/>
  <c r="G1018" i="8"/>
  <c r="F758" i="8"/>
  <c r="G757" i="8"/>
  <c r="I930" i="8"/>
  <c r="F931" i="8"/>
  <c r="G930" i="8"/>
  <c r="I1213" i="8"/>
  <c r="G1213" i="8"/>
  <c r="F1214" i="8"/>
  <c r="F1432" i="8"/>
  <c r="I1431" i="8"/>
  <c r="G1431" i="8"/>
  <c r="G1167" i="8"/>
  <c r="F1168" i="8"/>
  <c r="I1167" i="8"/>
  <c r="F1127" i="8"/>
  <c r="I1126" i="8"/>
  <c r="G1126" i="8"/>
  <c r="I994" i="8"/>
  <c r="F995" i="8"/>
  <c r="G994" i="8"/>
  <c r="I1103" i="8"/>
  <c r="F1104" i="8"/>
  <c r="G1103" i="8"/>
  <c r="I823" i="8"/>
  <c r="F824" i="8"/>
  <c r="G823" i="8"/>
  <c r="I1322" i="8"/>
  <c r="F1323" i="8"/>
  <c r="G1322" i="8"/>
  <c r="G1385" i="8"/>
  <c r="F1386" i="8"/>
  <c r="I1385" i="8"/>
  <c r="I1300" i="8"/>
  <c r="F1301" i="8"/>
  <c r="G1300" i="8"/>
  <c r="B801" i="8"/>
  <c r="D802" i="8"/>
  <c r="F1279" i="8"/>
  <c r="I1278" i="8"/>
  <c r="G1278" i="8"/>
  <c r="G1561" i="8"/>
  <c r="F1562" i="8"/>
  <c r="I1561" i="8"/>
  <c r="F1062" i="8"/>
  <c r="I1061" i="8"/>
  <c r="G1061" i="8"/>
  <c r="G1147" i="8"/>
  <c r="F1148" i="8"/>
  <c r="I1147" i="8"/>
  <c r="F1084" i="8"/>
  <c r="I1083" i="8"/>
  <c r="G1083" i="8"/>
  <c r="I1362" i="8"/>
  <c r="F1363" i="8"/>
  <c r="G1362" i="8"/>
  <c r="F953" i="8"/>
  <c r="G952" i="8"/>
  <c r="I952" i="8"/>
  <c r="I1344" i="8"/>
  <c r="F1345" i="8"/>
  <c r="G1344" i="8"/>
  <c r="I864" i="8"/>
  <c r="F865" i="8"/>
  <c r="G864" i="8"/>
  <c r="G669" i="8"/>
  <c r="F670" i="8"/>
  <c r="I865" i="8" l="1"/>
  <c r="F866" i="8"/>
  <c r="G865" i="8"/>
  <c r="I1363" i="8"/>
  <c r="F1364" i="8"/>
  <c r="G1363" i="8"/>
  <c r="F1280" i="8"/>
  <c r="I1279" i="8"/>
  <c r="G1279" i="8"/>
  <c r="B802" i="8"/>
  <c r="D803" i="8"/>
  <c r="F1169" i="8"/>
  <c r="I1168" i="8"/>
  <c r="G1168" i="8"/>
  <c r="L537" i="8"/>
  <c r="M537" i="8" s="1"/>
  <c r="I953" i="8"/>
  <c r="F954" i="8"/>
  <c r="G953" i="8"/>
  <c r="F1215" i="8"/>
  <c r="I1214" i="8"/>
  <c r="G1214" i="8"/>
  <c r="I976" i="8"/>
  <c r="F977" i="8"/>
  <c r="G976" i="8"/>
  <c r="F1411" i="8"/>
  <c r="I1410" i="8"/>
  <c r="G1410" i="8"/>
  <c r="K641" i="8"/>
  <c r="I641" i="8"/>
  <c r="L641" i="8" s="1"/>
  <c r="M641" i="8" s="1"/>
  <c r="G1104" i="8"/>
  <c r="I1104" i="8"/>
  <c r="F1105" i="8"/>
  <c r="F1346" i="8"/>
  <c r="G1345" i="8"/>
  <c r="I1345" i="8"/>
  <c r="F1063" i="8"/>
  <c r="I1062" i="8"/>
  <c r="G1062" i="8"/>
  <c r="F1324" i="8"/>
  <c r="I1323" i="8"/>
  <c r="G1323" i="8"/>
  <c r="I931" i="8"/>
  <c r="F932" i="8"/>
  <c r="G931" i="8"/>
  <c r="I1039" i="8"/>
  <c r="F1040" i="8"/>
  <c r="G1039" i="8"/>
  <c r="F1237" i="8"/>
  <c r="I1236" i="8"/>
  <c r="G1236" i="8"/>
  <c r="G1257" i="8"/>
  <c r="I1257" i="8"/>
  <c r="F1258" i="8"/>
  <c r="F671" i="8"/>
  <c r="G670" i="8"/>
  <c r="F996" i="8"/>
  <c r="G995" i="8"/>
  <c r="I995" i="8"/>
  <c r="F1455" i="8"/>
  <c r="I1454" i="8"/>
  <c r="G1454" i="8"/>
  <c r="G1084" i="8"/>
  <c r="F1085" i="8"/>
  <c r="I1084" i="8"/>
  <c r="I1562" i="8"/>
  <c r="G1562" i="8"/>
  <c r="F1563" i="8"/>
  <c r="F1302" i="8"/>
  <c r="I1301" i="8"/>
  <c r="G1301" i="8"/>
  <c r="F1499" i="8"/>
  <c r="I1498" i="8"/>
  <c r="G1498" i="8"/>
  <c r="I824" i="8"/>
  <c r="F825" i="8"/>
  <c r="G824" i="8"/>
  <c r="F1433" i="8"/>
  <c r="I1432" i="8"/>
  <c r="G1432" i="8"/>
  <c r="F1149" i="8"/>
  <c r="I1148" i="8"/>
  <c r="G1148" i="8"/>
  <c r="G758" i="8"/>
  <c r="F759" i="8"/>
  <c r="D283" i="8"/>
  <c r="C282" i="8"/>
  <c r="B282" i="8"/>
  <c r="I1386" i="8"/>
  <c r="F1387" i="8"/>
  <c r="G1386" i="8"/>
  <c r="F1128" i="8"/>
  <c r="I1127" i="8"/>
  <c r="G1127" i="8"/>
  <c r="F1020" i="8"/>
  <c r="G1019" i="8"/>
  <c r="I1019" i="8"/>
  <c r="G1191" i="8"/>
  <c r="F1192" i="8"/>
  <c r="I1191" i="8"/>
  <c r="D284" i="8" l="1"/>
  <c r="C283" i="8"/>
  <c r="B283" i="8"/>
  <c r="F1500" i="8"/>
  <c r="I1499" i="8"/>
  <c r="G1499" i="8"/>
  <c r="G1085" i="8"/>
  <c r="F1086" i="8"/>
  <c r="I1085" i="8"/>
  <c r="I1237" i="8"/>
  <c r="G1237" i="8"/>
  <c r="F1238" i="8"/>
  <c r="I1105" i="8"/>
  <c r="F1106" i="8"/>
  <c r="G1105" i="8"/>
  <c r="G1192" i="8"/>
  <c r="F1193" i="8"/>
  <c r="I1192" i="8"/>
  <c r="G825" i="8"/>
  <c r="I825" i="8"/>
  <c r="F826" i="8"/>
  <c r="F760" i="8"/>
  <c r="G759" i="8"/>
  <c r="I1433" i="8"/>
  <c r="G1433" i="8"/>
  <c r="F1434" i="8"/>
  <c r="F1325" i="8"/>
  <c r="I1324" i="8"/>
  <c r="G1324" i="8"/>
  <c r="G977" i="8"/>
  <c r="I977" i="8"/>
  <c r="F978" i="8"/>
  <c r="I538" i="8"/>
  <c r="K538" i="8"/>
  <c r="F1281" i="8"/>
  <c r="I1280" i="8"/>
  <c r="G1280" i="8"/>
  <c r="I1020" i="8"/>
  <c r="G1020" i="8"/>
  <c r="F1021" i="8"/>
  <c r="F1129" i="8"/>
  <c r="I1128" i="8"/>
  <c r="G1128" i="8"/>
  <c r="G671" i="8"/>
  <c r="F672" i="8"/>
  <c r="G1040" i="8"/>
  <c r="F1041" i="8"/>
  <c r="I1040" i="8"/>
  <c r="F1303" i="8"/>
  <c r="I1302" i="8"/>
  <c r="G1302" i="8"/>
  <c r="I1258" i="8"/>
  <c r="F1259" i="8"/>
  <c r="G1258" i="8"/>
  <c r="K642" i="8"/>
  <c r="I642" i="8"/>
  <c r="L642" i="8" s="1"/>
  <c r="M642" i="8" s="1"/>
  <c r="I1364" i="8"/>
  <c r="F1365" i="8"/>
  <c r="G1364" i="8"/>
  <c r="F1388" i="8"/>
  <c r="G1387" i="8"/>
  <c r="I1387" i="8"/>
  <c r="I1563" i="8"/>
  <c r="F1564" i="8"/>
  <c r="G1563" i="8"/>
  <c r="H1563" i="8" s="1"/>
  <c r="F1456" i="8"/>
  <c r="G1455" i="8"/>
  <c r="I1455" i="8"/>
  <c r="G1063" i="8"/>
  <c r="I1063" i="8"/>
  <c r="F1064" i="8"/>
  <c r="F1170" i="8"/>
  <c r="I1169" i="8"/>
  <c r="G1169" i="8"/>
  <c r="G932" i="8"/>
  <c r="I932" i="8"/>
  <c r="F933" i="8"/>
  <c r="G1215" i="8"/>
  <c r="I1215" i="8"/>
  <c r="F1216" i="8"/>
  <c r="D804" i="8"/>
  <c r="B803" i="8"/>
  <c r="F1150" i="8"/>
  <c r="I1149" i="8"/>
  <c r="G1149" i="8"/>
  <c r="F867" i="8"/>
  <c r="G866" i="8"/>
  <c r="I866" i="8"/>
  <c r="I996" i="8"/>
  <c r="G996" i="8"/>
  <c r="F997" i="8"/>
  <c r="F1347" i="8"/>
  <c r="G1346" i="8"/>
  <c r="I1346" i="8"/>
  <c r="I1411" i="8"/>
  <c r="G1411" i="8"/>
  <c r="F1412" i="8"/>
  <c r="I954" i="8"/>
  <c r="F955" i="8"/>
  <c r="G954" i="8"/>
  <c r="L538" i="8" l="1"/>
  <c r="F1565" i="8"/>
  <c r="G1564" i="8"/>
  <c r="I1564" i="8"/>
  <c r="I867" i="8"/>
  <c r="F868" i="8"/>
  <c r="G867" i="8"/>
  <c r="F1087" i="8"/>
  <c r="I1086" i="8"/>
  <c r="G1086" i="8"/>
  <c r="F1171" i="8"/>
  <c r="I1170" i="8"/>
  <c r="G1170" i="8"/>
  <c r="I933" i="8"/>
  <c r="F934" i="8"/>
  <c r="G933" i="8"/>
  <c r="I1259" i="8"/>
  <c r="F1260" i="8"/>
  <c r="G1259" i="8"/>
  <c r="F673" i="8"/>
  <c r="G672" i="8"/>
  <c r="F761" i="8"/>
  <c r="G760" i="8"/>
  <c r="I1347" i="8"/>
  <c r="F1348" i="8"/>
  <c r="G1347" i="8"/>
  <c r="I1388" i="8"/>
  <c r="F1389" i="8"/>
  <c r="G1388" i="8"/>
  <c r="G1106" i="8"/>
  <c r="F1107" i="8"/>
  <c r="I1106" i="8"/>
  <c r="I955" i="8"/>
  <c r="F956" i="8"/>
  <c r="G955" i="8"/>
  <c r="F998" i="8"/>
  <c r="G997" i="8"/>
  <c r="I997" i="8"/>
  <c r="F1151" i="8"/>
  <c r="I1150" i="8"/>
  <c r="G1150" i="8"/>
  <c r="I826" i="8"/>
  <c r="F827" i="8"/>
  <c r="G826" i="8"/>
  <c r="F1457" i="8"/>
  <c r="I1456" i="8"/>
  <c r="G1456" i="8"/>
  <c r="F1366" i="8"/>
  <c r="G1365" i="8"/>
  <c r="I1365" i="8"/>
  <c r="F1282" i="8"/>
  <c r="I1281" i="8"/>
  <c r="G1281" i="8"/>
  <c r="I1325" i="8"/>
  <c r="F1326" i="8"/>
  <c r="G1325" i="8"/>
  <c r="I1238" i="8"/>
  <c r="G1238" i="8"/>
  <c r="F1239" i="8"/>
  <c r="F1501" i="8"/>
  <c r="I1500" i="8"/>
  <c r="G1500" i="8"/>
  <c r="G1412" i="8"/>
  <c r="I1412" i="8"/>
  <c r="F1413" i="8"/>
  <c r="B804" i="8"/>
  <c r="D805" i="8"/>
  <c r="F1304" i="8"/>
  <c r="I1303" i="8"/>
  <c r="G1303" i="8"/>
  <c r="I1434" i="8"/>
  <c r="G1434" i="8"/>
  <c r="F1435" i="8"/>
  <c r="K643" i="8"/>
  <c r="I643" i="8"/>
  <c r="L643" i="8" s="1"/>
  <c r="M643" i="8" s="1"/>
  <c r="F1130" i="8"/>
  <c r="I1129" i="8"/>
  <c r="G1129" i="8"/>
  <c r="F1217" i="8"/>
  <c r="I1216" i="8"/>
  <c r="G1216" i="8"/>
  <c r="F1065" i="8"/>
  <c r="I1064" i="8"/>
  <c r="G1064" i="8"/>
  <c r="I1041" i="8"/>
  <c r="F1042" i="8"/>
  <c r="G1041" i="8"/>
  <c r="F1022" i="8"/>
  <c r="G1021" i="8"/>
  <c r="I1021" i="8"/>
  <c r="I978" i="8"/>
  <c r="F979" i="8"/>
  <c r="G978" i="8"/>
  <c r="F1194" i="8"/>
  <c r="I1193" i="8"/>
  <c r="G1193" i="8"/>
  <c r="D285" i="8"/>
  <c r="C284" i="8"/>
  <c r="B284" i="8"/>
  <c r="M538" i="8" l="1"/>
  <c r="I539" i="8" s="1"/>
  <c r="K539" i="8"/>
  <c r="I979" i="8"/>
  <c r="G979" i="8"/>
  <c r="I1326" i="8"/>
  <c r="F1327" i="8"/>
  <c r="G1326" i="8"/>
  <c r="F1152" i="8"/>
  <c r="I1151" i="8"/>
  <c r="G1151" i="8"/>
  <c r="G1107" i="8"/>
  <c r="F1108" i="8"/>
  <c r="I1107" i="8"/>
  <c r="I1087" i="8"/>
  <c r="G1087" i="8"/>
  <c r="F1088" i="8"/>
  <c r="F1066" i="8"/>
  <c r="I1065" i="8"/>
  <c r="G1065" i="8"/>
  <c r="G1130" i="8"/>
  <c r="I1130" i="8"/>
  <c r="F1131" i="8"/>
  <c r="F1305" i="8"/>
  <c r="I1304" i="8"/>
  <c r="G1304" i="8"/>
  <c r="F1458" i="8"/>
  <c r="I1457" i="8"/>
  <c r="G1457" i="8"/>
  <c r="F762" i="8"/>
  <c r="G761" i="8"/>
  <c r="I934" i="8"/>
  <c r="F935" i="8"/>
  <c r="G934" i="8"/>
  <c r="D286" i="8"/>
  <c r="C285" i="8"/>
  <c r="B285" i="8"/>
  <c r="K644" i="8"/>
  <c r="I644" i="8"/>
  <c r="F1502" i="8"/>
  <c r="I1501" i="8"/>
  <c r="G1501" i="8"/>
  <c r="I998" i="8"/>
  <c r="F999" i="8"/>
  <c r="G998" i="8"/>
  <c r="I1389" i="8"/>
  <c r="F1390" i="8"/>
  <c r="G1389" i="8"/>
  <c r="I868" i="8"/>
  <c r="F869" i="8"/>
  <c r="G868" i="8"/>
  <c r="I1022" i="8"/>
  <c r="F1023" i="8"/>
  <c r="G1022" i="8"/>
  <c r="B805" i="8"/>
  <c r="D806" i="8"/>
  <c r="G1239" i="8"/>
  <c r="I1239" i="8"/>
  <c r="F1240" i="8"/>
  <c r="I1282" i="8"/>
  <c r="F1283" i="8"/>
  <c r="G1282" i="8"/>
  <c r="I827" i="8"/>
  <c r="F828" i="8"/>
  <c r="G827" i="8"/>
  <c r="F1218" i="8"/>
  <c r="I1217" i="8"/>
  <c r="G1217" i="8"/>
  <c r="F1436" i="8"/>
  <c r="G1435" i="8"/>
  <c r="I1435" i="8"/>
  <c r="F957" i="8"/>
  <c r="G956" i="8"/>
  <c r="I956" i="8"/>
  <c r="F674" i="8"/>
  <c r="G673" i="8"/>
  <c r="F1195" i="8"/>
  <c r="I1194" i="8"/>
  <c r="G1194" i="8"/>
  <c r="I1042" i="8"/>
  <c r="F1043" i="8"/>
  <c r="G1042" i="8"/>
  <c r="I1413" i="8"/>
  <c r="F1414" i="8"/>
  <c r="G1413" i="8"/>
  <c r="I1348" i="8"/>
  <c r="G1348" i="8"/>
  <c r="G1171" i="8"/>
  <c r="I1171" i="8"/>
  <c r="F1172" i="8"/>
  <c r="I1366" i="8"/>
  <c r="F1367" i="8"/>
  <c r="G1366" i="8"/>
  <c r="I1260" i="8"/>
  <c r="F1261" i="8"/>
  <c r="G1260" i="8"/>
  <c r="F1566" i="8"/>
  <c r="G1565" i="8"/>
  <c r="I1565" i="8"/>
  <c r="L539" i="8" l="1"/>
  <c r="M539" i="8" s="1"/>
  <c r="I540" i="8" s="1"/>
  <c r="K540" i="8"/>
  <c r="I1261" i="8"/>
  <c r="F1262" i="8"/>
  <c r="G1261" i="8"/>
  <c r="I1043" i="8"/>
  <c r="F1044" i="8"/>
  <c r="G1043" i="8"/>
  <c r="G1218" i="8"/>
  <c r="F1219" i="8"/>
  <c r="I1218" i="8"/>
  <c r="I869" i="8"/>
  <c r="F870" i="8"/>
  <c r="G869" i="8"/>
  <c r="F1459" i="8"/>
  <c r="I1458" i="8"/>
  <c r="G1458" i="8"/>
  <c r="I935" i="8"/>
  <c r="F936" i="8"/>
  <c r="G935" i="8"/>
  <c r="G1066" i="8"/>
  <c r="F1067" i="8"/>
  <c r="I1066" i="8"/>
  <c r="I957" i="8"/>
  <c r="F958" i="8"/>
  <c r="G957" i="8"/>
  <c r="I828" i="8"/>
  <c r="F829" i="8"/>
  <c r="G828" i="8"/>
  <c r="B806" i="8"/>
  <c r="D807" i="8"/>
  <c r="F1503" i="8"/>
  <c r="I1502" i="8"/>
  <c r="G1502" i="8"/>
  <c r="I1088" i="8"/>
  <c r="G1088" i="8"/>
  <c r="I1152" i="8"/>
  <c r="F1153" i="8"/>
  <c r="G1152" i="8"/>
  <c r="F1368" i="8"/>
  <c r="G1367" i="8"/>
  <c r="I1367" i="8"/>
  <c r="F1391" i="8"/>
  <c r="I1390" i="8"/>
  <c r="G1390" i="8"/>
  <c r="L644" i="8"/>
  <c r="M644" i="8" s="1"/>
  <c r="F1306" i="8"/>
  <c r="I1305" i="8"/>
  <c r="G1305" i="8"/>
  <c r="F1196" i="8"/>
  <c r="I1195" i="8"/>
  <c r="G1195" i="8"/>
  <c r="G1131" i="8"/>
  <c r="I1131" i="8"/>
  <c r="F1132" i="8"/>
  <c r="F1328" i="8"/>
  <c r="I1327" i="8"/>
  <c r="G1327" i="8"/>
  <c r="I1414" i="8"/>
  <c r="G1414" i="8"/>
  <c r="I1436" i="8"/>
  <c r="G1436" i="8"/>
  <c r="I1283" i="8"/>
  <c r="F1284" i="8"/>
  <c r="G1283" i="8"/>
  <c r="G1023" i="8"/>
  <c r="I1023" i="8"/>
  <c r="F763" i="8"/>
  <c r="G762" i="8"/>
  <c r="I1566" i="8"/>
  <c r="G1566" i="8"/>
  <c r="F1567" i="8"/>
  <c r="F675" i="8"/>
  <c r="G674" i="8"/>
  <c r="F1000" i="8"/>
  <c r="G999" i="8"/>
  <c r="I999" i="8"/>
  <c r="F1109" i="8"/>
  <c r="I1108" i="8"/>
  <c r="G1108" i="8"/>
  <c r="F1173" i="8"/>
  <c r="I1172" i="8"/>
  <c r="G1172" i="8"/>
  <c r="I1240" i="8"/>
  <c r="G1240" i="8"/>
  <c r="F1241" i="8"/>
  <c r="D287" i="8"/>
  <c r="C286" i="8"/>
  <c r="B286" i="8"/>
  <c r="L540" i="8" l="1"/>
  <c r="M540" i="8" s="1"/>
  <c r="D288" i="8"/>
  <c r="C287" i="8"/>
  <c r="B287" i="8"/>
  <c r="I541" i="8"/>
  <c r="G1196" i="8"/>
  <c r="F1197" i="8"/>
  <c r="I1196" i="8"/>
  <c r="I1219" i="8"/>
  <c r="G1219" i="8"/>
  <c r="I1241" i="8"/>
  <c r="G1241" i="8"/>
  <c r="F1110" i="8"/>
  <c r="I1109" i="8"/>
  <c r="G1109" i="8"/>
  <c r="I1567" i="8"/>
  <c r="F1568" i="8"/>
  <c r="G1567" i="8"/>
  <c r="I958" i="8"/>
  <c r="G958" i="8"/>
  <c r="I1284" i="8"/>
  <c r="G1284" i="8"/>
  <c r="I1328" i="8"/>
  <c r="G1328" i="8"/>
  <c r="I1368" i="8"/>
  <c r="F1369" i="8"/>
  <c r="G1368" i="8"/>
  <c r="I1503" i="8"/>
  <c r="F1504" i="8"/>
  <c r="G1503" i="8"/>
  <c r="G1132" i="8"/>
  <c r="I1132" i="8"/>
  <c r="F1307" i="8"/>
  <c r="G1306" i="8"/>
  <c r="I1306" i="8"/>
  <c r="D808" i="8"/>
  <c r="B807" i="8"/>
  <c r="F1460" i="8"/>
  <c r="I1459" i="8"/>
  <c r="G1459" i="8"/>
  <c r="G1044" i="8"/>
  <c r="I1044" i="8"/>
  <c r="F1045" i="8"/>
  <c r="I1000" i="8"/>
  <c r="G1000" i="8"/>
  <c r="F1001" i="8"/>
  <c r="K645" i="8"/>
  <c r="I645" i="8"/>
  <c r="L645" i="8" s="1"/>
  <c r="M645" i="8" s="1"/>
  <c r="G1153" i="8"/>
  <c r="I1153" i="8"/>
  <c r="F1068" i="8"/>
  <c r="I1067" i="8"/>
  <c r="G1067" i="8"/>
  <c r="G763" i="8"/>
  <c r="F764" i="8"/>
  <c r="F871" i="8"/>
  <c r="G870" i="8"/>
  <c r="I870" i="8"/>
  <c r="F1174" i="8"/>
  <c r="I1173" i="8"/>
  <c r="G1173" i="8"/>
  <c r="F830" i="8"/>
  <c r="G829" i="8"/>
  <c r="I829" i="8"/>
  <c r="F1263" i="8"/>
  <c r="I1262" i="8"/>
  <c r="G1262" i="8"/>
  <c r="F676" i="8"/>
  <c r="G675" i="8"/>
  <c r="I1391" i="8"/>
  <c r="F1392" i="8"/>
  <c r="G1391" i="8"/>
  <c r="G936" i="8"/>
  <c r="I936" i="8"/>
  <c r="K541" i="8" l="1"/>
  <c r="L541" i="8"/>
  <c r="F765" i="8"/>
  <c r="G764" i="8"/>
  <c r="K646" i="8"/>
  <c r="I646" i="8"/>
  <c r="L646" i="8" s="1"/>
  <c r="M646" i="8" s="1"/>
  <c r="I830" i="8"/>
  <c r="F831" i="8"/>
  <c r="G830" i="8"/>
  <c r="G1197" i="8"/>
  <c r="F1198" i="8"/>
  <c r="I1197" i="8"/>
  <c r="F1002" i="8"/>
  <c r="G1001" i="8"/>
  <c r="I1001" i="8"/>
  <c r="F1461" i="8"/>
  <c r="I1460" i="8"/>
  <c r="G1460" i="8"/>
  <c r="G676" i="8"/>
  <c r="F677" i="8"/>
  <c r="I1504" i="8"/>
  <c r="G1504" i="8"/>
  <c r="F1505" i="8"/>
  <c r="G1110" i="8"/>
  <c r="I1110" i="8"/>
  <c r="G1174" i="8"/>
  <c r="F1175" i="8"/>
  <c r="I1174" i="8"/>
  <c r="D809" i="8"/>
  <c r="B808" i="8"/>
  <c r="I1068" i="8"/>
  <c r="G1068" i="8"/>
  <c r="F1046" i="8"/>
  <c r="I1045" i="8"/>
  <c r="G1045" i="8"/>
  <c r="I1263" i="8"/>
  <c r="G1263" i="8"/>
  <c r="I1369" i="8"/>
  <c r="F1370" i="8"/>
  <c r="G1369" i="8"/>
  <c r="I1392" i="8"/>
  <c r="F1393" i="8"/>
  <c r="G1392" i="8"/>
  <c r="I871" i="8"/>
  <c r="F872" i="8"/>
  <c r="G871" i="8"/>
  <c r="I1307" i="8"/>
  <c r="F1308" i="8"/>
  <c r="G1307" i="8"/>
  <c r="I1568" i="8"/>
  <c r="F1569" i="8"/>
  <c r="G1568" i="8"/>
  <c r="D289" i="8"/>
  <c r="C288" i="8"/>
  <c r="B288" i="8"/>
  <c r="K542" i="8" l="1"/>
  <c r="M541" i="8"/>
  <c r="I542" i="8"/>
  <c r="L542" i="8" s="1"/>
  <c r="D290" i="8"/>
  <c r="C289" i="8"/>
  <c r="B289" i="8"/>
  <c r="I872" i="8"/>
  <c r="F873" i="8"/>
  <c r="G872" i="8"/>
  <c r="K543" i="8"/>
  <c r="I1505" i="8"/>
  <c r="F1506" i="8"/>
  <c r="G1505" i="8"/>
  <c r="F1462" i="8"/>
  <c r="I1461" i="8"/>
  <c r="G1461" i="8"/>
  <c r="I831" i="8"/>
  <c r="F832" i="8"/>
  <c r="G831" i="8"/>
  <c r="I1569" i="8"/>
  <c r="F1570" i="8"/>
  <c r="G1569" i="8"/>
  <c r="D810" i="8"/>
  <c r="B809" i="8"/>
  <c r="K647" i="8"/>
  <c r="I1393" i="8"/>
  <c r="G1393" i="8"/>
  <c r="F678" i="8"/>
  <c r="G677" i="8"/>
  <c r="I1002" i="8"/>
  <c r="G1002" i="8"/>
  <c r="I1046" i="8"/>
  <c r="G1046" i="8"/>
  <c r="G1175" i="8"/>
  <c r="I1175" i="8"/>
  <c r="I1308" i="8"/>
  <c r="G1308" i="8"/>
  <c r="I1198" i="8"/>
  <c r="G1198" i="8"/>
  <c r="F1371" i="8"/>
  <c r="I1370" i="8"/>
  <c r="G1370" i="8"/>
  <c r="G765" i="8"/>
  <c r="F766" i="8"/>
  <c r="M542" i="8" l="1"/>
  <c r="I543" i="8" s="1"/>
  <c r="L543" i="8" s="1"/>
  <c r="I1371" i="8"/>
  <c r="G1371" i="8"/>
  <c r="I647" i="8"/>
  <c r="L647" i="8" s="1"/>
  <c r="K648" i="8" s="1"/>
  <c r="I648" i="8"/>
  <c r="I832" i="8"/>
  <c r="F833" i="8"/>
  <c r="G832" i="8"/>
  <c r="G766" i="8"/>
  <c r="F767" i="8"/>
  <c r="D811" i="8"/>
  <c r="B810" i="8"/>
  <c r="I873" i="8"/>
  <c r="F874" i="8"/>
  <c r="G873" i="8"/>
  <c r="G678" i="8"/>
  <c r="F679" i="8"/>
  <c r="I1462" i="8"/>
  <c r="F1463" i="8"/>
  <c r="G1462" i="8"/>
  <c r="I1570" i="8"/>
  <c r="F1571" i="8"/>
  <c r="G1570" i="8"/>
  <c r="G1506" i="8"/>
  <c r="F1507" i="8"/>
  <c r="I1506" i="8"/>
  <c r="D291" i="8"/>
  <c r="C290" i="8"/>
  <c r="B290" i="8"/>
  <c r="M543" i="8" l="1"/>
  <c r="I544" i="8" s="1"/>
  <c r="L544" i="8" s="1"/>
  <c r="K544" i="8"/>
  <c r="F875" i="8"/>
  <c r="G874" i="8"/>
  <c r="I874" i="8"/>
  <c r="D292" i="8"/>
  <c r="C291" i="8"/>
  <c r="B291" i="8"/>
  <c r="I1463" i="8"/>
  <c r="F1464" i="8"/>
  <c r="G1463" i="8"/>
  <c r="F834" i="8"/>
  <c r="G833" i="8"/>
  <c r="I833" i="8"/>
  <c r="B811" i="8"/>
  <c r="D812" i="8"/>
  <c r="I1507" i="8"/>
  <c r="F1508" i="8"/>
  <c r="G1507" i="8"/>
  <c r="G679" i="8"/>
  <c r="F680" i="8"/>
  <c r="F768" i="8"/>
  <c r="G767" i="8"/>
  <c r="L648" i="8"/>
  <c r="M648" i="8" s="1"/>
  <c r="I1571" i="8"/>
  <c r="F1572" i="8"/>
  <c r="G1571" i="8"/>
  <c r="M544" i="8" l="1"/>
  <c r="I545" i="8" s="1"/>
  <c r="K545" i="8"/>
  <c r="L545" i="8" s="1"/>
  <c r="D813" i="8"/>
  <c r="B812" i="8"/>
  <c r="G768" i="8"/>
  <c r="F769" i="8"/>
  <c r="G680" i="8"/>
  <c r="F681" i="8"/>
  <c r="D293" i="8"/>
  <c r="C292" i="8"/>
  <c r="B292" i="8"/>
  <c r="F1573" i="8"/>
  <c r="G1572" i="8"/>
  <c r="I1572" i="8"/>
  <c r="I834" i="8"/>
  <c r="F835" i="8"/>
  <c r="G834" i="8"/>
  <c r="I649" i="8"/>
  <c r="K649" i="8"/>
  <c r="F1509" i="8"/>
  <c r="I1508" i="8"/>
  <c r="G1508" i="8"/>
  <c r="F1465" i="8"/>
  <c r="I1464" i="8"/>
  <c r="G1464" i="8"/>
  <c r="I875" i="8"/>
  <c r="F876" i="8"/>
  <c r="G875" i="8"/>
  <c r="K546" i="8" l="1"/>
  <c r="M545" i="8"/>
  <c r="I546" i="8" s="1"/>
  <c r="L649" i="8"/>
  <c r="F682" i="8"/>
  <c r="G681" i="8"/>
  <c r="G1509" i="8"/>
  <c r="F1510" i="8"/>
  <c r="I1509" i="8"/>
  <c r="G1573" i="8"/>
  <c r="I1573" i="8"/>
  <c r="F1574" i="8"/>
  <c r="F877" i="8"/>
  <c r="I876" i="8"/>
  <c r="G876" i="8"/>
  <c r="L546" i="8"/>
  <c r="M546" i="8" s="1"/>
  <c r="F770" i="8"/>
  <c r="G769" i="8"/>
  <c r="I835" i="8"/>
  <c r="F836" i="8"/>
  <c r="G835" i="8"/>
  <c r="F1466" i="8"/>
  <c r="I1465" i="8"/>
  <c r="G1465" i="8"/>
  <c r="D294" i="8"/>
  <c r="C293" i="8"/>
  <c r="B293" i="8"/>
  <c r="D814" i="8"/>
  <c r="B813" i="8"/>
  <c r="M649" i="8" l="1"/>
  <c r="I650" i="8" s="1"/>
  <c r="L650" i="8" s="1"/>
  <c r="I547" i="8"/>
  <c r="K547" i="8"/>
  <c r="F1467" i="8"/>
  <c r="I1466" i="8"/>
  <c r="G1466" i="8"/>
  <c r="I1510" i="8"/>
  <c r="F1511" i="8"/>
  <c r="G1510" i="8"/>
  <c r="B814" i="8"/>
  <c r="D815" i="8"/>
  <c r="I836" i="8"/>
  <c r="F837" i="8"/>
  <c r="G836" i="8"/>
  <c r="F878" i="8"/>
  <c r="I877" i="8"/>
  <c r="G877" i="8"/>
  <c r="D295" i="8"/>
  <c r="C294" i="8"/>
  <c r="B294" i="8"/>
  <c r="I1574" i="8"/>
  <c r="F1575" i="8"/>
  <c r="G1574" i="8"/>
  <c r="F683" i="8"/>
  <c r="G682" i="8"/>
  <c r="G770" i="8"/>
  <c r="F771" i="8"/>
  <c r="K651" i="8" l="1"/>
  <c r="L547" i="8"/>
  <c r="F879" i="8"/>
  <c r="I878" i="8"/>
  <c r="G878" i="8"/>
  <c r="F772" i="8"/>
  <c r="G771" i="8"/>
  <c r="I1575" i="8"/>
  <c r="F1576" i="8"/>
  <c r="G1575" i="8"/>
  <c r="I837" i="8"/>
  <c r="F838" i="8"/>
  <c r="G837" i="8"/>
  <c r="F1468" i="8"/>
  <c r="I1467" i="8"/>
  <c r="G1467" i="8"/>
  <c r="D816" i="8"/>
  <c r="B815" i="8"/>
  <c r="D296" i="8"/>
  <c r="C295" i="8"/>
  <c r="B295" i="8"/>
  <c r="F684" i="8"/>
  <c r="G683" i="8"/>
  <c r="I1511" i="8"/>
  <c r="F1512" i="8"/>
  <c r="G1511" i="8"/>
  <c r="K548" i="8" l="1"/>
  <c r="M547" i="8"/>
  <c r="I548" i="8" s="1"/>
  <c r="L548" i="8" s="1"/>
  <c r="M650" i="8"/>
  <c r="I651" i="8" s="1"/>
  <c r="L651" i="8" s="1"/>
  <c r="D817" i="8"/>
  <c r="B816" i="8"/>
  <c r="I1576" i="8"/>
  <c r="F1577" i="8"/>
  <c r="G1576" i="8"/>
  <c r="F685" i="8"/>
  <c r="G684" i="8"/>
  <c r="I1468" i="8"/>
  <c r="G1468" i="8"/>
  <c r="F1469" i="8"/>
  <c r="D297" i="8"/>
  <c r="C296" i="8"/>
  <c r="B296" i="8"/>
  <c r="G772" i="8"/>
  <c r="F773" i="8"/>
  <c r="I1512" i="8"/>
  <c r="F1513" i="8"/>
  <c r="G1512" i="8"/>
  <c r="G838" i="8"/>
  <c r="I838" i="8"/>
  <c r="F839" i="8"/>
  <c r="F880" i="8"/>
  <c r="G879" i="8"/>
  <c r="I879" i="8"/>
  <c r="M651" i="8" l="1"/>
  <c r="I652" i="8" s="1"/>
  <c r="L652" i="8" s="1"/>
  <c r="K652" i="8"/>
  <c r="M548" i="8"/>
  <c r="I549" i="8" s="1"/>
  <c r="L549" i="8" s="1"/>
  <c r="K549" i="8"/>
  <c r="I839" i="8"/>
  <c r="F840" i="8"/>
  <c r="G839" i="8"/>
  <c r="G685" i="8"/>
  <c r="F686" i="8"/>
  <c r="I880" i="8"/>
  <c r="F881" i="8"/>
  <c r="G880" i="8"/>
  <c r="D298" i="8"/>
  <c r="C297" i="8"/>
  <c r="B297" i="8"/>
  <c r="I1513" i="8"/>
  <c r="F1514" i="8"/>
  <c r="G1513" i="8"/>
  <c r="F1470" i="8"/>
  <c r="I1469" i="8"/>
  <c r="G1469" i="8"/>
  <c r="I1577" i="8"/>
  <c r="F1578" i="8"/>
  <c r="G1577" i="8"/>
  <c r="G773" i="8"/>
  <c r="F774" i="8"/>
  <c r="D818" i="8"/>
  <c r="B817" i="8"/>
  <c r="M549" i="8" l="1"/>
  <c r="I550" i="8" s="1"/>
  <c r="K550" i="8"/>
  <c r="M652" i="8"/>
  <c r="I653" i="8" s="1"/>
  <c r="L653" i="8" s="1"/>
  <c r="K653" i="8"/>
  <c r="L550" i="8"/>
  <c r="I840" i="8"/>
  <c r="F841" i="8"/>
  <c r="G840" i="8"/>
  <c r="F1471" i="8"/>
  <c r="I1470" i="8"/>
  <c r="G1470" i="8"/>
  <c r="I1578" i="8"/>
  <c r="F1579" i="8"/>
  <c r="G1578" i="8"/>
  <c r="G686" i="8"/>
  <c r="F687" i="8"/>
  <c r="B818" i="8"/>
  <c r="D819" i="8"/>
  <c r="D299" i="8"/>
  <c r="C298" i="8"/>
  <c r="B298" i="8"/>
  <c r="I881" i="8"/>
  <c r="F882" i="8"/>
  <c r="G881" i="8"/>
  <c r="F775" i="8"/>
  <c r="G774" i="8"/>
  <c r="I1514" i="8"/>
  <c r="F1515" i="8"/>
  <c r="G1514" i="8"/>
  <c r="M653" i="8" l="1"/>
  <c r="I654" i="8" s="1"/>
  <c r="L654" i="8" s="1"/>
  <c r="K654" i="8"/>
  <c r="K551" i="8"/>
  <c r="M550" i="8"/>
  <c r="I551" i="8" s="1"/>
  <c r="L551" i="8" s="1"/>
  <c r="F776" i="8"/>
  <c r="G775" i="8"/>
  <c r="F1516" i="8"/>
  <c r="G1515" i="8"/>
  <c r="I1515" i="8"/>
  <c r="I882" i="8"/>
  <c r="F883" i="8"/>
  <c r="G882" i="8"/>
  <c r="I687" i="8"/>
  <c r="L687" i="8" s="1"/>
  <c r="G687" i="8"/>
  <c r="F688" i="8"/>
  <c r="F1472" i="8"/>
  <c r="G1471" i="8"/>
  <c r="I1471" i="8"/>
  <c r="I841" i="8"/>
  <c r="F842" i="8"/>
  <c r="G841" i="8"/>
  <c r="D300" i="8"/>
  <c r="C299" i="8"/>
  <c r="B299" i="8"/>
  <c r="I1579" i="8"/>
  <c r="F1580" i="8"/>
  <c r="G1579" i="8"/>
  <c r="D820" i="8"/>
  <c r="B819" i="8"/>
  <c r="M551" i="8" l="1"/>
  <c r="I552" i="8" s="1"/>
  <c r="K552" i="8"/>
  <c r="M687" i="8"/>
  <c r="I688" i="8" s="1"/>
  <c r="L688" i="8" s="1"/>
  <c r="M654" i="8"/>
  <c r="I655" i="8" s="1"/>
  <c r="L655" i="8" s="1"/>
  <c r="K655" i="8"/>
  <c r="F1473" i="8"/>
  <c r="I1472" i="8"/>
  <c r="G1472" i="8"/>
  <c r="F689" i="8"/>
  <c r="G688" i="8"/>
  <c r="L552" i="8"/>
  <c r="M552" i="8" s="1"/>
  <c r="D301" i="8"/>
  <c r="C300" i="8"/>
  <c r="B300" i="8"/>
  <c r="K688" i="8"/>
  <c r="D821" i="8"/>
  <c r="B820" i="8"/>
  <c r="G842" i="8"/>
  <c r="I842" i="8"/>
  <c r="F843" i="8"/>
  <c r="F1517" i="8"/>
  <c r="G1516" i="8"/>
  <c r="I1516" i="8"/>
  <c r="I1580" i="8"/>
  <c r="F1581" i="8"/>
  <c r="G1580" i="8"/>
  <c r="F884" i="8"/>
  <c r="G883" i="8"/>
  <c r="I883" i="8"/>
  <c r="F777" i="8"/>
  <c r="G776" i="8"/>
  <c r="M688" i="8" l="1"/>
  <c r="I689" i="8" s="1"/>
  <c r="L689" i="8" s="1"/>
  <c r="M655" i="8"/>
  <c r="I656" i="8" s="1"/>
  <c r="L656" i="8" s="1"/>
  <c r="K656" i="8"/>
  <c r="I1517" i="8"/>
  <c r="F1518" i="8"/>
  <c r="G1517" i="8"/>
  <c r="I1581" i="8"/>
  <c r="F1582" i="8"/>
  <c r="G1581" i="8"/>
  <c r="D822" i="8"/>
  <c r="B821" i="8"/>
  <c r="G689" i="8"/>
  <c r="F690" i="8"/>
  <c r="F778" i="8"/>
  <c r="G777" i="8"/>
  <c r="I843" i="8"/>
  <c r="F844" i="8"/>
  <c r="G843" i="8"/>
  <c r="I884" i="8"/>
  <c r="F885" i="8"/>
  <c r="G884" i="8"/>
  <c r="D302" i="8"/>
  <c r="C301" i="8"/>
  <c r="B301" i="8"/>
  <c r="I553" i="8"/>
  <c r="K553" i="8"/>
  <c r="F1474" i="8"/>
  <c r="I1473" i="8"/>
  <c r="G1473" i="8"/>
  <c r="M689" i="8" l="1"/>
  <c r="I690" i="8" s="1"/>
  <c r="L690" i="8" s="1"/>
  <c r="M690" i="8" s="1"/>
  <c r="I691" i="8" s="1"/>
  <c r="K690" i="8"/>
  <c r="M656" i="8"/>
  <c r="I657" i="8" s="1"/>
  <c r="L657" i="8" s="1"/>
  <c r="K657" i="8"/>
  <c r="L553" i="8"/>
  <c r="M553" i="8" s="1"/>
  <c r="I554" i="8" s="1"/>
  <c r="L554" i="8" s="1"/>
  <c r="M554" i="8" s="1"/>
  <c r="I844" i="8"/>
  <c r="F845" i="8"/>
  <c r="G844" i="8"/>
  <c r="I885" i="8"/>
  <c r="F886" i="8"/>
  <c r="G885" i="8"/>
  <c r="F1475" i="8"/>
  <c r="I1474" i="8"/>
  <c r="G1474" i="8"/>
  <c r="F779" i="8"/>
  <c r="G778" i="8"/>
  <c r="B822" i="8"/>
  <c r="D823" i="8"/>
  <c r="K691" i="8"/>
  <c r="I1582" i="8"/>
  <c r="F1583" i="8"/>
  <c r="G1582" i="8"/>
  <c r="K554" i="8"/>
  <c r="F691" i="8"/>
  <c r="G690" i="8"/>
  <c r="I1518" i="8"/>
  <c r="F1519" i="8"/>
  <c r="G1518" i="8"/>
  <c r="D303" i="8"/>
  <c r="C302" i="8"/>
  <c r="B302" i="8"/>
  <c r="M657" i="8" l="1"/>
  <c r="I658" i="8" s="1"/>
  <c r="L658" i="8" s="1"/>
  <c r="K658" i="8"/>
  <c r="L691" i="8"/>
  <c r="M691" i="8" s="1"/>
  <c r="I692" i="8" s="1"/>
  <c r="F692" i="8"/>
  <c r="G691" i="8"/>
  <c r="K692" i="8"/>
  <c r="F1476" i="8"/>
  <c r="I1475" i="8"/>
  <c r="G1475" i="8"/>
  <c r="D304" i="8"/>
  <c r="C303" i="8"/>
  <c r="B303" i="8"/>
  <c r="D824" i="8"/>
  <c r="B823" i="8"/>
  <c r="I886" i="8"/>
  <c r="F887" i="8"/>
  <c r="G886" i="8"/>
  <c r="I555" i="8"/>
  <c r="K555" i="8"/>
  <c r="I1583" i="8"/>
  <c r="F1584" i="8"/>
  <c r="G1583" i="8"/>
  <c r="G779" i="8"/>
  <c r="F780" i="8"/>
  <c r="I845" i="8"/>
  <c r="F846" i="8"/>
  <c r="G845" i="8"/>
  <c r="I1519" i="8"/>
  <c r="F1520" i="8"/>
  <c r="G1519" i="8"/>
  <c r="M658" i="8" l="1"/>
  <c r="I659" i="8" s="1"/>
  <c r="L659" i="8" s="1"/>
  <c r="K659" i="8"/>
  <c r="L692" i="8"/>
  <c r="M692" i="8" s="1"/>
  <c r="I1520" i="8"/>
  <c r="F1521" i="8"/>
  <c r="G1520" i="8"/>
  <c r="F888" i="8"/>
  <c r="G887" i="8"/>
  <c r="I887" i="8"/>
  <c r="I1584" i="8"/>
  <c r="F1585" i="8"/>
  <c r="G1584" i="8"/>
  <c r="F1477" i="8"/>
  <c r="I1476" i="8"/>
  <c r="G1476" i="8"/>
  <c r="K693" i="8"/>
  <c r="G846" i="8"/>
  <c r="I846" i="8"/>
  <c r="F847" i="8"/>
  <c r="D825" i="8"/>
  <c r="B824" i="8"/>
  <c r="L555" i="8"/>
  <c r="M555" i="8" s="1"/>
  <c r="F781" i="8"/>
  <c r="G780" i="8"/>
  <c r="D305" i="8"/>
  <c r="C304" i="8"/>
  <c r="B304" i="8"/>
  <c r="G692" i="8"/>
  <c r="F693" i="8"/>
  <c r="M659" i="8" l="1"/>
  <c r="I660" i="8" s="1"/>
  <c r="L660" i="8" s="1"/>
  <c r="K660" i="8"/>
  <c r="I1585" i="8"/>
  <c r="F1586" i="8"/>
  <c r="G1585" i="8"/>
  <c r="I693" i="8"/>
  <c r="L693" i="8" s="1"/>
  <c r="M693" i="8" s="1"/>
  <c r="F782" i="8"/>
  <c r="G781" i="8"/>
  <c r="I556" i="8"/>
  <c r="K556" i="8"/>
  <c r="I888" i="8"/>
  <c r="F889" i="8"/>
  <c r="G888" i="8"/>
  <c r="F694" i="8"/>
  <c r="G693" i="8"/>
  <c r="D306" i="8"/>
  <c r="C305" i="8"/>
  <c r="B305" i="8"/>
  <c r="D826" i="8"/>
  <c r="B825" i="8"/>
  <c r="F1478" i="8"/>
  <c r="I1477" i="8"/>
  <c r="G1477" i="8"/>
  <c r="I1521" i="8"/>
  <c r="F1522" i="8"/>
  <c r="G1521" i="8"/>
  <c r="I847" i="8"/>
  <c r="F848" i="8"/>
  <c r="G847" i="8"/>
  <c r="M660" i="8" l="1"/>
  <c r="I661" i="8" s="1"/>
  <c r="L661" i="8" s="1"/>
  <c r="K661" i="8"/>
  <c r="L556" i="8"/>
  <c r="M556" i="8" s="1"/>
  <c r="F695" i="8"/>
  <c r="G694" i="8"/>
  <c r="F783" i="8"/>
  <c r="G782" i="8"/>
  <c r="G1478" i="8"/>
  <c r="F1479" i="8"/>
  <c r="I1478" i="8"/>
  <c r="I848" i="8"/>
  <c r="G848" i="8"/>
  <c r="I694" i="8"/>
  <c r="K694" i="8"/>
  <c r="B826" i="8"/>
  <c r="D827" i="8"/>
  <c r="I889" i="8"/>
  <c r="F890" i="8"/>
  <c r="G889" i="8"/>
  <c r="I1586" i="8"/>
  <c r="G1586" i="8"/>
  <c r="F1523" i="8"/>
  <c r="G1522" i="8"/>
  <c r="I1522" i="8"/>
  <c r="D307" i="8"/>
  <c r="C306" i="8"/>
  <c r="B306" i="8"/>
  <c r="I557" i="8"/>
  <c r="L557" i="8" s="1"/>
  <c r="M557" i="8" s="1"/>
  <c r="K557" i="8"/>
  <c r="M661" i="8" l="1"/>
  <c r="I662" i="8" s="1"/>
  <c r="L662" i="8" s="1"/>
  <c r="K662" i="8"/>
  <c r="L694" i="8"/>
  <c r="M694" i="8" s="1"/>
  <c r="I695" i="8" s="1"/>
  <c r="L695" i="8" s="1"/>
  <c r="M695" i="8" s="1"/>
  <c r="D308" i="8"/>
  <c r="C307" i="8"/>
  <c r="B307" i="8"/>
  <c r="F1480" i="8"/>
  <c r="I1479" i="8"/>
  <c r="G1479" i="8"/>
  <c r="D828" i="8"/>
  <c r="B827" i="8"/>
  <c r="G1523" i="8"/>
  <c r="I1523" i="8"/>
  <c r="K695" i="8"/>
  <c r="F784" i="8"/>
  <c r="G783" i="8"/>
  <c r="I558" i="8"/>
  <c r="K558" i="8"/>
  <c r="I890" i="8"/>
  <c r="F891" i="8"/>
  <c r="G890" i="8"/>
  <c r="F696" i="8"/>
  <c r="G695" i="8"/>
  <c r="M662" i="8" l="1"/>
  <c r="I663" i="8" s="1"/>
  <c r="L663" i="8" s="1"/>
  <c r="K663" i="8"/>
  <c r="L558" i="8"/>
  <c r="F697" i="8"/>
  <c r="G696" i="8"/>
  <c r="F785" i="8"/>
  <c r="G784" i="8"/>
  <c r="D829" i="8"/>
  <c r="B828" i="8"/>
  <c r="I696" i="8"/>
  <c r="L696" i="8" s="1"/>
  <c r="M696" i="8" s="1"/>
  <c r="K696" i="8"/>
  <c r="F892" i="8"/>
  <c r="G891" i="8"/>
  <c r="I891" i="8"/>
  <c r="I1480" i="8"/>
  <c r="G1480" i="8"/>
  <c r="D309" i="8"/>
  <c r="C308" i="8"/>
  <c r="B308" i="8"/>
  <c r="K559" i="8" l="1"/>
  <c r="M558" i="8"/>
  <c r="M663" i="8"/>
  <c r="I664" i="8" s="1"/>
  <c r="L664" i="8" s="1"/>
  <c r="K664" i="8"/>
  <c r="I559" i="8"/>
  <c r="L559" i="8" s="1"/>
  <c r="M559" i="8" s="1"/>
  <c r="I560" i="8" s="1"/>
  <c r="I892" i="8"/>
  <c r="F893" i="8"/>
  <c r="G892" i="8"/>
  <c r="G785" i="8"/>
  <c r="F786" i="8"/>
  <c r="D310" i="8"/>
  <c r="C309" i="8"/>
  <c r="B309" i="8"/>
  <c r="K697" i="8"/>
  <c r="I697" i="8"/>
  <c r="D830" i="8"/>
  <c r="B829" i="8"/>
  <c r="F698" i="8"/>
  <c r="G697" i="8"/>
  <c r="M664" i="8" l="1"/>
  <c r="I665" i="8" s="1"/>
  <c r="L665" i="8" s="1"/>
  <c r="K665" i="8"/>
  <c r="K560" i="8"/>
  <c r="L697" i="8"/>
  <c r="M697" i="8" s="1"/>
  <c r="I698" i="8" s="1"/>
  <c r="L698" i="8" s="1"/>
  <c r="M698" i="8" s="1"/>
  <c r="L560" i="8"/>
  <c r="B830" i="8"/>
  <c r="D831" i="8"/>
  <c r="G786" i="8"/>
  <c r="F787" i="8"/>
  <c r="K698" i="8"/>
  <c r="I893" i="8"/>
  <c r="F894" i="8"/>
  <c r="G893" i="8"/>
  <c r="F699" i="8"/>
  <c r="G698" i="8"/>
  <c r="D311" i="8"/>
  <c r="C310" i="8"/>
  <c r="B310" i="8"/>
  <c r="M560" i="8" l="1"/>
  <c r="I561" i="8" s="1"/>
  <c r="L561" i="8" s="1"/>
  <c r="K561" i="8"/>
  <c r="M665" i="8"/>
  <c r="I666" i="8" s="1"/>
  <c r="L666" i="8" s="1"/>
  <c r="K666" i="8"/>
  <c r="I699" i="8"/>
  <c r="L699" i="8" s="1"/>
  <c r="K699" i="8"/>
  <c r="D312" i="8"/>
  <c r="C311" i="8"/>
  <c r="B311" i="8"/>
  <c r="G699" i="8"/>
  <c r="F700" i="8"/>
  <c r="F788" i="8"/>
  <c r="G787" i="8"/>
  <c r="I894" i="8"/>
  <c r="F895" i="8"/>
  <c r="G894" i="8"/>
  <c r="B831" i="8"/>
  <c r="D832" i="8"/>
  <c r="M561" i="8" l="1"/>
  <c r="I562" i="8" s="1"/>
  <c r="K562" i="8"/>
  <c r="M666" i="8"/>
  <c r="I667" i="8" s="1"/>
  <c r="L667" i="8" s="1"/>
  <c r="K667" i="8"/>
  <c r="L562" i="8"/>
  <c r="M562" i="8" s="1"/>
  <c r="K563" i="8"/>
  <c r="I563" i="8"/>
  <c r="D833" i="8"/>
  <c r="B832" i="8"/>
  <c r="F789" i="8"/>
  <c r="G788" i="8"/>
  <c r="D313" i="8"/>
  <c r="C312" i="8"/>
  <c r="B312" i="8"/>
  <c r="F896" i="8"/>
  <c r="G895" i="8"/>
  <c r="I895" i="8"/>
  <c r="G700" i="8"/>
  <c r="F701" i="8"/>
  <c r="I700" i="8"/>
  <c r="L700" i="8" s="1"/>
  <c r="M667" i="8" l="1"/>
  <c r="I668" i="8" s="1"/>
  <c r="L668" i="8" s="1"/>
  <c r="K668" i="8"/>
  <c r="L563" i="8"/>
  <c r="M563" i="8" s="1"/>
  <c r="G701" i="8"/>
  <c r="F702" i="8"/>
  <c r="F790" i="8"/>
  <c r="G789" i="8"/>
  <c r="D834" i="8"/>
  <c r="B833" i="8"/>
  <c r="I896" i="8"/>
  <c r="F897" i="8"/>
  <c r="G896" i="8"/>
  <c r="I564" i="8"/>
  <c r="K564" i="8"/>
  <c r="K701" i="8"/>
  <c r="M700" i="8" s="1"/>
  <c r="D314" i="8"/>
  <c r="C313" i="8"/>
  <c r="B313" i="8"/>
  <c r="L564" i="8" l="1"/>
  <c r="M564" i="8" s="1"/>
  <c r="I701" i="8"/>
  <c r="L701" i="8" s="1"/>
  <c r="M668" i="8"/>
  <c r="I669" i="8" s="1"/>
  <c r="L669" i="8" s="1"/>
  <c r="K669" i="8"/>
  <c r="D315" i="8"/>
  <c r="C314" i="8"/>
  <c r="B314" i="8"/>
  <c r="B834" i="8"/>
  <c r="D835" i="8"/>
  <c r="F791" i="8"/>
  <c r="G790" i="8"/>
  <c r="I565" i="8"/>
  <c r="K565" i="8"/>
  <c r="G702" i="8"/>
  <c r="F703" i="8"/>
  <c r="I702" i="8"/>
  <c r="L702" i="8" s="1"/>
  <c r="I897" i="8"/>
  <c r="F898" i="8"/>
  <c r="G897" i="8"/>
  <c r="M669" i="8" l="1"/>
  <c r="I670" i="8" s="1"/>
  <c r="L670" i="8" s="1"/>
  <c r="K670" i="8"/>
  <c r="L565" i="8"/>
  <c r="M565" i="8" s="1"/>
  <c r="I566" i="8" s="1"/>
  <c r="K566" i="8"/>
  <c r="F792" i="8"/>
  <c r="G791" i="8"/>
  <c r="B835" i="8"/>
  <c r="D836" i="8"/>
  <c r="I703" i="8"/>
  <c r="L703" i="8" s="1"/>
  <c r="G703" i="8"/>
  <c r="F704" i="8"/>
  <c r="I898" i="8"/>
  <c r="F899" i="8"/>
  <c r="G898" i="8"/>
  <c r="D316" i="8"/>
  <c r="C315" i="8"/>
  <c r="B315" i="8"/>
  <c r="M670" i="8" l="1"/>
  <c r="I671" i="8" s="1"/>
  <c r="L671" i="8" s="1"/>
  <c r="K671" i="8"/>
  <c r="L566" i="8"/>
  <c r="M566" i="8" s="1"/>
  <c r="I567" i="8" s="1"/>
  <c r="C316" i="8"/>
  <c r="D317" i="8"/>
  <c r="B316" i="8"/>
  <c r="D837" i="8"/>
  <c r="B836" i="8"/>
  <c r="F900" i="8"/>
  <c r="G899" i="8"/>
  <c r="I899" i="8"/>
  <c r="F793" i="8"/>
  <c r="G792" i="8"/>
  <c r="I704" i="8"/>
  <c r="L704" i="8" s="1"/>
  <c r="G704" i="8"/>
  <c r="F705" i="8"/>
  <c r="K567" i="8" l="1"/>
  <c r="L567" i="8" s="1"/>
  <c r="M671" i="8"/>
  <c r="I672" i="8" s="1"/>
  <c r="L672" i="8" s="1"/>
  <c r="K672" i="8"/>
  <c r="I705" i="8"/>
  <c r="L705" i="8" s="1"/>
  <c r="G705" i="8"/>
  <c r="F706" i="8"/>
  <c r="I900" i="8"/>
  <c r="F901" i="8"/>
  <c r="G900" i="8"/>
  <c r="D838" i="8"/>
  <c r="B837" i="8"/>
  <c r="F794" i="8"/>
  <c r="G793" i="8"/>
  <c r="B317" i="8"/>
  <c r="C317" i="8"/>
  <c r="D318" i="8"/>
  <c r="M567" i="8" l="1"/>
  <c r="I568" i="8" s="1"/>
  <c r="K568" i="8"/>
  <c r="M672" i="8"/>
  <c r="I673" i="8" s="1"/>
  <c r="L673" i="8" s="1"/>
  <c r="K673" i="8"/>
  <c r="L568" i="8"/>
  <c r="M568" i="8" s="1"/>
  <c r="I569" i="8" s="1"/>
  <c r="I901" i="8"/>
  <c r="F902" i="8"/>
  <c r="G901" i="8"/>
  <c r="F707" i="8"/>
  <c r="G706" i="8"/>
  <c r="G794" i="8"/>
  <c r="F795" i="8"/>
  <c r="K706" i="8"/>
  <c r="M705" i="8" s="1"/>
  <c r="I706" i="8" s="1"/>
  <c r="L706" i="8" s="1"/>
  <c r="M706" i="8" s="1"/>
  <c r="B318" i="8"/>
  <c r="C318" i="8"/>
  <c r="D319" i="8"/>
  <c r="D839" i="8"/>
  <c r="B838" i="8"/>
  <c r="K569" i="8"/>
  <c r="M673" i="8" l="1"/>
  <c r="I674" i="8" s="1"/>
  <c r="L674" i="8" s="1"/>
  <c r="K674" i="8"/>
  <c r="B839" i="8"/>
  <c r="D840" i="8"/>
  <c r="F796" i="8"/>
  <c r="G795" i="8"/>
  <c r="B319" i="8"/>
  <c r="C319" i="8"/>
  <c r="D320" i="8"/>
  <c r="F708" i="8"/>
  <c r="G707" i="8"/>
  <c r="L569" i="8"/>
  <c r="M569" i="8" s="1"/>
  <c r="I902" i="8"/>
  <c r="F903" i="8"/>
  <c r="G902" i="8"/>
  <c r="K707" i="8"/>
  <c r="I707" i="8"/>
  <c r="M674" i="8" l="1"/>
  <c r="I675" i="8" s="1"/>
  <c r="L675" i="8" s="1"/>
  <c r="K675" i="8"/>
  <c r="L707" i="8"/>
  <c r="M707" i="8" s="1"/>
  <c r="F904" i="8"/>
  <c r="G903" i="8"/>
  <c r="I903" i="8"/>
  <c r="B320" i="8"/>
  <c r="C320" i="8"/>
  <c r="D321" i="8"/>
  <c r="I570" i="8"/>
  <c r="K570" i="8"/>
  <c r="F797" i="8"/>
  <c r="G796" i="8"/>
  <c r="I708" i="8"/>
  <c r="L708" i="8" s="1"/>
  <c r="M708" i="8" s="1"/>
  <c r="K708" i="8"/>
  <c r="D841" i="8"/>
  <c r="B840" i="8"/>
  <c r="F709" i="8"/>
  <c r="G708" i="8"/>
  <c r="M675" i="8" l="1"/>
  <c r="I676" i="8" s="1"/>
  <c r="L676" i="8" s="1"/>
  <c r="K676" i="8"/>
  <c r="L570" i="8"/>
  <c r="M570" i="8" s="1"/>
  <c r="I571" i="8" s="1"/>
  <c r="B321" i="8"/>
  <c r="C321" i="8"/>
  <c r="D322" i="8"/>
  <c r="I709" i="8"/>
  <c r="K709" i="8"/>
  <c r="D842" i="8"/>
  <c r="B841" i="8"/>
  <c r="F798" i="8"/>
  <c r="G797" i="8"/>
  <c r="F710" i="8"/>
  <c r="G709" i="8"/>
  <c r="I904" i="8"/>
  <c r="F905" i="8"/>
  <c r="G904" i="8"/>
  <c r="K571" i="8" l="1"/>
  <c r="M676" i="8"/>
  <c r="I677" i="8" s="1"/>
  <c r="L677" i="8" s="1"/>
  <c r="K677" i="8"/>
  <c r="L709" i="8"/>
  <c r="M709" i="8" s="1"/>
  <c r="I710" i="8" s="1"/>
  <c r="B322" i="8"/>
  <c r="C322" i="8"/>
  <c r="D323" i="8"/>
  <c r="G710" i="8"/>
  <c r="F711" i="8"/>
  <c r="I905" i="8"/>
  <c r="F906" i="8"/>
  <c r="G905" i="8"/>
  <c r="G798" i="8"/>
  <c r="F799" i="8"/>
  <c r="L571" i="8"/>
  <c r="M571" i="8" s="1"/>
  <c r="D843" i="8"/>
  <c r="B842" i="8"/>
  <c r="M677" i="8" l="1"/>
  <c r="I678" i="8" s="1"/>
  <c r="L678" i="8" s="1"/>
  <c r="K710" i="8"/>
  <c r="L710" i="8" s="1"/>
  <c r="I572" i="8"/>
  <c r="K572" i="8"/>
  <c r="F712" i="8"/>
  <c r="G711" i="8"/>
  <c r="F800" i="8"/>
  <c r="G799" i="8"/>
  <c r="B323" i="8"/>
  <c r="C323" i="8"/>
  <c r="D324" i="8"/>
  <c r="I906" i="8"/>
  <c r="F907" i="8"/>
  <c r="G906" i="8"/>
  <c r="B843" i="8"/>
  <c r="D844" i="8"/>
  <c r="M710" i="8" l="1"/>
  <c r="I711" i="8" s="1"/>
  <c r="L711" i="8" s="1"/>
  <c r="M678" i="8"/>
  <c r="I679" i="8" s="1"/>
  <c r="L679" i="8" s="1"/>
  <c r="M679" i="8" s="1"/>
  <c r="L572" i="8"/>
  <c r="M572" i="8" s="1"/>
  <c r="I573" i="8" s="1"/>
  <c r="B324" i="8"/>
  <c r="C324" i="8"/>
  <c r="D325" i="8"/>
  <c r="D845" i="8"/>
  <c r="B844" i="8"/>
  <c r="G712" i="8"/>
  <c r="F713" i="8"/>
  <c r="F908" i="8"/>
  <c r="G907" i="8"/>
  <c r="I907" i="8"/>
  <c r="F801" i="8"/>
  <c r="G800" i="8"/>
  <c r="I681" i="8" l="1"/>
  <c r="L681" i="8" s="1"/>
  <c r="I680" i="8"/>
  <c r="L680" i="8" s="1"/>
  <c r="I682" i="8"/>
  <c r="L682" i="8" s="1"/>
  <c r="M711" i="8"/>
  <c r="I712" i="8" s="1"/>
  <c r="L712" i="8" s="1"/>
  <c r="K712" i="8"/>
  <c r="K573" i="8"/>
  <c r="L573" i="8" s="1"/>
  <c r="F802" i="8"/>
  <c r="G801" i="8"/>
  <c r="D846" i="8"/>
  <c r="B845" i="8"/>
  <c r="B325" i="8"/>
  <c r="C325" i="8"/>
  <c r="D326" i="8"/>
  <c r="I908" i="8"/>
  <c r="F909" i="8"/>
  <c r="G908" i="8"/>
  <c r="F714" i="8"/>
  <c r="G713" i="8"/>
  <c r="M573" i="8" l="1"/>
  <c r="I574" i="8" s="1"/>
  <c r="K574" i="8"/>
  <c r="M682" i="8"/>
  <c r="K683" i="8"/>
  <c r="M712" i="8"/>
  <c r="I713" i="8" s="1"/>
  <c r="L713" i="8" s="1"/>
  <c r="K713" i="8"/>
  <c r="L574" i="8"/>
  <c r="F715" i="8"/>
  <c r="G714" i="8"/>
  <c r="D847" i="8"/>
  <c r="B846" i="8"/>
  <c r="I909" i="8"/>
  <c r="F910" i="8"/>
  <c r="G909" i="8"/>
  <c r="I802" i="8"/>
  <c r="G802" i="8"/>
  <c r="F803" i="8"/>
  <c r="B326" i="8"/>
  <c r="C326" i="8"/>
  <c r="D327" i="8"/>
  <c r="K575" i="8" l="1"/>
  <c r="M574" i="8"/>
  <c r="I575" i="8" s="1"/>
  <c r="I685" i="8"/>
  <c r="L685" i="8" s="1"/>
  <c r="I684" i="8"/>
  <c r="L684" i="8" s="1"/>
  <c r="I683" i="8"/>
  <c r="L683" i="8" s="1"/>
  <c r="I686" i="8"/>
  <c r="L686" i="8" s="1"/>
  <c r="M713" i="8"/>
  <c r="I714" i="8" s="1"/>
  <c r="L714" i="8" s="1"/>
  <c r="K714" i="8"/>
  <c r="B327" i="8"/>
  <c r="C327" i="8"/>
  <c r="D328" i="8"/>
  <c r="B847" i="8"/>
  <c r="D848" i="8"/>
  <c r="F804" i="8"/>
  <c r="G803" i="8"/>
  <c r="I803" i="8"/>
  <c r="F716" i="8"/>
  <c r="G715" i="8"/>
  <c r="L575" i="8"/>
  <c r="M575" i="8" s="1"/>
  <c r="I910" i="8"/>
  <c r="F911" i="8"/>
  <c r="G910" i="8"/>
  <c r="M714" i="8" l="1"/>
  <c r="I715" i="8" s="1"/>
  <c r="L715" i="8" s="1"/>
  <c r="K715" i="8"/>
  <c r="F912" i="8"/>
  <c r="G911" i="8"/>
  <c r="I911" i="8"/>
  <c r="F805" i="8"/>
  <c r="I804" i="8"/>
  <c r="G804" i="8"/>
  <c r="I576" i="8"/>
  <c r="K576" i="8"/>
  <c r="D849" i="8"/>
  <c r="B848" i="8"/>
  <c r="B328" i="8"/>
  <c r="C328" i="8"/>
  <c r="D329" i="8"/>
  <c r="F717" i="8"/>
  <c r="G716" i="8"/>
  <c r="L576" i="8" l="1"/>
  <c r="M576" i="8" s="1"/>
  <c r="M715" i="8"/>
  <c r="I716" i="8" s="1"/>
  <c r="L716" i="8" s="1"/>
  <c r="K716" i="8"/>
  <c r="I577" i="8"/>
  <c r="K577" i="8"/>
  <c r="B329" i="8"/>
  <c r="C329" i="8"/>
  <c r="D330" i="8"/>
  <c r="I805" i="8"/>
  <c r="F806" i="8"/>
  <c r="G805" i="8"/>
  <c r="F718" i="8"/>
  <c r="G717" i="8"/>
  <c r="D850" i="8"/>
  <c r="B849" i="8"/>
  <c r="I912" i="8"/>
  <c r="F913" i="8"/>
  <c r="G912" i="8"/>
  <c r="M716" i="8" l="1"/>
  <c r="I717" i="8" s="1"/>
  <c r="L717" i="8" s="1"/>
  <c r="K717" i="8"/>
  <c r="L577" i="8"/>
  <c r="B330" i="8"/>
  <c r="C330" i="8"/>
  <c r="D331" i="8"/>
  <c r="D851" i="8"/>
  <c r="B850" i="8"/>
  <c r="F719" i="8"/>
  <c r="G718" i="8"/>
  <c r="I913" i="8"/>
  <c r="G913" i="8"/>
  <c r="I806" i="8"/>
  <c r="G806" i="8"/>
  <c r="F807" i="8"/>
  <c r="K578" i="8" l="1"/>
  <c r="M577" i="8"/>
  <c r="I578" i="8" s="1"/>
  <c r="M717" i="8"/>
  <c r="I718" i="8" s="1"/>
  <c r="L718" i="8" s="1"/>
  <c r="K718" i="8"/>
  <c r="L578" i="8"/>
  <c r="M578" i="8" s="1"/>
  <c r="I579" i="8"/>
  <c r="O743" i="8"/>
  <c r="F720" i="8"/>
  <c r="G719" i="8"/>
  <c r="B851" i="8"/>
  <c r="D852" i="8"/>
  <c r="G807" i="8"/>
  <c r="I807" i="8"/>
  <c r="B331" i="8"/>
  <c r="C331" i="8"/>
  <c r="D332" i="8"/>
  <c r="K579" i="8" l="1"/>
  <c r="L579" i="8" s="1"/>
  <c r="M718" i="8"/>
  <c r="I719" i="8" s="1"/>
  <c r="L719" i="8" s="1"/>
  <c r="M719" i="8" s="1"/>
  <c r="I720" i="8" s="1"/>
  <c r="K719" i="8"/>
  <c r="B852" i="8"/>
  <c r="D853" i="8"/>
  <c r="B332" i="8"/>
  <c r="C332" i="8"/>
  <c r="D333" i="8"/>
  <c r="F721" i="8"/>
  <c r="G720" i="8"/>
  <c r="M579" i="8" l="1"/>
  <c r="I580" i="8" s="1"/>
  <c r="K580" i="8"/>
  <c r="K720" i="8"/>
  <c r="L720" i="8" s="1"/>
  <c r="L580" i="8"/>
  <c r="M580" i="8" s="1"/>
  <c r="I581" i="8" s="1"/>
  <c r="B333" i="8"/>
  <c r="C333" i="8"/>
  <c r="D334" i="8"/>
  <c r="D854" i="8"/>
  <c r="B853" i="8"/>
  <c r="K581" i="8"/>
  <c r="G721" i="8"/>
  <c r="F722" i="8"/>
  <c r="M720" i="8" l="1"/>
  <c r="I721" i="8" s="1"/>
  <c r="L721" i="8" s="1"/>
  <c r="L581" i="8"/>
  <c r="M581" i="8" s="1"/>
  <c r="I582" i="8" s="1"/>
  <c r="L582" i="8" s="1"/>
  <c r="M582" i="8" s="1"/>
  <c r="K582" i="8"/>
  <c r="D855" i="8"/>
  <c r="B854" i="8"/>
  <c r="F723" i="8"/>
  <c r="G722" i="8"/>
  <c r="B334" i="8"/>
  <c r="C334" i="8"/>
  <c r="D335" i="8"/>
  <c r="M721" i="8" l="1"/>
  <c r="I722" i="8" s="1"/>
  <c r="L722" i="8" s="1"/>
  <c r="K722" i="8"/>
  <c r="F724" i="8"/>
  <c r="G723" i="8"/>
  <c r="B335" i="8"/>
  <c r="C335" i="8"/>
  <c r="D336" i="8"/>
  <c r="B855" i="8"/>
  <c r="D856" i="8"/>
  <c r="I583" i="8"/>
  <c r="K583" i="8"/>
  <c r="M722" i="8" l="1"/>
  <c r="I723" i="8" s="1"/>
  <c r="L723" i="8" s="1"/>
  <c r="K723" i="8"/>
  <c r="B336" i="8"/>
  <c r="C336" i="8"/>
  <c r="D337" i="8"/>
  <c r="L583" i="8"/>
  <c r="M583" i="8" s="1"/>
  <c r="B856" i="8"/>
  <c r="D857" i="8"/>
  <c r="F725" i="8"/>
  <c r="G724" i="8"/>
  <c r="M723" i="8" l="1"/>
  <c r="I724" i="8" s="1"/>
  <c r="L724" i="8" s="1"/>
  <c r="K724" i="8"/>
  <c r="D858" i="8"/>
  <c r="B857" i="8"/>
  <c r="I584" i="8"/>
  <c r="K584" i="8"/>
  <c r="B337" i="8"/>
  <c r="C337" i="8"/>
  <c r="D338" i="8"/>
  <c r="F726" i="8"/>
  <c r="G725" i="8"/>
  <c r="M724" i="8" l="1"/>
  <c r="I725" i="8" s="1"/>
  <c r="L725" i="8" s="1"/>
  <c r="K725" i="8"/>
  <c r="L584" i="8"/>
  <c r="M584" i="8" s="1"/>
  <c r="I585" i="8" s="1"/>
  <c r="G726" i="8"/>
  <c r="F727" i="8"/>
  <c r="B338" i="8"/>
  <c r="C338" i="8"/>
  <c r="D339" i="8"/>
  <c r="D859" i="8"/>
  <c r="B858" i="8"/>
  <c r="K585" i="8" l="1"/>
  <c r="M725" i="8"/>
  <c r="K726" i="8"/>
  <c r="L726" i="8" s="1"/>
  <c r="L585" i="8"/>
  <c r="M585" i="8" s="1"/>
  <c r="F728" i="8"/>
  <c r="G727" i="8"/>
  <c r="B859" i="8"/>
  <c r="D860" i="8"/>
  <c r="B339" i="8"/>
  <c r="C339" i="8"/>
  <c r="D340" i="8"/>
  <c r="K586" i="8"/>
  <c r="I586" i="8"/>
  <c r="L586" i="8" s="1"/>
  <c r="M586" i="8" s="1"/>
  <c r="K727" i="8" l="1"/>
  <c r="M726" i="8" s="1"/>
  <c r="I727" i="8" s="1"/>
  <c r="L727" i="8" s="1"/>
  <c r="B860" i="8"/>
  <c r="D861" i="8"/>
  <c r="K587" i="8"/>
  <c r="I587" i="8"/>
  <c r="L587" i="8" s="1"/>
  <c r="M587" i="8" s="1"/>
  <c r="F729" i="8"/>
  <c r="G728" i="8"/>
  <c r="B340" i="8"/>
  <c r="C340" i="8"/>
  <c r="D341" i="8"/>
  <c r="M727" i="8" l="1"/>
  <c r="I728" i="8" s="1"/>
  <c r="L728" i="8" s="1"/>
  <c r="K728" i="8"/>
  <c r="G729" i="8"/>
  <c r="F730" i="8"/>
  <c r="K588" i="8"/>
  <c r="I588" i="8"/>
  <c r="L588" i="8" s="1"/>
  <c r="M588" i="8" s="1"/>
  <c r="B341" i="8"/>
  <c r="C341" i="8"/>
  <c r="D342" i="8"/>
  <c r="D862" i="8"/>
  <c r="B861" i="8"/>
  <c r="M728" i="8" l="1"/>
  <c r="I729" i="8" s="1"/>
  <c r="L729" i="8" s="1"/>
  <c r="K729" i="8"/>
  <c r="I589" i="8"/>
  <c r="K589" i="8"/>
  <c r="D863" i="8"/>
  <c r="B862" i="8"/>
  <c r="F731" i="8"/>
  <c r="G730" i="8"/>
  <c r="B342" i="8"/>
  <c r="C342" i="8"/>
  <c r="D343" i="8"/>
  <c r="M729" i="8" l="1"/>
  <c r="I730" i="8" s="1"/>
  <c r="L730" i="8" s="1"/>
  <c r="K730" i="8"/>
  <c r="F732" i="8"/>
  <c r="G731" i="8"/>
  <c r="B863" i="8"/>
  <c r="D864" i="8"/>
  <c r="B343" i="8"/>
  <c r="C343" i="8"/>
  <c r="D344" i="8"/>
  <c r="L589" i="8"/>
  <c r="M589" i="8" s="1"/>
  <c r="M730" i="8" l="1"/>
  <c r="I731" i="8" s="1"/>
  <c r="L731" i="8" s="1"/>
  <c r="M731" i="8" s="1"/>
  <c r="K731" i="8"/>
  <c r="B344" i="8"/>
  <c r="C344" i="8"/>
  <c r="D345" i="8"/>
  <c r="B864" i="8"/>
  <c r="D865" i="8"/>
  <c r="I590" i="8"/>
  <c r="K590" i="8"/>
  <c r="I732" i="8"/>
  <c r="K732" i="8"/>
  <c r="F733" i="8"/>
  <c r="G732" i="8"/>
  <c r="L732" i="8" l="1"/>
  <c r="M732" i="8" s="1"/>
  <c r="L590" i="8"/>
  <c r="M590" i="8" s="1"/>
  <c r="D866" i="8"/>
  <c r="B865" i="8"/>
  <c r="F734" i="8"/>
  <c r="G733" i="8"/>
  <c r="K733" i="8"/>
  <c r="B345" i="8"/>
  <c r="C345" i="8"/>
  <c r="D346" i="8"/>
  <c r="I734" i="8"/>
  <c r="I733" i="8"/>
  <c r="L733" i="8" l="1"/>
  <c r="F735" i="8"/>
  <c r="G734" i="8"/>
  <c r="D867" i="8"/>
  <c r="B866" i="8"/>
  <c r="I591" i="8"/>
  <c r="K591" i="8"/>
  <c r="K734" i="8"/>
  <c r="L734" i="8" s="1"/>
  <c r="M734" i="8" s="1"/>
  <c r="B346" i="8"/>
  <c r="C346" i="8"/>
  <c r="D347" i="8"/>
  <c r="M733" i="8" l="1"/>
  <c r="L591" i="8"/>
  <c r="M591" i="8" s="1"/>
  <c r="K735" i="8"/>
  <c r="B867" i="8"/>
  <c r="D868" i="8"/>
  <c r="F736" i="8"/>
  <c r="G735" i="8"/>
  <c r="I592" i="8"/>
  <c r="K592" i="8"/>
  <c r="B347" i="8"/>
  <c r="C347" i="8"/>
  <c r="D348" i="8"/>
  <c r="I735" i="8"/>
  <c r="L735" i="8" s="1"/>
  <c r="M735" i="8" s="1"/>
  <c r="I736" i="8"/>
  <c r="L592" i="8" l="1"/>
  <c r="M592" i="8" s="1"/>
  <c r="K736" i="8"/>
  <c r="L736" i="8" s="1"/>
  <c r="B348" i="8"/>
  <c r="C348" i="8"/>
  <c r="D349" i="8"/>
  <c r="G736" i="8"/>
  <c r="F737" i="8"/>
  <c r="B868" i="8"/>
  <c r="D869" i="8"/>
  <c r="K593" i="8"/>
  <c r="I593" i="8"/>
  <c r="L593" i="8" s="1"/>
  <c r="M593" i="8" s="1"/>
  <c r="B349" i="8" l="1"/>
  <c r="C349" i="8"/>
  <c r="D350" i="8"/>
  <c r="I737" i="8"/>
  <c r="L737" i="8" s="1"/>
  <c r="K594" i="8"/>
  <c r="I594" i="8"/>
  <c r="L594" i="8" s="1"/>
  <c r="M594" i="8" s="1"/>
  <c r="D870" i="8"/>
  <c r="B869" i="8"/>
  <c r="G737" i="8"/>
  <c r="F738" i="8"/>
  <c r="K595" i="8" l="1"/>
  <c r="I595" i="8"/>
  <c r="L595" i="8" s="1"/>
  <c r="M595" i="8" s="1"/>
  <c r="G738" i="8"/>
  <c r="F739" i="8"/>
  <c r="I738" i="8"/>
  <c r="L738" i="8" s="1"/>
  <c r="B350" i="8"/>
  <c r="C350" i="8"/>
  <c r="D351" i="8"/>
  <c r="D871" i="8"/>
  <c r="B870" i="8"/>
  <c r="I739" i="8"/>
  <c r="K739" i="8" l="1"/>
  <c r="L739" i="8" s="1"/>
  <c r="B871" i="8"/>
  <c r="D872" i="8"/>
  <c r="F740" i="8"/>
  <c r="G739" i="8"/>
  <c r="B351" i="8"/>
  <c r="C351" i="8"/>
  <c r="D352" i="8"/>
  <c r="K596" i="8"/>
  <c r="I596" i="8"/>
  <c r="L596" i="8" s="1"/>
  <c r="M596" i="8" s="1"/>
  <c r="K740" i="8" l="1"/>
  <c r="I740" i="8"/>
  <c r="L740" i="8" s="1"/>
  <c r="F741" i="8"/>
  <c r="G740" i="8"/>
  <c r="I741" i="8" s="1"/>
  <c r="I597" i="8"/>
  <c r="K597" i="8"/>
  <c r="B872" i="8"/>
  <c r="D873" i="8"/>
  <c r="B352" i="8"/>
  <c r="C352" i="8"/>
  <c r="D353" i="8"/>
  <c r="L597" i="8" l="1"/>
  <c r="M597" i="8" s="1"/>
  <c r="I598" i="8"/>
  <c r="K598" i="8"/>
  <c r="B353" i="8"/>
  <c r="C353" i="8"/>
  <c r="D354" i="8"/>
  <c r="L741" i="8"/>
  <c r="F742" i="8"/>
  <c r="G741" i="8"/>
  <c r="I742" i="8" s="1"/>
  <c r="K741" i="8"/>
  <c r="D874" i="8"/>
  <c r="B873" i="8"/>
  <c r="L598" i="8" l="1"/>
  <c r="G742" i="8"/>
  <c r="K742" i="8"/>
  <c r="L742" i="8" s="1"/>
  <c r="B354" i="8"/>
  <c r="C354" i="8"/>
  <c r="D355" i="8"/>
  <c r="D875" i="8"/>
  <c r="B874" i="8"/>
  <c r="K599" i="8"/>
  <c r="M598" i="8" l="1"/>
  <c r="I599" i="8" s="1"/>
  <c r="L599" i="8" s="1"/>
  <c r="M599" i="8" s="1"/>
  <c r="K743" i="8"/>
  <c r="I743" i="8" s="1"/>
  <c r="L743" i="8" s="1"/>
  <c r="M743" i="8" s="1"/>
  <c r="B355" i="8"/>
  <c r="C355" i="8"/>
  <c r="D356" i="8"/>
  <c r="B875" i="8"/>
  <c r="D876" i="8"/>
  <c r="I744" i="8" l="1"/>
  <c r="L744" i="8" s="1"/>
  <c r="I745" i="8"/>
  <c r="L745" i="8" s="1"/>
  <c r="I746" i="8"/>
  <c r="L746" i="8" s="1"/>
  <c r="I747" i="8"/>
  <c r="L747" i="8" s="1"/>
  <c r="B876" i="8"/>
  <c r="D877" i="8"/>
  <c r="I600" i="8"/>
  <c r="K600" i="8"/>
  <c r="B356" i="8"/>
  <c r="C356" i="8"/>
  <c r="D357" i="8"/>
  <c r="L600" i="8" l="1"/>
  <c r="M600" i="8" s="1"/>
  <c r="D878" i="8"/>
  <c r="B877" i="8"/>
  <c r="K748" i="8"/>
  <c r="B357" i="8"/>
  <c r="C357" i="8"/>
  <c r="D358" i="8"/>
  <c r="M747" i="8" l="1"/>
  <c r="I748" i="8" s="1"/>
  <c r="L748" i="8" s="1"/>
  <c r="D879" i="8"/>
  <c r="B878" i="8"/>
  <c r="B358" i="8"/>
  <c r="C358" i="8"/>
  <c r="D359" i="8"/>
  <c r="K601" i="8"/>
  <c r="I601" i="8"/>
  <c r="M748" i="8" l="1"/>
  <c r="I749" i="8" s="1"/>
  <c r="L749" i="8" s="1"/>
  <c r="K749" i="8"/>
  <c r="B359" i="8"/>
  <c r="C359" i="8"/>
  <c r="D360" i="8"/>
  <c r="D880" i="8"/>
  <c r="B879" i="8"/>
  <c r="L601" i="8"/>
  <c r="M601" i="8" s="1"/>
  <c r="M749" i="8" l="1"/>
  <c r="I750" i="8" s="1"/>
  <c r="L750" i="8" s="1"/>
  <c r="M750" i="8" s="1"/>
  <c r="I751" i="8" s="1"/>
  <c r="K750" i="8"/>
  <c r="K602" i="8"/>
  <c r="I602" i="8"/>
  <c r="B880" i="8"/>
  <c r="D881" i="8"/>
  <c r="B360" i="8"/>
  <c r="C360" i="8"/>
  <c r="D361" i="8"/>
  <c r="K751" i="8" l="1"/>
  <c r="L602" i="8"/>
  <c r="M602" i="8" s="1"/>
  <c r="L751" i="8"/>
  <c r="M751" i="8" s="1"/>
  <c r="B881" i="8"/>
  <c r="D882" i="8"/>
  <c r="K603" i="8"/>
  <c r="I603" i="8"/>
  <c r="L603" i="8" s="1"/>
  <c r="M603" i="8" s="1"/>
  <c r="B361" i="8"/>
  <c r="C361" i="8"/>
  <c r="D362" i="8"/>
  <c r="I752" i="8"/>
  <c r="K752" i="8"/>
  <c r="L752" i="8" l="1"/>
  <c r="M752" i="8" s="1"/>
  <c r="K753" i="8"/>
  <c r="I753" i="8"/>
  <c r="L753" i="8" s="1"/>
  <c r="M753" i="8" s="1"/>
  <c r="B362" i="8"/>
  <c r="C362" i="8"/>
  <c r="D363" i="8"/>
  <c r="K604" i="8"/>
  <c r="I604" i="8"/>
  <c r="L604" i="8" s="1"/>
  <c r="M604" i="8" s="1"/>
  <c r="D883" i="8"/>
  <c r="B882" i="8"/>
  <c r="D884" i="8" l="1"/>
  <c r="B883" i="8"/>
  <c r="I605" i="8"/>
  <c r="K605" i="8"/>
  <c r="B363" i="8"/>
  <c r="C363" i="8"/>
  <c r="D364" i="8"/>
  <c r="I754" i="8"/>
  <c r="L754" i="8" s="1"/>
  <c r="M754" i="8" s="1"/>
  <c r="K754" i="8"/>
  <c r="L605" i="8" l="1"/>
  <c r="M605" i="8" s="1"/>
  <c r="K755" i="8"/>
  <c r="I755" i="8"/>
  <c r="L755" i="8" s="1"/>
  <c r="M755" i="8" s="1"/>
  <c r="B364" i="8"/>
  <c r="C364" i="8"/>
  <c r="D365" i="8"/>
  <c r="I606" i="8"/>
  <c r="K606" i="8"/>
  <c r="B884" i="8"/>
  <c r="D885" i="8"/>
  <c r="L606" i="8" l="1"/>
  <c r="M606" i="8" s="1"/>
  <c r="I607" i="8" s="1"/>
  <c r="L607" i="8" s="1"/>
  <c r="M607" i="8" s="1"/>
  <c r="K607" i="8"/>
  <c r="B365" i="8"/>
  <c r="C365" i="8"/>
  <c r="D366" i="8"/>
  <c r="K756" i="8"/>
  <c r="I756" i="8"/>
  <c r="L756" i="8" s="1"/>
  <c r="M756" i="8" s="1"/>
  <c r="B885" i="8"/>
  <c r="D886" i="8"/>
  <c r="I757" i="8" l="1"/>
  <c r="K757" i="8"/>
  <c r="B366" i="8"/>
  <c r="C366" i="8"/>
  <c r="D367" i="8"/>
  <c r="D887" i="8"/>
  <c r="B886" i="8"/>
  <c r="I608" i="8"/>
  <c r="K608" i="8"/>
  <c r="L757" i="8" l="1"/>
  <c r="M757" i="8" s="1"/>
  <c r="L608" i="8"/>
  <c r="M608" i="8" s="1"/>
  <c r="D888" i="8"/>
  <c r="B887" i="8"/>
  <c r="B367" i="8"/>
  <c r="C367" i="8"/>
  <c r="D368" i="8"/>
  <c r="I758" i="8"/>
  <c r="K758" i="8"/>
  <c r="L758" i="8" l="1"/>
  <c r="M758" i="8" s="1"/>
  <c r="K759" i="8"/>
  <c r="I759" i="8"/>
  <c r="L759" i="8" s="1"/>
  <c r="M759" i="8" s="1"/>
  <c r="B368" i="8"/>
  <c r="C368" i="8"/>
  <c r="D369" i="8"/>
  <c r="B888" i="8"/>
  <c r="D889" i="8"/>
  <c r="K609" i="8"/>
  <c r="I609" i="8"/>
  <c r="B889" i="8" l="1"/>
  <c r="D890" i="8"/>
  <c r="B369" i="8"/>
  <c r="C369" i="8"/>
  <c r="D370" i="8"/>
  <c r="I760" i="8"/>
  <c r="K760" i="8"/>
  <c r="L609" i="8"/>
  <c r="M609" i="8" s="1"/>
  <c r="L760" i="8" l="1"/>
  <c r="M760" i="8" s="1"/>
  <c r="K610" i="8"/>
  <c r="I610" i="8"/>
  <c r="K761" i="8"/>
  <c r="I761" i="8"/>
  <c r="L761" i="8" s="1"/>
  <c r="M761" i="8" s="1"/>
  <c r="B370" i="8"/>
  <c r="C370" i="8"/>
  <c r="D371" i="8"/>
  <c r="D891" i="8"/>
  <c r="B890" i="8"/>
  <c r="L610" i="8" l="1"/>
  <c r="M610" i="8" s="1"/>
  <c r="D892" i="8"/>
  <c r="B891" i="8"/>
  <c r="B371" i="8"/>
  <c r="C371" i="8"/>
  <c r="D372" i="8"/>
  <c r="I762" i="8"/>
  <c r="L762" i="8" s="1"/>
  <c r="K762" i="8"/>
  <c r="K611" i="8"/>
  <c r="I611" i="8"/>
  <c r="M762" i="8" l="1"/>
  <c r="I763" i="8" s="1"/>
  <c r="L763" i="8" s="1"/>
  <c r="B372" i="8"/>
  <c r="C372" i="8"/>
  <c r="D373" i="8"/>
  <c r="L611" i="8"/>
  <c r="M611" i="8" s="1"/>
  <c r="B892" i="8"/>
  <c r="D893" i="8"/>
  <c r="M763" i="8" l="1"/>
  <c r="I764" i="8" s="1"/>
  <c r="L764" i="8" s="1"/>
  <c r="B893" i="8"/>
  <c r="D894" i="8"/>
  <c r="K612" i="8"/>
  <c r="I612" i="8"/>
  <c r="L612" i="8" s="1"/>
  <c r="M612" i="8" s="1"/>
  <c r="B373" i="8"/>
  <c r="C373" i="8"/>
  <c r="D374" i="8"/>
  <c r="M764" i="8" l="1"/>
  <c r="I765" i="8" s="1"/>
  <c r="L765" i="8" s="1"/>
  <c r="K613" i="8"/>
  <c r="I613" i="8"/>
  <c r="L613" i="8" s="1"/>
  <c r="M613" i="8" s="1"/>
  <c r="D895" i="8"/>
  <c r="B894" i="8"/>
  <c r="B374" i="8"/>
  <c r="C374" i="8"/>
  <c r="D375" i="8"/>
  <c r="K766" i="8" l="1"/>
  <c r="D896" i="8"/>
  <c r="B895" i="8"/>
  <c r="K614" i="8"/>
  <c r="B375" i="8"/>
  <c r="C375" i="8"/>
  <c r="D376" i="8"/>
  <c r="M765" i="8" l="1"/>
  <c r="I766" i="8" s="1"/>
  <c r="L766" i="8" s="1"/>
  <c r="I616" i="8"/>
  <c r="L616" i="8" s="1"/>
  <c r="I615" i="8"/>
  <c r="L615" i="8" s="1"/>
  <c r="I614" i="8"/>
  <c r="L614" i="8" s="1"/>
  <c r="I617" i="8"/>
  <c r="L617" i="8" s="1"/>
  <c r="B896" i="8"/>
  <c r="D897" i="8"/>
  <c r="B376" i="8"/>
  <c r="C376" i="8"/>
  <c r="D377" i="8"/>
  <c r="M766" i="8" l="1"/>
  <c r="I767" i="8" s="1"/>
  <c r="L767" i="8" s="1"/>
  <c r="K767" i="8"/>
  <c r="B897" i="8"/>
  <c r="D898" i="8"/>
  <c r="B377" i="8"/>
  <c r="C377" i="8"/>
  <c r="D378" i="8"/>
  <c r="M767" i="8" l="1"/>
  <c r="I768" i="8" s="1"/>
  <c r="L768" i="8" s="1"/>
  <c r="K768" i="8"/>
  <c r="B378" i="8"/>
  <c r="C378" i="8"/>
  <c r="D379" i="8"/>
  <c r="D899" i="8"/>
  <c r="B898" i="8"/>
  <c r="M768" i="8" l="1"/>
  <c r="I769" i="8" s="1"/>
  <c r="L769" i="8" s="1"/>
  <c r="K769" i="8"/>
  <c r="D900" i="8"/>
  <c r="B899" i="8"/>
  <c r="B379" i="8"/>
  <c r="C379" i="8"/>
  <c r="D380" i="8"/>
  <c r="M769" i="8" l="1"/>
  <c r="I770" i="8" s="1"/>
  <c r="L770" i="8" s="1"/>
  <c r="K770" i="8"/>
  <c r="B380" i="8"/>
  <c r="C380" i="8"/>
  <c r="D381" i="8"/>
  <c r="B900" i="8"/>
  <c r="D901" i="8"/>
  <c r="M770" i="8" l="1"/>
  <c r="I771" i="8" s="1"/>
  <c r="L771" i="8" s="1"/>
  <c r="K771" i="8"/>
  <c r="B901" i="8"/>
  <c r="D902" i="8"/>
  <c r="B381" i="8"/>
  <c r="C381" i="8"/>
  <c r="D382" i="8"/>
  <c r="M771" i="8" l="1"/>
  <c r="I772" i="8" s="1"/>
  <c r="L772" i="8" s="1"/>
  <c r="K772" i="8"/>
  <c r="B382" i="8"/>
  <c r="C382" i="8"/>
  <c r="D383" i="8"/>
  <c r="D903" i="8"/>
  <c r="B902" i="8"/>
  <c r="M772" i="8" l="1"/>
  <c r="I773" i="8" s="1"/>
  <c r="L773" i="8" s="1"/>
  <c r="K773" i="8"/>
  <c r="D904" i="8"/>
  <c r="B903" i="8"/>
  <c r="B383" i="8"/>
  <c r="C383" i="8"/>
  <c r="D384" i="8"/>
  <c r="M773" i="8" l="1"/>
  <c r="I774" i="8" s="1"/>
  <c r="L774" i="8" s="1"/>
  <c r="K774" i="8"/>
  <c r="B384" i="8"/>
  <c r="C384" i="8"/>
  <c r="D385" i="8"/>
  <c r="B904" i="8"/>
  <c r="D905" i="8"/>
  <c r="M774" i="8" l="1"/>
  <c r="I775" i="8" s="1"/>
  <c r="L775" i="8" s="1"/>
  <c r="K775" i="8"/>
  <c r="B905" i="8"/>
  <c r="D906" i="8"/>
  <c r="B385" i="8"/>
  <c r="C385" i="8"/>
  <c r="D386" i="8"/>
  <c r="M775" i="8" l="1"/>
  <c r="K776" i="8"/>
  <c r="B386" i="8"/>
  <c r="C386" i="8"/>
  <c r="D387" i="8"/>
  <c r="D907" i="8"/>
  <c r="B906" i="8"/>
  <c r="I777" i="8" l="1"/>
  <c r="L777" i="8" s="1"/>
  <c r="I776" i="8"/>
  <c r="L776" i="8" s="1"/>
  <c r="D908" i="8"/>
  <c r="B907" i="8"/>
  <c r="B387" i="8"/>
  <c r="C387" i="8"/>
  <c r="D388" i="8"/>
  <c r="M777" i="8" l="1"/>
  <c r="I778" i="8" s="1"/>
  <c r="L778" i="8" s="1"/>
  <c r="B388" i="8"/>
  <c r="C388" i="8"/>
  <c r="D389" i="8"/>
  <c r="B908" i="8"/>
  <c r="D909" i="8"/>
  <c r="M778" i="8" l="1"/>
  <c r="I779" i="8" s="1"/>
  <c r="L779" i="8" s="1"/>
  <c r="K779" i="8"/>
  <c r="B909" i="8"/>
  <c r="D910" i="8"/>
  <c r="B389" i="8"/>
  <c r="C389" i="8"/>
  <c r="D390" i="8"/>
  <c r="M779" i="8" l="1"/>
  <c r="I780" i="8" s="1"/>
  <c r="L780" i="8" s="1"/>
  <c r="K780" i="8"/>
  <c r="B390" i="8"/>
  <c r="C390" i="8"/>
  <c r="D391" i="8"/>
  <c r="D911" i="8"/>
  <c r="B910" i="8"/>
  <c r="M780" i="8" l="1"/>
  <c r="I781" i="8" s="1"/>
  <c r="L781" i="8" s="1"/>
  <c r="K781" i="8"/>
  <c r="D912" i="8"/>
  <c r="B911" i="8"/>
  <c r="B391" i="8"/>
  <c r="C391" i="8"/>
  <c r="D392" i="8"/>
  <c r="M781" i="8" l="1"/>
  <c r="I782" i="8" s="1"/>
  <c r="L782" i="8" s="1"/>
  <c r="K782" i="8"/>
  <c r="B392" i="8"/>
  <c r="C392" i="8"/>
  <c r="D393" i="8"/>
  <c r="B912" i="8"/>
  <c r="D913" i="8"/>
  <c r="M782" i="8" l="1"/>
  <c r="I783" i="8" s="1"/>
  <c r="L783" i="8" s="1"/>
  <c r="K783" i="8"/>
  <c r="B913" i="8"/>
  <c r="D914" i="8"/>
  <c r="B393" i="8"/>
  <c r="C393" i="8"/>
  <c r="D394" i="8"/>
  <c r="M783" i="8" l="1"/>
  <c r="I784" i="8" s="1"/>
  <c r="L784" i="8" s="1"/>
  <c r="K784" i="8"/>
  <c r="D915" i="8"/>
  <c r="B914" i="8"/>
  <c r="B394" i="8"/>
  <c r="C394" i="8"/>
  <c r="D395" i="8"/>
  <c r="M784" i="8" l="1"/>
  <c r="K785" i="8"/>
  <c r="B395" i="8"/>
  <c r="C395" i="8"/>
  <c r="D396" i="8"/>
  <c r="D916" i="8"/>
  <c r="B915" i="8"/>
  <c r="I785" i="8" l="1"/>
  <c r="L785" i="8" s="1"/>
  <c r="H785" i="8"/>
  <c r="D917" i="8"/>
  <c r="B916" i="8"/>
  <c r="B396" i="8"/>
  <c r="C396" i="8"/>
  <c r="D397" i="8"/>
  <c r="M785" i="8" l="1"/>
  <c r="K786" i="8"/>
  <c r="B397" i="8"/>
  <c r="C397" i="8"/>
  <c r="D398" i="8"/>
  <c r="B917" i="8"/>
  <c r="D918" i="8"/>
  <c r="H786" i="8" l="1"/>
  <c r="H787" i="8"/>
  <c r="I787" i="8"/>
  <c r="I786" i="8"/>
  <c r="L786" i="8" s="1"/>
  <c r="K787" i="8" s="1"/>
  <c r="D919" i="8"/>
  <c r="B918" i="8"/>
  <c r="B398" i="8"/>
  <c r="C398" i="8"/>
  <c r="D399" i="8"/>
  <c r="L787" i="8" l="1"/>
  <c r="B399" i="8"/>
  <c r="C399" i="8"/>
  <c r="D400" i="8"/>
  <c r="D920" i="8"/>
  <c r="B919" i="8"/>
  <c r="M787" i="8" l="1"/>
  <c r="K788" i="8"/>
  <c r="D921" i="8"/>
  <c r="B920" i="8"/>
  <c r="B400" i="8"/>
  <c r="C400" i="8"/>
  <c r="D401" i="8"/>
  <c r="H788" i="8" l="1"/>
  <c r="I788" i="8"/>
  <c r="L788" i="8" s="1"/>
  <c r="B401" i="8"/>
  <c r="C401" i="8"/>
  <c r="D402" i="8"/>
  <c r="B921" i="8"/>
  <c r="D922" i="8"/>
  <c r="M788" i="8" l="1"/>
  <c r="K789" i="8"/>
  <c r="D923" i="8"/>
  <c r="B922" i="8"/>
  <c r="B402" i="8"/>
  <c r="C402" i="8"/>
  <c r="D403" i="8"/>
  <c r="I789" i="8" l="1"/>
  <c r="L789" i="8" s="1"/>
  <c r="H789" i="8"/>
  <c r="B403" i="8"/>
  <c r="C403" i="8"/>
  <c r="D404" i="8"/>
  <c r="D924" i="8"/>
  <c r="B923" i="8"/>
  <c r="M789" i="8" l="1"/>
  <c r="K790" i="8"/>
  <c r="D925" i="8"/>
  <c r="B924" i="8"/>
  <c r="B404" i="8"/>
  <c r="C404" i="8"/>
  <c r="D405" i="8"/>
  <c r="I790" i="8" l="1"/>
  <c r="L790" i="8" s="1"/>
  <c r="H790" i="8"/>
  <c r="B405" i="8"/>
  <c r="C405" i="8"/>
  <c r="D406" i="8"/>
  <c r="B925" i="8"/>
  <c r="D926" i="8"/>
  <c r="M790" i="8" l="1"/>
  <c r="K791" i="8"/>
  <c r="D927" i="8"/>
  <c r="B926" i="8"/>
  <c r="B406" i="8"/>
  <c r="C406" i="8"/>
  <c r="D407" i="8"/>
  <c r="I791" i="8" l="1"/>
  <c r="L791" i="8" s="1"/>
  <c r="H791" i="8"/>
  <c r="D928" i="8"/>
  <c r="B927" i="8"/>
  <c r="B407" i="8"/>
  <c r="C407" i="8"/>
  <c r="D408" i="8"/>
  <c r="M791" i="8" l="1"/>
  <c r="K792" i="8"/>
  <c r="B408" i="8"/>
  <c r="C408" i="8"/>
  <c r="D409" i="8"/>
  <c r="D929" i="8"/>
  <c r="B928" i="8"/>
  <c r="I792" i="8" l="1"/>
  <c r="L792" i="8" s="1"/>
  <c r="H792" i="8"/>
  <c r="B929" i="8"/>
  <c r="D930" i="8"/>
  <c r="B409" i="8"/>
  <c r="C409" i="8"/>
  <c r="D410" i="8"/>
  <c r="M792" i="8" l="1"/>
  <c r="K793" i="8"/>
  <c r="B410" i="8"/>
  <c r="C410" i="8"/>
  <c r="D411" i="8"/>
  <c r="D931" i="8"/>
  <c r="B930" i="8"/>
  <c r="I793" i="8" l="1"/>
  <c r="L793" i="8" s="1"/>
  <c r="H793" i="8"/>
  <c r="D932" i="8"/>
  <c r="B931" i="8"/>
  <c r="B411" i="8"/>
  <c r="C411" i="8"/>
  <c r="D412" i="8"/>
  <c r="M793" i="8" l="1"/>
  <c r="K794" i="8"/>
  <c r="B412" i="8"/>
  <c r="C412" i="8"/>
  <c r="D413" i="8"/>
  <c r="D933" i="8"/>
  <c r="B932" i="8"/>
  <c r="I794" i="8" l="1"/>
  <c r="L794" i="8" s="1"/>
  <c r="H794" i="8"/>
  <c r="B933" i="8"/>
  <c r="D934" i="8"/>
  <c r="B413" i="8"/>
  <c r="C413" i="8"/>
  <c r="D414" i="8"/>
  <c r="M794" i="8" l="1"/>
  <c r="K795" i="8"/>
  <c r="B414" i="8"/>
  <c r="C414" i="8"/>
  <c r="D415" i="8"/>
  <c r="D935" i="8"/>
  <c r="B934" i="8"/>
  <c r="I795" i="8" l="1"/>
  <c r="L795" i="8" s="1"/>
  <c r="H795" i="8"/>
  <c r="D936" i="8"/>
  <c r="B935" i="8"/>
  <c r="B415" i="8"/>
  <c r="C415" i="8"/>
  <c r="D416" i="8"/>
  <c r="K796" i="8" l="1"/>
  <c r="M795" i="8" s="1"/>
  <c r="J795" i="8"/>
  <c r="B416" i="8"/>
  <c r="C416" i="8"/>
  <c r="D417" i="8"/>
  <c r="D937" i="8"/>
  <c r="B936" i="8"/>
  <c r="I796" i="8" l="1"/>
  <c r="L796" i="8" s="1"/>
  <c r="H796" i="8"/>
  <c r="B937" i="8"/>
  <c r="D938" i="8"/>
  <c r="B417" i="8"/>
  <c r="C417" i="8"/>
  <c r="D418" i="8"/>
  <c r="M796" i="8" l="1"/>
  <c r="K797" i="8"/>
  <c r="J796" i="8"/>
  <c r="B418" i="8"/>
  <c r="C418" i="8"/>
  <c r="D419" i="8"/>
  <c r="B938" i="8"/>
  <c r="D939" i="8"/>
  <c r="H797" i="8" l="1"/>
  <c r="I797" i="8"/>
  <c r="L797" i="8" s="1"/>
  <c r="D940" i="8"/>
  <c r="B939" i="8"/>
  <c r="B419" i="8"/>
  <c r="C419" i="8"/>
  <c r="D420" i="8"/>
  <c r="M797" i="8" l="1"/>
  <c r="J797" i="8"/>
  <c r="K798" i="8"/>
  <c r="B420" i="8"/>
  <c r="C420" i="8"/>
  <c r="D421" i="8"/>
  <c r="D941" i="8"/>
  <c r="B940" i="8"/>
  <c r="H798" i="8" l="1"/>
  <c r="I798" i="8"/>
  <c r="L798" i="8" s="1"/>
  <c r="B941" i="8"/>
  <c r="D942" i="8"/>
  <c r="B421" i="8"/>
  <c r="D422" i="8"/>
  <c r="C421" i="8"/>
  <c r="M798" i="8" l="1"/>
  <c r="J798" i="8"/>
  <c r="K799" i="8"/>
  <c r="C422" i="8"/>
  <c r="B422" i="8"/>
  <c r="D423" i="8"/>
  <c r="B942" i="8"/>
  <c r="D943" i="8"/>
  <c r="H799" i="8" l="1"/>
  <c r="I799" i="8"/>
  <c r="L799" i="8" s="1"/>
  <c r="D944" i="8"/>
  <c r="B943" i="8"/>
  <c r="C423" i="8"/>
  <c r="B423" i="8"/>
  <c r="D424" i="8"/>
  <c r="M799" i="8" l="1"/>
  <c r="K800" i="8"/>
  <c r="J799" i="8"/>
  <c r="C424" i="8"/>
  <c r="B424" i="8"/>
  <c r="D425" i="8"/>
  <c r="D945" i="8"/>
  <c r="B944" i="8"/>
  <c r="H800" i="8" l="1"/>
  <c r="I800" i="8"/>
  <c r="L800" i="8" s="1"/>
  <c r="B945" i="8"/>
  <c r="D946" i="8"/>
  <c r="C425" i="8"/>
  <c r="B425" i="8"/>
  <c r="D426" i="8"/>
  <c r="M800" i="8" l="1"/>
  <c r="K801" i="8"/>
  <c r="J800" i="8"/>
  <c r="C426" i="8"/>
  <c r="B426" i="8"/>
  <c r="D427" i="8"/>
  <c r="B946" i="8"/>
  <c r="D947" i="8"/>
  <c r="H801" i="8" l="1"/>
  <c r="I801" i="8"/>
  <c r="L801" i="8" s="1"/>
  <c r="D948" i="8"/>
  <c r="B947" i="8"/>
  <c r="C427" i="8"/>
  <c r="B427" i="8"/>
  <c r="D428" i="8"/>
  <c r="M801" i="8" l="1"/>
  <c r="H802" i="8" s="1"/>
  <c r="J801" i="8"/>
  <c r="K802" i="8"/>
  <c r="L802" i="8" s="1"/>
  <c r="C428" i="8"/>
  <c r="B428" i="8"/>
  <c r="D429" i="8"/>
  <c r="D949" i="8"/>
  <c r="B948" i="8"/>
  <c r="J802" i="8" l="1"/>
  <c r="K803" i="8"/>
  <c r="M802" i="8" s="1"/>
  <c r="H803" i="8" s="1"/>
  <c r="L803" i="8" s="1"/>
  <c r="B949" i="8"/>
  <c r="D950" i="8"/>
  <c r="C429" i="8"/>
  <c r="B429" i="8"/>
  <c r="D430" i="8"/>
  <c r="M803" i="8" l="1"/>
  <c r="H804" i="8" s="1"/>
  <c r="L804" i="8" s="1"/>
  <c r="J803" i="8"/>
  <c r="K804" i="8"/>
  <c r="C430" i="8"/>
  <c r="B430" i="8"/>
  <c r="D431" i="8"/>
  <c r="B950" i="8"/>
  <c r="D951" i="8"/>
  <c r="M804" i="8" l="1"/>
  <c r="H805" i="8" s="1"/>
  <c r="K805" i="8"/>
  <c r="J804" i="8"/>
  <c r="D952" i="8"/>
  <c r="B951" i="8"/>
  <c r="C431" i="8"/>
  <c r="B431" i="8"/>
  <c r="D432" i="8"/>
  <c r="L805" i="8" l="1"/>
  <c r="C432" i="8"/>
  <c r="B432" i="8"/>
  <c r="D433" i="8"/>
  <c r="D953" i="8"/>
  <c r="B952" i="8"/>
  <c r="M805" i="8" l="1"/>
  <c r="H806" i="8" s="1"/>
  <c r="L806" i="8" s="1"/>
  <c r="J805" i="8"/>
  <c r="K806" i="8"/>
  <c r="B953" i="8"/>
  <c r="D954" i="8"/>
  <c r="C433" i="8"/>
  <c r="B433" i="8"/>
  <c r="D434" i="8"/>
  <c r="M806" i="8" l="1"/>
  <c r="H807" i="8" s="1"/>
  <c r="L807" i="8" s="1"/>
  <c r="J806" i="8"/>
  <c r="K807" i="8"/>
  <c r="C434" i="8"/>
  <c r="B434" i="8"/>
  <c r="D435" i="8"/>
  <c r="B954" i="8"/>
  <c r="D955" i="8"/>
  <c r="M807" i="8" l="1"/>
  <c r="J807" i="8"/>
  <c r="K808" i="8"/>
  <c r="D956" i="8"/>
  <c r="B955" i="8"/>
  <c r="C435" i="8"/>
  <c r="B435" i="8"/>
  <c r="D436" i="8"/>
  <c r="H808" i="8" l="1"/>
  <c r="L808" i="8" s="1"/>
  <c r="H809" i="8"/>
  <c r="C436" i="8"/>
  <c r="B436" i="8"/>
  <c r="D437" i="8"/>
  <c r="D957" i="8"/>
  <c r="B956" i="8"/>
  <c r="J808" i="8" l="1"/>
  <c r="L809" i="8" s="1"/>
  <c r="K809" i="8"/>
  <c r="B957" i="8"/>
  <c r="D958" i="8"/>
  <c r="C437" i="8"/>
  <c r="B437" i="8"/>
  <c r="D438" i="8"/>
  <c r="K810" i="8" l="1"/>
  <c r="M809" i="8" s="1"/>
  <c r="H810" i="8" s="1"/>
  <c r="L810" i="8" s="1"/>
  <c r="J809" i="8"/>
  <c r="C438" i="8"/>
  <c r="B438" i="8"/>
  <c r="D439" i="8"/>
  <c r="B958" i="8"/>
  <c r="D959" i="8"/>
  <c r="M810" i="8" l="1"/>
  <c r="H811" i="8" s="1"/>
  <c r="K811" i="8"/>
  <c r="J810" i="8"/>
  <c r="D960" i="8"/>
  <c r="B959" i="8"/>
  <c r="C439" i="8"/>
  <c r="B439" i="8"/>
  <c r="D440" i="8"/>
  <c r="L811" i="8" l="1"/>
  <c r="C440" i="8"/>
  <c r="B440" i="8"/>
  <c r="D441" i="8"/>
  <c r="D961" i="8"/>
  <c r="B960" i="8"/>
  <c r="M811" i="8" l="1"/>
  <c r="H812" i="8" s="1"/>
  <c r="K812" i="8"/>
  <c r="J811" i="8"/>
  <c r="D962" i="8"/>
  <c r="B961" i="8"/>
  <c r="C441" i="8"/>
  <c r="B441" i="8"/>
  <c r="D442" i="8"/>
  <c r="L812" i="8" l="1"/>
  <c r="C442" i="8"/>
  <c r="B442" i="8"/>
  <c r="D443" i="8"/>
  <c r="B962" i="8"/>
  <c r="D963" i="8"/>
  <c r="M812" i="8" l="1"/>
  <c r="H813" i="8" s="1"/>
  <c r="K813" i="8"/>
  <c r="J812" i="8"/>
  <c r="D964" i="8"/>
  <c r="B963" i="8"/>
  <c r="C443" i="8"/>
  <c r="B443" i="8"/>
  <c r="D444" i="8"/>
  <c r="L813" i="8" l="1"/>
  <c r="C444" i="8"/>
  <c r="B444" i="8"/>
  <c r="D445" i="8"/>
  <c r="D965" i="8"/>
  <c r="B964" i="8"/>
  <c r="M813" i="8" l="1"/>
  <c r="H814" i="8" s="1"/>
  <c r="L814" i="8" s="1"/>
  <c r="J813" i="8"/>
  <c r="K814" i="8"/>
  <c r="D966" i="8"/>
  <c r="B965" i="8"/>
  <c r="C445" i="8"/>
  <c r="B445" i="8"/>
  <c r="D446" i="8"/>
  <c r="M814" i="8" l="1"/>
  <c r="H815" i="8" s="1"/>
  <c r="K815" i="8"/>
  <c r="J814" i="8"/>
  <c r="C446" i="8"/>
  <c r="B446" i="8"/>
  <c r="D447" i="8"/>
  <c r="B966" i="8"/>
  <c r="D967" i="8"/>
  <c r="L815" i="8" l="1"/>
  <c r="D968" i="8"/>
  <c r="B967" i="8"/>
  <c r="C447" i="8"/>
  <c r="B447" i="8"/>
  <c r="D448" i="8"/>
  <c r="M815" i="8" l="1"/>
  <c r="H816" i="8" s="1"/>
  <c r="K816" i="8"/>
  <c r="J815" i="8"/>
  <c r="C448" i="8"/>
  <c r="B448" i="8"/>
  <c r="D449" i="8"/>
  <c r="D969" i="8"/>
  <c r="B968" i="8"/>
  <c r="L816" i="8" l="1"/>
  <c r="D970" i="8"/>
  <c r="B969" i="8"/>
  <c r="C449" i="8"/>
  <c r="B449" i="8"/>
  <c r="D450" i="8"/>
  <c r="M816" i="8" l="1"/>
  <c r="H817" i="8" s="1"/>
  <c r="L817" i="8" s="1"/>
  <c r="K817" i="8"/>
  <c r="J816" i="8"/>
  <c r="C450" i="8"/>
  <c r="B450" i="8"/>
  <c r="D451" i="8"/>
  <c r="B970" i="8"/>
  <c r="D971" i="8"/>
  <c r="M817" i="8" l="1"/>
  <c r="H818" i="8" s="1"/>
  <c r="L818" i="8" s="1"/>
  <c r="K818" i="8"/>
  <c r="J817" i="8"/>
  <c r="D972" i="8"/>
  <c r="B971" i="8"/>
  <c r="C451" i="8"/>
  <c r="B451" i="8"/>
  <c r="D452" i="8"/>
  <c r="M818" i="8" l="1"/>
  <c r="H819" i="8" s="1"/>
  <c r="K819" i="8"/>
  <c r="J818" i="8"/>
  <c r="C452" i="8"/>
  <c r="B452" i="8"/>
  <c r="D453" i="8"/>
  <c r="D973" i="8"/>
  <c r="B972" i="8"/>
  <c r="L819" i="8" l="1"/>
  <c r="D974" i="8"/>
  <c r="B973" i="8"/>
  <c r="C453" i="8"/>
  <c r="B453" i="8"/>
  <c r="D454" i="8"/>
  <c r="M819" i="8" l="1"/>
  <c r="H820" i="8" s="1"/>
  <c r="L820" i="8" s="1"/>
  <c r="J819" i="8"/>
  <c r="K820" i="8"/>
  <c r="C454" i="8"/>
  <c r="B454" i="8"/>
  <c r="D455" i="8"/>
  <c r="B974" i="8"/>
  <c r="D975" i="8"/>
  <c r="M820" i="8" l="1"/>
  <c r="H821" i="8" s="1"/>
  <c r="K821" i="8"/>
  <c r="J820" i="8"/>
  <c r="D976" i="8"/>
  <c r="B975" i="8"/>
  <c r="C455" i="8"/>
  <c r="B455" i="8"/>
  <c r="D456" i="8"/>
  <c r="L821" i="8" l="1"/>
  <c r="C456" i="8"/>
  <c r="B456" i="8"/>
  <c r="D457" i="8"/>
  <c r="D977" i="8"/>
  <c r="B976" i="8"/>
  <c r="M821" i="8" l="1"/>
  <c r="H822" i="8" s="1"/>
  <c r="K822" i="8"/>
  <c r="J821" i="8"/>
  <c r="D978" i="8"/>
  <c r="B977" i="8"/>
  <c r="C457" i="8"/>
  <c r="B457" i="8"/>
  <c r="D458" i="8"/>
  <c r="L822" i="8" l="1"/>
  <c r="C458" i="8"/>
  <c r="B458" i="8"/>
  <c r="D459" i="8"/>
  <c r="D979" i="8"/>
  <c r="B978" i="8"/>
  <c r="M822" i="8" l="1"/>
  <c r="H823" i="8" s="1"/>
  <c r="K823" i="8"/>
  <c r="J822" i="8"/>
  <c r="B979" i="8"/>
  <c r="D980" i="8"/>
  <c r="C459" i="8"/>
  <c r="B459" i="8"/>
  <c r="D460" i="8"/>
  <c r="L823" i="8" l="1"/>
  <c r="C460" i="8"/>
  <c r="B460" i="8"/>
  <c r="D461" i="8"/>
  <c r="B980" i="8"/>
  <c r="D981" i="8"/>
  <c r="M823" i="8" l="1"/>
  <c r="H824" i="8" s="1"/>
  <c r="L824" i="8" s="1"/>
  <c r="J823" i="8"/>
  <c r="K824" i="8"/>
  <c r="B981" i="8"/>
  <c r="D982" i="8"/>
  <c r="C461" i="8"/>
  <c r="B461" i="8"/>
  <c r="D462" i="8"/>
  <c r="M824" i="8" l="1"/>
  <c r="H825" i="8" s="1"/>
  <c r="K825" i="8"/>
  <c r="J824" i="8"/>
  <c r="C462" i="8"/>
  <c r="B462" i="8"/>
  <c r="D463" i="8"/>
  <c r="D983" i="8"/>
  <c r="B982" i="8"/>
  <c r="L825" i="8" l="1"/>
  <c r="D984" i="8"/>
  <c r="B983" i="8"/>
  <c r="C463" i="8"/>
  <c r="B463" i="8"/>
  <c r="D464" i="8"/>
  <c r="M825" i="8" l="1"/>
  <c r="H826" i="8" s="1"/>
  <c r="K826" i="8"/>
  <c r="J825" i="8"/>
  <c r="C464" i="8"/>
  <c r="B464" i="8"/>
  <c r="D465" i="8"/>
  <c r="B984" i="8"/>
  <c r="D985" i="8"/>
  <c r="L826" i="8" l="1"/>
  <c r="B985" i="8"/>
  <c r="D986" i="8"/>
  <c r="C465" i="8"/>
  <c r="B465" i="8"/>
  <c r="D466" i="8"/>
  <c r="M826" i="8" l="1"/>
  <c r="H827" i="8" s="1"/>
  <c r="L827" i="8" s="1"/>
  <c r="K827" i="8"/>
  <c r="J826" i="8"/>
  <c r="C466" i="8"/>
  <c r="B466" i="8"/>
  <c r="D467" i="8"/>
  <c r="D987" i="8"/>
  <c r="B986" i="8"/>
  <c r="M827" i="8" l="1"/>
  <c r="H828" i="8" s="1"/>
  <c r="L828" i="8" s="1"/>
  <c r="J827" i="8"/>
  <c r="K828" i="8"/>
  <c r="D988" i="8"/>
  <c r="B987" i="8"/>
  <c r="C467" i="8"/>
  <c r="B467" i="8"/>
  <c r="D468" i="8"/>
  <c r="M828" i="8" l="1"/>
  <c r="H829" i="8" s="1"/>
  <c r="L829" i="8" s="1"/>
  <c r="J828" i="8"/>
  <c r="C468" i="8"/>
  <c r="B468" i="8"/>
  <c r="D469" i="8"/>
  <c r="B988" i="8"/>
  <c r="D989" i="8"/>
  <c r="M829" i="8" l="1"/>
  <c r="H830" i="8" s="1"/>
  <c r="L830" i="8" s="1"/>
  <c r="K830" i="8"/>
  <c r="J829" i="8"/>
  <c r="B989" i="8"/>
  <c r="D990" i="8"/>
  <c r="C469" i="8"/>
  <c r="B469" i="8"/>
  <c r="D470" i="8"/>
  <c r="M830" i="8" l="1"/>
  <c r="H831" i="8" s="1"/>
  <c r="L831" i="8" s="1"/>
  <c r="K831" i="8"/>
  <c r="J830" i="8"/>
  <c r="C470" i="8"/>
  <c r="B470" i="8"/>
  <c r="D471" i="8"/>
  <c r="B990" i="8"/>
  <c r="D991" i="8"/>
  <c r="M831" i="8" l="1"/>
  <c r="H832" i="8" s="1"/>
  <c r="L832" i="8" s="1"/>
  <c r="J831" i="8"/>
  <c r="K832" i="8"/>
  <c r="D992" i="8"/>
  <c r="B991" i="8"/>
  <c r="C471" i="8"/>
  <c r="B471" i="8"/>
  <c r="D472" i="8"/>
  <c r="M832" i="8" l="1"/>
  <c r="H833" i="8" s="1"/>
  <c r="J832" i="8"/>
  <c r="K833" i="8"/>
  <c r="C472" i="8"/>
  <c r="B472" i="8"/>
  <c r="D473" i="8"/>
  <c r="B992" i="8"/>
  <c r="D993" i="8"/>
  <c r="L833" i="8" l="1"/>
  <c r="B993" i="8"/>
  <c r="D994" i="8"/>
  <c r="C473" i="8"/>
  <c r="B473" i="8"/>
  <c r="D474" i="8"/>
  <c r="M833" i="8" l="1"/>
  <c r="H834" i="8" s="1"/>
  <c r="L834" i="8" s="1"/>
  <c r="K834" i="8"/>
  <c r="J833" i="8"/>
  <c r="C474" i="8"/>
  <c r="B474" i="8"/>
  <c r="D475" i="8"/>
  <c r="B994" i="8"/>
  <c r="D995" i="8"/>
  <c r="M834" i="8" l="1"/>
  <c r="H835" i="8" s="1"/>
  <c r="L835" i="8" s="1"/>
  <c r="K835" i="8"/>
  <c r="J834" i="8"/>
  <c r="D996" i="8"/>
  <c r="B995" i="8"/>
  <c r="C475" i="8"/>
  <c r="B475" i="8"/>
  <c r="D476" i="8"/>
  <c r="M835" i="8" l="1"/>
  <c r="H836" i="8" s="1"/>
  <c r="L836" i="8" s="1"/>
  <c r="J835" i="8"/>
  <c r="C476" i="8"/>
  <c r="B476" i="8"/>
  <c r="D477" i="8"/>
  <c r="B996" i="8"/>
  <c r="D997" i="8"/>
  <c r="M836" i="8" l="1"/>
  <c r="H837" i="8" s="1"/>
  <c r="J836" i="8"/>
  <c r="K837" i="8"/>
  <c r="B997" i="8"/>
  <c r="D998" i="8"/>
  <c r="C477" i="8"/>
  <c r="B477" i="8"/>
  <c r="D478" i="8"/>
  <c r="L837" i="8" l="1"/>
  <c r="C478" i="8"/>
  <c r="B478" i="8"/>
  <c r="D479" i="8"/>
  <c r="B998" i="8"/>
  <c r="D999" i="8"/>
  <c r="M837" i="8" l="1"/>
  <c r="H838" i="8" s="1"/>
  <c r="L838" i="8" s="1"/>
  <c r="K838" i="8"/>
  <c r="J837" i="8"/>
  <c r="D1000" i="8"/>
  <c r="B999" i="8"/>
  <c r="C479" i="8"/>
  <c r="B479" i="8"/>
  <c r="D480" i="8"/>
  <c r="M838" i="8" l="1"/>
  <c r="H839" i="8" s="1"/>
  <c r="L839" i="8" s="1"/>
  <c r="K839" i="8"/>
  <c r="J838" i="8"/>
  <c r="C480" i="8"/>
  <c r="B480" i="8"/>
  <c r="D481" i="8"/>
  <c r="B1000" i="8"/>
  <c r="D1001" i="8"/>
  <c r="M839" i="8" l="1"/>
  <c r="H840" i="8" s="1"/>
  <c r="L840" i="8" s="1"/>
  <c r="K840" i="8"/>
  <c r="J839" i="8"/>
  <c r="B1001" i="8"/>
  <c r="D1002" i="8"/>
  <c r="C481" i="8"/>
  <c r="B481" i="8"/>
  <c r="D482" i="8"/>
  <c r="M840" i="8" l="1"/>
  <c r="H841" i="8" s="1"/>
  <c r="J840" i="8"/>
  <c r="K841" i="8"/>
  <c r="C482" i="8"/>
  <c r="B482" i="8"/>
  <c r="D483" i="8"/>
  <c r="B1002" i="8"/>
  <c r="D1003" i="8"/>
  <c r="L841" i="8" l="1"/>
  <c r="D1004" i="8"/>
  <c r="B1003" i="8"/>
  <c r="C483" i="8"/>
  <c r="B483" i="8"/>
  <c r="D484" i="8"/>
  <c r="M841" i="8" l="1"/>
  <c r="H842" i="8" s="1"/>
  <c r="L842" i="8" s="1"/>
  <c r="K842" i="8"/>
  <c r="J841" i="8"/>
  <c r="C484" i="8"/>
  <c r="B484" i="8"/>
  <c r="D485" i="8"/>
  <c r="B1004" i="8"/>
  <c r="D1005" i="8"/>
  <c r="M842" i="8" l="1"/>
  <c r="H843" i="8" s="1"/>
  <c r="L843" i="8" s="1"/>
  <c r="K843" i="8"/>
  <c r="J842" i="8"/>
  <c r="B1005" i="8"/>
  <c r="D1006" i="8"/>
  <c r="C485" i="8"/>
  <c r="B485" i="8"/>
  <c r="D486" i="8"/>
  <c r="M843" i="8" l="1"/>
  <c r="H844" i="8" s="1"/>
  <c r="L844" i="8" s="1"/>
  <c r="K844" i="8"/>
  <c r="J843" i="8"/>
  <c r="C486" i="8"/>
  <c r="B486" i="8"/>
  <c r="D487" i="8"/>
  <c r="B1006" i="8"/>
  <c r="D1007" i="8"/>
  <c r="M844" i="8" l="1"/>
  <c r="H845" i="8" s="1"/>
  <c r="J844" i="8"/>
  <c r="K845" i="8"/>
  <c r="D1008" i="8"/>
  <c r="B1007" i="8"/>
  <c r="C487" i="8"/>
  <c r="B487" i="8"/>
  <c r="D488" i="8"/>
  <c r="L845" i="8" l="1"/>
  <c r="C488" i="8"/>
  <c r="B488" i="8"/>
  <c r="D489" i="8"/>
  <c r="B1008" i="8"/>
  <c r="D1009" i="8"/>
  <c r="M845" i="8" l="1"/>
  <c r="H846" i="8" s="1"/>
  <c r="L846" i="8" s="1"/>
  <c r="K846" i="8"/>
  <c r="J845" i="8"/>
  <c r="B1009" i="8"/>
  <c r="D1010" i="8"/>
  <c r="C489" i="8"/>
  <c r="B489" i="8"/>
  <c r="D490" i="8"/>
  <c r="M846" i="8" l="1"/>
  <c r="H847" i="8" s="1"/>
  <c r="L847" i="8" s="1"/>
  <c r="K847" i="8"/>
  <c r="J846" i="8"/>
  <c r="C490" i="8"/>
  <c r="B490" i="8"/>
  <c r="D491" i="8"/>
  <c r="B1010" i="8"/>
  <c r="D1011" i="8"/>
  <c r="M847" i="8" l="1"/>
  <c r="H848" i="8" s="1"/>
  <c r="L848" i="8" s="1"/>
  <c r="K848" i="8"/>
  <c r="J847" i="8"/>
  <c r="D1012" i="8"/>
  <c r="B1011" i="8"/>
  <c r="C491" i="8"/>
  <c r="B491" i="8"/>
  <c r="D492" i="8"/>
  <c r="M848" i="8" l="1"/>
  <c r="H849" i="8" s="1"/>
  <c r="L849" i="8" s="1"/>
  <c r="J848" i="8"/>
  <c r="K849" i="8"/>
  <c r="C492" i="8"/>
  <c r="B492" i="8"/>
  <c r="D493" i="8"/>
  <c r="B1012" i="8"/>
  <c r="D1013" i="8"/>
  <c r="M849" i="8" l="1"/>
  <c r="H850" i="8" s="1"/>
  <c r="J849" i="8"/>
  <c r="K850" i="8"/>
  <c r="B1013" i="8"/>
  <c r="D1014" i="8"/>
  <c r="C493" i="8"/>
  <c r="B493" i="8"/>
  <c r="D494" i="8"/>
  <c r="L850" i="8" l="1"/>
  <c r="C494" i="8"/>
  <c r="B494" i="8"/>
  <c r="D495" i="8"/>
  <c r="B1014" i="8"/>
  <c r="D1015" i="8"/>
  <c r="M850" i="8" l="1"/>
  <c r="H851" i="8" s="1"/>
  <c r="L851" i="8" s="1"/>
  <c r="K851" i="8"/>
  <c r="J850" i="8"/>
  <c r="D1016" i="8"/>
  <c r="B1015" i="8"/>
  <c r="C495" i="8"/>
  <c r="B495" i="8"/>
  <c r="D496" i="8"/>
  <c r="M851" i="8" l="1"/>
  <c r="H852" i="8" s="1"/>
  <c r="L852" i="8" s="1"/>
  <c r="K852" i="8"/>
  <c r="J851" i="8"/>
  <c r="C496" i="8"/>
  <c r="B496" i="8"/>
  <c r="D497" i="8"/>
  <c r="B1016" i="8"/>
  <c r="D1017" i="8"/>
  <c r="M852" i="8" l="1"/>
  <c r="H853" i="8" s="1"/>
  <c r="J852" i="8"/>
  <c r="K853" i="8"/>
  <c r="B1017" i="8"/>
  <c r="D1018" i="8"/>
  <c r="C497" i="8"/>
  <c r="B497" i="8"/>
  <c r="D498" i="8"/>
  <c r="L853" i="8" l="1"/>
  <c r="C498" i="8"/>
  <c r="B498" i="8"/>
  <c r="D499" i="8"/>
  <c r="B1018" i="8"/>
  <c r="D1019" i="8"/>
  <c r="M853" i="8" l="1"/>
  <c r="H854" i="8" s="1"/>
  <c r="L854" i="8" s="1"/>
  <c r="K854" i="8"/>
  <c r="J853" i="8"/>
  <c r="D1020" i="8"/>
  <c r="B1019" i="8"/>
  <c r="C499" i="8"/>
  <c r="B499" i="8"/>
  <c r="D500" i="8"/>
  <c r="M854" i="8" l="1"/>
  <c r="H855" i="8" s="1"/>
  <c r="L855" i="8" s="1"/>
  <c r="K855" i="8"/>
  <c r="J854" i="8"/>
  <c r="C500" i="8"/>
  <c r="B500" i="8"/>
  <c r="D501" i="8"/>
  <c r="B1020" i="8"/>
  <c r="D1021" i="8"/>
  <c r="M855" i="8" l="1"/>
  <c r="H856" i="8" s="1"/>
  <c r="L856" i="8" s="1"/>
  <c r="K856" i="8"/>
  <c r="J855" i="8"/>
  <c r="B1021" i="8"/>
  <c r="D1022" i="8"/>
  <c r="C501" i="8"/>
  <c r="B501" i="8"/>
  <c r="D502" i="8"/>
  <c r="M856" i="8" l="1"/>
  <c r="H857" i="8" s="1"/>
  <c r="J856" i="8"/>
  <c r="K857" i="8"/>
  <c r="C502" i="8"/>
  <c r="B502" i="8"/>
  <c r="D503" i="8"/>
  <c r="D1023" i="8"/>
  <c r="B1022" i="8"/>
  <c r="L857" i="8" l="1"/>
  <c r="D1024" i="8"/>
  <c r="B1023" i="8"/>
  <c r="C503" i="8"/>
  <c r="B503" i="8"/>
  <c r="D504" i="8"/>
  <c r="M857" i="8" l="1"/>
  <c r="H858" i="8" s="1"/>
  <c r="J857" i="8"/>
  <c r="K858" i="8"/>
  <c r="C504" i="8"/>
  <c r="B504" i="8"/>
  <c r="D505" i="8"/>
  <c r="D1025" i="8"/>
  <c r="B1024" i="8"/>
  <c r="L858" i="8" l="1"/>
  <c r="B1025" i="8"/>
  <c r="D1026" i="8"/>
  <c r="C505" i="8"/>
  <c r="B505" i="8"/>
  <c r="D506" i="8"/>
  <c r="M858" i="8" l="1"/>
  <c r="H859" i="8" s="1"/>
  <c r="L859" i="8" s="1"/>
  <c r="K859" i="8"/>
  <c r="J858" i="8"/>
  <c r="C506" i="8"/>
  <c r="B506" i="8"/>
  <c r="D507" i="8"/>
  <c r="D1027" i="8"/>
  <c r="B1026" i="8"/>
  <c r="M859" i="8" l="1"/>
  <c r="H860" i="8" s="1"/>
  <c r="L860" i="8" s="1"/>
  <c r="K860" i="8"/>
  <c r="J859" i="8"/>
  <c r="D1028" i="8"/>
  <c r="B1027" i="8"/>
  <c r="C507" i="8"/>
  <c r="B507" i="8"/>
  <c r="D508" i="8"/>
  <c r="J860" i="8" l="1"/>
  <c r="K861" i="8"/>
  <c r="M860" i="8" s="1"/>
  <c r="H861" i="8" s="1"/>
  <c r="L861" i="8" s="1"/>
  <c r="C508" i="8"/>
  <c r="B508" i="8"/>
  <c r="D509" i="8"/>
  <c r="D1029" i="8"/>
  <c r="B1028" i="8"/>
  <c r="M861" i="8" l="1"/>
  <c r="H862" i="8" s="1"/>
  <c r="J861" i="8"/>
  <c r="K862" i="8"/>
  <c r="B1029" i="8"/>
  <c r="D1030" i="8"/>
  <c r="C509" i="8"/>
  <c r="B509" i="8"/>
  <c r="D510" i="8"/>
  <c r="L862" i="8" l="1"/>
  <c r="C510" i="8"/>
  <c r="B510" i="8"/>
  <c r="D511" i="8"/>
  <c r="D1031" i="8"/>
  <c r="B1030" i="8"/>
  <c r="M862" i="8" l="1"/>
  <c r="H863" i="8" s="1"/>
  <c r="L863" i="8" s="1"/>
  <c r="K863" i="8"/>
  <c r="J862" i="8"/>
  <c r="D1032" i="8"/>
  <c r="B1031" i="8"/>
  <c r="C511" i="8"/>
  <c r="B511" i="8"/>
  <c r="D512" i="8"/>
  <c r="M863" i="8" l="1"/>
  <c r="H864" i="8" s="1"/>
  <c r="L864" i="8" s="1"/>
  <c r="K864" i="8"/>
  <c r="J863" i="8"/>
  <c r="C512" i="8"/>
  <c r="B512" i="8"/>
  <c r="D513" i="8"/>
  <c r="D1033" i="8"/>
  <c r="B1032" i="8"/>
  <c r="M864" i="8" l="1"/>
  <c r="H865" i="8" s="1"/>
  <c r="J864" i="8"/>
  <c r="K865" i="8"/>
  <c r="B1033" i="8"/>
  <c r="D1034" i="8"/>
  <c r="C513" i="8"/>
  <c r="B513" i="8"/>
  <c r="D514" i="8"/>
  <c r="L865" i="8" l="1"/>
  <c r="C514" i="8"/>
  <c r="B514" i="8"/>
  <c r="D515" i="8"/>
  <c r="D1035" i="8"/>
  <c r="B1034" i="8"/>
  <c r="M865" i="8" l="1"/>
  <c r="H866" i="8" s="1"/>
  <c r="J865" i="8"/>
  <c r="K866" i="8"/>
  <c r="D1036" i="8"/>
  <c r="B1035" i="8"/>
  <c r="C515" i="8"/>
  <c r="B515" i="8"/>
  <c r="D516" i="8"/>
  <c r="L866" i="8" l="1"/>
  <c r="C516" i="8"/>
  <c r="B516" i="8"/>
  <c r="D517" i="8"/>
  <c r="D1037" i="8"/>
  <c r="B1036" i="8"/>
  <c r="M866" i="8" l="1"/>
  <c r="H867" i="8" s="1"/>
  <c r="L867" i="8" s="1"/>
  <c r="K867" i="8"/>
  <c r="J866" i="8"/>
  <c r="B1037" i="8"/>
  <c r="D1038" i="8"/>
  <c r="C517" i="8"/>
  <c r="B517" i="8"/>
  <c r="D518" i="8"/>
  <c r="M867" i="8" l="1"/>
  <c r="H868" i="8" s="1"/>
  <c r="L868" i="8" s="1"/>
  <c r="K868" i="8"/>
  <c r="J867" i="8"/>
  <c r="C518" i="8"/>
  <c r="B518" i="8"/>
  <c r="D519" i="8"/>
  <c r="D1039" i="8"/>
  <c r="B1038" i="8"/>
  <c r="M868" i="8" l="1"/>
  <c r="H869" i="8" s="1"/>
  <c r="J868" i="8"/>
  <c r="K869" i="8"/>
  <c r="D1040" i="8"/>
  <c r="B1039" i="8"/>
  <c r="C519" i="8"/>
  <c r="B519" i="8"/>
  <c r="D520" i="8"/>
  <c r="L869" i="8" l="1"/>
  <c r="C520" i="8"/>
  <c r="B520" i="8"/>
  <c r="D521" i="8"/>
  <c r="D1041" i="8"/>
  <c r="B1040" i="8"/>
  <c r="M869" i="8" l="1"/>
  <c r="H870" i="8" s="1"/>
  <c r="J869" i="8"/>
  <c r="K870" i="8"/>
  <c r="B1041" i="8"/>
  <c r="D1042" i="8"/>
  <c r="C521" i="8"/>
  <c r="B521" i="8"/>
  <c r="D522" i="8"/>
  <c r="L870" i="8" l="1"/>
  <c r="C522" i="8"/>
  <c r="B522" i="8"/>
  <c r="D523" i="8"/>
  <c r="D1043" i="8"/>
  <c r="B1042" i="8"/>
  <c r="M870" i="8" l="1"/>
  <c r="H871" i="8" s="1"/>
  <c r="L871" i="8" s="1"/>
  <c r="K871" i="8"/>
  <c r="J870" i="8"/>
  <c r="D1044" i="8"/>
  <c r="B1043" i="8"/>
  <c r="C523" i="8"/>
  <c r="B523" i="8"/>
  <c r="D524" i="8"/>
  <c r="M871" i="8" l="1"/>
  <c r="H872" i="8" s="1"/>
  <c r="L872" i="8" s="1"/>
  <c r="K872" i="8"/>
  <c r="J871" i="8"/>
  <c r="C524" i="8"/>
  <c r="B524" i="8"/>
  <c r="D525" i="8"/>
  <c r="D1045" i="8"/>
  <c r="B1044" i="8"/>
  <c r="M872" i="8" l="1"/>
  <c r="H873" i="8" s="1"/>
  <c r="J872" i="8"/>
  <c r="K873" i="8"/>
  <c r="B1045" i="8"/>
  <c r="D1046" i="8"/>
  <c r="C525" i="8"/>
  <c r="B525" i="8"/>
  <c r="D526" i="8"/>
  <c r="L873" i="8" l="1"/>
  <c r="C526" i="8"/>
  <c r="B526" i="8"/>
  <c r="D527" i="8"/>
  <c r="D1047" i="8"/>
  <c r="B1046" i="8"/>
  <c r="M873" i="8" l="1"/>
  <c r="H874" i="8" s="1"/>
  <c r="J873" i="8"/>
  <c r="K874" i="8"/>
  <c r="D1048" i="8"/>
  <c r="B1047" i="8"/>
  <c r="C527" i="8"/>
  <c r="B527" i="8"/>
  <c r="D528" i="8"/>
  <c r="L874" i="8" l="1"/>
  <c r="C528" i="8"/>
  <c r="B528" i="8"/>
  <c r="D529" i="8"/>
  <c r="B1048" i="8"/>
  <c r="D1049" i="8"/>
  <c r="M874" i="8" l="1"/>
  <c r="H875" i="8" s="1"/>
  <c r="L875" i="8" s="1"/>
  <c r="K875" i="8"/>
  <c r="J874" i="8"/>
  <c r="D1050" i="8"/>
  <c r="B1049" i="8"/>
  <c r="C529" i="8"/>
  <c r="B529" i="8"/>
  <c r="D530" i="8"/>
  <c r="M875" i="8" l="1"/>
  <c r="H876" i="8" s="1"/>
  <c r="L876" i="8" s="1"/>
  <c r="K876" i="8"/>
  <c r="J875" i="8"/>
  <c r="C530" i="8"/>
  <c r="B530" i="8"/>
  <c r="D531" i="8"/>
  <c r="B1050" i="8"/>
  <c r="D1051" i="8"/>
  <c r="M876" i="8" l="1"/>
  <c r="H877" i="8" s="1"/>
  <c r="L877" i="8" s="1"/>
  <c r="K877" i="8"/>
  <c r="J876" i="8"/>
  <c r="B1051" i="8"/>
  <c r="D1052" i="8"/>
  <c r="C531" i="8"/>
  <c r="B531" i="8"/>
  <c r="D532" i="8"/>
  <c r="K878" i="8" l="1"/>
  <c r="M877" i="8" s="1"/>
  <c r="H878" i="8" s="1"/>
  <c r="L878" i="8" s="1"/>
  <c r="J877" i="8"/>
  <c r="C532" i="8"/>
  <c r="B532" i="8"/>
  <c r="D533" i="8"/>
  <c r="D1053" i="8"/>
  <c r="B1052" i="8"/>
  <c r="M878" i="8" l="1"/>
  <c r="H879" i="8" s="1"/>
  <c r="L879" i="8" s="1"/>
  <c r="J878" i="8"/>
  <c r="K879" i="8"/>
  <c r="B1053" i="8"/>
  <c r="D1054" i="8"/>
  <c r="C533" i="8"/>
  <c r="B533" i="8"/>
  <c r="D534" i="8"/>
  <c r="M879" i="8" l="1"/>
  <c r="H880" i="8" s="1"/>
  <c r="J879" i="8"/>
  <c r="K880" i="8"/>
  <c r="C534" i="8"/>
  <c r="B534" i="8"/>
  <c r="D535" i="8"/>
  <c r="B1054" i="8"/>
  <c r="D1055" i="8"/>
  <c r="L880" i="8" l="1"/>
  <c r="D1056" i="8"/>
  <c r="B1055" i="8"/>
  <c r="C535" i="8"/>
  <c r="B535" i="8"/>
  <c r="D536" i="8"/>
  <c r="M880" i="8" l="1"/>
  <c r="H881" i="8" s="1"/>
  <c r="L881" i="8" s="1"/>
  <c r="K881" i="8"/>
  <c r="J880" i="8"/>
  <c r="C536" i="8"/>
  <c r="B536" i="8"/>
  <c r="D537" i="8"/>
  <c r="B1056" i="8"/>
  <c r="D1057" i="8"/>
  <c r="M881" i="8" l="1"/>
  <c r="H882" i="8" s="1"/>
  <c r="J881" i="8"/>
  <c r="K882" i="8"/>
  <c r="D1058" i="8"/>
  <c r="B1057" i="8"/>
  <c r="C537" i="8"/>
  <c r="B537" i="8"/>
  <c r="D538" i="8"/>
  <c r="L882" i="8" l="1"/>
  <c r="C538" i="8"/>
  <c r="B538" i="8"/>
  <c r="D539" i="8"/>
  <c r="D1059" i="8"/>
  <c r="B1058" i="8"/>
  <c r="M882" i="8" l="1"/>
  <c r="H883" i="8" s="1"/>
  <c r="J882" i="8"/>
  <c r="K883" i="8"/>
  <c r="B1059" i="8"/>
  <c r="D1060" i="8"/>
  <c r="C539" i="8"/>
  <c r="B539" i="8"/>
  <c r="D540" i="8"/>
  <c r="L883" i="8" l="1"/>
  <c r="C540" i="8"/>
  <c r="B540" i="8"/>
  <c r="D541" i="8"/>
  <c r="D1061" i="8"/>
  <c r="B1060" i="8"/>
  <c r="M883" i="8" l="1"/>
  <c r="H884" i="8" s="1"/>
  <c r="L884" i="8" s="1"/>
  <c r="K884" i="8"/>
  <c r="J883" i="8"/>
  <c r="C541" i="8"/>
  <c r="B541" i="8"/>
  <c r="D542" i="8"/>
  <c r="B1061" i="8"/>
  <c r="D1062" i="8"/>
  <c r="M884" i="8" l="1"/>
  <c r="H885" i="8" s="1"/>
  <c r="L885" i="8" s="1"/>
  <c r="K885" i="8"/>
  <c r="J884" i="8"/>
  <c r="D1063" i="8"/>
  <c r="B1062" i="8"/>
  <c r="C542" i="8"/>
  <c r="B542" i="8"/>
  <c r="D543" i="8"/>
  <c r="M885" i="8" l="1"/>
  <c r="H886" i="8" s="1"/>
  <c r="J885" i="8"/>
  <c r="K886" i="8"/>
  <c r="D1064" i="8"/>
  <c r="B1063" i="8"/>
  <c r="C543" i="8"/>
  <c r="B543" i="8"/>
  <c r="D544" i="8"/>
  <c r="L886" i="8" l="1"/>
  <c r="B1064" i="8"/>
  <c r="D1065" i="8"/>
  <c r="C544" i="8"/>
  <c r="B544" i="8"/>
  <c r="D545" i="8"/>
  <c r="M886" i="8" l="1"/>
  <c r="H887" i="8" s="1"/>
  <c r="L887" i="8" s="1"/>
  <c r="J886" i="8"/>
  <c r="K887" i="8"/>
  <c r="C545" i="8"/>
  <c r="B545" i="8"/>
  <c r="D546" i="8"/>
  <c r="D1066" i="8"/>
  <c r="B1065" i="8"/>
  <c r="M887" i="8" l="1"/>
  <c r="H888" i="8" s="1"/>
  <c r="L888" i="8" s="1"/>
  <c r="K888" i="8"/>
  <c r="J887" i="8"/>
  <c r="D1067" i="8"/>
  <c r="B1066" i="8"/>
  <c r="C546" i="8"/>
  <c r="B546" i="8"/>
  <c r="D547" i="8"/>
  <c r="M888" i="8" l="1"/>
  <c r="H889" i="8" s="1"/>
  <c r="L889" i="8" s="1"/>
  <c r="K889" i="8"/>
  <c r="J888" i="8"/>
  <c r="B1067" i="8"/>
  <c r="D1068" i="8"/>
  <c r="C547" i="8"/>
  <c r="B547" i="8"/>
  <c r="D548" i="8"/>
  <c r="M889" i="8" l="1"/>
  <c r="H890" i="8" s="1"/>
  <c r="J889" i="8"/>
  <c r="K890" i="8"/>
  <c r="D1069" i="8"/>
  <c r="B1068" i="8"/>
  <c r="C548" i="8"/>
  <c r="B548" i="8"/>
  <c r="D549" i="8"/>
  <c r="L890" i="8" l="1"/>
  <c r="D1070" i="8"/>
  <c r="B1069" i="8"/>
  <c r="C549" i="8"/>
  <c r="B549" i="8"/>
  <c r="D550" i="8"/>
  <c r="M890" i="8" l="1"/>
  <c r="H891" i="8" s="1"/>
  <c r="J890" i="8"/>
  <c r="K891" i="8"/>
  <c r="B1070" i="8"/>
  <c r="D1071" i="8"/>
  <c r="C550" i="8"/>
  <c r="B550" i="8"/>
  <c r="D551" i="8"/>
  <c r="L891" i="8" l="1"/>
  <c r="D1072" i="8"/>
  <c r="B1071" i="8"/>
  <c r="C551" i="8"/>
  <c r="B551" i="8"/>
  <c r="D552" i="8"/>
  <c r="M891" i="8" l="1"/>
  <c r="H892" i="8" s="1"/>
  <c r="L892" i="8" s="1"/>
  <c r="K892" i="8"/>
  <c r="J891" i="8"/>
  <c r="C552" i="8"/>
  <c r="B552" i="8"/>
  <c r="D553" i="8"/>
  <c r="B1072" i="8"/>
  <c r="D1073" i="8"/>
  <c r="M892" i="8" l="1"/>
  <c r="H893" i="8" s="1"/>
  <c r="L893" i="8" s="1"/>
  <c r="K893" i="8"/>
  <c r="J892" i="8"/>
  <c r="C553" i="8"/>
  <c r="B553" i="8"/>
  <c r="D554" i="8"/>
  <c r="B1073" i="8"/>
  <c r="D1074" i="8"/>
  <c r="M893" i="8" l="1"/>
  <c r="H894" i="8" s="1"/>
  <c r="J893" i="8"/>
  <c r="K894" i="8"/>
  <c r="C554" i="8"/>
  <c r="B554" i="8"/>
  <c r="D555" i="8"/>
  <c r="D1075" i="8"/>
  <c r="B1074" i="8"/>
  <c r="L894" i="8" l="1"/>
  <c r="C555" i="8"/>
  <c r="B555" i="8"/>
  <c r="D556" i="8"/>
  <c r="B1075" i="8"/>
  <c r="D1076" i="8"/>
  <c r="K895" i="8" l="1"/>
  <c r="M894" i="8" s="1"/>
  <c r="H895" i="8" s="1"/>
  <c r="L895" i="8" s="1"/>
  <c r="J894" i="8"/>
  <c r="C556" i="8"/>
  <c r="D557" i="8"/>
  <c r="B556" i="8"/>
  <c r="D1077" i="8"/>
  <c r="B1076" i="8"/>
  <c r="M895" i="8" l="1"/>
  <c r="H896" i="8" s="1"/>
  <c r="L896" i="8" s="1"/>
  <c r="K896" i="8"/>
  <c r="J895" i="8"/>
  <c r="B557" i="8"/>
  <c r="C557" i="8"/>
  <c r="D558" i="8"/>
  <c r="D1078" i="8"/>
  <c r="B1077" i="8"/>
  <c r="M896" i="8" l="1"/>
  <c r="H897" i="8" s="1"/>
  <c r="L897" i="8" s="1"/>
  <c r="K897" i="8"/>
  <c r="J896" i="8"/>
  <c r="B558" i="8"/>
  <c r="D559" i="8"/>
  <c r="C558" i="8"/>
  <c r="B1078" i="8"/>
  <c r="D1079" i="8"/>
  <c r="M897" i="8" l="1"/>
  <c r="H898" i="8" s="1"/>
  <c r="L898" i="8" s="1"/>
  <c r="J897" i="8"/>
  <c r="K898" i="8"/>
  <c r="B559" i="8"/>
  <c r="D560" i="8"/>
  <c r="C559" i="8"/>
  <c r="B1079" i="8"/>
  <c r="D1080" i="8"/>
  <c r="M898" i="8" l="1"/>
  <c r="H899" i="8" s="1"/>
  <c r="L899" i="8" s="1"/>
  <c r="J898" i="8"/>
  <c r="K899" i="8"/>
  <c r="B560" i="8"/>
  <c r="C560" i="8"/>
  <c r="D561" i="8"/>
  <c r="B1080" i="8"/>
  <c r="D1081" i="8"/>
  <c r="M899" i="8" l="1"/>
  <c r="H900" i="8" s="1"/>
  <c r="L900" i="8" s="1"/>
  <c r="K900" i="8"/>
  <c r="J899" i="8"/>
  <c r="B561" i="8"/>
  <c r="C561" i="8"/>
  <c r="D562" i="8"/>
  <c r="D1082" i="8"/>
  <c r="B1081" i="8"/>
  <c r="M900" i="8" l="1"/>
  <c r="H901" i="8" s="1"/>
  <c r="L901" i="8" s="1"/>
  <c r="K901" i="8"/>
  <c r="J900" i="8"/>
  <c r="D1083" i="8"/>
  <c r="B1082" i="8"/>
  <c r="B562" i="8"/>
  <c r="D563" i="8"/>
  <c r="C562" i="8"/>
  <c r="M901" i="8" l="1"/>
  <c r="H902" i="8" s="1"/>
  <c r="L902" i="8" s="1"/>
  <c r="J901" i="8"/>
  <c r="K902" i="8"/>
  <c r="B1083" i="8"/>
  <c r="D1084" i="8"/>
  <c r="B563" i="8"/>
  <c r="D564" i="8"/>
  <c r="C563" i="8"/>
  <c r="M902" i="8" l="1"/>
  <c r="H903" i="8" s="1"/>
  <c r="L903" i="8" s="1"/>
  <c r="J902" i="8"/>
  <c r="K903" i="8"/>
  <c r="D1085" i="8"/>
  <c r="B1084" i="8"/>
  <c r="B564" i="8"/>
  <c r="C564" i="8"/>
  <c r="D565" i="8"/>
  <c r="M903" i="8" l="1"/>
  <c r="H904" i="8" s="1"/>
  <c r="L904" i="8" s="1"/>
  <c r="K904" i="8"/>
  <c r="J903" i="8"/>
  <c r="B1085" i="8"/>
  <c r="D1086" i="8"/>
  <c r="B565" i="8"/>
  <c r="C565" i="8"/>
  <c r="D566" i="8"/>
  <c r="M904" i="8" l="1"/>
  <c r="H905" i="8" s="1"/>
  <c r="L905" i="8" s="1"/>
  <c r="K905" i="8"/>
  <c r="J904" i="8"/>
  <c r="B1086" i="8"/>
  <c r="D1087" i="8"/>
  <c r="B566" i="8"/>
  <c r="D567" i="8"/>
  <c r="C566" i="8"/>
  <c r="M905" i="8" l="1"/>
  <c r="H906" i="8" s="1"/>
  <c r="J905" i="8"/>
  <c r="K906" i="8"/>
  <c r="D1088" i="8"/>
  <c r="B1087" i="8"/>
  <c r="B567" i="8"/>
  <c r="D568" i="8"/>
  <c r="C567" i="8"/>
  <c r="L906" i="8" l="1"/>
  <c r="D1089" i="8"/>
  <c r="B1088" i="8"/>
  <c r="B568" i="8"/>
  <c r="C568" i="8"/>
  <c r="D569" i="8"/>
  <c r="M906" i="8" l="1"/>
  <c r="H907" i="8" s="1"/>
  <c r="J906" i="8"/>
  <c r="K907" i="8"/>
  <c r="D1090" i="8"/>
  <c r="B1089" i="8"/>
  <c r="B569" i="8"/>
  <c r="C569" i="8"/>
  <c r="D570" i="8"/>
  <c r="L907" i="8" l="1"/>
  <c r="D1091" i="8"/>
  <c r="B1090" i="8"/>
  <c r="B570" i="8"/>
  <c r="D571" i="8"/>
  <c r="C570" i="8"/>
  <c r="M907" i="8" l="1"/>
  <c r="H908" i="8" s="1"/>
  <c r="L908" i="8" s="1"/>
  <c r="K908" i="8"/>
  <c r="J907" i="8"/>
  <c r="D1092" i="8"/>
  <c r="B1091" i="8"/>
  <c r="B571" i="8"/>
  <c r="D572" i="8"/>
  <c r="C571" i="8"/>
  <c r="M908" i="8" l="1"/>
  <c r="H909" i="8" s="1"/>
  <c r="L909" i="8" s="1"/>
  <c r="K909" i="8"/>
  <c r="J908" i="8"/>
  <c r="B1092" i="8"/>
  <c r="D1093" i="8"/>
  <c r="B572" i="8"/>
  <c r="C572" i="8"/>
  <c r="D573" i="8"/>
  <c r="M909" i="8" l="1"/>
  <c r="H910" i="8" s="1"/>
  <c r="J909" i="8"/>
  <c r="K910" i="8"/>
  <c r="B573" i="8"/>
  <c r="C573" i="8"/>
  <c r="D574" i="8"/>
  <c r="D1094" i="8"/>
  <c r="B1093" i="8"/>
  <c r="L910" i="8" l="1"/>
  <c r="B1094" i="8"/>
  <c r="D1095" i="8"/>
  <c r="B574" i="8"/>
  <c r="D575" i="8"/>
  <c r="C574" i="8"/>
  <c r="M910" i="8" l="1"/>
  <c r="H911" i="8" s="1"/>
  <c r="J910" i="8"/>
  <c r="K911" i="8"/>
  <c r="B575" i="8"/>
  <c r="D576" i="8"/>
  <c r="C575" i="8"/>
  <c r="B1095" i="8"/>
  <c r="D1096" i="8"/>
  <c r="L911" i="8" l="1"/>
  <c r="D1097" i="8"/>
  <c r="B1096" i="8"/>
  <c r="B576" i="8"/>
  <c r="C576" i="8"/>
  <c r="D577" i="8"/>
  <c r="M911" i="8" l="1"/>
  <c r="H912" i="8" s="1"/>
  <c r="L912" i="8" s="1"/>
  <c r="K912" i="8"/>
  <c r="J911" i="8"/>
  <c r="B577" i="8"/>
  <c r="C577" i="8"/>
  <c r="D578" i="8"/>
  <c r="B1097" i="8"/>
  <c r="D1098" i="8"/>
  <c r="M912" i="8" l="1"/>
  <c r="H913" i="8" s="1"/>
  <c r="L913" i="8" s="1"/>
  <c r="K913" i="8"/>
  <c r="J912" i="8"/>
  <c r="B578" i="8"/>
  <c r="D579" i="8"/>
  <c r="C578" i="8"/>
  <c r="D1099" i="8"/>
  <c r="B1098" i="8"/>
  <c r="M913" i="8" l="1"/>
  <c r="H914" i="8" s="1"/>
  <c r="L914" i="8" s="1"/>
  <c r="K914" i="8"/>
  <c r="J913" i="8"/>
  <c r="B579" i="8"/>
  <c r="C579" i="8"/>
  <c r="D580" i="8"/>
  <c r="D1100" i="8"/>
  <c r="B1099" i="8"/>
  <c r="J914" i="8" l="1"/>
  <c r="K915" i="8"/>
  <c r="B580" i="8"/>
  <c r="C580" i="8"/>
  <c r="D581" i="8"/>
  <c r="B1100" i="8"/>
  <c r="D1101" i="8"/>
  <c r="M914" i="8" l="1"/>
  <c r="H915" i="8" s="1"/>
  <c r="L915" i="8" s="1"/>
  <c r="D1102" i="8"/>
  <c r="B1101" i="8"/>
  <c r="B581" i="8"/>
  <c r="C581" i="8"/>
  <c r="D582" i="8"/>
  <c r="M915" i="8" l="1"/>
  <c r="H916" i="8" s="1"/>
  <c r="L916" i="8" s="1"/>
  <c r="K916" i="8"/>
  <c r="J915" i="8"/>
  <c r="C582" i="8"/>
  <c r="B582" i="8"/>
  <c r="D583" i="8"/>
  <c r="B1102" i="8"/>
  <c r="D1103" i="8"/>
  <c r="M916" i="8" l="1"/>
  <c r="H917" i="8" s="1"/>
  <c r="L917" i="8" s="1"/>
  <c r="K917" i="8"/>
  <c r="J916" i="8"/>
  <c r="B1103" i="8"/>
  <c r="D1104" i="8"/>
  <c r="C583" i="8"/>
  <c r="B583" i="8"/>
  <c r="D584" i="8"/>
  <c r="M917" i="8" l="1"/>
  <c r="H918" i="8" s="1"/>
  <c r="L918" i="8" s="1"/>
  <c r="K918" i="8"/>
  <c r="J917" i="8"/>
  <c r="C584" i="8"/>
  <c r="B584" i="8"/>
  <c r="D585" i="8"/>
  <c r="D1105" i="8"/>
  <c r="B1104" i="8"/>
  <c r="M918" i="8" l="1"/>
  <c r="H919" i="8" s="1"/>
  <c r="J918" i="8"/>
  <c r="K919" i="8"/>
  <c r="B1105" i="8"/>
  <c r="D1106" i="8"/>
  <c r="C585" i="8"/>
  <c r="B585" i="8"/>
  <c r="D586" i="8"/>
  <c r="L919" i="8" l="1"/>
  <c r="D1107" i="8"/>
  <c r="B1106" i="8"/>
  <c r="C586" i="8"/>
  <c r="B586" i="8"/>
  <c r="D587" i="8"/>
  <c r="M919" i="8" l="1"/>
  <c r="H920" i="8" s="1"/>
  <c r="L920" i="8" s="1"/>
  <c r="K920" i="8"/>
  <c r="J919" i="8"/>
  <c r="B1107" i="8"/>
  <c r="D1108" i="8"/>
  <c r="C587" i="8"/>
  <c r="B587" i="8"/>
  <c r="D588" i="8"/>
  <c r="M920" i="8" l="1"/>
  <c r="H921" i="8" s="1"/>
  <c r="L921" i="8" s="1"/>
  <c r="K921" i="8"/>
  <c r="J920" i="8"/>
  <c r="B1108" i="8"/>
  <c r="D1109" i="8"/>
  <c r="C588" i="8"/>
  <c r="B588" i="8"/>
  <c r="D589" i="8"/>
  <c r="M921" i="8" l="1"/>
  <c r="H922" i="8" s="1"/>
  <c r="L922" i="8" s="1"/>
  <c r="K922" i="8"/>
  <c r="J921" i="8"/>
  <c r="C589" i="8"/>
  <c r="B589" i="8"/>
  <c r="D590" i="8"/>
  <c r="B1109" i="8"/>
  <c r="D1110" i="8"/>
  <c r="M922" i="8" l="1"/>
  <c r="H923" i="8" s="1"/>
  <c r="J922" i="8"/>
  <c r="K923" i="8"/>
  <c r="B1110" i="8"/>
  <c r="D1111" i="8"/>
  <c r="C590" i="8"/>
  <c r="B590" i="8"/>
  <c r="D591" i="8"/>
  <c r="L923" i="8" l="1"/>
  <c r="D1112" i="8"/>
  <c r="B1111" i="8"/>
  <c r="C591" i="8"/>
  <c r="B591" i="8"/>
  <c r="D592" i="8"/>
  <c r="M923" i="8" l="1"/>
  <c r="H924" i="8" s="1"/>
  <c r="L924" i="8" s="1"/>
  <c r="K924" i="8"/>
  <c r="J923" i="8"/>
  <c r="D1113" i="8"/>
  <c r="B1112" i="8"/>
  <c r="C592" i="8"/>
  <c r="B592" i="8"/>
  <c r="D593" i="8"/>
  <c r="M924" i="8" l="1"/>
  <c r="H925" i="8" s="1"/>
  <c r="L925" i="8" s="1"/>
  <c r="K925" i="8"/>
  <c r="J924" i="8"/>
  <c r="D1114" i="8"/>
  <c r="B1113" i="8"/>
  <c r="C593" i="8"/>
  <c r="B593" i="8"/>
  <c r="D594" i="8"/>
  <c r="M925" i="8" l="1"/>
  <c r="H926" i="8" s="1"/>
  <c r="L926" i="8" s="1"/>
  <c r="K926" i="8"/>
  <c r="J925" i="8"/>
  <c r="B1114" i="8"/>
  <c r="D1115" i="8"/>
  <c r="C594" i="8"/>
  <c r="B594" i="8"/>
  <c r="D595" i="8"/>
  <c r="M926" i="8" l="1"/>
  <c r="H927" i="8" s="1"/>
  <c r="J926" i="8"/>
  <c r="K927" i="8"/>
  <c r="C595" i="8"/>
  <c r="B595" i="8"/>
  <c r="D596" i="8"/>
  <c r="B1115" i="8"/>
  <c r="D1116" i="8"/>
  <c r="L927" i="8" l="1"/>
  <c r="B1116" i="8"/>
  <c r="D1117" i="8"/>
  <c r="C596" i="8"/>
  <c r="B596" i="8"/>
  <c r="D597" i="8"/>
  <c r="M927" i="8" l="1"/>
  <c r="H928" i="8" s="1"/>
  <c r="L928" i="8" s="1"/>
  <c r="K928" i="8"/>
  <c r="J927" i="8"/>
  <c r="C597" i="8"/>
  <c r="B597" i="8"/>
  <c r="D598" i="8"/>
  <c r="B1117" i="8"/>
  <c r="D1118" i="8"/>
  <c r="M928" i="8" l="1"/>
  <c r="H929" i="8" s="1"/>
  <c r="L929" i="8" s="1"/>
  <c r="K929" i="8"/>
  <c r="J928" i="8"/>
  <c r="D1119" i="8"/>
  <c r="B1118" i="8"/>
  <c r="C598" i="8"/>
  <c r="B598" i="8"/>
  <c r="D599" i="8"/>
  <c r="M929" i="8" l="1"/>
  <c r="H930" i="8" s="1"/>
  <c r="L930" i="8" s="1"/>
  <c r="K930" i="8"/>
  <c r="J929" i="8"/>
  <c r="C599" i="8"/>
  <c r="B599" i="8"/>
  <c r="D600" i="8"/>
  <c r="D1120" i="8"/>
  <c r="B1119" i="8"/>
  <c r="M930" i="8" l="1"/>
  <c r="H931" i="8" s="1"/>
  <c r="L931" i="8" s="1"/>
  <c r="J930" i="8"/>
  <c r="K931" i="8"/>
  <c r="D1121" i="8"/>
  <c r="B1120" i="8"/>
  <c r="C600" i="8"/>
  <c r="B600" i="8"/>
  <c r="D601" i="8"/>
  <c r="M931" i="8" l="1"/>
  <c r="H932" i="8" s="1"/>
  <c r="L932" i="8" s="1"/>
  <c r="K932" i="8"/>
  <c r="J931" i="8"/>
  <c r="D1122" i="8"/>
  <c r="B1121" i="8"/>
  <c r="C601" i="8"/>
  <c r="B601" i="8"/>
  <c r="D602" i="8"/>
  <c r="M932" i="8" l="1"/>
  <c r="H933" i="8" s="1"/>
  <c r="L933" i="8" s="1"/>
  <c r="K933" i="8"/>
  <c r="J932" i="8"/>
  <c r="B1122" i="8"/>
  <c r="D1123" i="8"/>
  <c r="C602" i="8"/>
  <c r="B602" i="8"/>
  <c r="D603" i="8"/>
  <c r="M933" i="8" l="1"/>
  <c r="H934" i="8" s="1"/>
  <c r="L934" i="8" s="1"/>
  <c r="K934" i="8"/>
  <c r="J933" i="8"/>
  <c r="B1123" i="8"/>
  <c r="D1124" i="8"/>
  <c r="C603" i="8"/>
  <c r="B603" i="8"/>
  <c r="D604" i="8"/>
  <c r="M934" i="8" l="1"/>
  <c r="H935" i="8" s="1"/>
  <c r="J934" i="8"/>
  <c r="K935" i="8"/>
  <c r="B1124" i="8"/>
  <c r="D1125" i="8"/>
  <c r="C604" i="8"/>
  <c r="B604" i="8"/>
  <c r="D605" i="8"/>
  <c r="L935" i="8" l="1"/>
  <c r="B1125" i="8"/>
  <c r="D1126" i="8"/>
  <c r="C605" i="8"/>
  <c r="B605" i="8"/>
  <c r="D606" i="8"/>
  <c r="M935" i="8" l="1"/>
  <c r="H936" i="8" s="1"/>
  <c r="L936" i="8" s="1"/>
  <c r="K936" i="8"/>
  <c r="J935" i="8"/>
  <c r="C606" i="8"/>
  <c r="B606" i="8"/>
  <c r="D607" i="8"/>
  <c r="B1126" i="8"/>
  <c r="D1127" i="8"/>
  <c r="M936" i="8" l="1"/>
  <c r="H937" i="8" s="1"/>
  <c r="L937" i="8" s="1"/>
  <c r="K937" i="8"/>
  <c r="J936" i="8"/>
  <c r="D1128" i="8"/>
  <c r="B1127" i="8"/>
  <c r="C607" i="8"/>
  <c r="B607" i="8"/>
  <c r="D608" i="8"/>
  <c r="K938" i="8" l="1"/>
  <c r="M937" i="8" s="1"/>
  <c r="H938" i="8" s="1"/>
  <c r="L938" i="8" s="1"/>
  <c r="J937" i="8"/>
  <c r="C608" i="8"/>
  <c r="B608" i="8"/>
  <c r="D609" i="8"/>
  <c r="D1129" i="8"/>
  <c r="B1128" i="8"/>
  <c r="M938" i="8" l="1"/>
  <c r="H939" i="8" s="1"/>
  <c r="J938" i="8"/>
  <c r="K939" i="8"/>
  <c r="D1130" i="8"/>
  <c r="B1129" i="8"/>
  <c r="C609" i="8"/>
  <c r="B609" i="8"/>
  <c r="D610" i="8"/>
  <c r="L939" i="8" l="1"/>
  <c r="C610" i="8"/>
  <c r="B610" i="8"/>
  <c r="D611" i="8"/>
  <c r="D1131" i="8"/>
  <c r="B1130" i="8"/>
  <c r="M939" i="8" l="1"/>
  <c r="H940" i="8" s="1"/>
  <c r="J939" i="8"/>
  <c r="K940" i="8"/>
  <c r="B1131" i="8"/>
  <c r="D1132" i="8"/>
  <c r="C611" i="8"/>
  <c r="B611" i="8"/>
  <c r="D612" i="8"/>
  <c r="L940" i="8" l="1"/>
  <c r="C612" i="8"/>
  <c r="B612" i="8"/>
  <c r="D613" i="8"/>
  <c r="B1132" i="8"/>
  <c r="D1133" i="8"/>
  <c r="M940" i="8" l="1"/>
  <c r="H941" i="8" s="1"/>
  <c r="L941" i="8" s="1"/>
  <c r="K941" i="8"/>
  <c r="J940" i="8"/>
  <c r="B1133" i="8"/>
  <c r="D1134" i="8"/>
  <c r="C613" i="8"/>
  <c r="B613" i="8"/>
  <c r="D614" i="8"/>
  <c r="M941" i="8" l="1"/>
  <c r="H942" i="8" s="1"/>
  <c r="L942" i="8" s="1"/>
  <c r="K942" i="8"/>
  <c r="J941" i="8"/>
  <c r="D615" i="8"/>
  <c r="C614" i="8"/>
  <c r="B614" i="8"/>
  <c r="D1135" i="8"/>
  <c r="B1134" i="8"/>
  <c r="M942" i="8" l="1"/>
  <c r="H943" i="8" s="1"/>
  <c r="L943" i="8" s="1"/>
  <c r="K943" i="8"/>
  <c r="J942" i="8"/>
  <c r="B1135" i="8"/>
  <c r="D1136" i="8"/>
  <c r="C615" i="8"/>
  <c r="B615" i="8"/>
  <c r="D616" i="8"/>
  <c r="M943" i="8" l="1"/>
  <c r="H944" i="8" s="1"/>
  <c r="J943" i="8"/>
  <c r="K944" i="8"/>
  <c r="B1136" i="8"/>
  <c r="D1137" i="8"/>
  <c r="C616" i="8"/>
  <c r="D617" i="8"/>
  <c r="B616" i="8"/>
  <c r="L944" i="8" l="1"/>
  <c r="D1138" i="8"/>
  <c r="B1137" i="8"/>
  <c r="B617" i="8"/>
  <c r="D618" i="8"/>
  <c r="C617" i="8"/>
  <c r="M944" i="8" l="1"/>
  <c r="H945" i="8" s="1"/>
  <c r="L945" i="8" s="1"/>
  <c r="K945" i="8"/>
  <c r="J944" i="8"/>
  <c r="D1139" i="8"/>
  <c r="B1138" i="8"/>
  <c r="D619" i="8"/>
  <c r="B618" i="8"/>
  <c r="C618" i="8"/>
  <c r="M945" i="8" l="1"/>
  <c r="H946" i="8" s="1"/>
  <c r="L946" i="8" s="1"/>
  <c r="K946" i="8"/>
  <c r="J945" i="8"/>
  <c r="C619" i="8"/>
  <c r="D620" i="8"/>
  <c r="B619" i="8"/>
  <c r="B1139" i="8"/>
  <c r="D1140" i="8"/>
  <c r="M946" i="8" l="1"/>
  <c r="H947" i="8" s="1"/>
  <c r="L947" i="8" s="1"/>
  <c r="J946" i="8"/>
  <c r="K947" i="8"/>
  <c r="B1140" i="8"/>
  <c r="D1141" i="8"/>
  <c r="C620" i="8"/>
  <c r="B620" i="8"/>
  <c r="D621" i="8"/>
  <c r="M947" i="8" l="1"/>
  <c r="H948" i="8" s="1"/>
  <c r="L948" i="8" s="1"/>
  <c r="J947" i="8"/>
  <c r="K948" i="8"/>
  <c r="C621" i="8"/>
  <c r="B621" i="8"/>
  <c r="D622" i="8"/>
  <c r="B1141" i="8"/>
  <c r="D1142" i="8"/>
  <c r="M948" i="8" l="1"/>
  <c r="H949" i="8" s="1"/>
  <c r="L949" i="8" s="1"/>
  <c r="K949" i="8"/>
  <c r="J948" i="8"/>
  <c r="C622" i="8"/>
  <c r="B622" i="8"/>
  <c r="D623" i="8"/>
  <c r="B1142" i="8"/>
  <c r="D1143" i="8"/>
  <c r="M949" i="8" l="1"/>
  <c r="H950" i="8" s="1"/>
  <c r="L950" i="8" s="1"/>
  <c r="K950" i="8"/>
  <c r="J949" i="8"/>
  <c r="C623" i="8"/>
  <c r="D624" i="8"/>
  <c r="B623" i="8"/>
  <c r="D1144" i="8"/>
  <c r="B1143" i="8"/>
  <c r="M950" i="8" l="1"/>
  <c r="H951" i="8" s="1"/>
  <c r="L951" i="8" s="1"/>
  <c r="K951" i="8"/>
  <c r="J950" i="8"/>
  <c r="D1145" i="8"/>
  <c r="B1144" i="8"/>
  <c r="D625" i="8"/>
  <c r="B624" i="8"/>
  <c r="C624" i="8"/>
  <c r="M951" i="8" l="1"/>
  <c r="H952" i="8" s="1"/>
  <c r="J951" i="8"/>
  <c r="K952" i="8"/>
  <c r="D626" i="8"/>
  <c r="C625" i="8"/>
  <c r="B625" i="8"/>
  <c r="D1146" i="8"/>
  <c r="B1145" i="8"/>
  <c r="L952" i="8" l="1"/>
  <c r="C626" i="8"/>
  <c r="B626" i="8"/>
  <c r="D627" i="8"/>
  <c r="D1147" i="8"/>
  <c r="B1146" i="8"/>
  <c r="M952" i="8" l="1"/>
  <c r="H953" i="8" s="1"/>
  <c r="L953" i="8" s="1"/>
  <c r="J952" i="8"/>
  <c r="K953" i="8"/>
  <c r="D628" i="8"/>
  <c r="C627" i="8"/>
  <c r="B627" i="8"/>
  <c r="B1147" i="8"/>
  <c r="D1148" i="8"/>
  <c r="M953" i="8" l="1"/>
  <c r="H954" i="8" s="1"/>
  <c r="L954" i="8" s="1"/>
  <c r="K954" i="8"/>
  <c r="J953" i="8"/>
  <c r="B1148" i="8"/>
  <c r="D1149" i="8"/>
  <c r="C628" i="8"/>
  <c r="D629" i="8"/>
  <c r="B628" i="8"/>
  <c r="J954" i="8" l="1"/>
  <c r="K955" i="8"/>
  <c r="D630" i="8"/>
  <c r="B629" i="8"/>
  <c r="C629" i="8"/>
  <c r="B1149" i="8"/>
  <c r="D1150" i="8"/>
  <c r="M954" i="8" l="1"/>
  <c r="H955" i="8" s="1"/>
  <c r="L955" i="8" s="1"/>
  <c r="C630" i="8"/>
  <c r="B630" i="8"/>
  <c r="D631" i="8"/>
  <c r="B1150" i="8"/>
  <c r="D1151" i="8"/>
  <c r="M955" i="8" l="1"/>
  <c r="H956" i="8" s="1"/>
  <c r="J955" i="8"/>
  <c r="K956" i="8"/>
  <c r="D1152" i="8"/>
  <c r="B1151" i="8"/>
  <c r="C631" i="8"/>
  <c r="D632" i="8"/>
  <c r="B631" i="8"/>
  <c r="L956" i="8" l="1"/>
  <c r="D1153" i="8"/>
  <c r="B1152" i="8"/>
  <c r="B632" i="8"/>
  <c r="D633" i="8"/>
  <c r="C632" i="8"/>
  <c r="M956" i="8" l="1"/>
  <c r="H957" i="8" s="1"/>
  <c r="L957" i="8" s="1"/>
  <c r="K957" i="8"/>
  <c r="J956" i="8"/>
  <c r="C633" i="8"/>
  <c r="B633" i="8"/>
  <c r="D634" i="8"/>
  <c r="D1154" i="8"/>
  <c r="B1153" i="8"/>
  <c r="M957" i="8" l="1"/>
  <c r="H958" i="8" s="1"/>
  <c r="L958" i="8" s="1"/>
  <c r="K958" i="8"/>
  <c r="J957" i="8"/>
  <c r="D1155" i="8"/>
  <c r="B1154" i="8"/>
  <c r="C634" i="8"/>
  <c r="B634" i="8"/>
  <c r="D635" i="8"/>
  <c r="M958" i="8" l="1"/>
  <c r="H959" i="8" s="1"/>
  <c r="L959" i="8" s="1"/>
  <c r="K959" i="8"/>
  <c r="J958" i="8"/>
  <c r="C635" i="8"/>
  <c r="B635" i="8"/>
  <c r="D636" i="8"/>
  <c r="D1156" i="8"/>
  <c r="B1155" i="8"/>
  <c r="M959" i="8" l="1"/>
  <c r="H960" i="8" s="1"/>
  <c r="J959" i="8"/>
  <c r="K960" i="8"/>
  <c r="C636" i="8"/>
  <c r="B636" i="8"/>
  <c r="D637" i="8"/>
  <c r="D1157" i="8"/>
  <c r="B1156" i="8"/>
  <c r="L960" i="8" l="1"/>
  <c r="D1158" i="8"/>
  <c r="B1157" i="8"/>
  <c r="D638" i="8"/>
  <c r="C637" i="8"/>
  <c r="B637" i="8"/>
  <c r="M960" i="8" l="1"/>
  <c r="H961" i="8" s="1"/>
  <c r="L961" i="8" s="1"/>
  <c r="K961" i="8"/>
  <c r="J960" i="8"/>
  <c r="C638" i="8"/>
  <c r="B638" i="8"/>
  <c r="D639" i="8"/>
  <c r="D1159" i="8"/>
  <c r="B1158" i="8"/>
  <c r="M961" i="8" l="1"/>
  <c r="H962" i="8" s="1"/>
  <c r="L962" i="8" s="1"/>
  <c r="K962" i="8"/>
  <c r="J961" i="8"/>
  <c r="B1159" i="8"/>
  <c r="D1160" i="8"/>
  <c r="C639" i="8"/>
  <c r="B639" i="8"/>
  <c r="D640" i="8"/>
  <c r="K963" i="8" l="1"/>
  <c r="J962" i="8"/>
  <c r="B640" i="8"/>
  <c r="D641" i="8"/>
  <c r="C640" i="8"/>
  <c r="D1161" i="8"/>
  <c r="B1160" i="8"/>
  <c r="M962" i="8" l="1"/>
  <c r="H963" i="8" s="1"/>
  <c r="L963" i="8" s="1"/>
  <c r="B1161" i="8"/>
  <c r="D1162" i="8"/>
  <c r="C641" i="8"/>
  <c r="B641" i="8"/>
  <c r="D642" i="8"/>
  <c r="M963" i="8" l="1"/>
  <c r="H964" i="8" s="1"/>
  <c r="J963" i="8"/>
  <c r="K964" i="8"/>
  <c r="C642" i="8"/>
  <c r="B642" i="8"/>
  <c r="D643" i="8"/>
  <c r="D1163" i="8"/>
  <c r="B1162" i="8"/>
  <c r="L964" i="8" l="1"/>
  <c r="D1164" i="8"/>
  <c r="B1163" i="8"/>
  <c r="C643" i="8"/>
  <c r="B643" i="8"/>
  <c r="D644" i="8"/>
  <c r="M964" i="8" l="1"/>
  <c r="H965" i="8" s="1"/>
  <c r="L965" i="8" s="1"/>
  <c r="K965" i="8"/>
  <c r="J964" i="8"/>
  <c r="C644" i="8"/>
  <c r="B644" i="8"/>
  <c r="D645" i="8"/>
  <c r="D1165" i="8"/>
  <c r="B1164" i="8"/>
  <c r="M965" i="8" l="1"/>
  <c r="H966" i="8" s="1"/>
  <c r="L966" i="8" s="1"/>
  <c r="K966" i="8"/>
  <c r="J965" i="8"/>
  <c r="D1166" i="8"/>
  <c r="B1165" i="8"/>
  <c r="C645" i="8"/>
  <c r="D646" i="8"/>
  <c r="B645" i="8"/>
  <c r="M966" i="8" l="1"/>
  <c r="H967" i="8" s="1"/>
  <c r="L967" i="8" s="1"/>
  <c r="K967" i="8"/>
  <c r="J966" i="8"/>
  <c r="C646" i="8"/>
  <c r="B646" i="8"/>
  <c r="D647" i="8"/>
  <c r="B1166" i="8"/>
  <c r="D1167" i="8"/>
  <c r="M967" i="8" l="1"/>
  <c r="H968" i="8" s="1"/>
  <c r="J967" i="8"/>
  <c r="K968" i="8"/>
  <c r="B1167" i="8"/>
  <c r="D1168" i="8"/>
  <c r="D648" i="8"/>
  <c r="C647" i="8"/>
  <c r="B647" i="8"/>
  <c r="L968" i="8" l="1"/>
  <c r="D649" i="8"/>
  <c r="C648" i="8"/>
  <c r="B648" i="8"/>
  <c r="B1168" i="8"/>
  <c r="D1169" i="8"/>
  <c r="M968" i="8" l="1"/>
  <c r="H969" i="8" s="1"/>
  <c r="L969" i="8" s="1"/>
  <c r="K969" i="8"/>
  <c r="J968" i="8"/>
  <c r="B1169" i="8"/>
  <c r="D1170" i="8"/>
  <c r="D650" i="8"/>
  <c r="C649" i="8"/>
  <c r="B649" i="8"/>
  <c r="M969" i="8" l="1"/>
  <c r="H970" i="8" s="1"/>
  <c r="L970" i="8" s="1"/>
  <c r="K970" i="8"/>
  <c r="J969" i="8"/>
  <c r="D651" i="8"/>
  <c r="C650" i="8"/>
  <c r="B650" i="8"/>
  <c r="D1171" i="8"/>
  <c r="B1170" i="8"/>
  <c r="M970" i="8" l="1"/>
  <c r="H971" i="8" s="1"/>
  <c r="L971" i="8" s="1"/>
  <c r="K971" i="8"/>
  <c r="J970" i="8"/>
  <c r="D1172" i="8"/>
  <c r="B1171" i="8"/>
  <c r="B651" i="8"/>
  <c r="C651" i="8"/>
  <c r="D652" i="8"/>
  <c r="M971" i="8" l="1"/>
  <c r="H972" i="8" s="1"/>
  <c r="J971" i="8"/>
  <c r="K972" i="8"/>
  <c r="B652" i="8"/>
  <c r="D653" i="8"/>
  <c r="C652" i="8"/>
  <c r="D1173" i="8"/>
  <c r="B1172" i="8"/>
  <c r="L972" i="8" l="1"/>
  <c r="D1174" i="8"/>
  <c r="B1173" i="8"/>
  <c r="B653" i="8"/>
  <c r="C653" i="8"/>
  <c r="D654" i="8"/>
  <c r="M972" i="8" l="1"/>
  <c r="H973" i="8" s="1"/>
  <c r="L973" i="8" s="1"/>
  <c r="K973" i="8"/>
  <c r="J972" i="8"/>
  <c r="B654" i="8"/>
  <c r="D655" i="8"/>
  <c r="C654" i="8"/>
  <c r="B1174" i="8"/>
  <c r="D1175" i="8"/>
  <c r="M973" i="8" l="1"/>
  <c r="H974" i="8" s="1"/>
  <c r="L974" i="8" s="1"/>
  <c r="K974" i="8"/>
  <c r="J973" i="8"/>
  <c r="B1175" i="8"/>
  <c r="D1176" i="8"/>
  <c r="D656" i="8"/>
  <c r="B655" i="8"/>
  <c r="C655" i="8"/>
  <c r="M974" i="8" l="1"/>
  <c r="H975" i="8" s="1"/>
  <c r="L975" i="8" s="1"/>
  <c r="K975" i="8"/>
  <c r="J974" i="8"/>
  <c r="D657" i="8"/>
  <c r="B656" i="8"/>
  <c r="C656" i="8"/>
  <c r="B1176" i="8"/>
  <c r="D1177" i="8"/>
  <c r="M975" i="8" l="1"/>
  <c r="H976" i="8" s="1"/>
  <c r="L976" i="8" s="1"/>
  <c r="K976" i="8"/>
  <c r="J975" i="8"/>
  <c r="B1177" i="8"/>
  <c r="D1178" i="8"/>
  <c r="D658" i="8"/>
  <c r="B657" i="8"/>
  <c r="C657" i="8"/>
  <c r="M976" i="8" l="1"/>
  <c r="H977" i="8" s="1"/>
  <c r="L977" i="8" s="1"/>
  <c r="K977" i="8"/>
  <c r="J976" i="8"/>
  <c r="B658" i="8"/>
  <c r="D659" i="8"/>
  <c r="C658" i="8"/>
  <c r="D1179" i="8"/>
  <c r="B1178" i="8"/>
  <c r="M977" i="8" l="1"/>
  <c r="H978" i="8" s="1"/>
  <c r="L978" i="8" s="1"/>
  <c r="K978" i="8"/>
  <c r="J977" i="8"/>
  <c r="B1179" i="8"/>
  <c r="D1180" i="8"/>
  <c r="D660" i="8"/>
  <c r="B659" i="8"/>
  <c r="C659" i="8"/>
  <c r="M978" i="8" l="1"/>
  <c r="H979" i="8" s="1"/>
  <c r="L979" i="8" s="1"/>
  <c r="K979" i="8"/>
  <c r="J978" i="8"/>
  <c r="D661" i="8"/>
  <c r="B660" i="8"/>
  <c r="C660" i="8"/>
  <c r="B1180" i="8"/>
  <c r="D1181" i="8"/>
  <c r="M979" i="8" l="1"/>
  <c r="H980" i="8" s="1"/>
  <c r="L980" i="8" s="1"/>
  <c r="J979" i="8"/>
  <c r="K980" i="8"/>
  <c r="D1182" i="8"/>
  <c r="B1181" i="8"/>
  <c r="B661" i="8"/>
  <c r="D662" i="8"/>
  <c r="C661" i="8"/>
  <c r="K981" i="8" l="1"/>
  <c r="M980" i="8" s="1"/>
  <c r="H981" i="8" s="1"/>
  <c r="L981" i="8" s="1"/>
  <c r="J980" i="8"/>
  <c r="B662" i="8"/>
  <c r="D663" i="8"/>
  <c r="C662" i="8"/>
  <c r="D1183" i="8"/>
  <c r="B1182" i="8"/>
  <c r="M981" i="8" l="1"/>
  <c r="H982" i="8" s="1"/>
  <c r="J981" i="8"/>
  <c r="K982" i="8"/>
  <c r="B1183" i="8"/>
  <c r="D1184" i="8"/>
  <c r="D664" i="8"/>
  <c r="B663" i="8"/>
  <c r="C663" i="8"/>
  <c r="L982" i="8" l="1"/>
  <c r="B664" i="8"/>
  <c r="D665" i="8"/>
  <c r="C664" i="8"/>
  <c r="B1184" i="8"/>
  <c r="D1185" i="8"/>
  <c r="M982" i="8" l="1"/>
  <c r="H983" i="8" s="1"/>
  <c r="J982" i="8"/>
  <c r="K983" i="8"/>
  <c r="B1185" i="8"/>
  <c r="D1186" i="8"/>
  <c r="D666" i="8"/>
  <c r="B665" i="8"/>
  <c r="C665" i="8"/>
  <c r="L983" i="8" l="1"/>
  <c r="B666" i="8"/>
  <c r="D667" i="8"/>
  <c r="C666" i="8"/>
  <c r="B1186" i="8"/>
  <c r="D1187" i="8"/>
  <c r="M983" i="8" l="1"/>
  <c r="H984" i="8" s="1"/>
  <c r="J983" i="8"/>
  <c r="K984" i="8"/>
  <c r="D1188" i="8"/>
  <c r="B1187" i="8"/>
  <c r="D668" i="8"/>
  <c r="B667" i="8"/>
  <c r="C667" i="8"/>
  <c r="L984" i="8" l="1"/>
  <c r="D669" i="8"/>
  <c r="B668" i="8"/>
  <c r="C668" i="8"/>
  <c r="D1189" i="8"/>
  <c r="B1188" i="8"/>
  <c r="M984" i="8" l="1"/>
  <c r="H985" i="8" s="1"/>
  <c r="L985" i="8" s="1"/>
  <c r="K985" i="8"/>
  <c r="J984" i="8"/>
  <c r="D1190" i="8"/>
  <c r="B1189" i="8"/>
  <c r="B669" i="8"/>
  <c r="D670" i="8"/>
  <c r="C669" i="8"/>
  <c r="M985" i="8" l="1"/>
  <c r="H986" i="8" s="1"/>
  <c r="J985" i="8"/>
  <c r="K986" i="8"/>
  <c r="B670" i="8"/>
  <c r="D671" i="8"/>
  <c r="C670" i="8"/>
  <c r="D1191" i="8"/>
  <c r="B1190" i="8"/>
  <c r="L986" i="8" l="1"/>
  <c r="B1191" i="8"/>
  <c r="D1192" i="8"/>
  <c r="D672" i="8"/>
  <c r="B671" i="8"/>
  <c r="C671" i="8"/>
  <c r="M986" i="8" l="1"/>
  <c r="H987" i="8" s="1"/>
  <c r="J986" i="8"/>
  <c r="K987" i="8"/>
  <c r="B1192" i="8"/>
  <c r="D1193" i="8"/>
  <c r="B672" i="8"/>
  <c r="D673" i="8"/>
  <c r="C672" i="8"/>
  <c r="L987" i="8" l="1"/>
  <c r="D674" i="8"/>
  <c r="B673" i="8"/>
  <c r="C673" i="8"/>
  <c r="B1193" i="8"/>
  <c r="D1194" i="8"/>
  <c r="M987" i="8" l="1"/>
  <c r="H988" i="8" s="1"/>
  <c r="J987" i="8"/>
  <c r="K988" i="8"/>
  <c r="B1194" i="8"/>
  <c r="D1195" i="8"/>
  <c r="B674" i="8"/>
  <c r="D675" i="8"/>
  <c r="C674" i="8"/>
  <c r="L988" i="8" l="1"/>
  <c r="D676" i="8"/>
  <c r="B675" i="8"/>
  <c r="C675" i="8"/>
  <c r="D1196" i="8"/>
  <c r="B1195" i="8"/>
  <c r="M988" i="8" l="1"/>
  <c r="H989" i="8" s="1"/>
  <c r="L989" i="8" s="1"/>
  <c r="K989" i="8"/>
  <c r="J988" i="8"/>
  <c r="D1197" i="8"/>
  <c r="B1196" i="8"/>
  <c r="D677" i="8"/>
  <c r="B676" i="8"/>
  <c r="C676" i="8"/>
  <c r="J989" i="8" l="1"/>
  <c r="K990" i="8"/>
  <c r="B677" i="8"/>
  <c r="D678" i="8"/>
  <c r="C677" i="8"/>
  <c r="D1198" i="8"/>
  <c r="B1197" i="8"/>
  <c r="M989" i="8" l="1"/>
  <c r="H990" i="8" s="1"/>
  <c r="L990" i="8" s="1"/>
  <c r="D1199" i="8"/>
  <c r="B1198" i="8"/>
  <c r="B678" i="8"/>
  <c r="D679" i="8"/>
  <c r="C678" i="8"/>
  <c r="M990" i="8" l="1"/>
  <c r="H991" i="8" s="1"/>
  <c r="J990" i="8"/>
  <c r="K991" i="8"/>
  <c r="B679" i="8"/>
  <c r="D680" i="8"/>
  <c r="C679" i="8"/>
  <c r="B1199" i="8"/>
  <c r="D1200" i="8"/>
  <c r="L991" i="8" l="1"/>
  <c r="D681" i="8"/>
  <c r="B680" i="8"/>
  <c r="C680" i="8"/>
  <c r="B1200" i="8"/>
  <c r="D1201" i="8"/>
  <c r="M991" i="8" l="1"/>
  <c r="H992" i="8" s="1"/>
  <c r="J991" i="8"/>
  <c r="K992" i="8"/>
  <c r="B1201" i="8"/>
  <c r="D1202" i="8"/>
  <c r="D682" i="8"/>
  <c r="B681" i="8"/>
  <c r="C681" i="8"/>
  <c r="L992" i="8" l="1"/>
  <c r="D683" i="8"/>
  <c r="B682" i="8"/>
  <c r="C682" i="8"/>
  <c r="B1202" i="8"/>
  <c r="D1203" i="8"/>
  <c r="M992" i="8" l="1"/>
  <c r="H993" i="8" s="1"/>
  <c r="L993" i="8" s="1"/>
  <c r="K993" i="8"/>
  <c r="J992" i="8"/>
  <c r="D1204" i="8"/>
  <c r="B1203" i="8"/>
  <c r="D684" i="8"/>
  <c r="B683" i="8"/>
  <c r="C683" i="8"/>
  <c r="M993" i="8" l="1"/>
  <c r="H994" i="8" s="1"/>
  <c r="J993" i="8"/>
  <c r="K994" i="8"/>
  <c r="D685" i="8"/>
  <c r="B684" i="8"/>
  <c r="C684" i="8"/>
  <c r="D1205" i="8"/>
  <c r="B1204" i="8"/>
  <c r="L994" i="8" l="1"/>
  <c r="D1206" i="8"/>
  <c r="B1205" i="8"/>
  <c r="D686" i="8"/>
  <c r="B685" i="8"/>
  <c r="C685" i="8"/>
  <c r="M994" i="8" l="1"/>
  <c r="H995" i="8" s="1"/>
  <c r="L995" i="8" s="1"/>
  <c r="J994" i="8"/>
  <c r="K995" i="8"/>
  <c r="B686" i="8"/>
  <c r="D687" i="8"/>
  <c r="C686" i="8"/>
  <c r="D1207" i="8"/>
  <c r="B1206" i="8"/>
  <c r="M995" i="8" l="1"/>
  <c r="H996" i="8" s="1"/>
  <c r="L996" i="8" s="1"/>
  <c r="J995" i="8"/>
  <c r="K996" i="8"/>
  <c r="B1207" i="8"/>
  <c r="D1208" i="8"/>
  <c r="B687" i="8"/>
  <c r="D688" i="8"/>
  <c r="C687" i="8"/>
  <c r="M996" i="8" l="1"/>
  <c r="H997" i="8" s="1"/>
  <c r="L997" i="8" s="1"/>
  <c r="K997" i="8"/>
  <c r="J996" i="8"/>
  <c r="B1208" i="8"/>
  <c r="D1209" i="8"/>
  <c r="D689" i="8"/>
  <c r="B688" i="8"/>
  <c r="C688" i="8"/>
  <c r="M997" i="8" l="1"/>
  <c r="H998" i="8" s="1"/>
  <c r="J997" i="8"/>
  <c r="K998" i="8"/>
  <c r="B689" i="8"/>
  <c r="D690" i="8"/>
  <c r="C689" i="8"/>
  <c r="B1209" i="8"/>
  <c r="D1210" i="8"/>
  <c r="L998" i="8" l="1"/>
  <c r="B1210" i="8"/>
  <c r="D1211" i="8"/>
  <c r="B690" i="8"/>
  <c r="D691" i="8"/>
  <c r="C690" i="8"/>
  <c r="M998" i="8" l="1"/>
  <c r="H999" i="8" s="1"/>
  <c r="J998" i="8"/>
  <c r="K999" i="8"/>
  <c r="D692" i="8"/>
  <c r="B691" i="8"/>
  <c r="C691" i="8"/>
  <c r="D1212" i="8"/>
  <c r="B1211" i="8"/>
  <c r="L999" i="8" l="1"/>
  <c r="D1213" i="8"/>
  <c r="B1212" i="8"/>
  <c r="D693" i="8"/>
  <c r="B692" i="8"/>
  <c r="C692" i="8"/>
  <c r="M999" i="8" l="1"/>
  <c r="H1000" i="8" s="1"/>
  <c r="L1000" i="8" s="1"/>
  <c r="K1000" i="8"/>
  <c r="J999" i="8"/>
  <c r="B693" i="8"/>
  <c r="D694" i="8"/>
  <c r="C693" i="8"/>
  <c r="D1214" i="8"/>
  <c r="B1213" i="8"/>
  <c r="M1000" i="8" l="1"/>
  <c r="H1001" i="8" s="1"/>
  <c r="L1001" i="8" s="1"/>
  <c r="K1001" i="8"/>
  <c r="J1000" i="8"/>
  <c r="D1215" i="8"/>
  <c r="B1214" i="8"/>
  <c r="B694" i="8"/>
  <c r="D695" i="8"/>
  <c r="C694" i="8"/>
  <c r="M1001" i="8" l="1"/>
  <c r="H1002" i="8" s="1"/>
  <c r="J1001" i="8"/>
  <c r="K1002" i="8"/>
  <c r="D696" i="8"/>
  <c r="B695" i="8"/>
  <c r="C695" i="8"/>
  <c r="D1216" i="8"/>
  <c r="B1215" i="8"/>
  <c r="L1002" i="8" l="1"/>
  <c r="D1217" i="8"/>
  <c r="B1216" i="8"/>
  <c r="D697" i="8"/>
  <c r="B696" i="8"/>
  <c r="C696" i="8"/>
  <c r="M1002" i="8" l="1"/>
  <c r="H1003" i="8" s="1"/>
  <c r="J1002" i="8"/>
  <c r="K1003" i="8"/>
  <c r="D698" i="8"/>
  <c r="B697" i="8"/>
  <c r="C697" i="8"/>
  <c r="D1218" i="8"/>
  <c r="B1217" i="8"/>
  <c r="L1003" i="8" l="1"/>
  <c r="B1218" i="8"/>
  <c r="D1219" i="8"/>
  <c r="B698" i="8"/>
  <c r="D699" i="8"/>
  <c r="C698" i="8"/>
  <c r="M1003" i="8" l="1"/>
  <c r="H1004" i="8" s="1"/>
  <c r="L1004" i="8" s="1"/>
  <c r="K1004" i="8"/>
  <c r="J1003" i="8"/>
  <c r="D700" i="8"/>
  <c r="B699" i="8"/>
  <c r="C699" i="8"/>
  <c r="D1220" i="8"/>
  <c r="B1219" i="8"/>
  <c r="M1004" i="8" l="1"/>
  <c r="H1005" i="8" s="1"/>
  <c r="L1005" i="8" s="1"/>
  <c r="K1005" i="8"/>
  <c r="J1004" i="8"/>
  <c r="D1221" i="8"/>
  <c r="B1220" i="8"/>
  <c r="D701" i="8"/>
  <c r="B700" i="8"/>
  <c r="C700" i="8"/>
  <c r="J1005" i="8" l="1"/>
  <c r="K1006" i="8"/>
  <c r="D702" i="8"/>
  <c r="B701" i="8"/>
  <c r="C701" i="8"/>
  <c r="B1221" i="8"/>
  <c r="D1222" i="8"/>
  <c r="M1005" i="8" l="1"/>
  <c r="H1006" i="8" s="1"/>
  <c r="L1006" i="8" s="1"/>
  <c r="D1223" i="8"/>
  <c r="B1222" i="8"/>
  <c r="D703" i="8"/>
  <c r="B702" i="8"/>
  <c r="C702" i="8"/>
  <c r="M1006" i="8" l="1"/>
  <c r="H1007" i="8" s="1"/>
  <c r="J1006" i="8"/>
  <c r="K1007" i="8"/>
  <c r="B703" i="8"/>
  <c r="D704" i="8"/>
  <c r="C703" i="8"/>
  <c r="D1224" i="8"/>
  <c r="B1223" i="8"/>
  <c r="L1007" i="8" l="1"/>
  <c r="D705" i="8"/>
  <c r="B704" i="8"/>
  <c r="C704" i="8"/>
  <c r="B1224" i="8"/>
  <c r="D1225" i="8"/>
  <c r="M1007" i="8" l="1"/>
  <c r="H1008" i="8" s="1"/>
  <c r="L1008" i="8" s="1"/>
  <c r="J1007" i="8"/>
  <c r="K1008" i="8"/>
  <c r="D1226" i="8"/>
  <c r="B1225" i="8"/>
  <c r="D706" i="8"/>
  <c r="B705" i="8"/>
  <c r="C705" i="8"/>
  <c r="M1008" i="8" l="1"/>
  <c r="H1009" i="8" s="1"/>
  <c r="L1009" i="8" s="1"/>
  <c r="J1008" i="8"/>
  <c r="K1009" i="8"/>
  <c r="B706" i="8"/>
  <c r="D707" i="8"/>
  <c r="C706" i="8"/>
  <c r="B1226" i="8"/>
  <c r="D1227" i="8"/>
  <c r="M1009" i="8" l="1"/>
  <c r="H1010" i="8" s="1"/>
  <c r="L1010" i="8" s="1"/>
  <c r="J1009" i="8"/>
  <c r="K1010" i="8"/>
  <c r="B1227" i="8"/>
  <c r="D1228" i="8"/>
  <c r="D708" i="8"/>
  <c r="B707" i="8"/>
  <c r="C707" i="8"/>
  <c r="M1010" i="8" l="1"/>
  <c r="H1011" i="8" s="1"/>
  <c r="J1010" i="8"/>
  <c r="K1011" i="8"/>
  <c r="B708" i="8"/>
  <c r="D709" i="8"/>
  <c r="C708" i="8"/>
  <c r="D1229" i="8"/>
  <c r="B1228" i="8"/>
  <c r="L1011" i="8" l="1"/>
  <c r="D1230" i="8"/>
  <c r="B1229" i="8"/>
  <c r="D710" i="8"/>
  <c r="B709" i="8"/>
  <c r="C709" i="8"/>
  <c r="M1011" i="8" l="1"/>
  <c r="H1012" i="8" s="1"/>
  <c r="L1012" i="8" s="1"/>
  <c r="K1012" i="8"/>
  <c r="J1011" i="8"/>
  <c r="D711" i="8"/>
  <c r="B710" i="8"/>
  <c r="C710" i="8"/>
  <c r="D1231" i="8"/>
  <c r="B1230" i="8"/>
  <c r="M1012" i="8" l="1"/>
  <c r="H1013" i="8" s="1"/>
  <c r="L1013" i="8" s="1"/>
  <c r="K1013" i="8"/>
  <c r="J1012" i="8"/>
  <c r="D1232" i="8"/>
  <c r="B1231" i="8"/>
  <c r="D712" i="8"/>
  <c r="B711" i="8"/>
  <c r="C711" i="8"/>
  <c r="M1013" i="8" l="1"/>
  <c r="H1014" i="8" s="1"/>
  <c r="J1013" i="8"/>
  <c r="K1014" i="8"/>
  <c r="B712" i="8"/>
  <c r="D713" i="8"/>
  <c r="C712" i="8"/>
  <c r="B1232" i="8"/>
  <c r="D1233" i="8"/>
  <c r="L1014" i="8" l="1"/>
  <c r="D1234" i="8"/>
  <c r="B1233" i="8"/>
  <c r="B713" i="8"/>
  <c r="D714" i="8"/>
  <c r="C713" i="8"/>
  <c r="M1014" i="8" l="1"/>
  <c r="H1015" i="8" s="1"/>
  <c r="J1014" i="8"/>
  <c r="K1015" i="8"/>
  <c r="D715" i="8"/>
  <c r="B714" i="8"/>
  <c r="C714" i="8"/>
  <c r="B1234" i="8"/>
  <c r="D1235" i="8"/>
  <c r="L1015" i="8" l="1"/>
  <c r="B1235" i="8"/>
  <c r="D1236" i="8"/>
  <c r="B715" i="8"/>
  <c r="D716" i="8"/>
  <c r="C715" i="8"/>
  <c r="M1015" i="8" l="1"/>
  <c r="H1016" i="8" s="1"/>
  <c r="L1016" i="8" s="1"/>
  <c r="K1016" i="8"/>
  <c r="J1015" i="8"/>
  <c r="D717" i="8"/>
  <c r="B716" i="8"/>
  <c r="C716" i="8"/>
  <c r="D1237" i="8"/>
  <c r="B1236" i="8"/>
  <c r="M1016" i="8" l="1"/>
  <c r="H1017" i="8" s="1"/>
  <c r="L1017" i="8" s="1"/>
  <c r="K1017" i="8"/>
  <c r="J1016" i="8"/>
  <c r="B1237" i="8"/>
  <c r="D1238" i="8"/>
  <c r="B717" i="8"/>
  <c r="D718" i="8"/>
  <c r="C717" i="8"/>
  <c r="M1017" i="8" l="1"/>
  <c r="H1018" i="8" s="1"/>
  <c r="J1017" i="8"/>
  <c r="K1018" i="8"/>
  <c r="D719" i="8"/>
  <c r="B718" i="8"/>
  <c r="C718" i="8"/>
  <c r="D1239" i="8"/>
  <c r="B1238" i="8"/>
  <c r="L1018" i="8" l="1"/>
  <c r="D1240" i="8"/>
  <c r="B1239" i="8"/>
  <c r="D720" i="8"/>
  <c r="B719" i="8"/>
  <c r="C719" i="8"/>
  <c r="M1018" i="8" l="1"/>
  <c r="H1019" i="8" s="1"/>
  <c r="L1019" i="8" s="1"/>
  <c r="J1018" i="8"/>
  <c r="K1019" i="8"/>
  <c r="B720" i="8"/>
  <c r="D721" i="8"/>
  <c r="C720" i="8"/>
  <c r="B1240" i="8"/>
  <c r="D1241" i="8"/>
  <c r="M1019" i="8" l="1"/>
  <c r="H1020" i="8" s="1"/>
  <c r="L1020" i="8" s="1"/>
  <c r="K1020" i="8"/>
  <c r="J1019" i="8"/>
  <c r="D1242" i="8"/>
  <c r="B1241" i="8"/>
  <c r="B721" i="8"/>
  <c r="D722" i="8"/>
  <c r="C721" i="8"/>
  <c r="M1020" i="8" l="1"/>
  <c r="H1021" i="8" s="1"/>
  <c r="L1021" i="8" s="1"/>
  <c r="K1021" i="8"/>
  <c r="J1020" i="8"/>
  <c r="B722" i="8"/>
  <c r="D723" i="8"/>
  <c r="C722" i="8"/>
  <c r="B1242" i="8"/>
  <c r="D1243" i="8"/>
  <c r="M1021" i="8" l="1"/>
  <c r="H1022" i="8" s="1"/>
  <c r="J1021" i="8"/>
  <c r="K1022" i="8"/>
  <c r="B1243" i="8"/>
  <c r="D1244" i="8"/>
  <c r="D724" i="8"/>
  <c r="B723" i="8"/>
  <c r="C723" i="8"/>
  <c r="L1022" i="8" l="1"/>
  <c r="B724" i="8"/>
  <c r="D725" i="8"/>
  <c r="C724" i="8"/>
  <c r="D1245" i="8"/>
  <c r="B1244" i="8"/>
  <c r="M1022" i="8" l="1"/>
  <c r="H1023" i="8" s="1"/>
  <c r="L1023" i="8" s="1"/>
  <c r="K1023" i="8"/>
  <c r="J1022" i="8"/>
  <c r="D1246" i="8"/>
  <c r="B1245" i="8"/>
  <c r="D726" i="8"/>
  <c r="B725" i="8"/>
  <c r="C725" i="8"/>
  <c r="M1023" i="8" l="1"/>
  <c r="H1024" i="8" s="1"/>
  <c r="L1024" i="8" s="1"/>
  <c r="K1024" i="8"/>
  <c r="J1023" i="8"/>
  <c r="B726" i="8"/>
  <c r="D727" i="8"/>
  <c r="C726" i="8"/>
  <c r="D1247" i="8"/>
  <c r="B1246" i="8"/>
  <c r="M1024" i="8" l="1"/>
  <c r="H1025" i="8" s="1"/>
  <c r="L1025" i="8" s="1"/>
  <c r="K1025" i="8"/>
  <c r="J1024" i="8"/>
  <c r="D1248" i="8"/>
  <c r="B1247" i="8"/>
  <c r="B727" i="8"/>
  <c r="D728" i="8"/>
  <c r="C727" i="8"/>
  <c r="M1025" i="8" l="1"/>
  <c r="H1026" i="8" s="1"/>
  <c r="L1026" i="8" s="1"/>
  <c r="K1026" i="8"/>
  <c r="J1025" i="8"/>
  <c r="D729" i="8"/>
  <c r="B728" i="8"/>
  <c r="C728" i="8"/>
  <c r="D1249" i="8"/>
  <c r="B1248" i="8"/>
  <c r="J1026" i="8" l="1"/>
  <c r="K1027" i="8"/>
  <c r="D1250" i="8"/>
  <c r="B1249" i="8"/>
  <c r="D730" i="8"/>
  <c r="B729" i="8"/>
  <c r="C729" i="8"/>
  <c r="M1026" i="8" l="1"/>
  <c r="H1027" i="8" s="1"/>
  <c r="L1027" i="8" s="1"/>
  <c r="B730" i="8"/>
  <c r="D731" i="8"/>
  <c r="C730" i="8"/>
  <c r="D1251" i="8"/>
  <c r="B1250" i="8"/>
  <c r="M1027" i="8" l="1"/>
  <c r="H1028" i="8" s="1"/>
  <c r="L1028" i="8" s="1"/>
  <c r="K1028" i="8"/>
  <c r="J1027" i="8"/>
  <c r="B1251" i="8"/>
  <c r="D1252" i="8"/>
  <c r="B731" i="8"/>
  <c r="D732" i="8"/>
  <c r="C731" i="8"/>
  <c r="M1028" i="8" l="1"/>
  <c r="H1029" i="8" s="1"/>
  <c r="L1029" i="8" s="1"/>
  <c r="K1029" i="8"/>
  <c r="J1028" i="8"/>
  <c r="D733" i="8"/>
  <c r="B732" i="8"/>
  <c r="C732" i="8"/>
  <c r="D1253" i="8"/>
  <c r="B1252" i="8"/>
  <c r="M1029" i="8" l="1"/>
  <c r="H1030" i="8" s="1"/>
  <c r="L1030" i="8" s="1"/>
  <c r="K1030" i="8"/>
  <c r="J1029" i="8"/>
  <c r="B1253" i="8"/>
  <c r="D1254" i="8"/>
  <c r="B733" i="8"/>
  <c r="D734" i="8"/>
  <c r="C733" i="8"/>
  <c r="M1030" i="8" l="1"/>
  <c r="H1031" i="8" s="1"/>
  <c r="L1031" i="8" s="1"/>
  <c r="J1030" i="8"/>
  <c r="K1031" i="8"/>
  <c r="D735" i="8"/>
  <c r="B734" i="8"/>
  <c r="C734" i="8"/>
  <c r="B1254" i="8"/>
  <c r="D1255" i="8"/>
  <c r="M1031" i="8" l="1"/>
  <c r="H1032" i="8" s="1"/>
  <c r="L1032" i="8" s="1"/>
  <c r="K1032" i="8"/>
  <c r="J1031" i="8"/>
  <c r="B1255" i="8"/>
  <c r="D1256" i="8"/>
  <c r="B735" i="8"/>
  <c r="D736" i="8"/>
  <c r="C735" i="8"/>
  <c r="M1032" i="8" l="1"/>
  <c r="H1033" i="8" s="1"/>
  <c r="L1033" i="8" s="1"/>
  <c r="K1033" i="8"/>
  <c r="J1032" i="8"/>
  <c r="D737" i="8"/>
  <c r="B736" i="8"/>
  <c r="C736" i="8"/>
  <c r="B1256" i="8"/>
  <c r="D1257" i="8"/>
  <c r="M1033" i="8" l="1"/>
  <c r="H1034" i="8" s="1"/>
  <c r="L1034" i="8" s="1"/>
  <c r="K1034" i="8"/>
  <c r="J1033" i="8"/>
  <c r="D1258" i="8"/>
  <c r="B1257" i="8"/>
  <c r="D738" i="8"/>
  <c r="B737" i="8"/>
  <c r="C737" i="8"/>
  <c r="M1034" i="8" l="1"/>
  <c r="H1035" i="8" s="1"/>
  <c r="J1034" i="8"/>
  <c r="K1035" i="8"/>
  <c r="B738" i="8"/>
  <c r="D739" i="8"/>
  <c r="C738" i="8"/>
  <c r="B1258" i="8"/>
  <c r="D1259" i="8"/>
  <c r="L1035" i="8" l="1"/>
  <c r="D1260" i="8"/>
  <c r="B1259" i="8"/>
  <c r="B739" i="8"/>
  <c r="D740" i="8"/>
  <c r="C739" i="8"/>
  <c r="M1035" i="8" l="1"/>
  <c r="H1036" i="8" s="1"/>
  <c r="L1036" i="8" s="1"/>
  <c r="K1036" i="8"/>
  <c r="J1035" i="8"/>
  <c r="D741" i="8"/>
  <c r="B740" i="8"/>
  <c r="C740" i="8"/>
  <c r="B1260" i="8"/>
  <c r="D1261" i="8"/>
  <c r="M1036" i="8" l="1"/>
  <c r="H1037" i="8" s="1"/>
  <c r="L1037" i="8" s="1"/>
  <c r="K1037" i="8"/>
  <c r="J1036" i="8"/>
  <c r="D1262" i="8"/>
  <c r="B1261" i="8"/>
  <c r="D742" i="8"/>
  <c r="B741" i="8"/>
  <c r="C741" i="8"/>
  <c r="M1037" i="8" l="1"/>
  <c r="H1038" i="8" s="1"/>
  <c r="L1038" i="8" s="1"/>
  <c r="K1038" i="8"/>
  <c r="J1037" i="8"/>
  <c r="D743" i="8"/>
  <c r="B742" i="8"/>
  <c r="C742" i="8"/>
  <c r="B1262" i="8"/>
  <c r="D1263" i="8"/>
  <c r="M1038" i="8" l="1"/>
  <c r="H1039" i="8" s="1"/>
  <c r="J1038" i="8"/>
  <c r="K1039" i="8"/>
  <c r="D1264" i="8"/>
  <c r="B1263" i="8"/>
  <c r="D744" i="8"/>
  <c r="B743" i="8"/>
  <c r="C743" i="8"/>
  <c r="L1039" i="8" l="1"/>
  <c r="B744" i="8"/>
  <c r="D745" i="8"/>
  <c r="C744" i="8"/>
  <c r="D1265" i="8"/>
  <c r="B1264" i="8"/>
  <c r="M1039" i="8" l="1"/>
  <c r="H1040" i="8" s="1"/>
  <c r="L1040" i="8" s="1"/>
  <c r="K1040" i="8"/>
  <c r="J1039" i="8"/>
  <c r="D746" i="8"/>
  <c r="B745" i="8"/>
  <c r="C745" i="8"/>
  <c r="B1265" i="8"/>
  <c r="D1266" i="8"/>
  <c r="M1040" i="8" l="1"/>
  <c r="H1041" i="8" s="1"/>
  <c r="L1041" i="8" s="1"/>
  <c r="K1041" i="8"/>
  <c r="J1040" i="8"/>
  <c r="B1266" i="8"/>
  <c r="D1267" i="8"/>
  <c r="D747" i="8"/>
  <c r="B746" i="8"/>
  <c r="C746" i="8"/>
  <c r="M1041" i="8" l="1"/>
  <c r="H1042" i="8" s="1"/>
  <c r="L1042" i="8" s="1"/>
  <c r="J1041" i="8"/>
  <c r="D1268" i="8"/>
  <c r="B1267" i="8"/>
  <c r="D748" i="8"/>
  <c r="B747" i="8"/>
  <c r="C747" i="8"/>
  <c r="M1042" i="8" l="1"/>
  <c r="H1043" i="8" s="1"/>
  <c r="L1043" i="8" s="1"/>
  <c r="J1042" i="8"/>
  <c r="K1043" i="8"/>
  <c r="D749" i="8"/>
  <c r="B748" i="8"/>
  <c r="C748" i="8"/>
  <c r="D1269" i="8"/>
  <c r="B1268" i="8"/>
  <c r="M1043" i="8" l="1"/>
  <c r="H1044" i="8" s="1"/>
  <c r="J1043" i="8"/>
  <c r="K1044" i="8"/>
  <c r="N1044" i="8" s="1"/>
  <c r="D1270" i="8"/>
  <c r="B1269" i="8"/>
  <c r="B749" i="8"/>
  <c r="D750" i="8"/>
  <c r="C749" i="8"/>
  <c r="L1044" i="8" l="1"/>
  <c r="D751" i="8"/>
  <c r="B750" i="8"/>
  <c r="C750" i="8"/>
  <c r="D1271" i="8"/>
  <c r="B1270" i="8"/>
  <c r="M1044" i="8" l="1"/>
  <c r="H1045" i="8" s="1"/>
  <c r="L1045" i="8" s="1"/>
  <c r="K1045" i="8"/>
  <c r="N1045" i="8" s="1"/>
  <c r="J1044" i="8"/>
  <c r="D1272" i="8"/>
  <c r="B1271" i="8"/>
  <c r="B751" i="8"/>
  <c r="D752" i="8"/>
  <c r="C751" i="8"/>
  <c r="M1045" i="8" l="1"/>
  <c r="H1046" i="8" s="1"/>
  <c r="J1045" i="8"/>
  <c r="K1046" i="8"/>
  <c r="N1046" i="8" s="1"/>
  <c r="D753" i="8"/>
  <c r="B752" i="8"/>
  <c r="C752" i="8"/>
  <c r="B1272" i="8"/>
  <c r="D1273" i="8"/>
  <c r="L1046" i="8" l="1"/>
  <c r="D1274" i="8"/>
  <c r="B1273" i="8"/>
  <c r="B753" i="8"/>
  <c r="D754" i="8"/>
  <c r="C753" i="8"/>
  <c r="M1046" i="8" l="1"/>
  <c r="H1047" i="8" s="1"/>
  <c r="L1047" i="8" s="1"/>
  <c r="K1047" i="8"/>
  <c r="N1047" i="8" s="1"/>
  <c r="J1046" i="8"/>
  <c r="D755" i="8"/>
  <c r="B754" i="8"/>
  <c r="C754" i="8"/>
  <c r="B1274" i="8"/>
  <c r="D1275" i="8"/>
  <c r="M1047" i="8" l="1"/>
  <c r="H1048" i="8" s="1"/>
  <c r="L1048" i="8" s="1"/>
  <c r="K1048" i="8"/>
  <c r="N1048" i="8" s="1"/>
  <c r="J1047" i="8"/>
  <c r="B1275" i="8"/>
  <c r="D1276" i="8"/>
  <c r="D756" i="8"/>
  <c r="B755" i="8"/>
  <c r="C755" i="8"/>
  <c r="M1048" i="8" l="1"/>
  <c r="H1049" i="8" s="1"/>
  <c r="L1049" i="8" s="1"/>
  <c r="K1049" i="8"/>
  <c r="N1049" i="8" s="1"/>
  <c r="J1048" i="8"/>
  <c r="D757" i="8"/>
  <c r="B756" i="8"/>
  <c r="C756" i="8"/>
  <c r="D1277" i="8"/>
  <c r="B1276" i="8"/>
  <c r="J1049" i="8" l="1"/>
  <c r="K1050" i="8"/>
  <c r="N1050" i="8" s="1"/>
  <c r="D1278" i="8"/>
  <c r="B1277" i="8"/>
  <c r="B757" i="8"/>
  <c r="D758" i="8"/>
  <c r="C757" i="8"/>
  <c r="M1049" i="8" l="1"/>
  <c r="H1050" i="8" s="1"/>
  <c r="L1050" i="8" s="1"/>
  <c r="D759" i="8"/>
  <c r="B758" i="8"/>
  <c r="C758" i="8"/>
  <c r="B1278" i="8"/>
  <c r="D1279" i="8"/>
  <c r="M1050" i="8" l="1"/>
  <c r="H1051" i="8" s="1"/>
  <c r="L1051" i="8" s="1"/>
  <c r="K1051" i="8"/>
  <c r="N1051" i="8" s="1"/>
  <c r="J1050" i="8"/>
  <c r="D1280" i="8"/>
  <c r="B1279" i="8"/>
  <c r="B759" i="8"/>
  <c r="D760" i="8"/>
  <c r="C759" i="8"/>
  <c r="M1051" i="8" l="1"/>
  <c r="H1052" i="8" s="1"/>
  <c r="J1051" i="8"/>
  <c r="K1052" i="8"/>
  <c r="N1052" i="8" s="1"/>
  <c r="B760" i="8"/>
  <c r="D761" i="8"/>
  <c r="C760" i="8"/>
  <c r="B1280" i="8"/>
  <c r="D1281" i="8"/>
  <c r="L1052" i="8" l="1"/>
  <c r="B1281" i="8"/>
  <c r="D1282" i="8"/>
  <c r="D762" i="8"/>
  <c r="B761" i="8"/>
  <c r="C761" i="8"/>
  <c r="M1052" i="8" l="1"/>
  <c r="H1053" i="8" s="1"/>
  <c r="L1053" i="8" s="1"/>
  <c r="K1053" i="8"/>
  <c r="N1053" i="8" s="1"/>
  <c r="J1052" i="8"/>
  <c r="D763" i="8"/>
  <c r="B762" i="8"/>
  <c r="C762" i="8"/>
  <c r="D1283" i="8"/>
  <c r="B1282" i="8"/>
  <c r="M1053" i="8" l="1"/>
  <c r="H1054" i="8" s="1"/>
  <c r="L1054" i="8" s="1"/>
  <c r="K1054" i="8"/>
  <c r="N1054" i="8" s="1"/>
  <c r="J1053" i="8"/>
  <c r="D1284" i="8"/>
  <c r="B1283" i="8"/>
  <c r="D764" i="8"/>
  <c r="B763" i="8"/>
  <c r="C763" i="8"/>
  <c r="M1054" i="8" l="1"/>
  <c r="H1055" i="8" s="1"/>
  <c r="J1054" i="8"/>
  <c r="K1055" i="8"/>
  <c r="N1055" i="8" s="1"/>
  <c r="B764" i="8"/>
  <c r="D765" i="8"/>
  <c r="C764" i="8"/>
  <c r="B1284" i="8"/>
  <c r="D1285" i="8"/>
  <c r="L1055" i="8" l="1"/>
  <c r="D766" i="8"/>
  <c r="B765" i="8"/>
  <c r="C765" i="8"/>
  <c r="B1285" i="8"/>
  <c r="D1286" i="8"/>
  <c r="M1055" i="8" l="1"/>
  <c r="H1056" i="8" s="1"/>
  <c r="L1056" i="8" s="1"/>
  <c r="K1056" i="8"/>
  <c r="N1056" i="8" s="1"/>
  <c r="J1055" i="8"/>
  <c r="D1287" i="8"/>
  <c r="B1286" i="8"/>
  <c r="B766" i="8"/>
  <c r="D767" i="8"/>
  <c r="C766" i="8"/>
  <c r="M1056" i="8" l="1"/>
  <c r="H1057" i="8" s="1"/>
  <c r="L1057" i="8" s="1"/>
  <c r="J1056" i="8"/>
  <c r="K1057" i="8"/>
  <c r="N1057" i="8" s="1"/>
  <c r="B767" i="8"/>
  <c r="D768" i="8"/>
  <c r="C767" i="8"/>
  <c r="B1287" i="8"/>
  <c r="D1288" i="8"/>
  <c r="M1057" i="8" l="1"/>
  <c r="H1058" i="8" s="1"/>
  <c r="L1058" i="8" s="1"/>
  <c r="K1058" i="8"/>
  <c r="N1058" i="8" s="1"/>
  <c r="J1057" i="8"/>
  <c r="D1289" i="8"/>
  <c r="B1288" i="8"/>
  <c r="D769" i="8"/>
  <c r="B768" i="8"/>
  <c r="C768" i="8"/>
  <c r="M1058" i="8" l="1"/>
  <c r="H1059" i="8" s="1"/>
  <c r="L1059" i="8" s="1"/>
  <c r="K1059" i="8"/>
  <c r="N1059" i="8" s="1"/>
  <c r="J1058" i="8"/>
  <c r="D770" i="8"/>
  <c r="B769" i="8"/>
  <c r="C769" i="8"/>
  <c r="B1289" i="8"/>
  <c r="D1290" i="8"/>
  <c r="M1059" i="8" l="1"/>
  <c r="H1060" i="8" s="1"/>
  <c r="L1060" i="8" s="1"/>
  <c r="J1059" i="8"/>
  <c r="K1060" i="8"/>
  <c r="N1060" i="8" s="1"/>
  <c r="B1290" i="8"/>
  <c r="D1291" i="8"/>
  <c r="D771" i="8"/>
  <c r="B770" i="8"/>
  <c r="C770" i="8"/>
  <c r="M1060" i="8" l="1"/>
  <c r="H1061" i="8" s="1"/>
  <c r="J1060" i="8"/>
  <c r="K1061" i="8"/>
  <c r="N1061" i="8" s="1"/>
  <c r="B1291" i="8"/>
  <c r="D1292" i="8"/>
  <c r="B771" i="8"/>
  <c r="D772" i="8"/>
  <c r="C771" i="8"/>
  <c r="L1061" i="8" l="1"/>
  <c r="D773" i="8"/>
  <c r="B772" i="8"/>
  <c r="C772" i="8"/>
  <c r="B1292" i="8"/>
  <c r="D1293" i="8"/>
  <c r="K1062" i="8" l="1"/>
  <c r="N1062" i="8" s="1"/>
  <c r="M1061" i="8"/>
  <c r="H1062" i="8" s="1"/>
  <c r="L1062" i="8" s="1"/>
  <c r="J1061" i="8"/>
  <c r="B1293" i="8"/>
  <c r="D1294" i="8"/>
  <c r="B773" i="8"/>
  <c r="D774" i="8"/>
  <c r="C773" i="8"/>
  <c r="M1062" i="8" l="1"/>
  <c r="H1063" i="8" s="1"/>
  <c r="L1063" i="8" s="1"/>
  <c r="J1062" i="8"/>
  <c r="K1063" i="8"/>
  <c r="N1063" i="8" s="1"/>
  <c r="B774" i="8"/>
  <c r="D775" i="8"/>
  <c r="C774" i="8"/>
  <c r="D1295" i="8"/>
  <c r="B1294" i="8"/>
  <c r="M1063" i="8" l="1"/>
  <c r="H1064" i="8" s="1"/>
  <c r="L1064" i="8" s="1"/>
  <c r="K1064" i="8"/>
  <c r="N1064" i="8" s="1"/>
  <c r="J1063" i="8"/>
  <c r="D776" i="8"/>
  <c r="B775" i="8"/>
  <c r="C775" i="8"/>
  <c r="D1296" i="8"/>
  <c r="B1295" i="8"/>
  <c r="M1064" i="8" l="1"/>
  <c r="H1065" i="8" s="1"/>
  <c r="L1065" i="8" s="1"/>
  <c r="K1065" i="8"/>
  <c r="N1065" i="8" s="1"/>
  <c r="J1064" i="8"/>
  <c r="D1297" i="8"/>
  <c r="B1296" i="8"/>
  <c r="D777" i="8"/>
  <c r="B776" i="8"/>
  <c r="C776" i="8"/>
  <c r="M1065" i="8" l="1"/>
  <c r="H1066" i="8" s="1"/>
  <c r="J1065" i="8"/>
  <c r="K1066" i="8"/>
  <c r="N1066" i="8" s="1"/>
  <c r="D778" i="8"/>
  <c r="B777" i="8"/>
  <c r="C777" i="8"/>
  <c r="D1298" i="8"/>
  <c r="B1297" i="8"/>
  <c r="L1066" i="8" l="1"/>
  <c r="B1298" i="8"/>
  <c r="D1299" i="8"/>
  <c r="D779" i="8"/>
  <c r="B778" i="8"/>
  <c r="C778" i="8"/>
  <c r="M1066" i="8" l="1"/>
  <c r="H1067" i="8" s="1"/>
  <c r="L1067" i="8" s="1"/>
  <c r="K1067" i="8"/>
  <c r="N1067" i="8" s="1"/>
  <c r="J1066" i="8"/>
  <c r="D1300" i="8"/>
  <c r="B1299" i="8"/>
  <c r="D780" i="8"/>
  <c r="B779" i="8"/>
  <c r="C779" i="8"/>
  <c r="M1067" i="8" l="1"/>
  <c r="H1068" i="8" s="1"/>
  <c r="L1068" i="8" s="1"/>
  <c r="J1067" i="8"/>
  <c r="K1068" i="8"/>
  <c r="N1068" i="8" s="1"/>
  <c r="D781" i="8"/>
  <c r="B780" i="8"/>
  <c r="C780" i="8"/>
  <c r="B1300" i="8"/>
  <c r="D1301" i="8"/>
  <c r="M1068" i="8" l="1"/>
  <c r="H1069" i="8" s="1"/>
  <c r="J1068" i="8"/>
  <c r="K1069" i="8"/>
  <c r="N1069" i="8" s="1"/>
  <c r="B1301" i="8"/>
  <c r="D1302" i="8"/>
  <c r="D782" i="8"/>
  <c r="B781" i="8"/>
  <c r="C781" i="8"/>
  <c r="L1069" i="8" l="1"/>
  <c r="B782" i="8"/>
  <c r="D783" i="8"/>
  <c r="C782" i="8"/>
  <c r="D1303" i="8"/>
  <c r="B1302" i="8"/>
  <c r="M1069" i="8" l="1"/>
  <c r="H1070" i="8" s="1"/>
  <c r="L1070" i="8" s="1"/>
  <c r="K1070" i="8"/>
  <c r="N1070" i="8" s="1"/>
  <c r="J1069" i="8"/>
  <c r="B1303" i="8"/>
  <c r="D1304" i="8"/>
  <c r="D784" i="8"/>
  <c r="B783" i="8"/>
  <c r="C783" i="8"/>
  <c r="M1070" i="8" l="1"/>
  <c r="H1071" i="8" s="1"/>
  <c r="J1070" i="8"/>
  <c r="K1071" i="8"/>
  <c r="N1071" i="8" s="1"/>
  <c r="B784" i="8"/>
  <c r="D785" i="8"/>
  <c r="C784" i="8"/>
  <c r="B1304" i="8"/>
  <c r="D1305" i="8"/>
  <c r="L1071" i="8" l="1"/>
  <c r="B1305" i="8"/>
  <c r="D1306" i="8"/>
  <c r="B785" i="8"/>
  <c r="C785" i="8"/>
  <c r="M1071" i="8" l="1"/>
  <c r="H1072" i="8" s="1"/>
  <c r="J1071" i="8"/>
  <c r="K1072" i="8"/>
  <c r="N1072" i="8" s="1"/>
  <c r="B1306" i="8"/>
  <c r="D1307" i="8"/>
  <c r="L1072" i="8" l="1"/>
  <c r="D1308" i="8"/>
  <c r="B1307" i="8"/>
  <c r="K1073" i="8" l="1"/>
  <c r="N1073" i="8" s="1"/>
  <c r="J1072" i="8"/>
  <c r="B1308" i="8"/>
  <c r="D1309" i="8"/>
  <c r="D1310" i="8" s="1"/>
  <c r="D1311" i="8" s="1"/>
  <c r="D1312" i="8" s="1"/>
  <c r="D1313" i="8" s="1"/>
  <c r="D1314" i="8" s="1"/>
  <c r="D1315" i="8" s="1"/>
  <c r="D1316" i="8" s="1"/>
  <c r="D1317" i="8" s="1"/>
  <c r="D1318" i="8" s="1"/>
  <c r="D1319" i="8" s="1"/>
  <c r="D1320" i="8" s="1"/>
  <c r="D1321" i="8" s="1"/>
  <c r="D1322" i="8" s="1"/>
  <c r="D1323" i="8" s="1"/>
  <c r="D1324" i="8" s="1"/>
  <c r="D1325" i="8" s="1"/>
  <c r="D1326" i="8" s="1"/>
  <c r="D1327" i="8" s="1"/>
  <c r="D1328" i="8" s="1"/>
  <c r="D1329" i="8" s="1"/>
  <c r="D1330" i="8" s="1"/>
  <c r="D1331" i="8" s="1"/>
  <c r="D1332" i="8" s="1"/>
  <c r="D1333" i="8" s="1"/>
  <c r="D1334" i="8" s="1"/>
  <c r="D1335" i="8" s="1"/>
  <c r="D1336" i="8" s="1"/>
  <c r="D1337" i="8" s="1"/>
  <c r="D1338" i="8" s="1"/>
  <c r="D1339" i="8" s="1"/>
  <c r="D1340" i="8" s="1"/>
  <c r="D1341" i="8" s="1"/>
  <c r="D1342" i="8" s="1"/>
  <c r="D1343" i="8" s="1"/>
  <c r="D1344" i="8" s="1"/>
  <c r="D1345" i="8" s="1"/>
  <c r="D1346" i="8" s="1"/>
  <c r="D1347" i="8" s="1"/>
  <c r="D1348" i="8" s="1"/>
  <c r="D1349" i="8" s="1"/>
  <c r="D1350" i="8" s="1"/>
  <c r="D1351" i="8" s="1"/>
  <c r="D1352" i="8" s="1"/>
  <c r="D1353" i="8" s="1"/>
  <c r="D1354" i="8" s="1"/>
  <c r="D1355" i="8" s="1"/>
  <c r="D1356" i="8" s="1"/>
  <c r="D1357" i="8" s="1"/>
  <c r="D1358" i="8" s="1"/>
  <c r="D1359" i="8" s="1"/>
  <c r="D1360" i="8" s="1"/>
  <c r="D1361" i="8" s="1"/>
  <c r="D1362" i="8" s="1"/>
  <c r="D1363" i="8" s="1"/>
  <c r="D1364" i="8" s="1"/>
  <c r="D1365" i="8" s="1"/>
  <c r="D1366" i="8" s="1"/>
  <c r="D1367" i="8" s="1"/>
  <c r="D1368" i="8" s="1"/>
  <c r="D1369" i="8" s="1"/>
  <c r="D1370" i="8" s="1"/>
  <c r="D1371" i="8" s="1"/>
  <c r="D1372" i="8" s="1"/>
  <c r="D1373" i="8" s="1"/>
  <c r="D1374" i="8" s="1"/>
  <c r="D1375" i="8" s="1"/>
  <c r="D1376" i="8" s="1"/>
  <c r="D1377" i="8" s="1"/>
  <c r="D1378" i="8" s="1"/>
  <c r="D1379" i="8" s="1"/>
  <c r="D1380" i="8" s="1"/>
  <c r="D1381" i="8" s="1"/>
  <c r="D1382" i="8" s="1"/>
  <c r="D1383" i="8" s="1"/>
  <c r="D1384" i="8" s="1"/>
  <c r="D1385" i="8" s="1"/>
  <c r="D1386" i="8" s="1"/>
  <c r="D1387" i="8" s="1"/>
  <c r="D1388" i="8" s="1"/>
  <c r="D1389" i="8" s="1"/>
  <c r="D1390" i="8" s="1"/>
  <c r="D1391" i="8" s="1"/>
  <c r="D1392" i="8" s="1"/>
  <c r="D1393" i="8" s="1"/>
  <c r="D1394" i="8" s="1"/>
  <c r="D1395" i="8" s="1"/>
  <c r="D1396" i="8" s="1"/>
  <c r="D1397" i="8" s="1"/>
  <c r="D1398" i="8" s="1"/>
  <c r="D1399" i="8" s="1"/>
  <c r="D1400" i="8" s="1"/>
  <c r="D1401" i="8" s="1"/>
  <c r="D1402" i="8" s="1"/>
  <c r="D1403" i="8" s="1"/>
  <c r="D1404" i="8" s="1"/>
  <c r="D1405" i="8" s="1"/>
  <c r="D1406" i="8" s="1"/>
  <c r="D1407" i="8" s="1"/>
  <c r="D1408" i="8" s="1"/>
  <c r="D1409" i="8" s="1"/>
  <c r="D1410" i="8" s="1"/>
  <c r="D1411" i="8" s="1"/>
  <c r="D1412" i="8" s="1"/>
  <c r="D1413" i="8" s="1"/>
  <c r="D1414" i="8" s="1"/>
  <c r="D1415" i="8" s="1"/>
  <c r="D1416" i="8" s="1"/>
  <c r="D1417" i="8" s="1"/>
  <c r="D1418" i="8" s="1"/>
  <c r="D1419" i="8" s="1"/>
  <c r="D1420" i="8" s="1"/>
  <c r="D1421" i="8" s="1"/>
  <c r="D1422" i="8" s="1"/>
  <c r="D1423" i="8" s="1"/>
  <c r="D1424" i="8" s="1"/>
  <c r="D1425" i="8" s="1"/>
  <c r="D1426" i="8" s="1"/>
  <c r="D1427" i="8" s="1"/>
  <c r="D1428" i="8" s="1"/>
  <c r="D1429" i="8" s="1"/>
  <c r="D1430" i="8" s="1"/>
  <c r="D1431" i="8" s="1"/>
  <c r="D1432" i="8" s="1"/>
  <c r="D1433" i="8" s="1"/>
  <c r="D1434" i="8" s="1"/>
  <c r="D1435" i="8" s="1"/>
  <c r="D1436" i="8" s="1"/>
  <c r="D1437" i="8" s="1"/>
  <c r="D1438" i="8" s="1"/>
  <c r="D1439" i="8" s="1"/>
  <c r="D1440" i="8" s="1"/>
  <c r="D1441" i="8" s="1"/>
  <c r="D1442" i="8" s="1"/>
  <c r="D1443" i="8" s="1"/>
  <c r="D1444" i="8" s="1"/>
  <c r="D1445" i="8" s="1"/>
  <c r="D1446" i="8" s="1"/>
  <c r="D1447" i="8" s="1"/>
  <c r="D1448" i="8" s="1"/>
  <c r="D1449" i="8" s="1"/>
  <c r="D1450" i="8" s="1"/>
  <c r="D1451" i="8" s="1"/>
  <c r="D1452" i="8" s="1"/>
  <c r="D1453" i="8" s="1"/>
  <c r="D1454" i="8" s="1"/>
  <c r="D1455" i="8" s="1"/>
  <c r="D1456" i="8" s="1"/>
  <c r="D1457" i="8" s="1"/>
  <c r="D1458" i="8" s="1"/>
  <c r="D1459" i="8" s="1"/>
  <c r="D1460" i="8" s="1"/>
  <c r="D1461" i="8" s="1"/>
  <c r="D1462" i="8" s="1"/>
  <c r="D1463" i="8" s="1"/>
  <c r="D1464" i="8" s="1"/>
  <c r="D1465" i="8" s="1"/>
  <c r="D1466" i="8" s="1"/>
  <c r="D1467" i="8" s="1"/>
  <c r="D1468" i="8" s="1"/>
  <c r="D1469" i="8" s="1"/>
  <c r="D1470" i="8" s="1"/>
  <c r="D1471" i="8" s="1"/>
  <c r="D1472" i="8" s="1"/>
  <c r="D1473" i="8" s="1"/>
  <c r="D1474" i="8" s="1"/>
  <c r="D1475" i="8" s="1"/>
  <c r="D1476" i="8" s="1"/>
  <c r="D1477" i="8" s="1"/>
  <c r="D1478" i="8" s="1"/>
  <c r="D1479" i="8" s="1"/>
  <c r="D1480" i="8" s="1"/>
  <c r="D1481" i="8" s="1"/>
  <c r="D1482" i="8" s="1"/>
  <c r="D1483" i="8" s="1"/>
  <c r="D1484" i="8" s="1"/>
  <c r="D1485" i="8" s="1"/>
  <c r="D1486" i="8" s="1"/>
  <c r="D1487" i="8" s="1"/>
  <c r="D1488" i="8" s="1"/>
  <c r="D1489" i="8" s="1"/>
  <c r="D1490" i="8" s="1"/>
  <c r="D1491" i="8" s="1"/>
  <c r="D1492" i="8" s="1"/>
  <c r="D1493" i="8" s="1"/>
  <c r="D1494" i="8" s="1"/>
  <c r="D1495" i="8" s="1"/>
  <c r="D1496" i="8" s="1"/>
  <c r="D1497" i="8" s="1"/>
  <c r="D1498" i="8" s="1"/>
  <c r="D1499" i="8" s="1"/>
  <c r="D1500" i="8" s="1"/>
  <c r="D1501" i="8" s="1"/>
  <c r="D1502" i="8" s="1"/>
  <c r="D1503" i="8" s="1"/>
  <c r="D1504" i="8" s="1"/>
  <c r="D1505" i="8" s="1"/>
  <c r="D1506" i="8" s="1"/>
  <c r="D1507" i="8" s="1"/>
  <c r="D1508" i="8" s="1"/>
  <c r="D1509" i="8" s="1"/>
  <c r="D1510" i="8" s="1"/>
  <c r="D1511" i="8" s="1"/>
  <c r="D1512" i="8" s="1"/>
  <c r="D1513" i="8" s="1"/>
  <c r="D1514" i="8" s="1"/>
  <c r="D1515" i="8" s="1"/>
  <c r="D1516" i="8" s="1"/>
  <c r="D1517" i="8" s="1"/>
  <c r="D1518" i="8" s="1"/>
  <c r="D1519" i="8" s="1"/>
  <c r="D1520" i="8" s="1"/>
  <c r="D1521" i="8" s="1"/>
  <c r="D1522" i="8" s="1"/>
  <c r="D1523" i="8" s="1"/>
  <c r="D1524" i="8" s="1"/>
  <c r="D1525" i="8" s="1"/>
  <c r="D1526" i="8" s="1"/>
  <c r="D1527" i="8" s="1"/>
  <c r="D1528" i="8" s="1"/>
  <c r="D1529" i="8" s="1"/>
  <c r="D1530" i="8" s="1"/>
  <c r="D1531" i="8" s="1"/>
  <c r="D1532" i="8" s="1"/>
  <c r="D1533" i="8" s="1"/>
  <c r="D1534" i="8" s="1"/>
  <c r="D1535" i="8" s="1"/>
  <c r="D1536" i="8" s="1"/>
  <c r="D1537" i="8" s="1"/>
  <c r="D1538" i="8" s="1"/>
  <c r="D1539" i="8" s="1"/>
  <c r="D1540" i="8" s="1"/>
  <c r="D1541" i="8" s="1"/>
  <c r="D1542" i="8" s="1"/>
  <c r="D1543" i="8" s="1"/>
  <c r="D1544" i="8" s="1"/>
  <c r="D1545" i="8" s="1"/>
  <c r="D1546" i="8" s="1"/>
  <c r="D1547" i="8" s="1"/>
  <c r="D1548" i="8" s="1"/>
  <c r="D1549" i="8" s="1"/>
  <c r="D1550" i="8" s="1"/>
  <c r="D1551" i="8" s="1"/>
  <c r="D1552" i="8" s="1"/>
  <c r="D1553" i="8" s="1"/>
  <c r="D1554" i="8" s="1"/>
  <c r="D1555" i="8" s="1"/>
  <c r="D1556" i="8" s="1"/>
  <c r="D1557" i="8" s="1"/>
  <c r="D1558" i="8" s="1"/>
  <c r="D1559" i="8" s="1"/>
  <c r="D1560" i="8" s="1"/>
  <c r="D1561" i="8" s="1"/>
  <c r="D1562" i="8" s="1"/>
  <c r="D1563" i="8" s="1"/>
  <c r="D1564" i="8" s="1"/>
  <c r="D1565" i="8" s="1"/>
  <c r="D1566" i="8" s="1"/>
  <c r="D1567" i="8" s="1"/>
  <c r="D1568" i="8" s="1"/>
  <c r="D1569" i="8" s="1"/>
  <c r="D1570" i="8" s="1"/>
  <c r="D1571" i="8" s="1"/>
  <c r="D1572" i="8" s="1"/>
  <c r="D1573" i="8" s="1"/>
  <c r="D1574" i="8" s="1"/>
  <c r="D1575" i="8" s="1"/>
  <c r="D1576" i="8" s="1"/>
  <c r="D1577" i="8" s="1"/>
  <c r="D1578" i="8" s="1"/>
  <c r="D1579" i="8" s="1"/>
  <c r="D1580" i="8" s="1"/>
  <c r="D1581" i="8" s="1"/>
  <c r="D1582" i="8" s="1"/>
  <c r="D1583" i="8" s="1"/>
  <c r="D1584" i="8" s="1"/>
  <c r="D1585" i="8" s="1"/>
  <c r="D1586" i="8" s="1"/>
  <c r="M1072" i="8" l="1"/>
  <c r="H1073" i="8" s="1"/>
  <c r="L1073" i="8" s="1"/>
  <c r="M1073" i="8" l="1"/>
  <c r="H1074" i="8" s="1"/>
  <c r="J1073" i="8"/>
  <c r="K1074" i="8"/>
  <c r="N1074" i="8" s="1"/>
  <c r="L1074" i="8" l="1"/>
  <c r="M1074" i="8" l="1"/>
  <c r="H1075" i="8" s="1"/>
  <c r="L1075" i="8" s="1"/>
  <c r="K1075" i="8"/>
  <c r="N1075" i="8" s="1"/>
  <c r="J1074" i="8"/>
  <c r="M1075" i="8" l="1"/>
  <c r="H1076" i="8" s="1"/>
  <c r="L1076" i="8" s="1"/>
  <c r="K1076" i="8"/>
  <c r="N1076" i="8" s="1"/>
  <c r="J1075" i="8"/>
  <c r="M1076" i="8" l="1"/>
  <c r="H1077" i="8" s="1"/>
  <c r="L1077" i="8" s="1"/>
  <c r="J1076" i="8"/>
  <c r="K1077" i="8"/>
  <c r="N1077" i="8" s="1"/>
  <c r="M1077" i="8" l="1"/>
  <c r="H1078" i="8" s="1"/>
  <c r="L1078" i="8" s="1"/>
  <c r="K1078" i="8"/>
  <c r="N1078" i="8" s="1"/>
  <c r="J1077" i="8"/>
  <c r="M1078" i="8" l="1"/>
  <c r="H1079" i="8" s="1"/>
  <c r="L1079" i="8" s="1"/>
  <c r="K1079" i="8"/>
  <c r="N1079" i="8" s="1"/>
  <c r="J1078" i="8"/>
  <c r="M1079" i="8" l="1"/>
  <c r="H1080" i="8" s="1"/>
  <c r="L1080" i="8" s="1"/>
  <c r="K1080" i="8"/>
  <c r="N1080" i="8" s="1"/>
  <c r="J1079" i="8"/>
  <c r="M1080" i="8" l="1"/>
  <c r="H1081" i="8" s="1"/>
  <c r="L1081" i="8" s="1"/>
  <c r="K1081" i="8"/>
  <c r="N1081" i="8" s="1"/>
  <c r="J1080" i="8"/>
  <c r="M1081" i="8" l="1"/>
  <c r="H1082" i="8" s="1"/>
  <c r="L1082" i="8" s="1"/>
  <c r="K1082" i="8"/>
  <c r="N1082" i="8" s="1"/>
  <c r="J1081" i="8"/>
  <c r="M1082" i="8" l="1"/>
  <c r="H1083" i="8" s="1"/>
  <c r="L1083" i="8" s="1"/>
  <c r="K1083" i="8"/>
  <c r="N1083" i="8" s="1"/>
  <c r="J1082" i="8"/>
  <c r="M1083" i="8" l="1"/>
  <c r="H1084" i="8" s="1"/>
  <c r="L1084" i="8" s="1"/>
  <c r="J1083" i="8"/>
  <c r="K1084" i="8"/>
  <c r="N1084" i="8" s="1"/>
  <c r="M1084" i="8" l="1"/>
  <c r="H1085" i="8" s="1"/>
  <c r="L1085" i="8" s="1"/>
  <c r="K1085" i="8"/>
  <c r="N1085" i="8" s="1"/>
  <c r="J1084" i="8"/>
  <c r="M1085" i="8" l="1"/>
  <c r="H1086" i="8" s="1"/>
  <c r="L1086" i="8" s="1"/>
  <c r="J1085" i="8"/>
  <c r="K1086" i="8"/>
  <c r="N1086" i="8" s="1"/>
  <c r="M1086" i="8" l="1"/>
  <c r="H1087" i="8" s="1"/>
  <c r="L1087" i="8" s="1"/>
  <c r="J1086" i="8"/>
  <c r="K1087" i="8"/>
  <c r="N1087" i="8" s="1"/>
  <c r="M1087" i="8" l="1"/>
  <c r="H1088" i="8" s="1"/>
  <c r="L1088" i="8" s="1"/>
  <c r="K1088" i="8"/>
  <c r="N1088" i="8" s="1"/>
  <c r="J1087" i="8"/>
  <c r="M1088" i="8" l="1"/>
  <c r="H1089" i="8" s="1"/>
  <c r="L1089" i="8" s="1"/>
  <c r="K1089" i="8"/>
  <c r="N1089" i="8" s="1"/>
  <c r="J1088" i="8"/>
  <c r="M1089" i="8" l="1"/>
  <c r="H1090" i="8" s="1"/>
  <c r="L1090" i="8" s="1"/>
  <c r="K1090" i="8"/>
  <c r="N1090" i="8" s="1"/>
  <c r="J1089" i="8"/>
  <c r="M1090" i="8" l="1"/>
  <c r="H1091" i="8" s="1"/>
  <c r="J1090" i="8"/>
  <c r="K1091" i="8"/>
  <c r="N1091" i="8" s="1"/>
  <c r="L1091" i="8" l="1"/>
  <c r="K1092" i="8" l="1"/>
  <c r="N1092" i="8" s="1"/>
  <c r="J1091" i="8"/>
  <c r="M1091" i="8" l="1"/>
  <c r="H1092" i="8" s="1"/>
  <c r="L1092" i="8" s="1"/>
  <c r="M1092" i="8" l="1"/>
  <c r="H1093" i="8" s="1"/>
  <c r="J1092" i="8"/>
  <c r="K1093" i="8"/>
  <c r="N1093" i="8" s="1"/>
  <c r="L1093" i="8" l="1"/>
  <c r="M1093" i="8" l="1"/>
  <c r="H1094" i="8" s="1"/>
  <c r="L1094" i="8" s="1"/>
  <c r="K1094" i="8"/>
  <c r="N1094" i="8" s="1"/>
  <c r="J1093" i="8"/>
  <c r="M1094" i="8" l="1"/>
  <c r="H1095" i="8" s="1"/>
  <c r="L1095" i="8" s="1"/>
  <c r="K1095" i="8"/>
  <c r="N1095" i="8" s="1"/>
  <c r="J1094" i="8"/>
  <c r="M1095" i="8" l="1"/>
  <c r="H1096" i="8" s="1"/>
  <c r="J1095" i="8"/>
  <c r="K1096" i="8"/>
  <c r="N1096" i="8" s="1"/>
  <c r="L1096" i="8" l="1"/>
  <c r="M1096" i="8" l="1"/>
  <c r="H1097" i="8" s="1"/>
  <c r="L1097" i="8" s="1"/>
  <c r="K1097" i="8"/>
  <c r="N1097" i="8" s="1"/>
  <c r="J1096" i="8"/>
  <c r="M1097" i="8" l="1"/>
  <c r="H1098" i="8" s="1"/>
  <c r="L1098" i="8" s="1"/>
  <c r="K1098" i="8"/>
  <c r="N1098" i="8" s="1"/>
  <c r="J1097" i="8"/>
  <c r="M1098" i="8" l="1"/>
  <c r="H1099" i="8" s="1"/>
  <c r="J1098" i="8"/>
  <c r="K1099" i="8"/>
  <c r="N1099" i="8" s="1"/>
  <c r="L1099" i="8" l="1"/>
  <c r="M1099" i="8" l="1"/>
  <c r="H1100" i="8" s="1"/>
  <c r="L1100" i="8" s="1"/>
  <c r="K1100" i="8"/>
  <c r="N1100" i="8" s="1"/>
  <c r="J1099" i="8"/>
  <c r="M1100" i="8" l="1"/>
  <c r="H1101" i="8" s="1"/>
  <c r="L1101" i="8" s="1"/>
  <c r="J1100" i="8"/>
  <c r="K1101" i="8"/>
  <c r="N1101" i="8" s="1"/>
  <c r="M1101" i="8" l="1"/>
  <c r="H1102" i="8" s="1"/>
  <c r="J1101" i="8"/>
  <c r="K1102" i="8"/>
  <c r="N1102" i="8" s="1"/>
  <c r="L1102" i="8" l="1"/>
  <c r="M1102" i="8" l="1"/>
  <c r="H1103" i="8" s="1"/>
  <c r="L1103" i="8" s="1"/>
  <c r="K1103" i="8"/>
  <c r="N1103" i="8" s="1"/>
  <c r="J1102" i="8"/>
  <c r="M1103" i="8" l="1"/>
  <c r="H1104" i="8" s="1"/>
  <c r="L1104" i="8" s="1"/>
  <c r="J1103" i="8"/>
  <c r="M1104" i="8" l="1"/>
  <c r="H1105" i="8" s="1"/>
  <c r="L1105" i="8" s="1"/>
  <c r="K1105" i="8"/>
  <c r="N1105" i="8" s="1"/>
  <c r="J1104" i="8"/>
  <c r="M1105" i="8" l="1"/>
  <c r="H1106" i="8" s="1"/>
  <c r="J1105" i="8"/>
  <c r="K1106" i="8"/>
  <c r="N1106" i="8" s="1"/>
  <c r="L1106" i="8" l="1"/>
  <c r="M1106" i="8" l="1"/>
  <c r="H1107" i="8" s="1"/>
  <c r="L1107" i="8" s="1"/>
  <c r="K1107" i="8"/>
  <c r="N1107" i="8" s="1"/>
  <c r="J1106" i="8"/>
  <c r="M1107" i="8" l="1"/>
  <c r="H1108" i="8" s="1"/>
  <c r="L1108" i="8" s="1"/>
  <c r="K1108" i="8"/>
  <c r="N1108" i="8" s="1"/>
  <c r="J1107" i="8"/>
  <c r="M1108" i="8" l="1"/>
  <c r="H1109" i="8" s="1"/>
  <c r="J1108" i="8"/>
  <c r="K1109" i="8"/>
  <c r="N1109" i="8" s="1"/>
  <c r="L1109" i="8" l="1"/>
  <c r="M1109" i="8" l="1"/>
  <c r="H1110" i="8" s="1"/>
  <c r="L1110" i="8" s="1"/>
  <c r="K1110" i="8"/>
  <c r="N1110" i="8" s="1"/>
  <c r="J1109" i="8"/>
  <c r="M1110" i="8" l="1"/>
  <c r="H1111" i="8" s="1"/>
  <c r="J1110" i="8"/>
  <c r="K1111" i="8"/>
  <c r="N1111" i="8" s="1"/>
  <c r="L1111" i="8" l="1"/>
  <c r="J1111" i="8" l="1"/>
  <c r="K1112" i="8"/>
  <c r="N1112" i="8" s="1"/>
  <c r="M1111" i="8" l="1"/>
  <c r="H1112" i="8" s="1"/>
  <c r="L1112" i="8" s="1"/>
  <c r="M1112" i="8" l="1"/>
  <c r="H1113" i="8" s="1"/>
  <c r="L1113" i="8" s="1"/>
  <c r="J1112" i="8"/>
  <c r="K1113" i="8"/>
  <c r="N1113" i="8" s="1"/>
  <c r="M1113" i="8" l="1"/>
  <c r="H1114" i="8" s="1"/>
  <c r="L1114" i="8" s="1"/>
  <c r="K1114" i="8"/>
  <c r="N1114" i="8" s="1"/>
  <c r="J1113" i="8"/>
  <c r="M1114" i="8" l="1"/>
  <c r="H1115" i="8" s="1"/>
  <c r="L1115" i="8" s="1"/>
  <c r="K1115" i="8"/>
  <c r="N1115" i="8" s="1"/>
  <c r="J1114" i="8"/>
  <c r="M1115" i="8" l="1"/>
  <c r="H1116" i="8" s="1"/>
  <c r="L1116" i="8" s="1"/>
  <c r="K1116" i="8"/>
  <c r="N1116" i="8" s="1"/>
  <c r="J1115" i="8"/>
  <c r="M1116" i="8" l="1"/>
  <c r="H1117" i="8" s="1"/>
  <c r="L1117" i="8" s="1"/>
  <c r="K1117" i="8"/>
  <c r="N1117" i="8" s="1"/>
  <c r="J1116" i="8"/>
  <c r="M1117" i="8" l="1"/>
  <c r="H1118" i="8" s="1"/>
  <c r="L1118" i="8" s="1"/>
  <c r="K1118" i="8"/>
  <c r="N1118" i="8" s="1"/>
  <c r="J1117" i="8"/>
  <c r="M1118" i="8" l="1"/>
  <c r="H1119" i="8" s="1"/>
  <c r="L1119" i="8" s="1"/>
  <c r="K1119" i="8"/>
  <c r="N1119" i="8" s="1"/>
  <c r="J1118" i="8"/>
  <c r="M1119" i="8" l="1"/>
  <c r="H1120" i="8" s="1"/>
  <c r="J1119" i="8"/>
  <c r="K1120" i="8"/>
  <c r="N1120" i="8" s="1"/>
  <c r="L1120" i="8" l="1"/>
  <c r="M1120" i="8" l="1"/>
  <c r="H1121" i="8" s="1"/>
  <c r="J1120" i="8"/>
  <c r="K1121" i="8"/>
  <c r="N1121" i="8" s="1"/>
  <c r="L1121" i="8" l="1"/>
  <c r="M1121" i="8" l="1"/>
  <c r="H1122" i="8" s="1"/>
  <c r="L1122" i="8" s="1"/>
  <c r="J1121" i="8"/>
  <c r="K1122" i="8"/>
  <c r="N1122" i="8" s="1"/>
  <c r="M1122" i="8" l="1"/>
  <c r="H1123" i="8" s="1"/>
  <c r="L1123" i="8" s="1"/>
  <c r="K1123" i="8"/>
  <c r="N1123" i="8" s="1"/>
  <c r="J1122" i="8"/>
  <c r="K1124" i="8" l="1"/>
  <c r="N1124" i="8" s="1"/>
  <c r="J1123" i="8"/>
  <c r="M1123" i="8" l="1"/>
  <c r="H1124" i="8" s="1"/>
  <c r="L1124" i="8" s="1"/>
  <c r="M1124" i="8" l="1"/>
  <c r="H1125" i="8" s="1"/>
  <c r="L1125" i="8" s="1"/>
  <c r="K1125" i="8"/>
  <c r="N1125" i="8" s="1"/>
  <c r="J1124" i="8"/>
  <c r="M1125" i="8" l="1"/>
  <c r="H1126" i="8" s="1"/>
  <c r="J1125" i="8"/>
  <c r="K1126" i="8"/>
  <c r="N1126" i="8" s="1"/>
  <c r="L1126" i="8" l="1"/>
  <c r="M1126" i="8" l="1"/>
  <c r="H1127" i="8" s="1"/>
  <c r="L1127" i="8" s="1"/>
  <c r="K1127" i="8"/>
  <c r="N1127" i="8" s="1"/>
  <c r="J1126" i="8"/>
  <c r="M1127" i="8" l="1"/>
  <c r="H1128" i="8" s="1"/>
  <c r="L1128" i="8" s="1"/>
  <c r="K1128" i="8"/>
  <c r="N1128" i="8" s="1"/>
  <c r="J1127" i="8"/>
  <c r="M1128" i="8" l="1"/>
  <c r="H1129" i="8" s="1"/>
  <c r="L1129" i="8" s="1"/>
  <c r="K1129" i="8"/>
  <c r="N1129" i="8" s="1"/>
  <c r="J1128" i="8"/>
  <c r="M1129" i="8" l="1"/>
  <c r="H1130" i="8" s="1"/>
  <c r="J1129" i="8"/>
  <c r="K1130" i="8"/>
  <c r="N1130" i="8" s="1"/>
  <c r="L1130" i="8" l="1"/>
  <c r="M1130" i="8" l="1"/>
  <c r="H1131" i="8" s="1"/>
  <c r="J1130" i="8"/>
  <c r="K1131" i="8"/>
  <c r="N1131" i="8" s="1"/>
  <c r="L1131" i="8" l="1"/>
  <c r="M1131" i="8" l="1"/>
  <c r="H1132" i="8" s="1"/>
  <c r="L1132" i="8" s="1"/>
  <c r="J1131" i="8"/>
  <c r="K1132" i="8"/>
  <c r="N1132" i="8" s="1"/>
  <c r="M1132" i="8" l="1"/>
  <c r="K1133" i="8"/>
  <c r="N1133" i="8" s="1"/>
  <c r="J1132" i="8"/>
  <c r="H1134" i="8" l="1"/>
  <c r="L1134" i="8" s="1"/>
  <c r="H1133" i="8"/>
  <c r="L1133" i="8" s="1"/>
  <c r="J1133" i="8" s="1"/>
  <c r="K1135" i="8" l="1"/>
  <c r="N1135" i="8" s="1"/>
  <c r="J1134" i="8"/>
  <c r="M1134" i="8" l="1"/>
  <c r="H1135" i="8" s="1"/>
  <c r="L1135" i="8" s="1"/>
  <c r="M1135" i="8" l="1"/>
  <c r="H1136" i="8" s="1"/>
  <c r="J1135" i="8"/>
  <c r="K1136" i="8"/>
  <c r="N1136" i="8" s="1"/>
  <c r="L1136" i="8" l="1"/>
  <c r="M1136" i="8" l="1"/>
  <c r="H1137" i="8" s="1"/>
  <c r="L1137" i="8" s="1"/>
  <c r="J1136" i="8"/>
  <c r="K1137" i="8"/>
  <c r="N1137" i="8" s="1"/>
  <c r="M1137" i="8" l="1"/>
  <c r="H1138" i="8" s="1"/>
  <c r="L1138" i="8" s="1"/>
  <c r="J1137" i="8"/>
  <c r="K1138" i="8"/>
  <c r="N1138" i="8" s="1"/>
  <c r="M1138" i="8" l="1"/>
  <c r="H1139" i="8" s="1"/>
  <c r="J1138" i="8"/>
  <c r="K1139" i="8"/>
  <c r="N1139" i="8" s="1"/>
  <c r="L1139" i="8" l="1"/>
  <c r="M1139" i="8" l="1"/>
  <c r="H1140" i="8" s="1"/>
  <c r="L1140" i="8" s="1"/>
  <c r="J1139" i="8"/>
  <c r="K1140" i="8"/>
  <c r="N1140" i="8" s="1"/>
  <c r="M1140" i="8" l="1"/>
  <c r="H1141" i="8" s="1"/>
  <c r="J1140" i="8"/>
  <c r="K1141" i="8"/>
  <c r="N1141" i="8" s="1"/>
  <c r="L1141" i="8" l="1"/>
  <c r="M1141" i="8" l="1"/>
  <c r="H1142" i="8" s="1"/>
  <c r="L1142" i="8" s="1"/>
  <c r="K1142" i="8"/>
  <c r="N1142" i="8" s="1"/>
  <c r="J1141" i="8"/>
  <c r="M1142" i="8" l="1"/>
  <c r="H1143" i="8" s="1"/>
  <c r="L1143" i="8" s="1"/>
  <c r="K1143" i="8"/>
  <c r="N1143" i="8" s="1"/>
  <c r="J1142" i="8"/>
  <c r="M1143" i="8" l="1"/>
  <c r="H1144" i="8" s="1"/>
  <c r="L1144" i="8" s="1"/>
  <c r="K1144" i="8"/>
  <c r="N1144" i="8" s="1"/>
  <c r="J1143" i="8"/>
  <c r="M1144" i="8" l="1"/>
  <c r="H1145" i="8" s="1"/>
  <c r="L1145" i="8" s="1"/>
  <c r="K1145" i="8"/>
  <c r="N1145" i="8" s="1"/>
  <c r="J1144" i="8"/>
  <c r="M1145" i="8" l="1"/>
  <c r="H1146" i="8" s="1"/>
  <c r="J1145" i="8"/>
  <c r="K1146" i="8"/>
  <c r="N1146" i="8" s="1"/>
  <c r="L1146" i="8" l="1"/>
  <c r="M1146" i="8" l="1"/>
  <c r="H1147" i="8" s="1"/>
  <c r="L1147" i="8" s="1"/>
  <c r="K1147" i="8"/>
  <c r="N1147" i="8" s="1"/>
  <c r="J1146" i="8"/>
  <c r="M1147" i="8" l="1"/>
  <c r="H1148" i="8" s="1"/>
  <c r="J1147" i="8"/>
  <c r="K1148" i="8"/>
  <c r="N1148" i="8" s="1"/>
  <c r="L1148" i="8" l="1"/>
  <c r="M1148" i="8" l="1"/>
  <c r="H1149" i="8" s="1"/>
  <c r="L1149" i="8" s="1"/>
  <c r="J1148" i="8"/>
  <c r="K1149" i="8"/>
  <c r="N1149" i="8" s="1"/>
  <c r="M1149" i="8" l="1"/>
  <c r="H1150" i="8" s="1"/>
  <c r="L1150" i="8" s="1"/>
  <c r="K1150" i="8"/>
  <c r="N1150" i="8" s="1"/>
  <c r="J1149" i="8"/>
  <c r="M1150" i="8" l="1"/>
  <c r="H1151" i="8" s="1"/>
  <c r="L1151" i="8" s="1"/>
  <c r="K1151" i="8"/>
  <c r="N1151" i="8" s="1"/>
  <c r="J1150" i="8"/>
  <c r="M1151" i="8" l="1"/>
  <c r="H1152" i="8" s="1"/>
  <c r="L1152" i="8" s="1"/>
  <c r="K1152" i="8"/>
  <c r="N1152" i="8" s="1"/>
  <c r="J1151" i="8"/>
  <c r="M1152" i="8" l="1"/>
  <c r="H1153" i="8" s="1"/>
  <c r="L1153" i="8" s="1"/>
  <c r="K1153" i="8"/>
  <c r="N1153" i="8" s="1"/>
  <c r="J1152" i="8"/>
  <c r="M1153" i="8" l="1"/>
  <c r="H1154" i="8" s="1"/>
  <c r="L1154" i="8" s="1"/>
  <c r="K1154" i="8"/>
  <c r="N1154" i="8" s="1"/>
  <c r="J1153" i="8"/>
  <c r="G2" i="3" l="1"/>
  <c r="M1154" i="8"/>
  <c r="K1155" i="8"/>
  <c r="N1155" i="8" s="1"/>
  <c r="H2" i="3" l="1"/>
  <c r="H1155" i="8"/>
  <c r="L1155" i="8" s="1"/>
  <c r="G3" i="3" l="1"/>
  <c r="K1156" i="8"/>
  <c r="N1156" i="8" s="1"/>
  <c r="J1155" i="8"/>
  <c r="M1155" i="8" l="1"/>
  <c r="H3" i="3" l="1"/>
  <c r="H1156" i="8"/>
  <c r="L1156" i="8" s="1"/>
  <c r="G4" i="3" l="1"/>
  <c r="M1156" i="8"/>
  <c r="J1156" i="8"/>
  <c r="K1157" i="8"/>
  <c r="N1157" i="8" s="1"/>
  <c r="H4" i="3" l="1"/>
  <c r="H1157" i="8"/>
  <c r="L1157" i="8" s="1"/>
  <c r="G5" i="3" l="1"/>
  <c r="M1157" i="8"/>
  <c r="J1157" i="8"/>
  <c r="K1158" i="8"/>
  <c r="N1158" i="8" s="1"/>
  <c r="H5" i="3" l="1"/>
  <c r="H1158" i="8"/>
  <c r="L1158" i="8" s="1"/>
  <c r="G6" i="3" l="1"/>
  <c r="M1158" i="8"/>
  <c r="J1158" i="8"/>
  <c r="K1159" i="8"/>
  <c r="N1159" i="8" s="1"/>
  <c r="H6" i="3" l="1"/>
  <c r="H1159" i="8"/>
  <c r="L1159" i="8" s="1"/>
  <c r="G9" i="3" l="1"/>
  <c r="M1159" i="8"/>
  <c r="K1160" i="8"/>
  <c r="N1160" i="8" s="1"/>
  <c r="J1159" i="8"/>
  <c r="H9" i="3" l="1"/>
  <c r="H1160" i="8"/>
  <c r="L1160" i="8" s="1"/>
  <c r="G10" i="3" l="1"/>
  <c r="M1160" i="8"/>
  <c r="K1161" i="8"/>
  <c r="N1161" i="8" s="1"/>
  <c r="J1160" i="8"/>
  <c r="H10" i="3" l="1"/>
  <c r="H1161" i="8"/>
  <c r="L1161" i="8" s="1"/>
  <c r="G11" i="3" l="1"/>
  <c r="M1161" i="8"/>
  <c r="K1162" i="8"/>
  <c r="N1162" i="8" s="1"/>
  <c r="J1161" i="8"/>
  <c r="H11" i="3" l="1"/>
  <c r="H1162" i="8"/>
  <c r="L1162" i="8" s="1"/>
  <c r="G12" i="3" l="1"/>
  <c r="M1162" i="8"/>
  <c r="K1163" i="8"/>
  <c r="N1163" i="8" s="1"/>
  <c r="J1162" i="8"/>
  <c r="H12" i="3" l="1"/>
  <c r="H1163" i="8"/>
  <c r="L1163" i="8" s="1"/>
  <c r="G13" i="3" l="1"/>
  <c r="M1163" i="8"/>
  <c r="K1164" i="8"/>
  <c r="N1164" i="8" s="1"/>
  <c r="J1163" i="8"/>
  <c r="H13" i="3" l="1"/>
  <c r="H1164" i="8"/>
  <c r="L1164" i="8" s="1"/>
  <c r="G16" i="3" l="1"/>
  <c r="M1164" i="8"/>
  <c r="J1164" i="8"/>
  <c r="K1165" i="8"/>
  <c r="N1165" i="8" s="1"/>
  <c r="H16" i="3" l="1"/>
  <c r="H1165" i="8"/>
  <c r="L1165" i="8" s="1"/>
  <c r="G17" i="3" l="1"/>
  <c r="M1165" i="8"/>
  <c r="J1165" i="8"/>
  <c r="K1166" i="8"/>
  <c r="N1166" i="8" s="1"/>
  <c r="H17" i="3" l="1"/>
  <c r="H1166" i="8"/>
  <c r="L1166" i="8" s="1"/>
  <c r="G18" i="3" l="1"/>
  <c r="M1166" i="8"/>
  <c r="J1166" i="8"/>
  <c r="K1167" i="8"/>
  <c r="N1167" i="8" s="1"/>
  <c r="H18" i="3" l="1"/>
  <c r="H1167" i="8"/>
  <c r="L1167" i="8" s="1"/>
  <c r="G19" i="3" l="1"/>
  <c r="M1167" i="8"/>
  <c r="J1167" i="8"/>
  <c r="K1168" i="8"/>
  <c r="N1168" i="8" s="1"/>
  <c r="H19" i="3" l="1"/>
  <c r="H1168" i="8"/>
  <c r="L1168" i="8" s="1"/>
  <c r="G20" i="3" l="1"/>
  <c r="M1168" i="8"/>
  <c r="K1169" i="8"/>
  <c r="N1169" i="8" s="1"/>
  <c r="J1168" i="8"/>
  <c r="H20" i="3" l="1"/>
  <c r="H1169" i="8"/>
  <c r="L1169" i="8" s="1"/>
  <c r="G23" i="3" l="1"/>
  <c r="M1169" i="8"/>
  <c r="K1170" i="8"/>
  <c r="N1170" i="8" s="1"/>
  <c r="J1169" i="8"/>
  <c r="H23" i="3" l="1"/>
  <c r="H1170" i="8"/>
  <c r="L1170" i="8" s="1"/>
  <c r="G24" i="3" l="1"/>
  <c r="M1170" i="8"/>
  <c r="K1171" i="8"/>
  <c r="N1171" i="8" s="1"/>
  <c r="J1170" i="8"/>
  <c r="H24" i="3" l="1"/>
  <c r="H1171" i="8"/>
  <c r="L1171" i="8" s="1"/>
  <c r="G25" i="3" l="1"/>
  <c r="M1171" i="8"/>
  <c r="K1172" i="8"/>
  <c r="N1172" i="8" s="1"/>
  <c r="J1171" i="8"/>
  <c r="H25" i="3" l="1"/>
  <c r="H1172" i="8"/>
  <c r="L1172" i="8" s="1"/>
  <c r="G26" i="3" l="1"/>
  <c r="M1172" i="8"/>
  <c r="J1172" i="8"/>
  <c r="K1173" i="8"/>
  <c r="N1173" i="8" s="1"/>
  <c r="H26" i="3" l="1"/>
  <c r="H1173" i="8"/>
  <c r="L1173" i="8" s="1"/>
  <c r="G27" i="3" l="1"/>
  <c r="M1173" i="8"/>
  <c r="J1173" i="8"/>
  <c r="K1174" i="8"/>
  <c r="N1174" i="8" s="1"/>
  <c r="H27" i="3" l="1"/>
  <c r="H1174" i="8"/>
  <c r="L1174" i="8" s="1"/>
  <c r="G30" i="3" l="1"/>
  <c r="M1174" i="8"/>
  <c r="J1174" i="8"/>
  <c r="K1175" i="8"/>
  <c r="N1175" i="8" s="1"/>
  <c r="H30" i="3" l="1"/>
  <c r="H1175" i="8"/>
  <c r="L1175" i="8" s="1"/>
  <c r="G31" i="3" l="1"/>
  <c r="M1175" i="8"/>
  <c r="J1175" i="8"/>
  <c r="K1176" i="8"/>
  <c r="N1176" i="8" s="1"/>
  <c r="H31" i="3" l="1"/>
  <c r="H1176" i="8"/>
  <c r="L1176" i="8" s="1"/>
  <c r="G32" i="3" l="1"/>
  <c r="K1177" i="8"/>
  <c r="N1177" i="8" s="1"/>
  <c r="J1176" i="8"/>
  <c r="M1176" i="8" l="1"/>
  <c r="H32" i="3" l="1"/>
  <c r="H1177" i="8"/>
  <c r="L1177" i="8" s="1"/>
  <c r="G33" i="3" l="1"/>
  <c r="M1177" i="8"/>
  <c r="K1178" i="8"/>
  <c r="N1178" i="8" s="1"/>
  <c r="J1177" i="8"/>
  <c r="H33" i="3" l="1"/>
  <c r="H1178" i="8"/>
  <c r="L1178" i="8" s="1"/>
  <c r="G34" i="3" l="1"/>
  <c r="M1178" i="8"/>
  <c r="K1179" i="8"/>
  <c r="N1179" i="8" s="1"/>
  <c r="J1178" i="8"/>
  <c r="H34" i="3" l="1"/>
  <c r="H1179" i="8"/>
  <c r="L1179" i="8" s="1"/>
  <c r="G37" i="3" l="1"/>
  <c r="M1179" i="8"/>
  <c r="K1180" i="8"/>
  <c r="N1180" i="8" s="1"/>
  <c r="J1179" i="8"/>
  <c r="H37" i="3" l="1"/>
  <c r="H1180" i="8"/>
  <c r="L1180" i="8" s="1"/>
  <c r="G38" i="3" l="1"/>
  <c r="M1180" i="8"/>
  <c r="K1181" i="8"/>
  <c r="N1181" i="8" s="1"/>
  <c r="J1180" i="8"/>
  <c r="H38" i="3" l="1"/>
  <c r="H1181" i="8"/>
  <c r="L1181" i="8" s="1"/>
  <c r="G39" i="3" l="1"/>
  <c r="M1181" i="8"/>
  <c r="K1182" i="8"/>
  <c r="N1182" i="8" s="1"/>
  <c r="J1181" i="8"/>
  <c r="H39" i="3" l="1"/>
  <c r="H1182" i="8"/>
  <c r="L1182" i="8" s="1"/>
  <c r="G40" i="3" l="1"/>
  <c r="M1182" i="8"/>
  <c r="J1182" i="8"/>
  <c r="K1183" i="8"/>
  <c r="N1183" i="8" s="1"/>
  <c r="H40" i="3" l="1"/>
  <c r="H1183" i="8"/>
  <c r="L1183" i="8" s="1"/>
  <c r="G41" i="3" l="1"/>
  <c r="M1183" i="8"/>
  <c r="J1183" i="8"/>
  <c r="K1184" i="8"/>
  <c r="N1184" i="8" s="1"/>
  <c r="H41" i="3" l="1"/>
  <c r="H1184" i="8"/>
  <c r="L1184" i="8" s="1"/>
  <c r="M1184" i="8" l="1"/>
  <c r="J1184" i="8"/>
  <c r="K1185" i="8"/>
  <c r="N1185" i="8" s="1"/>
  <c r="G44" i="3"/>
  <c r="H44" i="3" l="1"/>
  <c r="H1185" i="8"/>
  <c r="L1185" i="8" s="1"/>
  <c r="M1185" i="8" l="1"/>
  <c r="J1185" i="8"/>
  <c r="G45" i="3"/>
  <c r="K1186" i="8"/>
  <c r="N1186" i="8" s="1"/>
  <c r="H45" i="3" l="1"/>
  <c r="H1186" i="8"/>
  <c r="L1186" i="8" s="1"/>
  <c r="M1186" i="8" l="1"/>
  <c r="J1186" i="8"/>
  <c r="K1187" i="8"/>
  <c r="N1187" i="8" s="1"/>
  <c r="G46" i="3"/>
  <c r="H46" i="3" l="1"/>
  <c r="H1187" i="8"/>
  <c r="L1187" i="8" s="1"/>
  <c r="M1187" i="8" l="1"/>
  <c r="J1187" i="8"/>
  <c r="K1188" i="8"/>
  <c r="N1188" i="8" s="1"/>
  <c r="G47" i="3"/>
  <c r="H47" i="3" l="1"/>
  <c r="H1188" i="8"/>
  <c r="L1188" i="8" s="1"/>
  <c r="M1188" i="8" l="1"/>
  <c r="K1189" i="8"/>
  <c r="N1189" i="8" s="1"/>
  <c r="J1188" i="8"/>
  <c r="G48" i="3"/>
  <c r="H48" i="3" l="1"/>
  <c r="H1189" i="8"/>
  <c r="L1189" i="8" s="1"/>
  <c r="M1189" i="8" l="1"/>
  <c r="G51" i="3"/>
  <c r="J1189" i="8"/>
  <c r="K1190" i="8"/>
  <c r="N1190" i="8" s="1"/>
  <c r="H51" i="3" l="1"/>
  <c r="H1190" i="8"/>
  <c r="L1190" i="8" s="1"/>
  <c r="M1190" i="8" l="1"/>
  <c r="G52" i="3"/>
  <c r="J1190" i="8"/>
  <c r="K1191" i="8"/>
  <c r="N1191" i="8" s="1"/>
  <c r="H52" i="3" l="1"/>
  <c r="H1191" i="8"/>
  <c r="L1191" i="8" s="1"/>
  <c r="M1191" i="8" l="1"/>
  <c r="J1191" i="8"/>
  <c r="G53" i="3"/>
  <c r="K1192" i="8"/>
  <c r="N1192" i="8" s="1"/>
  <c r="H53" i="3" l="1"/>
  <c r="H1192" i="8"/>
  <c r="L1192" i="8" s="1"/>
  <c r="M1192" i="8" l="1"/>
  <c r="K1193" i="8"/>
  <c r="N1193" i="8" s="1"/>
  <c r="G54" i="3"/>
  <c r="J1192" i="8"/>
  <c r="H54" i="3" l="1"/>
  <c r="H1193" i="8"/>
  <c r="L1193" i="8" s="1"/>
  <c r="M1193" i="8" l="1"/>
  <c r="G55" i="3"/>
  <c r="J1193" i="8"/>
  <c r="K1194" i="8"/>
  <c r="N1194" i="8" s="1"/>
  <c r="H55" i="3" l="1"/>
  <c r="H1194" i="8"/>
  <c r="L1194" i="8" s="1"/>
  <c r="M1194" i="8" l="1"/>
  <c r="G58" i="3"/>
  <c r="J1194" i="8"/>
  <c r="K1195" i="8"/>
  <c r="N1195" i="8" s="1"/>
  <c r="H58" i="3" l="1"/>
  <c r="H1195" i="8"/>
  <c r="L1195" i="8" s="1"/>
  <c r="M1195" i="8" l="1"/>
  <c r="G59" i="3"/>
  <c r="K1196" i="8"/>
  <c r="N1196" i="8" s="1"/>
  <c r="J1195" i="8"/>
  <c r="H59" i="3" l="1"/>
  <c r="H1196" i="8"/>
  <c r="L1196" i="8" s="1"/>
  <c r="M1196" i="8" l="1"/>
  <c r="J1196" i="8"/>
  <c r="G60" i="3"/>
  <c r="K1197" i="8"/>
  <c r="N1197" i="8" s="1"/>
  <c r="H60" i="3" l="1"/>
  <c r="H1197" i="8"/>
  <c r="L1197" i="8" s="1"/>
  <c r="M1197" i="8" l="1"/>
  <c r="G61" i="3"/>
  <c r="K1198" i="8"/>
  <c r="N1198" i="8" s="1"/>
  <c r="J1197" i="8"/>
  <c r="H61" i="3" l="1"/>
  <c r="H1198" i="8"/>
  <c r="L1198" i="8" s="1"/>
  <c r="M1198" i="8" l="1"/>
  <c r="G62" i="3"/>
  <c r="K1199" i="8"/>
  <c r="N1199" i="8" s="1"/>
  <c r="J1198" i="8"/>
  <c r="H62" i="3" l="1"/>
  <c r="H1199" i="8"/>
  <c r="L1199" i="8" s="1"/>
  <c r="M1199" i="8" l="1"/>
  <c r="J1199" i="8"/>
  <c r="G65" i="3"/>
  <c r="K1200" i="8"/>
  <c r="N1200" i="8" s="1"/>
  <c r="H65" i="3" l="1"/>
  <c r="H1200" i="8"/>
  <c r="L1200" i="8" s="1"/>
  <c r="M1200" i="8" l="1"/>
  <c r="G66" i="3"/>
  <c r="J1200" i="8"/>
  <c r="K1201" i="8"/>
  <c r="N1201" i="8" s="1"/>
  <c r="H66" i="3" l="1"/>
  <c r="H1201" i="8"/>
  <c r="L1201" i="8" s="1"/>
  <c r="M1201" i="8" l="1"/>
  <c r="G67" i="3"/>
  <c r="K1202" i="8"/>
  <c r="N1202" i="8" s="1"/>
  <c r="J1201" i="8"/>
  <c r="H67" i="3" l="1"/>
  <c r="H1202" i="8"/>
  <c r="L1202" i="8" s="1"/>
  <c r="M1202" i="8" l="1"/>
  <c r="J1202" i="8"/>
  <c r="G68" i="3"/>
  <c r="K1203" i="8"/>
  <c r="N1203" i="8" s="1"/>
  <c r="H68" i="3" l="1"/>
  <c r="H1203" i="8"/>
  <c r="L1203" i="8" s="1"/>
  <c r="M1203" i="8" l="1"/>
  <c r="J1203" i="8"/>
  <c r="G69" i="3"/>
  <c r="K1204" i="8"/>
  <c r="N1204" i="8" s="1"/>
  <c r="H69" i="3" l="1"/>
  <c r="H1204" i="8"/>
  <c r="L1204" i="8" s="1"/>
  <c r="M1204" i="8" l="1"/>
  <c r="G72" i="3"/>
  <c r="J1204" i="8"/>
  <c r="K1205" i="8"/>
  <c r="N1205" i="8" s="1"/>
  <c r="H72" i="3" l="1"/>
  <c r="H1205" i="8"/>
  <c r="L1205" i="8" s="1"/>
  <c r="M1205" i="8" l="1"/>
  <c r="J1205" i="8"/>
  <c r="K1206" i="8"/>
  <c r="N1206" i="8" s="1"/>
  <c r="G73" i="3"/>
  <c r="H73" i="3" l="1"/>
  <c r="H1206" i="8"/>
  <c r="L1206" i="8" s="1"/>
  <c r="M1206" i="8" l="1"/>
  <c r="K1207" i="8"/>
  <c r="N1207" i="8" s="1"/>
  <c r="G74" i="3"/>
  <c r="J1206" i="8"/>
  <c r="H74" i="3" l="1"/>
  <c r="H1207" i="8"/>
  <c r="L1207" i="8" s="1"/>
  <c r="M1207" i="8" l="1"/>
  <c r="G75" i="3"/>
  <c r="J1207" i="8"/>
  <c r="K1208" i="8"/>
  <c r="N1208" i="8" s="1"/>
  <c r="H75" i="3" l="1"/>
  <c r="H1208" i="8"/>
  <c r="L1208" i="8" s="1"/>
  <c r="M1208" i="8" l="1"/>
  <c r="G76" i="3"/>
  <c r="J1208" i="8"/>
  <c r="K1209" i="8"/>
  <c r="N1209" i="8" s="1"/>
  <c r="H76" i="3" l="1"/>
  <c r="H1209" i="8"/>
  <c r="L1209" i="8" s="1"/>
  <c r="M1209" i="8" l="1"/>
  <c r="G79" i="3"/>
  <c r="K1210" i="8"/>
  <c r="N1210" i="8" s="1"/>
  <c r="J1209" i="8"/>
  <c r="H79" i="3" l="1"/>
  <c r="H1210" i="8"/>
  <c r="L1210" i="8" s="1"/>
  <c r="M1210" i="8" l="1"/>
  <c r="K1211" i="8"/>
  <c r="N1211" i="8" s="1"/>
  <c r="G80" i="3"/>
  <c r="J1210" i="8"/>
  <c r="H80" i="3" l="1"/>
  <c r="H1211" i="8"/>
  <c r="L1211" i="8" s="1"/>
  <c r="G81" i="3" l="1"/>
  <c r="K1212" i="8"/>
  <c r="N1212" i="8" s="1"/>
  <c r="J1211" i="8"/>
  <c r="M1211" i="8" l="1"/>
  <c r="H81" i="3" l="1"/>
  <c r="H1212" i="8"/>
  <c r="L1212" i="8" s="1"/>
  <c r="M1212" i="8" l="1"/>
  <c r="G82" i="3"/>
  <c r="J1212" i="8"/>
  <c r="K1213" i="8"/>
  <c r="N1213" i="8" s="1"/>
  <c r="H82" i="3" l="1"/>
  <c r="H1213" i="8"/>
  <c r="L1213" i="8" s="1"/>
  <c r="M1213" i="8" l="1"/>
  <c r="G83" i="3"/>
  <c r="K1214" i="8"/>
  <c r="N1214" i="8" s="1"/>
  <c r="J1213" i="8"/>
  <c r="H83" i="3" l="1"/>
  <c r="H1214" i="8"/>
  <c r="L1214" i="8" s="1"/>
  <c r="M1214" i="8" l="1"/>
  <c r="K1215" i="8"/>
  <c r="N1215" i="8" s="1"/>
  <c r="G86" i="3"/>
  <c r="J1214" i="8"/>
  <c r="H86" i="3" l="1"/>
  <c r="H1215" i="8"/>
  <c r="L1215" i="8" s="1"/>
  <c r="M1215" i="8" l="1"/>
  <c r="G87" i="3"/>
  <c r="K1216" i="8"/>
  <c r="N1216" i="8" s="1"/>
  <c r="J1215" i="8"/>
  <c r="H87" i="3" l="1"/>
  <c r="H1216" i="8"/>
  <c r="L1216" i="8" s="1"/>
  <c r="M1216" i="8" l="1"/>
  <c r="G88" i="3"/>
  <c r="J1216" i="8"/>
  <c r="K1217" i="8"/>
  <c r="N1217" i="8" s="1"/>
  <c r="H88" i="3" l="1"/>
  <c r="H1217" i="8"/>
  <c r="L1217" i="8" s="1"/>
  <c r="M1217" i="8" l="1"/>
  <c r="G89" i="3"/>
  <c r="K1218" i="8"/>
  <c r="N1218" i="8" s="1"/>
  <c r="J1217" i="8"/>
  <c r="H89" i="3" l="1"/>
  <c r="H1218" i="8"/>
  <c r="L1218" i="8" s="1"/>
  <c r="M1218" i="8" l="1"/>
  <c r="G90" i="3"/>
  <c r="K1219" i="8"/>
  <c r="N1219" i="8" s="1"/>
  <c r="J1218" i="8"/>
  <c r="H90" i="3" l="1"/>
  <c r="H1219" i="8"/>
  <c r="L1219" i="8" s="1"/>
  <c r="M1219" i="8" l="1"/>
  <c r="G93" i="3"/>
  <c r="J1219" i="8"/>
  <c r="K1220" i="8"/>
  <c r="N1220" i="8" s="1"/>
  <c r="H93" i="3" l="1"/>
  <c r="H1220" i="8"/>
  <c r="L1220" i="8" s="1"/>
  <c r="M1220" i="8" l="1"/>
  <c r="J1220" i="8"/>
  <c r="G94" i="3"/>
  <c r="K1221" i="8"/>
  <c r="N1221" i="8" s="1"/>
  <c r="H94" i="3" l="1"/>
  <c r="H1221" i="8"/>
  <c r="L1221" i="8" s="1"/>
  <c r="M1221" i="8" l="1"/>
  <c r="K1222" i="8"/>
  <c r="N1222" i="8" s="1"/>
  <c r="G95" i="3"/>
  <c r="J1221" i="8"/>
  <c r="H95" i="3" l="1"/>
  <c r="H1222" i="8"/>
  <c r="L1222" i="8" s="1"/>
  <c r="M1222" i="8" l="1"/>
  <c r="J1222" i="8"/>
  <c r="G96" i="3"/>
  <c r="H96" i="3" l="1"/>
  <c r="H1223" i="8"/>
  <c r="L1223" i="8" s="1"/>
  <c r="G97" i="3" l="1"/>
  <c r="M1223" i="8"/>
  <c r="K1224" i="8"/>
  <c r="N1224" i="8" s="1"/>
  <c r="J1223" i="8"/>
  <c r="H97" i="3" l="1"/>
  <c r="H1224" i="8"/>
  <c r="L1224" i="8" s="1"/>
  <c r="G100" i="3" l="1"/>
  <c r="M1224" i="8"/>
  <c r="K1225" i="8"/>
  <c r="N1225" i="8" s="1"/>
  <c r="J1224" i="8"/>
  <c r="H100" i="3" l="1"/>
  <c r="H1225" i="8"/>
  <c r="L1225" i="8" s="1"/>
  <c r="G101" i="3" l="1"/>
  <c r="M1225" i="8"/>
  <c r="K1226" i="8"/>
  <c r="N1226" i="8" s="1"/>
  <c r="J1225" i="8"/>
  <c r="H101" i="3" l="1"/>
  <c r="H1226" i="8"/>
  <c r="L1226" i="8" s="1"/>
  <c r="G102" i="3" l="1"/>
  <c r="M1226" i="8"/>
  <c r="K1227" i="8"/>
  <c r="N1227" i="8" s="1"/>
  <c r="J1226" i="8"/>
  <c r="H102" i="3" l="1"/>
  <c r="H1227" i="8"/>
  <c r="L1227" i="8" s="1"/>
  <c r="G103" i="3" l="1"/>
  <c r="M1227" i="8"/>
  <c r="K1228" i="8"/>
  <c r="N1228" i="8" s="1"/>
  <c r="J1227" i="8"/>
  <c r="H103" i="3" l="1"/>
  <c r="H1228" i="8"/>
  <c r="L1228" i="8" s="1"/>
  <c r="G104" i="3" l="1"/>
  <c r="M1228" i="8"/>
  <c r="K1229" i="8"/>
  <c r="N1229" i="8" s="1"/>
  <c r="J1228" i="8"/>
  <c r="H104" i="3" l="1"/>
  <c r="H1229" i="8"/>
  <c r="L1229" i="8" s="1"/>
  <c r="G107" i="3" l="1"/>
  <c r="M1229" i="8"/>
  <c r="K1230" i="8"/>
  <c r="N1230" i="8" s="1"/>
  <c r="J1229" i="8"/>
  <c r="H107" i="3" l="1"/>
  <c r="H1230" i="8"/>
  <c r="L1230" i="8" s="1"/>
  <c r="G108" i="3" l="1"/>
  <c r="M1230" i="8"/>
  <c r="K1231" i="8"/>
  <c r="N1231" i="8" s="1"/>
  <c r="J1230" i="8"/>
  <c r="H108" i="3" l="1"/>
  <c r="H1231" i="8"/>
  <c r="L1231" i="8" s="1"/>
  <c r="G109" i="3" l="1"/>
  <c r="M1231" i="8"/>
  <c r="K1232" i="8"/>
  <c r="N1232" i="8" s="1"/>
  <c r="J1231" i="8"/>
  <c r="H109" i="3" l="1"/>
  <c r="H1232" i="8"/>
  <c r="L1232" i="8" s="1"/>
  <c r="G110" i="3" l="1"/>
  <c r="M1232" i="8"/>
  <c r="K1233" i="8"/>
  <c r="N1233" i="8" s="1"/>
  <c r="J1232" i="8"/>
  <c r="H110" i="3" l="1"/>
  <c r="H1233" i="8"/>
  <c r="L1233" i="8" s="1"/>
  <c r="G111" i="3" l="1"/>
  <c r="M1233" i="8"/>
  <c r="K1234" i="8"/>
  <c r="N1234" i="8" s="1"/>
  <c r="J1233" i="8"/>
  <c r="H111" i="3" l="1"/>
  <c r="H1234" i="8"/>
  <c r="L1234" i="8" s="1"/>
  <c r="G114" i="3" l="1"/>
  <c r="M1234" i="8"/>
  <c r="K1235" i="8"/>
  <c r="N1235" i="8" s="1"/>
  <c r="J1234" i="8"/>
  <c r="H114" i="3" l="1"/>
  <c r="H1235" i="8"/>
  <c r="L1235" i="8" s="1"/>
  <c r="G115" i="3" l="1"/>
  <c r="M1235" i="8"/>
  <c r="K1236" i="8"/>
  <c r="N1236" i="8" s="1"/>
  <c r="J1235" i="8"/>
  <c r="H115" i="3" l="1"/>
  <c r="H1236" i="8"/>
  <c r="L1236" i="8" s="1"/>
  <c r="G116" i="3" l="1"/>
  <c r="M1236" i="8"/>
  <c r="K1237" i="8"/>
  <c r="N1237" i="8" s="1"/>
  <c r="J1236" i="8"/>
  <c r="H116" i="3" l="1"/>
  <c r="H1237" i="8"/>
  <c r="L1237" i="8" s="1"/>
  <c r="G117" i="3" l="1"/>
  <c r="K1238" i="8"/>
  <c r="N1238" i="8" s="1"/>
  <c r="J1237" i="8"/>
  <c r="M1237" i="8" l="1"/>
  <c r="H117" i="3" l="1"/>
  <c r="H1238" i="8"/>
  <c r="L1238" i="8" s="1"/>
  <c r="G118" i="3" l="1"/>
  <c r="M1238" i="8"/>
  <c r="K1239" i="8"/>
  <c r="N1239" i="8" s="1"/>
  <c r="J1238" i="8"/>
  <c r="H118" i="3" l="1"/>
  <c r="H1239" i="8"/>
  <c r="L1239" i="8" s="1"/>
  <c r="G121" i="3" l="1"/>
  <c r="M1239" i="8"/>
  <c r="K1240" i="8"/>
  <c r="N1240" i="8" s="1"/>
  <c r="J1239" i="8"/>
  <c r="H121" i="3" l="1"/>
  <c r="H1240" i="8"/>
  <c r="L1240" i="8" s="1"/>
  <c r="G122" i="3" l="1"/>
  <c r="M1240" i="8"/>
  <c r="J1240" i="8"/>
  <c r="K1241" i="8"/>
  <c r="N1241" i="8" s="1"/>
  <c r="H122" i="3" l="1"/>
  <c r="H1241" i="8"/>
  <c r="L1241" i="8" s="1"/>
  <c r="G123" i="3" l="1"/>
  <c r="M1241" i="8"/>
  <c r="J1241" i="8"/>
  <c r="K1242" i="8"/>
  <c r="N1242" i="8" s="1"/>
  <c r="H123" i="3" l="1"/>
  <c r="H1242" i="8"/>
  <c r="L1242" i="8" s="1"/>
  <c r="G124" i="3" l="1"/>
  <c r="M1242" i="8"/>
  <c r="K1243" i="8"/>
  <c r="N1243" i="8" s="1"/>
  <c r="J1242" i="8"/>
  <c r="H124" i="3" l="1"/>
  <c r="H1243" i="8"/>
  <c r="L1243" i="8" s="1"/>
  <c r="G125" i="3" l="1"/>
  <c r="K1244" i="8"/>
  <c r="N1244" i="8" s="1"/>
  <c r="J1243" i="8"/>
  <c r="M1243" i="8" l="1"/>
  <c r="H125" i="3" l="1"/>
  <c r="H1244" i="8"/>
  <c r="L1244" i="8" s="1"/>
  <c r="G128" i="3" l="1"/>
  <c r="M1244" i="8"/>
  <c r="K1245" i="8"/>
  <c r="N1245" i="8" s="1"/>
  <c r="J1244" i="8"/>
  <c r="H128" i="3" l="1"/>
  <c r="H1245" i="8"/>
  <c r="L1245" i="8" s="1"/>
  <c r="G129" i="3" l="1"/>
  <c r="M1245" i="8"/>
  <c r="J1245" i="8"/>
  <c r="K1246" i="8"/>
  <c r="N1246" i="8" s="1"/>
  <c r="H129" i="3" l="1"/>
  <c r="H1246" i="8"/>
  <c r="L1246" i="8" s="1"/>
  <c r="G130" i="3" l="1"/>
  <c r="M1246" i="8"/>
  <c r="K1247" i="8"/>
  <c r="N1247" i="8" s="1"/>
  <c r="J1246" i="8"/>
  <c r="H130" i="3" l="1"/>
  <c r="H1247" i="8"/>
  <c r="L1247" i="8" s="1"/>
  <c r="G131" i="3" l="1"/>
  <c r="M1247" i="8"/>
  <c r="J1247" i="8"/>
  <c r="K1248" i="8"/>
  <c r="N1248" i="8" s="1"/>
  <c r="H131" i="3" l="1"/>
  <c r="H1248" i="8"/>
  <c r="L1248" i="8" s="1"/>
  <c r="G132" i="3" l="1"/>
  <c r="M1248" i="8"/>
  <c r="K1249" i="8"/>
  <c r="N1249" i="8" s="1"/>
  <c r="J1248" i="8"/>
  <c r="H132" i="3" l="1"/>
  <c r="H1249" i="8"/>
  <c r="L1249" i="8" s="1"/>
  <c r="G135" i="3" l="1"/>
  <c r="M1249" i="8"/>
  <c r="J1249" i="8"/>
  <c r="K1250" i="8"/>
  <c r="N1250" i="8" s="1"/>
  <c r="H135" i="3" l="1"/>
  <c r="H1250" i="8"/>
  <c r="L1250" i="8" s="1"/>
  <c r="G136" i="3" l="1"/>
  <c r="M1250" i="8"/>
  <c r="K1251" i="8"/>
  <c r="N1251" i="8" s="1"/>
  <c r="J1250" i="8"/>
  <c r="H136" i="3" l="1"/>
  <c r="H1251" i="8"/>
  <c r="L1251" i="8" s="1"/>
  <c r="G137" i="3" l="1"/>
  <c r="M1251" i="8"/>
  <c r="J1251" i="8"/>
  <c r="K1252" i="8"/>
  <c r="N1252" i="8" s="1"/>
  <c r="H137" i="3" l="1"/>
  <c r="H1252" i="8"/>
  <c r="L1252" i="8" s="1"/>
  <c r="G138" i="3" l="1"/>
  <c r="M1252" i="8"/>
  <c r="K1253" i="8"/>
  <c r="N1253" i="8" s="1"/>
  <c r="J1252" i="8"/>
  <c r="H138" i="3" l="1"/>
  <c r="H1253" i="8"/>
  <c r="L1253" i="8" s="1"/>
  <c r="G139" i="3" l="1"/>
  <c r="M1253" i="8"/>
  <c r="J1253" i="8"/>
  <c r="K1254" i="8"/>
  <c r="N1254" i="8" s="1"/>
  <c r="H139" i="3" l="1"/>
  <c r="H1254" i="8"/>
  <c r="L1254" i="8" s="1"/>
  <c r="G142" i="3" l="1"/>
  <c r="M1254" i="8"/>
  <c r="J1254" i="8"/>
  <c r="K1255" i="8"/>
  <c r="N1255" i="8" s="1"/>
  <c r="H142" i="3" l="1"/>
  <c r="H1255" i="8"/>
  <c r="L1255" i="8" s="1"/>
  <c r="G143" i="3" l="1"/>
  <c r="M1255" i="8"/>
  <c r="J1255" i="8"/>
  <c r="K1256" i="8"/>
  <c r="N1256" i="8" s="1"/>
  <c r="H143" i="3" l="1"/>
  <c r="H1256" i="8"/>
  <c r="L1256" i="8" s="1"/>
  <c r="G144" i="3" l="1"/>
  <c r="M1256" i="8"/>
  <c r="K1257" i="8"/>
  <c r="N1257" i="8" s="1"/>
  <c r="J1256" i="8"/>
  <c r="H144" i="3" l="1"/>
  <c r="H1257" i="8"/>
  <c r="L1257" i="8" s="1"/>
  <c r="G145" i="3" l="1"/>
  <c r="M1257" i="8"/>
  <c r="J1257" i="8"/>
  <c r="K1258" i="8"/>
  <c r="N1258" i="8" s="1"/>
  <c r="H145" i="3" l="1"/>
  <c r="H1258" i="8"/>
  <c r="L1258" i="8" s="1"/>
  <c r="G146" i="3" l="1"/>
  <c r="M1258" i="8"/>
  <c r="J1258" i="8"/>
  <c r="K1259" i="8"/>
  <c r="N1259" i="8" s="1"/>
  <c r="H146" i="3" l="1"/>
  <c r="H1259" i="8"/>
  <c r="L1259" i="8" s="1"/>
  <c r="G149" i="3" l="1"/>
  <c r="M1259" i="8"/>
  <c r="K1260" i="8"/>
  <c r="N1260" i="8" s="1"/>
  <c r="J1259" i="8"/>
  <c r="H149" i="3" l="1"/>
  <c r="H1260" i="8"/>
  <c r="L1260" i="8" s="1"/>
  <c r="G150" i="3" l="1"/>
  <c r="M1260" i="8"/>
  <c r="J1260" i="8"/>
  <c r="K1261" i="8"/>
  <c r="N1261" i="8" s="1"/>
  <c r="H150" i="3" l="1"/>
  <c r="H1261" i="8"/>
  <c r="L1261" i="8" s="1"/>
  <c r="G151" i="3" l="1"/>
  <c r="K1262" i="8"/>
  <c r="N1262" i="8" s="1"/>
  <c r="J1261" i="8"/>
  <c r="M1261" i="8" l="1"/>
  <c r="H151" i="3" l="1"/>
  <c r="H1262" i="8"/>
  <c r="L1262" i="8" s="1"/>
  <c r="G152" i="3" l="1"/>
  <c r="M1262" i="8"/>
  <c r="J1262" i="8"/>
  <c r="K1263" i="8"/>
  <c r="H152" i="3" l="1"/>
  <c r="H1263" i="8"/>
  <c r="L1263" i="8" s="1"/>
  <c r="G153" i="3" l="1"/>
  <c r="M1263" i="8"/>
  <c r="J1263" i="8"/>
  <c r="K1264" i="8"/>
  <c r="H153" i="3" l="1"/>
  <c r="H1264" i="8"/>
  <c r="L1264" i="8" s="1"/>
  <c r="G156" i="3" l="1"/>
  <c r="M1264" i="8"/>
  <c r="K1265" i="8"/>
  <c r="J1264" i="8"/>
  <c r="H156" i="3" l="1"/>
  <c r="H1265" i="8"/>
  <c r="L1265" i="8" s="1"/>
  <c r="G157" i="3" l="1"/>
  <c r="M1265" i="8"/>
  <c r="J1265" i="8"/>
  <c r="H157" i="3" l="1"/>
  <c r="H1266" i="8"/>
  <c r="L1266" i="8" s="1"/>
  <c r="G158" i="3" l="1"/>
  <c r="M1266" i="8"/>
  <c r="K1267" i="8"/>
  <c r="H158" i="3" l="1"/>
  <c r="H1267" i="8"/>
  <c r="L1267" i="8" s="1"/>
  <c r="G159" i="3" l="1"/>
  <c r="M1267" i="8"/>
  <c r="K1268" i="8"/>
  <c r="J1267" i="8"/>
  <c r="H159" i="3" l="1"/>
  <c r="H1268" i="8"/>
  <c r="L1268" i="8" s="1"/>
  <c r="G160" i="3" l="1"/>
  <c r="M1268" i="8"/>
  <c r="K1269" i="8"/>
  <c r="J1268" i="8"/>
  <c r="H160" i="3" l="1"/>
  <c r="H1269" i="8"/>
  <c r="L1269" i="8" s="1"/>
  <c r="G163" i="3" l="1"/>
  <c r="M1269" i="8"/>
  <c r="J1269" i="8"/>
  <c r="K1270" i="8"/>
  <c r="H163" i="3" l="1"/>
  <c r="H1270" i="8"/>
  <c r="L1270" i="8" s="1"/>
  <c r="G164" i="3" l="1"/>
  <c r="M1270" i="8"/>
  <c r="K1271" i="8"/>
  <c r="J1270" i="8"/>
  <c r="H164" i="3" l="1"/>
  <c r="H1271" i="8"/>
  <c r="L1271" i="8" s="1"/>
  <c r="G165" i="3" l="1"/>
  <c r="M1271" i="8"/>
  <c r="K1272" i="8"/>
  <c r="J1271" i="8"/>
  <c r="H165" i="3" l="1"/>
  <c r="H1272" i="8"/>
  <c r="L1272" i="8" s="1"/>
  <c r="G166" i="3" l="1"/>
  <c r="M1272" i="8"/>
  <c r="K1273" i="8"/>
  <c r="J1272" i="8"/>
  <c r="H166" i="3" l="1"/>
  <c r="H1273" i="8"/>
  <c r="L1273" i="8" s="1"/>
  <c r="G167" i="3" l="1"/>
  <c r="M1273" i="8"/>
  <c r="K1274" i="8"/>
  <c r="J1273" i="8"/>
  <c r="H167" i="3" l="1"/>
  <c r="H1274" i="8"/>
  <c r="L1274" i="8" s="1"/>
  <c r="G170" i="3" l="1"/>
  <c r="M1274" i="8"/>
  <c r="J1274" i="8"/>
  <c r="H170" i="3" l="1"/>
  <c r="H1275" i="8"/>
  <c r="L1275" i="8" s="1"/>
  <c r="G171" i="3" l="1"/>
  <c r="M1275" i="8"/>
  <c r="K1276" i="8"/>
  <c r="J1275" i="8"/>
  <c r="H171" i="3" l="1"/>
  <c r="H1276" i="8"/>
  <c r="L1276" i="8" s="1"/>
  <c r="G172" i="3" l="1"/>
  <c r="M1276" i="8"/>
  <c r="K1277" i="8"/>
  <c r="J1276" i="8"/>
  <c r="H172" i="3" l="1"/>
  <c r="H1277" i="8"/>
  <c r="L1277" i="8" s="1"/>
  <c r="G173" i="3" l="1"/>
  <c r="M1277" i="8"/>
  <c r="K1278" i="8"/>
  <c r="J1277" i="8"/>
  <c r="H173" i="3" l="1"/>
  <c r="H1278" i="8"/>
  <c r="L1278" i="8" s="1"/>
  <c r="G174" i="3" l="1"/>
  <c r="M1278" i="8"/>
  <c r="K1279" i="8"/>
  <c r="J1278" i="8"/>
  <c r="H174" i="3" l="1"/>
  <c r="H1279" i="8"/>
  <c r="L1279" i="8" s="1"/>
  <c r="G177" i="3" l="1"/>
  <c r="M1279" i="8"/>
  <c r="J1279" i="8"/>
  <c r="K1280" i="8"/>
  <c r="H177" i="3" l="1"/>
  <c r="H1280" i="8"/>
  <c r="L1280" i="8" s="1"/>
  <c r="G178" i="3" l="1"/>
  <c r="M1280" i="8"/>
  <c r="K1281" i="8"/>
  <c r="J1280" i="8"/>
  <c r="H178" i="3" l="1"/>
  <c r="H1281" i="8"/>
  <c r="L1281" i="8" s="1"/>
  <c r="G179" i="3" l="1"/>
  <c r="M1281" i="8"/>
  <c r="J1281" i="8"/>
  <c r="K1282" i="8"/>
  <c r="H179" i="3" l="1"/>
  <c r="H1282" i="8"/>
  <c r="L1282" i="8" s="1"/>
  <c r="G180" i="3" l="1"/>
  <c r="M1282" i="8"/>
  <c r="K1283" i="8"/>
  <c r="J1282" i="8"/>
  <c r="H180" i="3" l="1"/>
  <c r="H1283" i="8"/>
  <c r="L1283" i="8" s="1"/>
  <c r="G181" i="3" l="1"/>
  <c r="M1283" i="8"/>
  <c r="K1284" i="8"/>
  <c r="J1283" i="8"/>
  <c r="H181" i="3" l="1"/>
  <c r="H1284" i="8"/>
  <c r="L1284" i="8" s="1"/>
  <c r="G184" i="3" l="1"/>
  <c r="K1285" i="8"/>
  <c r="J1284" i="8"/>
  <c r="M1284" i="8" l="1"/>
  <c r="H184" i="3" l="1"/>
  <c r="H1285" i="8"/>
  <c r="L1285" i="8" s="1"/>
  <c r="G185" i="3" l="1"/>
  <c r="M1285" i="8"/>
  <c r="J1285" i="8"/>
  <c r="H185" i="3" l="1"/>
  <c r="H1286" i="8"/>
  <c r="L1286" i="8" s="1"/>
  <c r="G186" i="3" l="1"/>
  <c r="M1286" i="8"/>
  <c r="K1287" i="8"/>
  <c r="J1286" i="8"/>
  <c r="H186" i="3" l="1"/>
  <c r="H1287" i="8"/>
  <c r="L1287" i="8" s="1"/>
  <c r="G187" i="3" l="1"/>
  <c r="M1287" i="8"/>
  <c r="J1287" i="8"/>
  <c r="K1288" i="8"/>
  <c r="H187" i="3" l="1"/>
  <c r="H1288" i="8"/>
  <c r="L1288" i="8" s="1"/>
  <c r="G188" i="3" l="1"/>
  <c r="M1288" i="8"/>
  <c r="K1289" i="8"/>
  <c r="J1288" i="8"/>
  <c r="H188" i="3" l="1"/>
  <c r="H1289" i="8"/>
  <c r="L1289" i="8" s="1"/>
  <c r="G191" i="3" l="1"/>
  <c r="M1289" i="8"/>
  <c r="K1290" i="8"/>
  <c r="J1289" i="8"/>
  <c r="H191" i="3" l="1"/>
  <c r="H1290" i="8"/>
  <c r="L1290" i="8" s="1"/>
  <c r="G192" i="3" l="1"/>
  <c r="M1290" i="8"/>
  <c r="J1290" i="8"/>
  <c r="K1291" i="8"/>
  <c r="H192" i="3" l="1"/>
  <c r="H1291" i="8"/>
  <c r="L1291" i="8" s="1"/>
  <c r="G193" i="3" l="1"/>
  <c r="M1291" i="8"/>
  <c r="K1292" i="8"/>
  <c r="J1291" i="8"/>
  <c r="H193" i="3" l="1"/>
  <c r="H1292" i="8"/>
  <c r="L1292" i="8" s="1"/>
  <c r="G194" i="3" l="1"/>
  <c r="M1292" i="8"/>
  <c r="K1293" i="8"/>
  <c r="J1292" i="8"/>
  <c r="H194" i="3" l="1"/>
  <c r="H1293" i="8"/>
  <c r="L1293" i="8" s="1"/>
  <c r="G195" i="3" l="1"/>
  <c r="M1293" i="8"/>
  <c r="J1293" i="8"/>
  <c r="K1294" i="8"/>
  <c r="H195" i="3" l="1"/>
  <c r="H1294" i="8"/>
  <c r="L1294" i="8" s="1"/>
  <c r="G198" i="3" l="1"/>
  <c r="M1294" i="8"/>
  <c r="K1295" i="8"/>
  <c r="J1294" i="8"/>
  <c r="H198" i="3" l="1"/>
  <c r="H1295" i="8"/>
  <c r="L1295" i="8" s="1"/>
  <c r="G199" i="3" l="1"/>
  <c r="M1295" i="8"/>
  <c r="K1296" i="8"/>
  <c r="J1295" i="8"/>
  <c r="H199" i="3" l="1"/>
  <c r="H1296" i="8"/>
  <c r="L1296" i="8" s="1"/>
  <c r="G200" i="3" l="1"/>
  <c r="M1296" i="8"/>
  <c r="K1297" i="8"/>
  <c r="J1296" i="8"/>
  <c r="H200" i="3" l="1"/>
  <c r="H1297" i="8"/>
  <c r="L1297" i="8" s="1"/>
  <c r="G201" i="3" l="1"/>
  <c r="M1297" i="8"/>
  <c r="J1297" i="8"/>
  <c r="K1298" i="8"/>
  <c r="H201" i="3" l="1"/>
  <c r="H1298" i="8"/>
  <c r="L1298" i="8" s="1"/>
  <c r="G202" i="3" l="1"/>
  <c r="M1298" i="8"/>
  <c r="J1298" i="8"/>
  <c r="K1299" i="8"/>
  <c r="H202" i="3" l="1"/>
  <c r="H1299" i="8"/>
  <c r="L1299" i="8" s="1"/>
  <c r="G205" i="3" l="1"/>
  <c r="M1299" i="8"/>
  <c r="K1300" i="8"/>
  <c r="J1299" i="8"/>
  <c r="H205" i="3" l="1"/>
  <c r="H1300" i="8"/>
  <c r="L1300" i="8" s="1"/>
  <c r="G206" i="3" l="1"/>
  <c r="M1300" i="8"/>
  <c r="K1301" i="8"/>
  <c r="J1300" i="8"/>
  <c r="H206" i="3" l="1"/>
  <c r="H1301" i="8"/>
  <c r="L1301" i="8" s="1"/>
  <c r="G207" i="3" l="1"/>
  <c r="M1301" i="8"/>
  <c r="K1302" i="8"/>
  <c r="J1301" i="8"/>
  <c r="H207" i="3" l="1"/>
  <c r="H1302" i="8"/>
  <c r="L1302" i="8" s="1"/>
  <c r="G208" i="3" l="1"/>
  <c r="M1302" i="8"/>
  <c r="K1303" i="8"/>
  <c r="J1302" i="8"/>
  <c r="H208" i="3" l="1"/>
  <c r="H1303" i="8"/>
  <c r="L1303" i="8" s="1"/>
  <c r="G209" i="3" l="1"/>
  <c r="M1303" i="8"/>
  <c r="K1304" i="8"/>
  <c r="J1303" i="8"/>
  <c r="H209" i="3" l="1"/>
  <c r="H1304" i="8"/>
  <c r="L1304" i="8" s="1"/>
  <c r="G212" i="3" l="1"/>
  <c r="M1304" i="8"/>
  <c r="K1305" i="8"/>
  <c r="J1304" i="8"/>
  <c r="H212" i="3" l="1"/>
  <c r="H1305" i="8"/>
  <c r="L1305" i="8" s="1"/>
  <c r="G213" i="3" l="1"/>
  <c r="M1305" i="8"/>
  <c r="J1305" i="8"/>
  <c r="K1306" i="8"/>
  <c r="H213" i="3" l="1"/>
  <c r="H1306" i="8"/>
  <c r="L1306" i="8" s="1"/>
  <c r="G214" i="3" l="1"/>
  <c r="M1306" i="8"/>
  <c r="J1306" i="8"/>
  <c r="H214" i="3" l="1"/>
  <c r="H1307" i="8"/>
  <c r="L1307" i="8" s="1"/>
  <c r="G215" i="3" l="1"/>
  <c r="M1307" i="8"/>
  <c r="K1308" i="8"/>
  <c r="J1307" i="8"/>
  <c r="H215" i="3" l="1"/>
  <c r="H1308" i="8"/>
  <c r="L1308" i="8" s="1"/>
  <c r="G216" i="3" l="1"/>
  <c r="M1308" i="8"/>
  <c r="J1308" i="8"/>
  <c r="K1309" i="8"/>
  <c r="H216" i="3" l="1"/>
  <c r="H1309" i="8"/>
  <c r="L1309" i="8" s="1"/>
  <c r="G219" i="3" l="1"/>
  <c r="J1309" i="8"/>
  <c r="K1310" i="8"/>
  <c r="M1309" i="8" l="1"/>
  <c r="H219" i="3" l="1"/>
  <c r="H1310" i="8"/>
  <c r="L1310" i="8" s="1"/>
  <c r="G220" i="3" l="1"/>
  <c r="M1310" i="8"/>
  <c r="K1311" i="8"/>
  <c r="J1310" i="8"/>
  <c r="H220" i="3" l="1"/>
  <c r="H1311" i="8"/>
  <c r="L1311" i="8" s="1"/>
  <c r="G221" i="3" l="1"/>
  <c r="M1311" i="8"/>
  <c r="K1312" i="8"/>
  <c r="J1311" i="8"/>
  <c r="H221" i="3" l="1"/>
  <c r="H1312" i="8"/>
  <c r="L1312" i="8" s="1"/>
  <c r="G222" i="3" l="1"/>
  <c r="M1312" i="8"/>
  <c r="J1312" i="8"/>
  <c r="K1313" i="8"/>
  <c r="H222" i="3" l="1"/>
  <c r="H1313" i="8"/>
  <c r="L1313" i="8" s="1"/>
  <c r="G223" i="3" l="1"/>
  <c r="M1313" i="8"/>
  <c r="J1313" i="8"/>
  <c r="K1314" i="8"/>
  <c r="H223" i="3" l="1"/>
  <c r="H1314" i="8"/>
  <c r="L1314" i="8" s="1"/>
  <c r="G226" i="3" l="1"/>
  <c r="M1314" i="8"/>
  <c r="K1315" i="8"/>
  <c r="J1314" i="8"/>
  <c r="H226" i="3" l="1"/>
  <c r="H1315" i="8"/>
  <c r="L1315" i="8" s="1"/>
  <c r="G227" i="3" l="1"/>
  <c r="M1315" i="8"/>
  <c r="K1316" i="8"/>
  <c r="J1315" i="8"/>
  <c r="H227" i="3" l="1"/>
  <c r="H1316" i="8"/>
  <c r="L1316" i="8" s="1"/>
  <c r="G228" i="3" l="1"/>
  <c r="M1316" i="8"/>
  <c r="J1316" i="8"/>
  <c r="K1317" i="8"/>
  <c r="H228" i="3" l="1"/>
  <c r="H1317" i="8"/>
  <c r="L1317" i="8" s="1"/>
  <c r="G229" i="3" l="1"/>
  <c r="M1317" i="8"/>
  <c r="J1317" i="8"/>
  <c r="K1318" i="8"/>
  <c r="H229" i="3" l="1"/>
  <c r="H1318" i="8"/>
  <c r="L1318" i="8" s="1"/>
  <c r="G230" i="3" l="1"/>
  <c r="M1318" i="8"/>
  <c r="K1319" i="8"/>
  <c r="J1318" i="8"/>
  <c r="H230" i="3" l="1"/>
  <c r="H1319" i="8"/>
  <c r="L1319" i="8" s="1"/>
  <c r="G233" i="3" l="1"/>
  <c r="M1319" i="8"/>
  <c r="J1319" i="8"/>
  <c r="K1320" i="8"/>
  <c r="H233" i="3" l="1"/>
  <c r="H1320" i="8"/>
  <c r="L1320" i="8" s="1"/>
  <c r="G234" i="3" l="1"/>
  <c r="M1320" i="8"/>
  <c r="K1321" i="8"/>
  <c r="J1320" i="8"/>
  <c r="H234" i="3" l="1"/>
  <c r="H1321" i="8"/>
  <c r="L1321" i="8" s="1"/>
  <c r="G235" i="3" l="1"/>
  <c r="M1321" i="8"/>
  <c r="K1322" i="8"/>
  <c r="J1321" i="8"/>
  <c r="H235" i="3" l="1"/>
  <c r="H1322" i="8"/>
  <c r="L1322" i="8" s="1"/>
  <c r="G236" i="3" l="1"/>
  <c r="M1322" i="8"/>
  <c r="J1322" i="8"/>
  <c r="K1323" i="8"/>
  <c r="H236" i="3" l="1"/>
  <c r="H1323" i="8"/>
  <c r="L1323" i="8" s="1"/>
  <c r="G237" i="3" l="1"/>
  <c r="M1323" i="8"/>
  <c r="J1323" i="8"/>
  <c r="K1324" i="8"/>
  <c r="H237" i="3" l="1"/>
  <c r="H1324" i="8"/>
  <c r="L1324" i="8" s="1"/>
  <c r="G240" i="3" l="1"/>
  <c r="M1324" i="8"/>
  <c r="J1324" i="8"/>
  <c r="K1325" i="8"/>
  <c r="H240" i="3" l="1"/>
  <c r="H1325" i="8"/>
  <c r="L1325" i="8" s="1"/>
  <c r="G241" i="3" l="1"/>
  <c r="M1325" i="8"/>
  <c r="K1326" i="8"/>
  <c r="J1325" i="8"/>
  <c r="H241" i="3" l="1"/>
  <c r="H1326" i="8"/>
  <c r="L1326" i="8" s="1"/>
  <c r="G242" i="3" l="1"/>
  <c r="M1326" i="8"/>
  <c r="J1326" i="8"/>
  <c r="K1327" i="8"/>
  <c r="H242" i="3" l="1"/>
  <c r="H1327" i="8"/>
  <c r="L1327" i="8" s="1"/>
  <c r="G243" i="3" l="1"/>
  <c r="M1327" i="8"/>
  <c r="K1328" i="8"/>
  <c r="J1327" i="8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53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2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2" i="3"/>
  <c r="I51" i="1"/>
  <c r="I52" i="1"/>
  <c r="I44" i="1"/>
  <c r="N413" i="3" s="1"/>
  <c r="I45" i="1"/>
  <c r="N414" i="3" s="1"/>
  <c r="I40" i="1"/>
  <c r="N351" i="3" s="1"/>
  <c r="I41" i="1"/>
  <c r="N352" i="3" s="1"/>
  <c r="I34" i="1"/>
  <c r="N345" i="3" s="1"/>
  <c r="I35" i="1"/>
  <c r="N346" i="3" s="1"/>
  <c r="I31" i="1"/>
  <c r="N217" i="3" s="1"/>
  <c r="I4" i="1"/>
  <c r="I2" i="1"/>
  <c r="I22" i="1"/>
  <c r="N66" i="3" s="1"/>
  <c r="I23" i="1"/>
  <c r="N67" i="3" s="1"/>
  <c r="I8" i="1"/>
  <c r="I9" i="1"/>
  <c r="I10" i="1"/>
  <c r="I11" i="1"/>
  <c r="I12" i="1"/>
  <c r="I13" i="1"/>
  <c r="I14" i="1"/>
  <c r="I15" i="1"/>
  <c r="I16" i="1"/>
  <c r="N46" i="3" s="1"/>
  <c r="I17" i="1"/>
  <c r="N61" i="3" s="1"/>
  <c r="I18" i="1"/>
  <c r="N62" i="3" s="1"/>
  <c r="I19" i="1"/>
  <c r="N63" i="3" s="1"/>
  <c r="I20" i="1"/>
  <c r="N64" i="3" s="1"/>
  <c r="I21" i="1"/>
  <c r="N65" i="3" s="1"/>
  <c r="I24" i="1"/>
  <c r="N92" i="3" s="1"/>
  <c r="I25" i="1"/>
  <c r="N151" i="3" s="1"/>
  <c r="I26" i="1"/>
  <c r="N152" i="3" s="1"/>
  <c r="I29" i="1"/>
  <c r="N215" i="3" s="1"/>
  <c r="I30" i="1"/>
  <c r="N216" i="3" s="1"/>
  <c r="I32" i="1"/>
  <c r="N328" i="3" s="1"/>
  <c r="I33" i="1"/>
  <c r="I36" i="1"/>
  <c r="N347" i="3" s="1"/>
  <c r="I37" i="1"/>
  <c r="N348" i="3" s="1"/>
  <c r="I38" i="1"/>
  <c r="N349" i="3" s="1"/>
  <c r="I39" i="1"/>
  <c r="N350" i="3" s="1"/>
  <c r="I42" i="1"/>
  <c r="N354" i="3" s="1"/>
  <c r="I43" i="1"/>
  <c r="N411" i="3" s="1"/>
  <c r="I46" i="1"/>
  <c r="N415" i="3" s="1"/>
  <c r="I47" i="1"/>
  <c r="N416" i="3" s="1"/>
  <c r="I48" i="1"/>
  <c r="N417" i="3" s="1"/>
  <c r="I49" i="1"/>
  <c r="N418" i="3" s="1"/>
  <c r="I50" i="1"/>
  <c r="I53" i="1"/>
  <c r="N457" i="3" s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5" i="1"/>
  <c r="I6" i="1"/>
  <c r="I7" i="1"/>
  <c r="I3" i="1"/>
  <c r="I70" i="1"/>
  <c r="I71" i="1"/>
  <c r="I72" i="1"/>
  <c r="I73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H243" i="3" l="1"/>
  <c r="H1328" i="8"/>
  <c r="L1328" i="8" s="1"/>
  <c r="I3" i="3"/>
  <c r="I11" i="3"/>
  <c r="I19" i="3"/>
  <c r="I27" i="3"/>
  <c r="I35" i="3"/>
  <c r="I43" i="3"/>
  <c r="I51" i="3"/>
  <c r="I59" i="3"/>
  <c r="I67" i="3"/>
  <c r="I75" i="3"/>
  <c r="I83" i="3"/>
  <c r="I91" i="3"/>
  <c r="I99" i="3"/>
  <c r="I107" i="3"/>
  <c r="I115" i="3"/>
  <c r="I123" i="3"/>
  <c r="I131" i="3"/>
  <c r="I139" i="3"/>
  <c r="I147" i="3"/>
  <c r="I155" i="3"/>
  <c r="I163" i="3"/>
  <c r="I171" i="3"/>
  <c r="I179" i="3"/>
  <c r="I187" i="3"/>
  <c r="I195" i="3"/>
  <c r="I203" i="3"/>
  <c r="I211" i="3"/>
  <c r="I555" i="3"/>
  <c r="I563" i="3"/>
  <c r="I579" i="3"/>
  <c r="I57" i="3"/>
  <c r="I121" i="3"/>
  <c r="I185" i="3"/>
  <c r="I585" i="3"/>
  <c r="I4" i="3"/>
  <c r="I12" i="3"/>
  <c r="I20" i="3"/>
  <c r="I28" i="3"/>
  <c r="I36" i="3"/>
  <c r="I44" i="3"/>
  <c r="I52" i="3"/>
  <c r="I60" i="3"/>
  <c r="I68" i="3"/>
  <c r="I76" i="3"/>
  <c r="I84" i="3"/>
  <c r="I92" i="3"/>
  <c r="I100" i="3"/>
  <c r="I108" i="3"/>
  <c r="I116" i="3"/>
  <c r="I124" i="3"/>
  <c r="I132" i="3"/>
  <c r="I140" i="3"/>
  <c r="I148" i="3"/>
  <c r="I156" i="3"/>
  <c r="I164" i="3"/>
  <c r="I172" i="3"/>
  <c r="I180" i="3"/>
  <c r="I188" i="3"/>
  <c r="I196" i="3"/>
  <c r="I204" i="3"/>
  <c r="I212" i="3"/>
  <c r="I556" i="3"/>
  <c r="I564" i="3"/>
  <c r="I572" i="3"/>
  <c r="I580" i="3"/>
  <c r="I65" i="3"/>
  <c r="I137" i="3"/>
  <c r="I201" i="3"/>
  <c r="I561" i="3"/>
  <c r="I5" i="3"/>
  <c r="I13" i="3"/>
  <c r="I21" i="3"/>
  <c r="I29" i="3"/>
  <c r="I37" i="3"/>
  <c r="I45" i="3"/>
  <c r="I53" i="3"/>
  <c r="I61" i="3"/>
  <c r="I69" i="3"/>
  <c r="I77" i="3"/>
  <c r="I85" i="3"/>
  <c r="I93" i="3"/>
  <c r="I101" i="3"/>
  <c r="I109" i="3"/>
  <c r="I117" i="3"/>
  <c r="I125" i="3"/>
  <c r="I133" i="3"/>
  <c r="I141" i="3"/>
  <c r="I149" i="3"/>
  <c r="I157" i="3"/>
  <c r="I165" i="3"/>
  <c r="I173" i="3"/>
  <c r="I181" i="3"/>
  <c r="I189" i="3"/>
  <c r="I197" i="3"/>
  <c r="I205" i="3"/>
  <c r="I213" i="3"/>
  <c r="I557" i="3"/>
  <c r="I565" i="3"/>
  <c r="I573" i="3"/>
  <c r="I581" i="3"/>
  <c r="I73" i="3"/>
  <c r="I129" i="3"/>
  <c r="I193" i="3"/>
  <c r="I553" i="3"/>
  <c r="I6" i="3"/>
  <c r="I14" i="3"/>
  <c r="I22" i="3"/>
  <c r="I30" i="3"/>
  <c r="I38" i="3"/>
  <c r="I46" i="3"/>
  <c r="I54" i="3"/>
  <c r="I62" i="3"/>
  <c r="I70" i="3"/>
  <c r="I78" i="3"/>
  <c r="I86" i="3"/>
  <c r="I94" i="3"/>
  <c r="I102" i="3"/>
  <c r="I110" i="3"/>
  <c r="I118" i="3"/>
  <c r="I126" i="3"/>
  <c r="I134" i="3"/>
  <c r="I142" i="3"/>
  <c r="I150" i="3"/>
  <c r="I158" i="3"/>
  <c r="I166" i="3"/>
  <c r="I174" i="3"/>
  <c r="I182" i="3"/>
  <c r="I190" i="3"/>
  <c r="I198" i="3"/>
  <c r="I206" i="3"/>
  <c r="I214" i="3"/>
  <c r="I558" i="3"/>
  <c r="I566" i="3"/>
  <c r="I574" i="3"/>
  <c r="I582" i="3"/>
  <c r="I9" i="3"/>
  <c r="I33" i="3"/>
  <c r="I81" i="3"/>
  <c r="I145" i="3"/>
  <c r="I209" i="3"/>
  <c r="I7" i="3"/>
  <c r="I15" i="3"/>
  <c r="I23" i="3"/>
  <c r="I31" i="3"/>
  <c r="I39" i="3"/>
  <c r="I47" i="3"/>
  <c r="I55" i="3"/>
  <c r="I63" i="3"/>
  <c r="I71" i="3"/>
  <c r="I79" i="3"/>
  <c r="I87" i="3"/>
  <c r="I95" i="3"/>
  <c r="I103" i="3"/>
  <c r="I111" i="3"/>
  <c r="I119" i="3"/>
  <c r="I127" i="3"/>
  <c r="I135" i="3"/>
  <c r="I143" i="3"/>
  <c r="I151" i="3"/>
  <c r="I159" i="3"/>
  <c r="I167" i="3"/>
  <c r="I175" i="3"/>
  <c r="I183" i="3"/>
  <c r="I191" i="3"/>
  <c r="I199" i="3"/>
  <c r="I207" i="3"/>
  <c r="I215" i="3"/>
  <c r="I551" i="3"/>
  <c r="I559" i="3"/>
  <c r="I567" i="3"/>
  <c r="I575" i="3"/>
  <c r="I583" i="3"/>
  <c r="I25" i="3"/>
  <c r="I49" i="3"/>
  <c r="I113" i="3"/>
  <c r="I177" i="3"/>
  <c r="I569" i="3"/>
  <c r="I8" i="3"/>
  <c r="I16" i="3"/>
  <c r="I24" i="3"/>
  <c r="I32" i="3"/>
  <c r="I40" i="3"/>
  <c r="I48" i="3"/>
  <c r="I56" i="3"/>
  <c r="I64" i="3"/>
  <c r="I72" i="3"/>
  <c r="I80" i="3"/>
  <c r="I88" i="3"/>
  <c r="I96" i="3"/>
  <c r="I104" i="3"/>
  <c r="I112" i="3"/>
  <c r="I120" i="3"/>
  <c r="I128" i="3"/>
  <c r="I136" i="3"/>
  <c r="I144" i="3"/>
  <c r="I152" i="3"/>
  <c r="I160" i="3"/>
  <c r="I168" i="3"/>
  <c r="I176" i="3"/>
  <c r="I184" i="3"/>
  <c r="I192" i="3"/>
  <c r="I200" i="3"/>
  <c r="I208" i="3"/>
  <c r="I552" i="3"/>
  <c r="I560" i="3"/>
  <c r="I568" i="3"/>
  <c r="I576" i="3"/>
  <c r="I584" i="3"/>
  <c r="I17" i="3"/>
  <c r="I41" i="3"/>
  <c r="I105" i="3"/>
  <c r="I153" i="3"/>
  <c r="I89" i="3"/>
  <c r="I169" i="3"/>
  <c r="I577" i="3"/>
  <c r="I10" i="3"/>
  <c r="I18" i="3"/>
  <c r="I26" i="3"/>
  <c r="I34" i="3"/>
  <c r="I42" i="3"/>
  <c r="I50" i="3"/>
  <c r="I58" i="3"/>
  <c r="I66" i="3"/>
  <c r="I74" i="3"/>
  <c r="I82" i="3"/>
  <c r="I90" i="3"/>
  <c r="I98" i="3"/>
  <c r="I106" i="3"/>
  <c r="I114" i="3"/>
  <c r="I122" i="3"/>
  <c r="I130" i="3"/>
  <c r="I138" i="3"/>
  <c r="I146" i="3"/>
  <c r="I154" i="3"/>
  <c r="I162" i="3"/>
  <c r="I170" i="3"/>
  <c r="I178" i="3"/>
  <c r="I186" i="3"/>
  <c r="I194" i="3"/>
  <c r="I202" i="3"/>
  <c r="I210" i="3"/>
  <c r="I554" i="3"/>
  <c r="I562" i="3"/>
  <c r="I570" i="3"/>
  <c r="I578" i="3"/>
  <c r="I586" i="3"/>
  <c r="I571" i="3"/>
  <c r="I2" i="3"/>
  <c r="I97" i="3"/>
  <c r="I161" i="3"/>
  <c r="I314" i="3"/>
  <c r="H61" i="1"/>
  <c r="H64" i="1"/>
  <c r="H70" i="1"/>
  <c r="H66" i="1"/>
  <c r="H62" i="1"/>
  <c r="H60" i="1"/>
  <c r="H57" i="1"/>
  <c r="H58" i="1"/>
  <c r="H67" i="1"/>
  <c r="H59" i="1"/>
  <c r="H72" i="1"/>
  <c r="H69" i="1"/>
  <c r="H65" i="1"/>
  <c r="H68" i="1"/>
  <c r="H71" i="1"/>
  <c r="H73" i="1"/>
  <c r="H63" i="1"/>
  <c r="G244" i="3" l="1"/>
  <c r="M1328" i="8"/>
  <c r="K1329" i="8"/>
  <c r="J1328" i="8"/>
  <c r="I31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2" i="3"/>
  <c r="L3" i="3"/>
  <c r="O3" i="3" s="1" a="1"/>
  <c r="O3" i="3" s="1"/>
  <c r="L4" i="3"/>
  <c r="O4" i="3" s="1" a="1"/>
  <c r="O4" i="3" s="1"/>
  <c r="L5" i="3"/>
  <c r="O5" i="3" s="1" a="1"/>
  <c r="O5" i="3" s="1"/>
  <c r="L6" i="3"/>
  <c r="O6" i="3" s="1" a="1"/>
  <c r="O6" i="3" s="1"/>
  <c r="L7" i="3"/>
  <c r="O7" i="3" s="1" a="1"/>
  <c r="O7" i="3" s="1"/>
  <c r="L8" i="3"/>
  <c r="O8" i="3" s="1" a="1"/>
  <c r="O8" i="3" s="1"/>
  <c r="L9" i="3"/>
  <c r="O9" i="3" s="1" a="1"/>
  <c r="O9" i="3" s="1"/>
  <c r="L10" i="3"/>
  <c r="O10" i="3" s="1" a="1"/>
  <c r="O10" i="3" s="1"/>
  <c r="L11" i="3"/>
  <c r="O11" i="3" s="1" a="1"/>
  <c r="O11" i="3" s="1"/>
  <c r="L12" i="3"/>
  <c r="O12" i="3" s="1" a="1"/>
  <c r="O12" i="3" s="1"/>
  <c r="L13" i="3"/>
  <c r="O13" i="3" s="1" a="1"/>
  <c r="O13" i="3" s="1"/>
  <c r="L14" i="3"/>
  <c r="O14" i="3" s="1" a="1"/>
  <c r="O14" i="3" s="1"/>
  <c r="L15" i="3"/>
  <c r="O15" i="3" s="1" a="1"/>
  <c r="O15" i="3" s="1"/>
  <c r="L16" i="3"/>
  <c r="O16" i="3" s="1" a="1"/>
  <c r="O16" i="3" s="1"/>
  <c r="L17" i="3"/>
  <c r="O17" i="3" s="1" a="1"/>
  <c r="O17" i="3" s="1"/>
  <c r="L18" i="3"/>
  <c r="O18" i="3" s="1" a="1"/>
  <c r="O18" i="3" s="1"/>
  <c r="L19" i="3"/>
  <c r="O19" i="3" s="1" a="1"/>
  <c r="O19" i="3" s="1"/>
  <c r="L20" i="3"/>
  <c r="O20" i="3" s="1" a="1"/>
  <c r="O20" i="3" s="1"/>
  <c r="L21" i="3"/>
  <c r="O21" i="3" s="1" a="1"/>
  <c r="O21" i="3" s="1"/>
  <c r="L22" i="3"/>
  <c r="O22" i="3" s="1" a="1"/>
  <c r="O22" i="3" s="1"/>
  <c r="L23" i="3"/>
  <c r="O23" i="3" s="1" a="1"/>
  <c r="O23" i="3" s="1"/>
  <c r="L24" i="3"/>
  <c r="O24" i="3" s="1" a="1"/>
  <c r="O24" i="3" s="1"/>
  <c r="L25" i="3"/>
  <c r="O25" i="3" s="1" a="1"/>
  <c r="O25" i="3" s="1"/>
  <c r="L26" i="3"/>
  <c r="O26" i="3" s="1" a="1"/>
  <c r="O26" i="3" s="1"/>
  <c r="L27" i="3"/>
  <c r="O27" i="3" s="1" a="1"/>
  <c r="O27" i="3" s="1"/>
  <c r="L28" i="3"/>
  <c r="O28" i="3" s="1" a="1"/>
  <c r="O28" i="3" s="1"/>
  <c r="L29" i="3"/>
  <c r="O29" i="3" s="1" a="1"/>
  <c r="O29" i="3" s="1"/>
  <c r="L30" i="3"/>
  <c r="O30" i="3" s="1" a="1"/>
  <c r="O30" i="3" s="1"/>
  <c r="L31" i="3"/>
  <c r="O31" i="3" s="1" a="1"/>
  <c r="O31" i="3" s="1"/>
  <c r="L32" i="3"/>
  <c r="O32" i="3" s="1" a="1"/>
  <c r="O32" i="3" s="1"/>
  <c r="L33" i="3"/>
  <c r="O33" i="3" s="1" a="1"/>
  <c r="O33" i="3" s="1"/>
  <c r="L34" i="3"/>
  <c r="O34" i="3" s="1" a="1"/>
  <c r="O34" i="3" s="1"/>
  <c r="L35" i="3"/>
  <c r="O35" i="3" s="1" a="1"/>
  <c r="O35" i="3" s="1"/>
  <c r="L36" i="3"/>
  <c r="O36" i="3" s="1" a="1"/>
  <c r="O36" i="3" s="1"/>
  <c r="L37" i="3"/>
  <c r="O37" i="3" s="1" a="1"/>
  <c r="O37" i="3" s="1"/>
  <c r="L38" i="3"/>
  <c r="O38" i="3" s="1" a="1"/>
  <c r="O38" i="3" s="1"/>
  <c r="L39" i="3"/>
  <c r="O39" i="3" s="1" a="1"/>
  <c r="O39" i="3" s="1"/>
  <c r="L40" i="3"/>
  <c r="O40" i="3" s="1" a="1"/>
  <c r="O40" i="3" s="1"/>
  <c r="L41" i="3"/>
  <c r="O41" i="3" s="1" a="1"/>
  <c r="O41" i="3" s="1"/>
  <c r="L42" i="3"/>
  <c r="O42" i="3" s="1" a="1"/>
  <c r="O42" i="3" s="1"/>
  <c r="L43" i="3"/>
  <c r="O43" i="3" s="1" a="1"/>
  <c r="O43" i="3" s="1"/>
  <c r="L44" i="3"/>
  <c r="O44" i="3" s="1" a="1"/>
  <c r="O44" i="3" s="1"/>
  <c r="L45" i="3"/>
  <c r="O45" i="3" s="1" a="1"/>
  <c r="O45" i="3" s="1"/>
  <c r="L46" i="3"/>
  <c r="O46" i="3" s="1" a="1"/>
  <c r="O46" i="3" s="1"/>
  <c r="L47" i="3"/>
  <c r="O47" i="3" s="1" a="1"/>
  <c r="O47" i="3" s="1"/>
  <c r="L48" i="3"/>
  <c r="O48" i="3" s="1" a="1"/>
  <c r="O48" i="3" s="1"/>
  <c r="L49" i="3"/>
  <c r="O49" i="3" s="1" a="1"/>
  <c r="O49" i="3" s="1"/>
  <c r="L50" i="3"/>
  <c r="O50" i="3" s="1" a="1"/>
  <c r="O50" i="3" s="1"/>
  <c r="L51" i="3"/>
  <c r="O51" i="3" s="1" a="1"/>
  <c r="O51" i="3" s="1"/>
  <c r="L52" i="3"/>
  <c r="O52" i="3" s="1" a="1"/>
  <c r="O52" i="3" s="1"/>
  <c r="L53" i="3"/>
  <c r="O53" i="3" s="1" a="1"/>
  <c r="O53" i="3" s="1"/>
  <c r="L54" i="3"/>
  <c r="O54" i="3" s="1" a="1"/>
  <c r="O54" i="3" s="1"/>
  <c r="L55" i="3"/>
  <c r="O55" i="3" s="1" a="1"/>
  <c r="O55" i="3" s="1"/>
  <c r="L56" i="3"/>
  <c r="O56" i="3" s="1" a="1"/>
  <c r="O56" i="3" s="1"/>
  <c r="L57" i="3"/>
  <c r="O57" i="3" s="1" a="1"/>
  <c r="O57" i="3" s="1"/>
  <c r="L58" i="3"/>
  <c r="O58" i="3" s="1" a="1"/>
  <c r="O58" i="3" s="1"/>
  <c r="L59" i="3"/>
  <c r="O59" i="3" s="1" a="1"/>
  <c r="O59" i="3" s="1"/>
  <c r="L60" i="3"/>
  <c r="O60" i="3" s="1" a="1"/>
  <c r="O60" i="3" s="1"/>
  <c r="L61" i="3"/>
  <c r="O61" i="3" s="1" a="1"/>
  <c r="O61" i="3" s="1"/>
  <c r="L62" i="3"/>
  <c r="O62" i="3" s="1" a="1"/>
  <c r="O62" i="3" s="1"/>
  <c r="L63" i="3"/>
  <c r="O63" i="3" s="1" a="1"/>
  <c r="O63" i="3" s="1"/>
  <c r="L64" i="3"/>
  <c r="O64" i="3" s="1" a="1"/>
  <c r="O64" i="3" s="1"/>
  <c r="L65" i="3"/>
  <c r="O65" i="3" s="1" a="1"/>
  <c r="O65" i="3" s="1"/>
  <c r="L66" i="3"/>
  <c r="O66" i="3" s="1" a="1"/>
  <c r="O66" i="3" s="1"/>
  <c r="L67" i="3"/>
  <c r="O67" i="3" s="1" a="1"/>
  <c r="O67" i="3" s="1"/>
  <c r="L68" i="3"/>
  <c r="O68" i="3" s="1" a="1"/>
  <c r="O68" i="3" s="1"/>
  <c r="L69" i="3"/>
  <c r="O69" i="3" s="1" a="1"/>
  <c r="O69" i="3" s="1"/>
  <c r="L70" i="3"/>
  <c r="O70" i="3" s="1" a="1"/>
  <c r="O70" i="3" s="1"/>
  <c r="L71" i="3"/>
  <c r="O71" i="3" s="1" a="1"/>
  <c r="O71" i="3" s="1"/>
  <c r="L72" i="3"/>
  <c r="O72" i="3" s="1" a="1"/>
  <c r="O72" i="3" s="1"/>
  <c r="L73" i="3"/>
  <c r="O73" i="3" s="1" a="1"/>
  <c r="O73" i="3" s="1"/>
  <c r="L74" i="3"/>
  <c r="O74" i="3" s="1" a="1"/>
  <c r="O74" i="3" s="1"/>
  <c r="L75" i="3"/>
  <c r="O75" i="3" s="1" a="1"/>
  <c r="O75" i="3" s="1"/>
  <c r="L76" i="3"/>
  <c r="O76" i="3" s="1" a="1"/>
  <c r="O76" i="3" s="1"/>
  <c r="L77" i="3"/>
  <c r="O77" i="3" s="1" a="1"/>
  <c r="O77" i="3" s="1"/>
  <c r="L78" i="3"/>
  <c r="O78" i="3" s="1" a="1"/>
  <c r="O78" i="3" s="1"/>
  <c r="L79" i="3"/>
  <c r="O79" i="3" s="1" a="1"/>
  <c r="O79" i="3" s="1"/>
  <c r="L80" i="3"/>
  <c r="O80" i="3" s="1" a="1"/>
  <c r="O80" i="3" s="1"/>
  <c r="L81" i="3"/>
  <c r="O81" i="3" s="1" a="1"/>
  <c r="O81" i="3" s="1"/>
  <c r="L82" i="3"/>
  <c r="O82" i="3" s="1" a="1"/>
  <c r="O82" i="3" s="1"/>
  <c r="L83" i="3"/>
  <c r="O83" i="3" s="1" a="1"/>
  <c r="O83" i="3" s="1"/>
  <c r="L84" i="3"/>
  <c r="O84" i="3" s="1" a="1"/>
  <c r="O84" i="3" s="1"/>
  <c r="L85" i="3"/>
  <c r="O85" i="3" s="1" a="1"/>
  <c r="O85" i="3" s="1"/>
  <c r="L86" i="3"/>
  <c r="O86" i="3" s="1" a="1"/>
  <c r="O86" i="3" s="1"/>
  <c r="L87" i="3"/>
  <c r="O87" i="3" s="1" a="1"/>
  <c r="O87" i="3" s="1"/>
  <c r="L88" i="3"/>
  <c r="O88" i="3" s="1" a="1"/>
  <c r="O88" i="3" s="1"/>
  <c r="L89" i="3"/>
  <c r="O89" i="3" s="1" a="1"/>
  <c r="O89" i="3" s="1"/>
  <c r="L90" i="3"/>
  <c r="O90" i="3" s="1" a="1"/>
  <c r="O90" i="3" s="1"/>
  <c r="L91" i="3"/>
  <c r="O91" i="3" s="1" a="1"/>
  <c r="O91" i="3" s="1"/>
  <c r="L92" i="3"/>
  <c r="O92" i="3" s="1" a="1"/>
  <c r="O92" i="3" s="1"/>
  <c r="L93" i="3"/>
  <c r="O93" i="3" s="1" a="1"/>
  <c r="O93" i="3" s="1"/>
  <c r="L94" i="3"/>
  <c r="O94" i="3" s="1" a="1"/>
  <c r="O94" i="3" s="1"/>
  <c r="L95" i="3"/>
  <c r="O95" i="3" s="1" a="1"/>
  <c r="O95" i="3" s="1"/>
  <c r="L96" i="3"/>
  <c r="O96" i="3" s="1" a="1"/>
  <c r="O96" i="3" s="1"/>
  <c r="L97" i="3"/>
  <c r="O97" i="3" s="1" a="1"/>
  <c r="O97" i="3" s="1"/>
  <c r="L98" i="3"/>
  <c r="O98" i="3" s="1" a="1"/>
  <c r="O98" i="3" s="1"/>
  <c r="L99" i="3"/>
  <c r="O99" i="3" s="1" a="1"/>
  <c r="O99" i="3" s="1"/>
  <c r="L100" i="3"/>
  <c r="O100" i="3" s="1" a="1"/>
  <c r="O100" i="3" s="1"/>
  <c r="L101" i="3"/>
  <c r="O101" i="3" s="1" a="1"/>
  <c r="O101" i="3" s="1"/>
  <c r="L102" i="3"/>
  <c r="O102" i="3" s="1" a="1"/>
  <c r="O102" i="3" s="1"/>
  <c r="L103" i="3"/>
  <c r="O103" i="3" s="1" a="1"/>
  <c r="O103" i="3" s="1"/>
  <c r="L104" i="3"/>
  <c r="O104" i="3" s="1" a="1"/>
  <c r="O104" i="3" s="1"/>
  <c r="L105" i="3"/>
  <c r="O105" i="3" s="1" a="1"/>
  <c r="O105" i="3" s="1"/>
  <c r="L106" i="3"/>
  <c r="O106" i="3" s="1" a="1"/>
  <c r="O106" i="3" s="1"/>
  <c r="L107" i="3"/>
  <c r="O107" i="3" s="1" a="1"/>
  <c r="O107" i="3" s="1"/>
  <c r="L108" i="3"/>
  <c r="O108" i="3" s="1" a="1"/>
  <c r="O108" i="3" s="1"/>
  <c r="L109" i="3"/>
  <c r="O109" i="3" s="1" a="1"/>
  <c r="O109" i="3" s="1"/>
  <c r="L110" i="3"/>
  <c r="O110" i="3" s="1" a="1"/>
  <c r="O110" i="3" s="1"/>
  <c r="L111" i="3"/>
  <c r="O111" i="3" s="1" a="1"/>
  <c r="O111" i="3" s="1"/>
  <c r="L112" i="3"/>
  <c r="O112" i="3" s="1" a="1"/>
  <c r="O112" i="3" s="1"/>
  <c r="L113" i="3"/>
  <c r="O113" i="3" s="1" a="1"/>
  <c r="O113" i="3" s="1"/>
  <c r="L114" i="3"/>
  <c r="O114" i="3" s="1" a="1"/>
  <c r="O114" i="3" s="1"/>
  <c r="L115" i="3"/>
  <c r="O115" i="3" s="1" a="1"/>
  <c r="O115" i="3" s="1"/>
  <c r="L116" i="3"/>
  <c r="O116" i="3" s="1" a="1"/>
  <c r="O116" i="3" s="1"/>
  <c r="L117" i="3"/>
  <c r="O117" i="3" s="1" a="1"/>
  <c r="O117" i="3" s="1"/>
  <c r="L118" i="3"/>
  <c r="O118" i="3" s="1" a="1"/>
  <c r="O118" i="3" s="1"/>
  <c r="L119" i="3"/>
  <c r="O119" i="3" s="1" a="1"/>
  <c r="O119" i="3" s="1"/>
  <c r="L120" i="3"/>
  <c r="O120" i="3" s="1" a="1"/>
  <c r="O120" i="3" s="1"/>
  <c r="L121" i="3"/>
  <c r="O121" i="3" s="1" a="1"/>
  <c r="O121" i="3" s="1"/>
  <c r="L122" i="3"/>
  <c r="O122" i="3" s="1" a="1"/>
  <c r="O122" i="3" s="1"/>
  <c r="L123" i="3"/>
  <c r="O123" i="3" s="1" a="1"/>
  <c r="O123" i="3" s="1"/>
  <c r="L124" i="3"/>
  <c r="O124" i="3" s="1" a="1"/>
  <c r="O124" i="3" s="1"/>
  <c r="L125" i="3"/>
  <c r="O125" i="3" s="1" a="1"/>
  <c r="O125" i="3" s="1"/>
  <c r="L126" i="3"/>
  <c r="O126" i="3" s="1" a="1"/>
  <c r="O126" i="3" s="1"/>
  <c r="L127" i="3"/>
  <c r="O127" i="3" s="1" a="1"/>
  <c r="O127" i="3" s="1"/>
  <c r="L128" i="3"/>
  <c r="O128" i="3" s="1" a="1"/>
  <c r="O128" i="3" s="1"/>
  <c r="L129" i="3"/>
  <c r="O129" i="3" s="1" a="1"/>
  <c r="O129" i="3" s="1"/>
  <c r="L130" i="3"/>
  <c r="O130" i="3" s="1" a="1"/>
  <c r="O130" i="3" s="1"/>
  <c r="L131" i="3"/>
  <c r="O131" i="3" s="1" a="1"/>
  <c r="O131" i="3" s="1"/>
  <c r="L132" i="3"/>
  <c r="O132" i="3" s="1" a="1"/>
  <c r="O132" i="3" s="1"/>
  <c r="L133" i="3"/>
  <c r="O133" i="3" s="1" a="1"/>
  <c r="O133" i="3" s="1"/>
  <c r="L134" i="3"/>
  <c r="O134" i="3" s="1" a="1"/>
  <c r="O134" i="3" s="1"/>
  <c r="L135" i="3"/>
  <c r="O135" i="3" s="1" a="1"/>
  <c r="O135" i="3" s="1"/>
  <c r="L136" i="3"/>
  <c r="O136" i="3" s="1" a="1"/>
  <c r="O136" i="3" s="1"/>
  <c r="L137" i="3"/>
  <c r="O137" i="3" s="1" a="1"/>
  <c r="O137" i="3" s="1"/>
  <c r="L138" i="3"/>
  <c r="O138" i="3" s="1" a="1"/>
  <c r="O138" i="3" s="1"/>
  <c r="L139" i="3"/>
  <c r="O139" i="3" s="1" a="1"/>
  <c r="O139" i="3" s="1"/>
  <c r="L140" i="3"/>
  <c r="O140" i="3" s="1" a="1"/>
  <c r="O140" i="3" s="1"/>
  <c r="L141" i="3"/>
  <c r="O141" i="3" s="1" a="1"/>
  <c r="O141" i="3" s="1"/>
  <c r="L142" i="3"/>
  <c r="O142" i="3" s="1" a="1"/>
  <c r="O142" i="3" s="1"/>
  <c r="L143" i="3"/>
  <c r="O143" i="3" s="1" a="1"/>
  <c r="O143" i="3" s="1"/>
  <c r="L144" i="3"/>
  <c r="O144" i="3" s="1" a="1"/>
  <c r="O144" i="3" s="1"/>
  <c r="L145" i="3"/>
  <c r="O145" i="3" s="1" a="1"/>
  <c r="O145" i="3" s="1"/>
  <c r="L146" i="3"/>
  <c r="O146" i="3" s="1" a="1"/>
  <c r="O146" i="3" s="1"/>
  <c r="L147" i="3"/>
  <c r="O147" i="3" s="1" a="1"/>
  <c r="O147" i="3" s="1"/>
  <c r="L148" i="3"/>
  <c r="O148" i="3" s="1" a="1"/>
  <c r="O148" i="3" s="1"/>
  <c r="L149" i="3"/>
  <c r="O149" i="3" s="1" a="1"/>
  <c r="O149" i="3" s="1"/>
  <c r="L150" i="3"/>
  <c r="O150" i="3" s="1" a="1"/>
  <c r="O150" i="3" s="1"/>
  <c r="L151" i="3"/>
  <c r="O151" i="3" s="1" a="1"/>
  <c r="O151" i="3" s="1"/>
  <c r="L152" i="3"/>
  <c r="O152" i="3" s="1" a="1"/>
  <c r="O152" i="3" s="1"/>
  <c r="L153" i="3"/>
  <c r="O153" i="3" s="1" a="1"/>
  <c r="O153" i="3" s="1"/>
  <c r="L154" i="3"/>
  <c r="O154" i="3" s="1" a="1"/>
  <c r="O154" i="3" s="1"/>
  <c r="L155" i="3"/>
  <c r="O155" i="3" s="1" a="1"/>
  <c r="O155" i="3" s="1"/>
  <c r="L156" i="3"/>
  <c r="O156" i="3" s="1" a="1"/>
  <c r="O156" i="3" s="1"/>
  <c r="L157" i="3"/>
  <c r="O157" i="3" s="1" a="1"/>
  <c r="O157" i="3" s="1"/>
  <c r="L158" i="3"/>
  <c r="O158" i="3" s="1" a="1"/>
  <c r="O158" i="3" s="1"/>
  <c r="L159" i="3"/>
  <c r="O159" i="3" s="1" a="1"/>
  <c r="O159" i="3" s="1"/>
  <c r="L160" i="3"/>
  <c r="O160" i="3" s="1" a="1"/>
  <c r="O160" i="3" s="1"/>
  <c r="L161" i="3"/>
  <c r="O161" i="3" s="1" a="1"/>
  <c r="O161" i="3" s="1"/>
  <c r="L162" i="3"/>
  <c r="O162" i="3" s="1" a="1"/>
  <c r="O162" i="3" s="1"/>
  <c r="L163" i="3"/>
  <c r="O163" i="3" s="1" a="1"/>
  <c r="O163" i="3" s="1"/>
  <c r="L164" i="3"/>
  <c r="O164" i="3" s="1" a="1"/>
  <c r="O164" i="3" s="1"/>
  <c r="L165" i="3"/>
  <c r="O165" i="3" s="1" a="1"/>
  <c r="O165" i="3" s="1"/>
  <c r="L166" i="3"/>
  <c r="O166" i="3" s="1" a="1"/>
  <c r="O166" i="3" s="1"/>
  <c r="L167" i="3"/>
  <c r="O167" i="3" s="1" a="1"/>
  <c r="O167" i="3" s="1"/>
  <c r="L168" i="3"/>
  <c r="O168" i="3" s="1" a="1"/>
  <c r="O168" i="3" s="1"/>
  <c r="L169" i="3"/>
  <c r="O169" i="3" s="1" a="1"/>
  <c r="O169" i="3" s="1"/>
  <c r="L170" i="3"/>
  <c r="O170" i="3" s="1" a="1"/>
  <c r="O170" i="3" s="1"/>
  <c r="L171" i="3"/>
  <c r="O171" i="3" s="1" a="1"/>
  <c r="O171" i="3" s="1"/>
  <c r="L172" i="3"/>
  <c r="O172" i="3" s="1" a="1"/>
  <c r="O172" i="3" s="1"/>
  <c r="L173" i="3"/>
  <c r="O173" i="3" s="1" a="1"/>
  <c r="O173" i="3" s="1"/>
  <c r="L174" i="3"/>
  <c r="O174" i="3" s="1" a="1"/>
  <c r="O174" i="3" s="1"/>
  <c r="L175" i="3"/>
  <c r="O175" i="3" s="1" a="1"/>
  <c r="O175" i="3" s="1"/>
  <c r="L176" i="3"/>
  <c r="O176" i="3" s="1" a="1"/>
  <c r="O176" i="3" s="1"/>
  <c r="L177" i="3"/>
  <c r="O177" i="3" s="1" a="1"/>
  <c r="O177" i="3" s="1"/>
  <c r="L178" i="3"/>
  <c r="O178" i="3" s="1" a="1"/>
  <c r="O178" i="3" s="1"/>
  <c r="L179" i="3"/>
  <c r="O179" i="3" s="1" a="1"/>
  <c r="O179" i="3" s="1"/>
  <c r="L180" i="3"/>
  <c r="O180" i="3" s="1" a="1"/>
  <c r="O180" i="3" s="1"/>
  <c r="L181" i="3"/>
  <c r="O181" i="3" s="1" a="1"/>
  <c r="O181" i="3" s="1"/>
  <c r="L182" i="3"/>
  <c r="O182" i="3" s="1" a="1"/>
  <c r="O182" i="3" s="1"/>
  <c r="L183" i="3"/>
  <c r="O183" i="3" s="1" a="1"/>
  <c r="O183" i="3" s="1"/>
  <c r="L184" i="3"/>
  <c r="O184" i="3" s="1" a="1"/>
  <c r="O184" i="3" s="1"/>
  <c r="L185" i="3"/>
  <c r="O185" i="3" s="1" a="1"/>
  <c r="O185" i="3" s="1"/>
  <c r="L186" i="3"/>
  <c r="O186" i="3" s="1" a="1"/>
  <c r="O186" i="3" s="1"/>
  <c r="L187" i="3"/>
  <c r="O187" i="3" s="1" a="1"/>
  <c r="O187" i="3" s="1"/>
  <c r="L188" i="3"/>
  <c r="O188" i="3" s="1" a="1"/>
  <c r="O188" i="3" s="1"/>
  <c r="L189" i="3"/>
  <c r="O189" i="3" s="1" a="1"/>
  <c r="O189" i="3" s="1"/>
  <c r="L190" i="3"/>
  <c r="O190" i="3" s="1" a="1"/>
  <c r="O190" i="3" s="1"/>
  <c r="L191" i="3"/>
  <c r="O191" i="3" s="1" a="1"/>
  <c r="O191" i="3" s="1"/>
  <c r="L192" i="3"/>
  <c r="O192" i="3" s="1" a="1"/>
  <c r="O192" i="3" s="1"/>
  <c r="L193" i="3"/>
  <c r="O193" i="3" s="1" a="1"/>
  <c r="O193" i="3" s="1"/>
  <c r="L194" i="3"/>
  <c r="O194" i="3" s="1" a="1"/>
  <c r="O194" i="3" s="1"/>
  <c r="L195" i="3"/>
  <c r="O195" i="3" s="1" a="1"/>
  <c r="O195" i="3" s="1"/>
  <c r="L196" i="3"/>
  <c r="O196" i="3" s="1" a="1"/>
  <c r="O196" i="3" s="1"/>
  <c r="L197" i="3"/>
  <c r="O197" i="3" s="1" a="1"/>
  <c r="O197" i="3" s="1"/>
  <c r="L198" i="3"/>
  <c r="O198" i="3" s="1" a="1"/>
  <c r="O198" i="3" s="1"/>
  <c r="L199" i="3"/>
  <c r="O199" i="3" s="1" a="1"/>
  <c r="O199" i="3" s="1"/>
  <c r="L200" i="3"/>
  <c r="O200" i="3" s="1" a="1"/>
  <c r="O200" i="3" s="1"/>
  <c r="L201" i="3"/>
  <c r="O201" i="3" s="1" a="1"/>
  <c r="O201" i="3" s="1"/>
  <c r="L202" i="3"/>
  <c r="O202" i="3" s="1" a="1"/>
  <c r="O202" i="3" s="1"/>
  <c r="L203" i="3"/>
  <c r="O203" i="3" s="1" a="1"/>
  <c r="O203" i="3" s="1"/>
  <c r="L204" i="3"/>
  <c r="O204" i="3" s="1" a="1"/>
  <c r="O204" i="3" s="1"/>
  <c r="L205" i="3"/>
  <c r="O205" i="3" s="1" a="1"/>
  <c r="O205" i="3" s="1"/>
  <c r="L206" i="3"/>
  <c r="O206" i="3" s="1" a="1"/>
  <c r="O206" i="3" s="1"/>
  <c r="L207" i="3"/>
  <c r="O207" i="3" s="1" a="1"/>
  <c r="O207" i="3" s="1"/>
  <c r="L208" i="3"/>
  <c r="O208" i="3" s="1" a="1"/>
  <c r="O208" i="3" s="1"/>
  <c r="L209" i="3"/>
  <c r="O209" i="3" s="1" a="1"/>
  <c r="O209" i="3" s="1"/>
  <c r="L210" i="3"/>
  <c r="O210" i="3" s="1" a="1"/>
  <c r="O210" i="3" s="1"/>
  <c r="L211" i="3"/>
  <c r="O211" i="3" s="1" a="1"/>
  <c r="O211" i="3" s="1"/>
  <c r="L212" i="3"/>
  <c r="O212" i="3" s="1" a="1"/>
  <c r="O212" i="3" s="1"/>
  <c r="L213" i="3"/>
  <c r="O213" i="3" s="1" a="1"/>
  <c r="O213" i="3" s="1"/>
  <c r="L214" i="3"/>
  <c r="O214" i="3" s="1" a="1"/>
  <c r="O214" i="3" s="1"/>
  <c r="L215" i="3"/>
  <c r="O215" i="3" s="1" a="1"/>
  <c r="O215" i="3" s="1"/>
  <c r="L216" i="3"/>
  <c r="O216" i="3" s="1" a="1"/>
  <c r="O216" i="3" s="1"/>
  <c r="L217" i="3"/>
  <c r="O217" i="3" s="1" a="1"/>
  <c r="O217" i="3" s="1"/>
  <c r="L218" i="3"/>
  <c r="O218" i="3" s="1" a="1"/>
  <c r="O218" i="3" s="1"/>
  <c r="L219" i="3"/>
  <c r="O219" i="3" s="1" a="1"/>
  <c r="O219" i="3" s="1"/>
  <c r="L220" i="3"/>
  <c r="O220" i="3" s="1" a="1"/>
  <c r="O220" i="3" s="1"/>
  <c r="L221" i="3"/>
  <c r="O221" i="3" s="1" a="1"/>
  <c r="O221" i="3" s="1"/>
  <c r="L222" i="3"/>
  <c r="O222" i="3" s="1" a="1"/>
  <c r="O222" i="3" s="1"/>
  <c r="L223" i="3"/>
  <c r="O223" i="3" s="1" a="1"/>
  <c r="O223" i="3" s="1"/>
  <c r="L224" i="3"/>
  <c r="O224" i="3" s="1" a="1"/>
  <c r="O224" i="3" s="1"/>
  <c r="L225" i="3"/>
  <c r="O225" i="3" s="1" a="1"/>
  <c r="O225" i="3" s="1"/>
  <c r="L226" i="3"/>
  <c r="O226" i="3" s="1" a="1"/>
  <c r="O226" i="3" s="1"/>
  <c r="L227" i="3"/>
  <c r="O227" i="3" s="1" a="1"/>
  <c r="O227" i="3" s="1"/>
  <c r="L228" i="3"/>
  <c r="O228" i="3" s="1" a="1"/>
  <c r="O228" i="3" s="1"/>
  <c r="L229" i="3"/>
  <c r="O229" i="3" s="1" a="1"/>
  <c r="O229" i="3" s="1"/>
  <c r="L230" i="3"/>
  <c r="O230" i="3" s="1" a="1"/>
  <c r="O230" i="3" s="1"/>
  <c r="L231" i="3"/>
  <c r="O231" i="3" s="1" a="1"/>
  <c r="O231" i="3" s="1"/>
  <c r="L232" i="3"/>
  <c r="O232" i="3" s="1" a="1"/>
  <c r="O232" i="3" s="1"/>
  <c r="L233" i="3"/>
  <c r="O233" i="3" s="1" a="1"/>
  <c r="O233" i="3" s="1"/>
  <c r="L234" i="3"/>
  <c r="O234" i="3" s="1" a="1"/>
  <c r="O234" i="3" s="1"/>
  <c r="L235" i="3"/>
  <c r="O235" i="3" s="1" a="1"/>
  <c r="O235" i="3" s="1"/>
  <c r="L236" i="3"/>
  <c r="O236" i="3" s="1" a="1"/>
  <c r="O236" i="3" s="1"/>
  <c r="L237" i="3"/>
  <c r="O237" i="3" s="1" a="1"/>
  <c r="O237" i="3" s="1"/>
  <c r="L238" i="3"/>
  <c r="O238" i="3" s="1" a="1"/>
  <c r="O238" i="3" s="1"/>
  <c r="L239" i="3"/>
  <c r="O239" i="3" s="1" a="1"/>
  <c r="O239" i="3" s="1"/>
  <c r="L240" i="3"/>
  <c r="O240" i="3" s="1" a="1"/>
  <c r="O240" i="3" s="1"/>
  <c r="L241" i="3"/>
  <c r="O241" i="3" s="1" a="1"/>
  <c r="O241" i="3" s="1"/>
  <c r="L242" i="3"/>
  <c r="O242" i="3" s="1" a="1"/>
  <c r="O242" i="3" s="1"/>
  <c r="L243" i="3"/>
  <c r="O243" i="3" s="1" a="1"/>
  <c r="O243" i="3" s="1"/>
  <c r="L244" i="3"/>
  <c r="O244" i="3" s="1" a="1"/>
  <c r="O244" i="3" s="1"/>
  <c r="L245" i="3"/>
  <c r="O245" i="3" s="1" a="1"/>
  <c r="O245" i="3" s="1"/>
  <c r="L246" i="3"/>
  <c r="O246" i="3" s="1" a="1"/>
  <c r="O246" i="3" s="1"/>
  <c r="L247" i="3"/>
  <c r="O247" i="3" s="1" a="1"/>
  <c r="O247" i="3" s="1"/>
  <c r="L248" i="3"/>
  <c r="O248" i="3" s="1" a="1"/>
  <c r="O248" i="3" s="1"/>
  <c r="L249" i="3"/>
  <c r="O249" i="3" s="1" a="1"/>
  <c r="O249" i="3" s="1"/>
  <c r="L250" i="3"/>
  <c r="O250" i="3" s="1" a="1"/>
  <c r="O250" i="3" s="1"/>
  <c r="L251" i="3"/>
  <c r="O251" i="3" s="1" a="1"/>
  <c r="O251" i="3" s="1"/>
  <c r="L252" i="3"/>
  <c r="O252" i="3" s="1" a="1"/>
  <c r="O252" i="3" s="1"/>
  <c r="L253" i="3"/>
  <c r="O253" i="3" s="1" a="1"/>
  <c r="O253" i="3" s="1"/>
  <c r="L254" i="3"/>
  <c r="O254" i="3" s="1" a="1"/>
  <c r="O254" i="3" s="1"/>
  <c r="L255" i="3"/>
  <c r="O255" i="3" s="1" a="1"/>
  <c r="O255" i="3" s="1"/>
  <c r="L256" i="3"/>
  <c r="O256" i="3" s="1" a="1"/>
  <c r="O256" i="3" s="1"/>
  <c r="L257" i="3"/>
  <c r="O257" i="3" s="1" a="1"/>
  <c r="O257" i="3" s="1"/>
  <c r="L258" i="3"/>
  <c r="O258" i="3" s="1" a="1"/>
  <c r="O258" i="3" s="1"/>
  <c r="L259" i="3"/>
  <c r="O259" i="3" s="1" a="1"/>
  <c r="O259" i="3" s="1"/>
  <c r="L260" i="3"/>
  <c r="O260" i="3" s="1" a="1"/>
  <c r="O260" i="3" s="1"/>
  <c r="L261" i="3"/>
  <c r="O261" i="3" s="1" a="1"/>
  <c r="O261" i="3" s="1"/>
  <c r="L262" i="3"/>
  <c r="O262" i="3" s="1" a="1"/>
  <c r="O262" i="3" s="1"/>
  <c r="L263" i="3"/>
  <c r="O263" i="3" s="1" a="1"/>
  <c r="O263" i="3" s="1"/>
  <c r="L264" i="3"/>
  <c r="O264" i="3" s="1" a="1"/>
  <c r="O264" i="3" s="1"/>
  <c r="L265" i="3"/>
  <c r="O265" i="3" s="1" a="1"/>
  <c r="O265" i="3" s="1"/>
  <c r="L266" i="3"/>
  <c r="O266" i="3" s="1" a="1"/>
  <c r="O266" i="3" s="1"/>
  <c r="L267" i="3"/>
  <c r="O267" i="3" s="1" a="1"/>
  <c r="O267" i="3" s="1"/>
  <c r="L268" i="3"/>
  <c r="O268" i="3" s="1" a="1"/>
  <c r="O268" i="3" s="1"/>
  <c r="L269" i="3"/>
  <c r="O269" i="3" s="1" a="1"/>
  <c r="O269" i="3" s="1"/>
  <c r="L270" i="3"/>
  <c r="O270" i="3" s="1" a="1"/>
  <c r="O270" i="3" s="1"/>
  <c r="L271" i="3"/>
  <c r="O271" i="3" s="1" a="1"/>
  <c r="O271" i="3" s="1"/>
  <c r="L272" i="3"/>
  <c r="O272" i="3" s="1" a="1"/>
  <c r="O272" i="3" s="1"/>
  <c r="L273" i="3"/>
  <c r="O273" i="3" s="1" a="1"/>
  <c r="O273" i="3" s="1"/>
  <c r="L274" i="3"/>
  <c r="O274" i="3" s="1" a="1"/>
  <c r="O274" i="3" s="1"/>
  <c r="L275" i="3"/>
  <c r="O275" i="3" s="1" a="1"/>
  <c r="O275" i="3" s="1"/>
  <c r="L276" i="3"/>
  <c r="O276" i="3" s="1" a="1"/>
  <c r="O276" i="3" s="1"/>
  <c r="L277" i="3"/>
  <c r="O277" i="3" s="1" a="1"/>
  <c r="O277" i="3" s="1"/>
  <c r="L278" i="3"/>
  <c r="O278" i="3" s="1" a="1"/>
  <c r="O278" i="3" s="1"/>
  <c r="L279" i="3"/>
  <c r="O279" i="3" s="1" a="1"/>
  <c r="O279" i="3" s="1"/>
  <c r="L280" i="3"/>
  <c r="O280" i="3" s="1" a="1"/>
  <c r="O280" i="3" s="1"/>
  <c r="L281" i="3"/>
  <c r="O281" i="3" s="1" a="1"/>
  <c r="O281" i="3" s="1"/>
  <c r="L282" i="3"/>
  <c r="O282" i="3" s="1" a="1"/>
  <c r="O282" i="3" s="1"/>
  <c r="L283" i="3"/>
  <c r="O283" i="3" s="1" a="1"/>
  <c r="O283" i="3" s="1"/>
  <c r="L284" i="3"/>
  <c r="O284" i="3" s="1" a="1"/>
  <c r="O284" i="3" s="1"/>
  <c r="L285" i="3"/>
  <c r="O285" i="3" s="1" a="1"/>
  <c r="O285" i="3" s="1"/>
  <c r="L286" i="3"/>
  <c r="O286" i="3" s="1" a="1"/>
  <c r="O286" i="3" s="1"/>
  <c r="L287" i="3"/>
  <c r="O287" i="3" s="1" a="1"/>
  <c r="O287" i="3" s="1"/>
  <c r="L288" i="3"/>
  <c r="O288" i="3" s="1" a="1"/>
  <c r="O288" i="3" s="1"/>
  <c r="L289" i="3"/>
  <c r="O289" i="3" s="1" a="1"/>
  <c r="O289" i="3" s="1"/>
  <c r="L290" i="3"/>
  <c r="O290" i="3" s="1" a="1"/>
  <c r="O290" i="3" s="1"/>
  <c r="L291" i="3"/>
  <c r="O291" i="3" s="1" a="1"/>
  <c r="O291" i="3" s="1"/>
  <c r="L292" i="3"/>
  <c r="O292" i="3" s="1" a="1"/>
  <c r="O292" i="3" s="1"/>
  <c r="L293" i="3"/>
  <c r="O293" i="3" s="1" a="1"/>
  <c r="O293" i="3" s="1"/>
  <c r="L294" i="3"/>
  <c r="O294" i="3" s="1" a="1"/>
  <c r="O294" i="3" s="1"/>
  <c r="L295" i="3"/>
  <c r="O295" i="3" s="1" a="1"/>
  <c r="O295" i="3" s="1"/>
  <c r="L296" i="3"/>
  <c r="O296" i="3" s="1" a="1"/>
  <c r="O296" i="3" s="1"/>
  <c r="L297" i="3"/>
  <c r="O297" i="3" s="1" a="1"/>
  <c r="O297" i="3" s="1"/>
  <c r="L298" i="3"/>
  <c r="O298" i="3" s="1" a="1"/>
  <c r="O298" i="3" s="1"/>
  <c r="L299" i="3"/>
  <c r="O299" i="3" s="1" a="1"/>
  <c r="O299" i="3" s="1"/>
  <c r="L300" i="3"/>
  <c r="O300" i="3" s="1" a="1"/>
  <c r="O300" i="3" s="1"/>
  <c r="L301" i="3"/>
  <c r="O301" i="3" s="1" a="1"/>
  <c r="O301" i="3" s="1"/>
  <c r="L302" i="3"/>
  <c r="O302" i="3" s="1" a="1"/>
  <c r="O302" i="3" s="1"/>
  <c r="L303" i="3"/>
  <c r="O303" i="3" s="1" a="1"/>
  <c r="O303" i="3" s="1"/>
  <c r="L304" i="3"/>
  <c r="O304" i="3" s="1" a="1"/>
  <c r="O304" i="3" s="1"/>
  <c r="L305" i="3"/>
  <c r="O305" i="3" s="1" a="1"/>
  <c r="O305" i="3" s="1"/>
  <c r="L306" i="3"/>
  <c r="O306" i="3" s="1" a="1"/>
  <c r="O306" i="3" s="1"/>
  <c r="L307" i="3"/>
  <c r="O307" i="3" s="1" a="1"/>
  <c r="O307" i="3" s="1"/>
  <c r="L308" i="3"/>
  <c r="O308" i="3" s="1" a="1"/>
  <c r="O308" i="3" s="1"/>
  <c r="L309" i="3"/>
  <c r="O309" i="3" s="1" a="1"/>
  <c r="O309" i="3" s="1"/>
  <c r="L310" i="3"/>
  <c r="O310" i="3" s="1" a="1"/>
  <c r="O310" i="3" s="1"/>
  <c r="L311" i="3"/>
  <c r="O311" i="3" s="1" a="1"/>
  <c r="O311" i="3" s="1"/>
  <c r="L312" i="3"/>
  <c r="O312" i="3" s="1" a="1"/>
  <c r="O312" i="3" s="1"/>
  <c r="L313" i="3"/>
  <c r="O313" i="3" s="1" a="1"/>
  <c r="O313" i="3" s="1"/>
  <c r="L314" i="3"/>
  <c r="O314" i="3" s="1" a="1"/>
  <c r="O314" i="3" s="1"/>
  <c r="L315" i="3"/>
  <c r="O315" i="3" s="1" a="1"/>
  <c r="O315" i="3" s="1"/>
  <c r="L316" i="3"/>
  <c r="O316" i="3" s="1" a="1"/>
  <c r="O316" i="3" s="1"/>
  <c r="L317" i="3"/>
  <c r="O317" i="3" s="1" a="1"/>
  <c r="O317" i="3" s="1"/>
  <c r="L318" i="3"/>
  <c r="O318" i="3" s="1" a="1"/>
  <c r="O318" i="3" s="1"/>
  <c r="L319" i="3"/>
  <c r="O319" i="3" s="1" a="1"/>
  <c r="O319" i="3" s="1"/>
  <c r="L320" i="3"/>
  <c r="O320" i="3" s="1" a="1"/>
  <c r="O320" i="3" s="1"/>
  <c r="L321" i="3"/>
  <c r="O321" i="3" s="1" a="1"/>
  <c r="O321" i="3" s="1"/>
  <c r="L322" i="3"/>
  <c r="O322" i="3" s="1" a="1"/>
  <c r="O322" i="3" s="1"/>
  <c r="L323" i="3"/>
  <c r="O323" i="3" s="1" a="1"/>
  <c r="O323" i="3" s="1"/>
  <c r="L324" i="3"/>
  <c r="O324" i="3" s="1" a="1"/>
  <c r="O324" i="3" s="1"/>
  <c r="L325" i="3"/>
  <c r="O325" i="3" s="1" a="1"/>
  <c r="O325" i="3" s="1"/>
  <c r="L326" i="3"/>
  <c r="O326" i="3" s="1" a="1"/>
  <c r="O326" i="3" s="1"/>
  <c r="L327" i="3"/>
  <c r="O327" i="3" s="1" a="1"/>
  <c r="O327" i="3" s="1"/>
  <c r="L328" i="3"/>
  <c r="O328" i="3" s="1" a="1"/>
  <c r="O328" i="3" s="1"/>
  <c r="L329" i="3"/>
  <c r="O329" i="3" s="1" a="1"/>
  <c r="O329" i="3" s="1"/>
  <c r="L330" i="3"/>
  <c r="O330" i="3" s="1" a="1"/>
  <c r="O330" i="3" s="1"/>
  <c r="L331" i="3"/>
  <c r="O331" i="3" s="1" a="1"/>
  <c r="O331" i="3" s="1"/>
  <c r="L332" i="3"/>
  <c r="O332" i="3" s="1" a="1"/>
  <c r="O332" i="3" s="1"/>
  <c r="L333" i="3"/>
  <c r="O333" i="3" s="1" a="1"/>
  <c r="O333" i="3" s="1"/>
  <c r="L334" i="3"/>
  <c r="O334" i="3" s="1" a="1"/>
  <c r="O334" i="3" s="1"/>
  <c r="L335" i="3"/>
  <c r="O335" i="3" s="1" a="1"/>
  <c r="O335" i="3" s="1"/>
  <c r="L336" i="3"/>
  <c r="O336" i="3" s="1" a="1"/>
  <c r="O336" i="3" s="1"/>
  <c r="L337" i="3"/>
  <c r="O337" i="3" s="1" a="1"/>
  <c r="O337" i="3" s="1"/>
  <c r="L338" i="3"/>
  <c r="O338" i="3" s="1" a="1"/>
  <c r="O338" i="3" s="1"/>
  <c r="L339" i="3"/>
  <c r="O339" i="3" s="1" a="1"/>
  <c r="O339" i="3" s="1"/>
  <c r="L340" i="3"/>
  <c r="O340" i="3" s="1" a="1"/>
  <c r="O340" i="3" s="1"/>
  <c r="L341" i="3"/>
  <c r="O341" i="3" s="1" a="1"/>
  <c r="O341" i="3" s="1"/>
  <c r="L342" i="3"/>
  <c r="O342" i="3" s="1" a="1"/>
  <c r="O342" i="3" s="1"/>
  <c r="L343" i="3"/>
  <c r="O343" i="3" s="1" a="1"/>
  <c r="O343" i="3" s="1"/>
  <c r="L344" i="3"/>
  <c r="O344" i="3" s="1" a="1"/>
  <c r="O344" i="3" s="1"/>
  <c r="L345" i="3"/>
  <c r="O345" i="3" s="1" a="1"/>
  <c r="O345" i="3" s="1"/>
  <c r="L346" i="3"/>
  <c r="O346" i="3" s="1" a="1"/>
  <c r="O346" i="3" s="1"/>
  <c r="L347" i="3"/>
  <c r="O347" i="3" s="1" a="1"/>
  <c r="O347" i="3" s="1"/>
  <c r="L348" i="3"/>
  <c r="O348" i="3" s="1" a="1"/>
  <c r="O348" i="3" s="1"/>
  <c r="L349" i="3"/>
  <c r="O349" i="3" s="1" a="1"/>
  <c r="O349" i="3" s="1"/>
  <c r="L350" i="3"/>
  <c r="O350" i="3" s="1" a="1"/>
  <c r="O350" i="3" s="1"/>
  <c r="L351" i="3"/>
  <c r="O351" i="3" s="1" a="1"/>
  <c r="O351" i="3" s="1"/>
  <c r="L352" i="3"/>
  <c r="O352" i="3" s="1" a="1"/>
  <c r="O352" i="3" s="1"/>
  <c r="L353" i="3"/>
  <c r="O353" i="3" s="1" a="1"/>
  <c r="O353" i="3" s="1"/>
  <c r="L354" i="3"/>
  <c r="O354" i="3" s="1" a="1"/>
  <c r="O354" i="3" s="1"/>
  <c r="L355" i="3"/>
  <c r="O355" i="3" s="1" a="1"/>
  <c r="O355" i="3" s="1"/>
  <c r="L356" i="3"/>
  <c r="O356" i="3" s="1" a="1"/>
  <c r="O356" i="3" s="1"/>
  <c r="L357" i="3"/>
  <c r="O357" i="3" s="1" a="1"/>
  <c r="O357" i="3" s="1"/>
  <c r="L358" i="3"/>
  <c r="O358" i="3" s="1" a="1"/>
  <c r="O358" i="3" s="1"/>
  <c r="L359" i="3"/>
  <c r="O359" i="3" s="1" a="1"/>
  <c r="O359" i="3" s="1"/>
  <c r="L360" i="3"/>
  <c r="O360" i="3" s="1" a="1"/>
  <c r="O360" i="3" s="1"/>
  <c r="L361" i="3"/>
  <c r="O361" i="3" s="1" a="1"/>
  <c r="O361" i="3" s="1"/>
  <c r="L362" i="3"/>
  <c r="O362" i="3" s="1" a="1"/>
  <c r="O362" i="3" s="1"/>
  <c r="L363" i="3"/>
  <c r="O363" i="3" s="1" a="1"/>
  <c r="O363" i="3" s="1"/>
  <c r="L364" i="3"/>
  <c r="O364" i="3" s="1" a="1"/>
  <c r="O364" i="3" s="1"/>
  <c r="L365" i="3"/>
  <c r="O365" i="3" s="1" a="1"/>
  <c r="O365" i="3" s="1"/>
  <c r="L366" i="3"/>
  <c r="O366" i="3" s="1" a="1"/>
  <c r="O366" i="3" s="1"/>
  <c r="L367" i="3"/>
  <c r="O367" i="3" s="1" a="1"/>
  <c r="O367" i="3" s="1"/>
  <c r="L368" i="3"/>
  <c r="O368" i="3" s="1" a="1"/>
  <c r="O368" i="3" s="1"/>
  <c r="L369" i="3"/>
  <c r="O369" i="3" s="1" a="1"/>
  <c r="O369" i="3" s="1"/>
  <c r="L370" i="3"/>
  <c r="O370" i="3" s="1" a="1"/>
  <c r="O370" i="3" s="1"/>
  <c r="L371" i="3"/>
  <c r="O371" i="3" s="1" a="1"/>
  <c r="O371" i="3" s="1"/>
  <c r="L372" i="3"/>
  <c r="O372" i="3" s="1" a="1"/>
  <c r="O372" i="3" s="1"/>
  <c r="L373" i="3"/>
  <c r="O373" i="3" s="1" a="1"/>
  <c r="O373" i="3" s="1"/>
  <c r="L374" i="3"/>
  <c r="O374" i="3" s="1" a="1"/>
  <c r="O374" i="3" s="1"/>
  <c r="L375" i="3"/>
  <c r="O375" i="3" s="1" a="1"/>
  <c r="O375" i="3" s="1"/>
  <c r="L376" i="3"/>
  <c r="O376" i="3" s="1" a="1"/>
  <c r="O376" i="3" s="1"/>
  <c r="L377" i="3"/>
  <c r="O377" i="3" s="1" a="1"/>
  <c r="O377" i="3" s="1"/>
  <c r="L378" i="3"/>
  <c r="O378" i="3" s="1" a="1"/>
  <c r="O378" i="3" s="1"/>
  <c r="L379" i="3"/>
  <c r="O379" i="3" s="1" a="1"/>
  <c r="O379" i="3" s="1"/>
  <c r="L380" i="3"/>
  <c r="O380" i="3" s="1" a="1"/>
  <c r="O380" i="3" s="1"/>
  <c r="L381" i="3"/>
  <c r="O381" i="3" s="1" a="1"/>
  <c r="O381" i="3" s="1"/>
  <c r="L382" i="3"/>
  <c r="O382" i="3" s="1" a="1"/>
  <c r="O382" i="3" s="1"/>
  <c r="L383" i="3"/>
  <c r="O383" i="3" s="1" a="1"/>
  <c r="O383" i="3" s="1"/>
  <c r="L384" i="3"/>
  <c r="O384" i="3" s="1" a="1"/>
  <c r="O384" i="3" s="1"/>
  <c r="L385" i="3"/>
  <c r="O385" i="3" s="1" a="1"/>
  <c r="O385" i="3" s="1"/>
  <c r="L386" i="3"/>
  <c r="O386" i="3" s="1" a="1"/>
  <c r="O386" i="3" s="1"/>
  <c r="L387" i="3"/>
  <c r="O387" i="3" s="1" a="1"/>
  <c r="O387" i="3" s="1"/>
  <c r="L388" i="3"/>
  <c r="O388" i="3" s="1" a="1"/>
  <c r="O388" i="3" s="1"/>
  <c r="L389" i="3"/>
  <c r="O389" i="3" s="1" a="1"/>
  <c r="O389" i="3" s="1"/>
  <c r="L390" i="3"/>
  <c r="O390" i="3" s="1" a="1"/>
  <c r="O390" i="3" s="1"/>
  <c r="L391" i="3"/>
  <c r="O391" i="3" s="1" a="1"/>
  <c r="O391" i="3" s="1"/>
  <c r="L392" i="3"/>
  <c r="O392" i="3" s="1" a="1"/>
  <c r="O392" i="3" s="1"/>
  <c r="L393" i="3"/>
  <c r="O393" i="3" s="1" a="1"/>
  <c r="O393" i="3" s="1"/>
  <c r="L394" i="3"/>
  <c r="O394" i="3" s="1" a="1"/>
  <c r="O394" i="3" s="1"/>
  <c r="L395" i="3"/>
  <c r="O395" i="3" s="1" a="1"/>
  <c r="O395" i="3" s="1"/>
  <c r="L396" i="3"/>
  <c r="O396" i="3" s="1" a="1"/>
  <c r="O396" i="3" s="1"/>
  <c r="L397" i="3"/>
  <c r="O397" i="3" s="1" a="1"/>
  <c r="O397" i="3" s="1"/>
  <c r="L398" i="3"/>
  <c r="O398" i="3" s="1" a="1"/>
  <c r="O398" i="3" s="1"/>
  <c r="L399" i="3"/>
  <c r="O399" i="3" s="1" a="1"/>
  <c r="O399" i="3" s="1"/>
  <c r="L400" i="3"/>
  <c r="O400" i="3" s="1" a="1"/>
  <c r="O400" i="3" s="1"/>
  <c r="L401" i="3"/>
  <c r="O401" i="3" s="1" a="1"/>
  <c r="O401" i="3" s="1"/>
  <c r="L402" i="3"/>
  <c r="O402" i="3" s="1" a="1"/>
  <c r="O402" i="3" s="1"/>
  <c r="L403" i="3"/>
  <c r="O403" i="3" s="1" a="1"/>
  <c r="O403" i="3" s="1"/>
  <c r="L404" i="3"/>
  <c r="O404" i="3" s="1" a="1"/>
  <c r="O404" i="3" s="1"/>
  <c r="L405" i="3"/>
  <c r="O405" i="3" s="1" a="1"/>
  <c r="O405" i="3" s="1"/>
  <c r="L406" i="3"/>
  <c r="O406" i="3" s="1" a="1"/>
  <c r="O406" i="3" s="1"/>
  <c r="L407" i="3"/>
  <c r="O407" i="3" s="1" a="1"/>
  <c r="O407" i="3" s="1"/>
  <c r="L408" i="3"/>
  <c r="O408" i="3" s="1" a="1"/>
  <c r="O408" i="3" s="1"/>
  <c r="L409" i="3"/>
  <c r="O409" i="3" s="1" a="1"/>
  <c r="O409" i="3" s="1"/>
  <c r="L410" i="3"/>
  <c r="O410" i="3" s="1" a="1"/>
  <c r="O410" i="3" s="1"/>
  <c r="L411" i="3"/>
  <c r="O411" i="3" s="1" a="1"/>
  <c r="O411" i="3" s="1"/>
  <c r="L412" i="3"/>
  <c r="O412" i="3" s="1" a="1"/>
  <c r="O412" i="3" s="1"/>
  <c r="L413" i="3"/>
  <c r="O413" i="3" s="1" a="1"/>
  <c r="O413" i="3" s="1"/>
  <c r="L414" i="3"/>
  <c r="O414" i="3" s="1" a="1"/>
  <c r="O414" i="3" s="1"/>
  <c r="L415" i="3"/>
  <c r="O415" i="3" s="1" a="1"/>
  <c r="O415" i="3" s="1"/>
  <c r="L416" i="3"/>
  <c r="O416" i="3" s="1" a="1"/>
  <c r="O416" i="3" s="1"/>
  <c r="L417" i="3"/>
  <c r="O417" i="3" s="1" a="1"/>
  <c r="O417" i="3" s="1"/>
  <c r="L418" i="3"/>
  <c r="O418" i="3" s="1" a="1"/>
  <c r="O418" i="3" s="1"/>
  <c r="L419" i="3"/>
  <c r="O419" i="3" s="1" a="1"/>
  <c r="O419" i="3" s="1"/>
  <c r="L420" i="3"/>
  <c r="O420" i="3" s="1" a="1"/>
  <c r="O420" i="3" s="1"/>
  <c r="L421" i="3"/>
  <c r="O421" i="3" s="1" a="1"/>
  <c r="O421" i="3" s="1"/>
  <c r="L422" i="3"/>
  <c r="O422" i="3" s="1" a="1"/>
  <c r="O422" i="3" s="1"/>
  <c r="L423" i="3"/>
  <c r="O423" i="3" s="1" a="1"/>
  <c r="O423" i="3" s="1"/>
  <c r="L424" i="3"/>
  <c r="O424" i="3" s="1" a="1"/>
  <c r="O424" i="3" s="1"/>
  <c r="L425" i="3"/>
  <c r="O425" i="3" s="1" a="1"/>
  <c r="O425" i="3" s="1"/>
  <c r="L426" i="3"/>
  <c r="O426" i="3" s="1" a="1"/>
  <c r="O426" i="3" s="1"/>
  <c r="L427" i="3"/>
  <c r="O427" i="3" s="1" a="1"/>
  <c r="O427" i="3" s="1"/>
  <c r="L428" i="3"/>
  <c r="O428" i="3" s="1" a="1"/>
  <c r="O428" i="3" s="1"/>
  <c r="L429" i="3"/>
  <c r="O429" i="3" s="1" a="1"/>
  <c r="O429" i="3" s="1"/>
  <c r="L430" i="3"/>
  <c r="O430" i="3" s="1" a="1"/>
  <c r="O430" i="3" s="1"/>
  <c r="L431" i="3"/>
  <c r="O431" i="3" s="1" a="1"/>
  <c r="O431" i="3" s="1"/>
  <c r="L432" i="3"/>
  <c r="O432" i="3" s="1" a="1"/>
  <c r="O432" i="3" s="1"/>
  <c r="L433" i="3"/>
  <c r="O433" i="3" s="1" a="1"/>
  <c r="O433" i="3" s="1"/>
  <c r="L434" i="3"/>
  <c r="O434" i="3" s="1" a="1"/>
  <c r="O434" i="3" s="1"/>
  <c r="L435" i="3"/>
  <c r="O435" i="3" s="1" a="1"/>
  <c r="O435" i="3" s="1"/>
  <c r="L436" i="3"/>
  <c r="O436" i="3" s="1" a="1"/>
  <c r="O436" i="3" s="1"/>
  <c r="L437" i="3"/>
  <c r="O437" i="3" s="1" a="1"/>
  <c r="O437" i="3" s="1"/>
  <c r="L438" i="3"/>
  <c r="O438" i="3" s="1" a="1"/>
  <c r="O438" i="3" s="1"/>
  <c r="L439" i="3"/>
  <c r="O439" i="3" s="1" a="1"/>
  <c r="O439" i="3" s="1"/>
  <c r="L440" i="3"/>
  <c r="O440" i="3" s="1" a="1"/>
  <c r="O440" i="3" s="1"/>
  <c r="L441" i="3"/>
  <c r="O441" i="3" s="1" a="1"/>
  <c r="O441" i="3" s="1"/>
  <c r="L442" i="3"/>
  <c r="O442" i="3" s="1" a="1"/>
  <c r="O442" i="3" s="1"/>
  <c r="L443" i="3"/>
  <c r="O443" i="3" s="1" a="1"/>
  <c r="O443" i="3" s="1"/>
  <c r="L444" i="3"/>
  <c r="O444" i="3" s="1" a="1"/>
  <c r="O444" i="3" s="1"/>
  <c r="L445" i="3"/>
  <c r="O445" i="3" s="1" a="1"/>
  <c r="O445" i="3" s="1"/>
  <c r="L446" i="3"/>
  <c r="O446" i="3" s="1" a="1"/>
  <c r="O446" i="3" s="1"/>
  <c r="L447" i="3"/>
  <c r="O447" i="3" s="1" a="1"/>
  <c r="O447" i="3" s="1"/>
  <c r="L448" i="3"/>
  <c r="O448" i="3" s="1" a="1"/>
  <c r="O448" i="3" s="1"/>
  <c r="L449" i="3"/>
  <c r="O449" i="3" s="1" a="1"/>
  <c r="O449" i="3" s="1"/>
  <c r="L450" i="3"/>
  <c r="O450" i="3" s="1" a="1"/>
  <c r="O450" i="3" s="1"/>
  <c r="L451" i="3"/>
  <c r="O451" i="3" s="1" a="1"/>
  <c r="O451" i="3" s="1"/>
  <c r="L452" i="3"/>
  <c r="O452" i="3" s="1" a="1"/>
  <c r="O452" i="3" s="1"/>
  <c r="L453" i="3"/>
  <c r="O453" i="3" s="1" a="1"/>
  <c r="O453" i="3" s="1"/>
  <c r="L454" i="3"/>
  <c r="O454" i="3" s="1" a="1"/>
  <c r="O454" i="3" s="1"/>
  <c r="L455" i="3"/>
  <c r="O455" i="3" s="1" a="1"/>
  <c r="O455" i="3" s="1"/>
  <c r="L456" i="3"/>
  <c r="O456" i="3" s="1" a="1"/>
  <c r="O456" i="3" s="1"/>
  <c r="L457" i="3"/>
  <c r="O457" i="3" s="1" a="1"/>
  <c r="O457" i="3" s="1"/>
  <c r="L458" i="3"/>
  <c r="O458" i="3" s="1" a="1"/>
  <c r="O458" i="3" s="1"/>
  <c r="L459" i="3"/>
  <c r="O459" i="3" s="1" a="1"/>
  <c r="O459" i="3" s="1"/>
  <c r="L460" i="3"/>
  <c r="O460" i="3" s="1" a="1"/>
  <c r="O460" i="3" s="1"/>
  <c r="L461" i="3"/>
  <c r="O461" i="3" s="1" a="1"/>
  <c r="O461" i="3" s="1"/>
  <c r="L462" i="3"/>
  <c r="O462" i="3" s="1" a="1"/>
  <c r="O462" i="3" s="1"/>
  <c r="L463" i="3"/>
  <c r="O463" i="3" s="1" a="1"/>
  <c r="O463" i="3" s="1"/>
  <c r="L464" i="3"/>
  <c r="O464" i="3" s="1" a="1"/>
  <c r="O464" i="3" s="1"/>
  <c r="L465" i="3"/>
  <c r="O465" i="3" s="1" a="1"/>
  <c r="O465" i="3" s="1"/>
  <c r="L466" i="3"/>
  <c r="O466" i="3" s="1" a="1"/>
  <c r="O466" i="3" s="1"/>
  <c r="L467" i="3"/>
  <c r="O467" i="3" s="1" a="1"/>
  <c r="O467" i="3" s="1"/>
  <c r="L468" i="3"/>
  <c r="O468" i="3" s="1" a="1"/>
  <c r="O468" i="3" s="1"/>
  <c r="L469" i="3"/>
  <c r="O469" i="3" s="1" a="1"/>
  <c r="O469" i="3" s="1"/>
  <c r="L470" i="3"/>
  <c r="O470" i="3" s="1" a="1"/>
  <c r="O470" i="3" s="1"/>
  <c r="L471" i="3"/>
  <c r="O471" i="3" s="1" a="1"/>
  <c r="O471" i="3" s="1"/>
  <c r="L472" i="3"/>
  <c r="O472" i="3" s="1" a="1"/>
  <c r="O472" i="3" s="1"/>
  <c r="L473" i="3"/>
  <c r="O473" i="3" s="1" a="1"/>
  <c r="O473" i="3" s="1"/>
  <c r="L474" i="3"/>
  <c r="O474" i="3" s="1" a="1"/>
  <c r="O474" i="3" s="1"/>
  <c r="L475" i="3"/>
  <c r="O475" i="3" s="1" a="1"/>
  <c r="O475" i="3" s="1"/>
  <c r="L476" i="3"/>
  <c r="O476" i="3" s="1" a="1"/>
  <c r="O476" i="3" s="1"/>
  <c r="L477" i="3"/>
  <c r="O477" i="3" s="1" a="1"/>
  <c r="O477" i="3" s="1"/>
  <c r="L478" i="3"/>
  <c r="O478" i="3" s="1" a="1"/>
  <c r="O478" i="3" s="1"/>
  <c r="L479" i="3"/>
  <c r="O479" i="3" s="1" a="1"/>
  <c r="O479" i="3" s="1"/>
  <c r="L480" i="3"/>
  <c r="O480" i="3" s="1" a="1"/>
  <c r="O480" i="3" s="1"/>
  <c r="L481" i="3"/>
  <c r="O481" i="3" s="1" a="1"/>
  <c r="O481" i="3" s="1"/>
  <c r="L482" i="3"/>
  <c r="O482" i="3" s="1" a="1"/>
  <c r="O482" i="3" s="1"/>
  <c r="L483" i="3"/>
  <c r="O483" i="3" s="1" a="1"/>
  <c r="O483" i="3" s="1"/>
  <c r="L484" i="3"/>
  <c r="O484" i="3" s="1" a="1"/>
  <c r="O484" i="3" s="1"/>
  <c r="L485" i="3"/>
  <c r="O485" i="3" s="1" a="1"/>
  <c r="O485" i="3" s="1"/>
  <c r="L486" i="3"/>
  <c r="O486" i="3" s="1" a="1"/>
  <c r="O486" i="3" s="1"/>
  <c r="L487" i="3"/>
  <c r="O487" i="3" s="1" a="1"/>
  <c r="O487" i="3" s="1"/>
  <c r="L488" i="3"/>
  <c r="O488" i="3" s="1" a="1"/>
  <c r="O488" i="3" s="1"/>
  <c r="L489" i="3"/>
  <c r="O489" i="3" s="1" a="1"/>
  <c r="O489" i="3" s="1"/>
  <c r="L490" i="3"/>
  <c r="O490" i="3" s="1" a="1"/>
  <c r="O490" i="3" s="1"/>
  <c r="L491" i="3"/>
  <c r="O491" i="3" s="1" a="1"/>
  <c r="O491" i="3" s="1"/>
  <c r="L492" i="3"/>
  <c r="O492" i="3" s="1" a="1"/>
  <c r="O492" i="3" s="1"/>
  <c r="L493" i="3"/>
  <c r="O493" i="3" s="1" a="1"/>
  <c r="O493" i="3" s="1"/>
  <c r="L494" i="3"/>
  <c r="O494" i="3" s="1" a="1"/>
  <c r="O494" i="3" s="1"/>
  <c r="L495" i="3"/>
  <c r="O495" i="3" s="1" a="1"/>
  <c r="O495" i="3" s="1"/>
  <c r="L496" i="3"/>
  <c r="O496" i="3" s="1" a="1"/>
  <c r="O496" i="3" s="1"/>
  <c r="L497" i="3"/>
  <c r="O497" i="3" s="1" a="1"/>
  <c r="O497" i="3" s="1"/>
  <c r="L498" i="3"/>
  <c r="O498" i="3" s="1" a="1"/>
  <c r="O498" i="3" s="1"/>
  <c r="L499" i="3"/>
  <c r="O499" i="3" s="1" a="1"/>
  <c r="O499" i="3" s="1"/>
  <c r="L500" i="3"/>
  <c r="O500" i="3" s="1" a="1"/>
  <c r="O500" i="3" s="1"/>
  <c r="L501" i="3"/>
  <c r="O501" i="3" s="1" a="1"/>
  <c r="O501" i="3" s="1"/>
  <c r="L502" i="3"/>
  <c r="O502" i="3" s="1" a="1"/>
  <c r="O502" i="3" s="1"/>
  <c r="L503" i="3"/>
  <c r="O503" i="3" s="1" a="1"/>
  <c r="O503" i="3" s="1"/>
  <c r="L504" i="3"/>
  <c r="O504" i="3" s="1" a="1"/>
  <c r="O504" i="3" s="1"/>
  <c r="L505" i="3"/>
  <c r="O505" i="3" s="1" a="1"/>
  <c r="O505" i="3" s="1"/>
  <c r="L506" i="3"/>
  <c r="O506" i="3" s="1" a="1"/>
  <c r="O506" i="3" s="1"/>
  <c r="L507" i="3"/>
  <c r="O507" i="3" s="1" a="1"/>
  <c r="O507" i="3" s="1"/>
  <c r="L508" i="3"/>
  <c r="O508" i="3" s="1" a="1"/>
  <c r="O508" i="3" s="1"/>
  <c r="L509" i="3"/>
  <c r="O509" i="3" s="1" a="1"/>
  <c r="O509" i="3" s="1"/>
  <c r="L510" i="3"/>
  <c r="O510" i="3" s="1" a="1"/>
  <c r="O510" i="3" s="1"/>
  <c r="L511" i="3"/>
  <c r="O511" i="3" s="1" a="1"/>
  <c r="O511" i="3" s="1"/>
  <c r="L512" i="3"/>
  <c r="O512" i="3" s="1" a="1"/>
  <c r="O512" i="3" s="1"/>
  <c r="L513" i="3"/>
  <c r="O513" i="3" s="1" a="1"/>
  <c r="O513" i="3" s="1"/>
  <c r="L514" i="3"/>
  <c r="O514" i="3" s="1" a="1"/>
  <c r="O514" i="3" s="1"/>
  <c r="L515" i="3"/>
  <c r="O515" i="3" s="1" a="1"/>
  <c r="O515" i="3" s="1"/>
  <c r="L516" i="3"/>
  <c r="O516" i="3" s="1" a="1"/>
  <c r="O516" i="3" s="1"/>
  <c r="L517" i="3"/>
  <c r="O517" i="3" s="1" a="1"/>
  <c r="O517" i="3" s="1"/>
  <c r="L518" i="3"/>
  <c r="O518" i="3" s="1" a="1"/>
  <c r="O518" i="3" s="1"/>
  <c r="L519" i="3"/>
  <c r="O519" i="3" s="1" a="1"/>
  <c r="O519" i="3" s="1"/>
  <c r="L520" i="3"/>
  <c r="O520" i="3" s="1" a="1"/>
  <c r="O520" i="3" s="1"/>
  <c r="L521" i="3"/>
  <c r="O521" i="3" s="1" a="1"/>
  <c r="O521" i="3" s="1"/>
  <c r="L522" i="3"/>
  <c r="O522" i="3" s="1" a="1"/>
  <c r="O522" i="3" s="1"/>
  <c r="L523" i="3"/>
  <c r="O523" i="3" s="1" a="1"/>
  <c r="O523" i="3" s="1"/>
  <c r="L524" i="3"/>
  <c r="O524" i="3" s="1" a="1"/>
  <c r="O524" i="3" s="1"/>
  <c r="L525" i="3"/>
  <c r="O525" i="3" s="1" a="1"/>
  <c r="O525" i="3" s="1"/>
  <c r="L526" i="3"/>
  <c r="O526" i="3" s="1" a="1"/>
  <c r="O526" i="3" s="1"/>
  <c r="L527" i="3"/>
  <c r="O527" i="3" s="1" a="1"/>
  <c r="O527" i="3" s="1"/>
  <c r="L528" i="3"/>
  <c r="O528" i="3" s="1" a="1"/>
  <c r="O528" i="3" s="1"/>
  <c r="L529" i="3"/>
  <c r="O529" i="3" s="1" a="1"/>
  <c r="O529" i="3" s="1"/>
  <c r="L530" i="3"/>
  <c r="O530" i="3" s="1" a="1"/>
  <c r="O530" i="3" s="1"/>
  <c r="L531" i="3"/>
  <c r="O531" i="3" s="1" a="1"/>
  <c r="O531" i="3" s="1"/>
  <c r="L532" i="3"/>
  <c r="O532" i="3" s="1" a="1"/>
  <c r="O532" i="3" s="1"/>
  <c r="L533" i="3"/>
  <c r="O533" i="3" s="1" a="1"/>
  <c r="O533" i="3" s="1"/>
  <c r="L534" i="3"/>
  <c r="O534" i="3" s="1" a="1"/>
  <c r="O534" i="3" s="1"/>
  <c r="L535" i="3"/>
  <c r="O535" i="3" s="1" a="1"/>
  <c r="O535" i="3" s="1"/>
  <c r="L536" i="3"/>
  <c r="O536" i="3" s="1" a="1"/>
  <c r="O536" i="3" s="1"/>
  <c r="L537" i="3"/>
  <c r="O537" i="3" s="1" a="1"/>
  <c r="O537" i="3" s="1"/>
  <c r="L538" i="3"/>
  <c r="O538" i="3" s="1" a="1"/>
  <c r="O538" i="3" s="1"/>
  <c r="L539" i="3"/>
  <c r="O539" i="3" s="1" a="1"/>
  <c r="O539" i="3" s="1"/>
  <c r="L540" i="3"/>
  <c r="O540" i="3" s="1" a="1"/>
  <c r="O540" i="3" s="1"/>
  <c r="L541" i="3"/>
  <c r="O541" i="3" s="1" a="1"/>
  <c r="O541" i="3" s="1"/>
  <c r="L542" i="3"/>
  <c r="O542" i="3" s="1" a="1"/>
  <c r="O542" i="3" s="1"/>
  <c r="L543" i="3"/>
  <c r="O543" i="3" s="1" a="1"/>
  <c r="O543" i="3" s="1"/>
  <c r="L544" i="3"/>
  <c r="O544" i="3" s="1" a="1"/>
  <c r="O544" i="3" s="1"/>
  <c r="L545" i="3"/>
  <c r="O545" i="3" s="1" a="1"/>
  <c r="O545" i="3" s="1"/>
  <c r="L546" i="3"/>
  <c r="O546" i="3" s="1" a="1"/>
  <c r="O546" i="3" s="1"/>
  <c r="L547" i="3"/>
  <c r="O547" i="3" s="1" a="1"/>
  <c r="O547" i="3" s="1"/>
  <c r="L548" i="3"/>
  <c r="O548" i="3" s="1" a="1"/>
  <c r="O548" i="3" s="1"/>
  <c r="L549" i="3"/>
  <c r="O549" i="3" s="1" a="1"/>
  <c r="O549" i="3" s="1"/>
  <c r="L550" i="3"/>
  <c r="O550" i="3" s="1" a="1"/>
  <c r="O550" i="3" s="1"/>
  <c r="L551" i="3"/>
  <c r="O551" i="3" s="1" a="1"/>
  <c r="O551" i="3" s="1"/>
  <c r="L552" i="3"/>
  <c r="O552" i="3" s="1" a="1"/>
  <c r="O552" i="3" s="1"/>
  <c r="L553" i="3"/>
  <c r="O553" i="3" s="1" a="1"/>
  <c r="O553" i="3" s="1"/>
  <c r="L554" i="3"/>
  <c r="O554" i="3" s="1" a="1"/>
  <c r="O554" i="3" s="1"/>
  <c r="L555" i="3"/>
  <c r="O555" i="3" s="1" a="1"/>
  <c r="O555" i="3" s="1"/>
  <c r="L556" i="3"/>
  <c r="O556" i="3" s="1" a="1"/>
  <c r="O556" i="3" s="1"/>
  <c r="L557" i="3"/>
  <c r="O557" i="3" s="1" a="1"/>
  <c r="O557" i="3" s="1"/>
  <c r="L558" i="3"/>
  <c r="O558" i="3" s="1" a="1"/>
  <c r="O558" i="3" s="1"/>
  <c r="L559" i="3"/>
  <c r="O559" i="3" s="1" a="1"/>
  <c r="O559" i="3" s="1"/>
  <c r="L560" i="3"/>
  <c r="O560" i="3" s="1" a="1"/>
  <c r="O560" i="3" s="1"/>
  <c r="L561" i="3"/>
  <c r="O561" i="3" s="1" a="1"/>
  <c r="O561" i="3" s="1"/>
  <c r="L562" i="3"/>
  <c r="O562" i="3" s="1" a="1"/>
  <c r="O562" i="3" s="1"/>
  <c r="L563" i="3"/>
  <c r="O563" i="3" s="1" a="1"/>
  <c r="O563" i="3" s="1"/>
  <c r="L564" i="3"/>
  <c r="O564" i="3" s="1" a="1"/>
  <c r="O564" i="3" s="1"/>
  <c r="L565" i="3"/>
  <c r="O565" i="3" s="1" a="1"/>
  <c r="O565" i="3" s="1"/>
  <c r="L566" i="3"/>
  <c r="O566" i="3" s="1" a="1"/>
  <c r="O566" i="3" s="1"/>
  <c r="L567" i="3"/>
  <c r="O567" i="3" s="1" a="1"/>
  <c r="O567" i="3" s="1"/>
  <c r="L568" i="3"/>
  <c r="O568" i="3" s="1" a="1"/>
  <c r="O568" i="3" s="1"/>
  <c r="L569" i="3"/>
  <c r="O569" i="3" s="1" a="1"/>
  <c r="O569" i="3" s="1"/>
  <c r="L570" i="3"/>
  <c r="O570" i="3" s="1" a="1"/>
  <c r="O570" i="3" s="1"/>
  <c r="L571" i="3"/>
  <c r="O571" i="3" s="1" a="1"/>
  <c r="O571" i="3" s="1"/>
  <c r="L572" i="3"/>
  <c r="O572" i="3" s="1" a="1"/>
  <c r="O572" i="3" s="1"/>
  <c r="L573" i="3"/>
  <c r="O573" i="3" s="1" a="1"/>
  <c r="O573" i="3" s="1"/>
  <c r="L574" i="3"/>
  <c r="O574" i="3" s="1" a="1"/>
  <c r="O574" i="3" s="1"/>
  <c r="L575" i="3"/>
  <c r="O575" i="3" s="1" a="1"/>
  <c r="O575" i="3" s="1"/>
  <c r="L576" i="3"/>
  <c r="O576" i="3" s="1" a="1"/>
  <c r="O576" i="3" s="1"/>
  <c r="L577" i="3"/>
  <c r="O577" i="3" s="1" a="1"/>
  <c r="O577" i="3" s="1"/>
  <c r="L578" i="3"/>
  <c r="O578" i="3" s="1" a="1"/>
  <c r="O578" i="3" s="1"/>
  <c r="L579" i="3"/>
  <c r="O579" i="3" s="1" a="1"/>
  <c r="O579" i="3" s="1"/>
  <c r="L580" i="3"/>
  <c r="O580" i="3" s="1" a="1"/>
  <c r="O580" i="3" s="1"/>
  <c r="L581" i="3"/>
  <c r="O581" i="3" s="1" a="1"/>
  <c r="O581" i="3" s="1"/>
  <c r="L582" i="3"/>
  <c r="O582" i="3" s="1" a="1"/>
  <c r="O582" i="3" s="1"/>
  <c r="L583" i="3"/>
  <c r="O583" i="3" s="1" a="1"/>
  <c r="O583" i="3" s="1"/>
  <c r="L584" i="3"/>
  <c r="O584" i="3" s="1" a="1"/>
  <c r="O584" i="3" s="1"/>
  <c r="L585" i="3"/>
  <c r="O585" i="3" s="1" a="1"/>
  <c r="O585" i="3" s="1"/>
  <c r="L586" i="3"/>
  <c r="O586" i="3" s="1" a="1"/>
  <c r="O586" i="3" s="1"/>
  <c r="L2" i="3"/>
  <c r="O2" i="3" s="1" a="1"/>
  <c r="O2" i="3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2" i="3"/>
  <c r="J3" i="3"/>
  <c r="J4" i="3"/>
  <c r="J5" i="3"/>
  <c r="J6" i="3"/>
  <c r="J7" i="3"/>
  <c r="J8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2" i="3"/>
  <c r="H244" i="3" l="1"/>
  <c r="H1329" i="8"/>
  <c r="L1329" i="8" s="1"/>
  <c r="I316" i="3"/>
  <c r="F30" i="1"/>
  <c r="G30" i="1"/>
  <c r="F32" i="1"/>
  <c r="G32" i="1"/>
  <c r="F33" i="1"/>
  <c r="G33" i="1"/>
  <c r="F36" i="1"/>
  <c r="G36" i="1"/>
  <c r="F37" i="1"/>
  <c r="G37" i="1"/>
  <c r="F38" i="1"/>
  <c r="G38" i="1"/>
  <c r="F39" i="1"/>
  <c r="G39" i="1"/>
  <c r="F42" i="1"/>
  <c r="G42" i="1"/>
  <c r="F43" i="1"/>
  <c r="G43" i="1"/>
  <c r="F46" i="1"/>
  <c r="G46" i="1"/>
  <c r="F47" i="1"/>
  <c r="G47" i="1"/>
  <c r="F48" i="1"/>
  <c r="G48" i="1"/>
  <c r="F49" i="1"/>
  <c r="G49" i="1"/>
  <c r="F50" i="1"/>
  <c r="G50" i="1"/>
  <c r="F53" i="1"/>
  <c r="G53" i="1"/>
  <c r="F5" i="1"/>
  <c r="G5" i="1"/>
  <c r="F6" i="1"/>
  <c r="G6" i="1"/>
  <c r="F7" i="1"/>
  <c r="G7" i="1"/>
  <c r="F10" i="1"/>
  <c r="G10" i="1"/>
  <c r="F11" i="1"/>
  <c r="G11" i="1"/>
  <c r="F12" i="1"/>
  <c r="G12" i="1"/>
  <c r="F13" i="1"/>
  <c r="G13" i="1"/>
  <c r="F16" i="1"/>
  <c r="G16" i="1"/>
  <c r="F17" i="1"/>
  <c r="G17" i="1"/>
  <c r="F18" i="1"/>
  <c r="G18" i="1"/>
  <c r="F19" i="1"/>
  <c r="G19" i="1"/>
  <c r="F20" i="1"/>
  <c r="G20" i="1"/>
  <c r="F21" i="1"/>
  <c r="G21" i="1"/>
  <c r="F24" i="1"/>
  <c r="G24" i="1"/>
  <c r="F25" i="1"/>
  <c r="G25" i="1"/>
  <c r="F26" i="1"/>
  <c r="G26" i="1"/>
  <c r="G3" i="1"/>
  <c r="F3" i="1"/>
  <c r="G247" i="3" l="1"/>
  <c r="M1329" i="8"/>
  <c r="J1329" i="8"/>
  <c r="K1330" i="8"/>
  <c r="I317" i="3"/>
  <c r="H24" i="1"/>
  <c r="H18" i="1"/>
  <c r="H43" i="1"/>
  <c r="H37" i="1"/>
  <c r="H42" i="1"/>
  <c r="H26" i="1"/>
  <c r="H20" i="1"/>
  <c r="H16" i="1"/>
  <c r="H10" i="1"/>
  <c r="H39" i="1"/>
  <c r="H46" i="1"/>
  <c r="H38" i="1"/>
  <c r="H32" i="1"/>
  <c r="H30" i="1"/>
  <c r="H48" i="1"/>
  <c r="H49" i="1"/>
  <c r="H25" i="1"/>
  <c r="H19" i="1"/>
  <c r="H13" i="1"/>
  <c r="H7" i="1"/>
  <c r="H50" i="1"/>
  <c r="H12" i="1"/>
  <c r="H6" i="1"/>
  <c r="H36" i="1"/>
  <c r="H21" i="1"/>
  <c r="H17" i="1"/>
  <c r="H11" i="1"/>
  <c r="H5" i="1"/>
  <c r="H33" i="1"/>
  <c r="H53" i="1"/>
  <c r="H3" i="1"/>
  <c r="H47" i="1"/>
  <c r="H247" i="3" l="1"/>
  <c r="H1330" i="8"/>
  <c r="L1330" i="8" s="1"/>
  <c r="I318" i="3"/>
  <c r="H34" i="1"/>
  <c r="H35" i="1"/>
  <c r="H31" i="1"/>
  <c r="H29" i="1"/>
  <c r="H4" i="1"/>
  <c r="H2" i="1"/>
  <c r="G248" i="3" l="1"/>
  <c r="M1330" i="8"/>
  <c r="K1331" i="8"/>
  <c r="J1330" i="8"/>
  <c r="I319" i="3"/>
  <c r="H248" i="3" l="1"/>
  <c r="H1331" i="8"/>
  <c r="L1331" i="8" s="1"/>
  <c r="I320" i="3"/>
  <c r="G249" i="3" l="1"/>
  <c r="M1331" i="8"/>
  <c r="J1331" i="8"/>
  <c r="K1332" i="8"/>
  <c r="I321" i="3"/>
  <c r="H249" i="3" l="1"/>
  <c r="H1332" i="8"/>
  <c r="L1332" i="8" s="1"/>
  <c r="I322" i="3"/>
  <c r="G250" i="3" l="1"/>
  <c r="M1332" i="8"/>
  <c r="K1333" i="8"/>
  <c r="J1332" i="8"/>
  <c r="I323" i="3"/>
  <c r="H250" i="3" l="1"/>
  <c r="H1333" i="8"/>
  <c r="L1333" i="8" s="1"/>
  <c r="I324" i="3"/>
  <c r="G251" i="3" l="1"/>
  <c r="M1333" i="8"/>
  <c r="J1333" i="8"/>
  <c r="K1334" i="8"/>
  <c r="I325" i="3"/>
  <c r="H251" i="3" l="1"/>
  <c r="H1334" i="8"/>
  <c r="L1334" i="8" s="1"/>
  <c r="I326" i="3"/>
  <c r="G254" i="3" l="1"/>
  <c r="M1334" i="8"/>
  <c r="K1335" i="8"/>
  <c r="J1334" i="8"/>
  <c r="I327" i="3"/>
  <c r="H254" i="3" l="1"/>
  <c r="H1335" i="8"/>
  <c r="L1335" i="8" s="1"/>
  <c r="I328" i="3"/>
  <c r="G255" i="3" l="1"/>
  <c r="M1335" i="8"/>
  <c r="K1336" i="8"/>
  <c r="J1335" i="8"/>
  <c r="I329" i="3"/>
  <c r="H255" i="3" l="1"/>
  <c r="H1336" i="8"/>
  <c r="L1336" i="8" s="1"/>
  <c r="I330" i="3"/>
  <c r="G256" i="3" l="1"/>
  <c r="M1336" i="8"/>
  <c r="K1337" i="8"/>
  <c r="J1336" i="8"/>
  <c r="I331" i="3"/>
  <c r="H256" i="3" l="1"/>
  <c r="H1337" i="8"/>
  <c r="L1337" i="8" s="1"/>
  <c r="I332" i="3"/>
  <c r="G257" i="3" l="1"/>
  <c r="M1337" i="8"/>
  <c r="K1338" i="8"/>
  <c r="J1337" i="8"/>
  <c r="I333" i="3"/>
  <c r="H257" i="3" l="1"/>
  <c r="H1338" i="8"/>
  <c r="L1338" i="8" s="1"/>
  <c r="I334" i="3"/>
  <c r="G258" i="3" l="1"/>
  <c r="M1338" i="8"/>
  <c r="J1338" i="8"/>
  <c r="K1339" i="8"/>
  <c r="I335" i="3"/>
  <c r="H258" i="3" l="1"/>
  <c r="H1339" i="8"/>
  <c r="L1339" i="8" s="1"/>
  <c r="I336" i="3"/>
  <c r="G261" i="3" l="1"/>
  <c r="M1339" i="8"/>
  <c r="J1339" i="8"/>
  <c r="K1340" i="8"/>
  <c r="I337" i="3"/>
  <c r="H261" i="3" l="1"/>
  <c r="H1340" i="8"/>
  <c r="L1340" i="8" s="1"/>
  <c r="I338" i="3"/>
  <c r="G262" i="3" l="1"/>
  <c r="M1340" i="8"/>
  <c r="K1341" i="8"/>
  <c r="J1340" i="8"/>
  <c r="I340" i="3"/>
  <c r="I339" i="3"/>
  <c r="H262" i="3" l="1"/>
  <c r="H1341" i="8"/>
  <c r="L1341" i="8" s="1"/>
  <c r="G263" i="3" l="1"/>
  <c r="M1341" i="8"/>
  <c r="K1342" i="8"/>
  <c r="J1341" i="8"/>
  <c r="H263" i="3" l="1"/>
  <c r="H1342" i="8"/>
  <c r="L1342" i="8" s="1"/>
  <c r="G264" i="3" l="1"/>
  <c r="M1342" i="8"/>
  <c r="K1343" i="8"/>
  <c r="J1342" i="8"/>
  <c r="H264" i="3" l="1"/>
  <c r="H1343" i="8"/>
  <c r="L1343" i="8" s="1"/>
  <c r="G265" i="3" l="1"/>
  <c r="J1343" i="8"/>
  <c r="K1344" i="8"/>
  <c r="M1343" i="8" l="1"/>
  <c r="H265" i="3" l="1"/>
  <c r="H1344" i="8"/>
  <c r="L1344" i="8" s="1"/>
  <c r="G268" i="3" l="1"/>
  <c r="M1344" i="8"/>
  <c r="J1344" i="8"/>
  <c r="K1345" i="8"/>
  <c r="H268" i="3" l="1"/>
  <c r="H1345" i="8"/>
  <c r="L1345" i="8" s="1"/>
  <c r="G269" i="3" l="1"/>
  <c r="M1345" i="8"/>
  <c r="J1345" i="8"/>
  <c r="K1346" i="8"/>
  <c r="H269" i="3" l="1"/>
  <c r="H1346" i="8"/>
  <c r="L1346" i="8" s="1"/>
  <c r="G270" i="3" l="1"/>
  <c r="M1346" i="8"/>
  <c r="J1346" i="8"/>
  <c r="K1347" i="8"/>
  <c r="H270" i="3" l="1"/>
  <c r="H1347" i="8"/>
  <c r="L1347" i="8" s="1"/>
  <c r="G271" i="3" l="1"/>
  <c r="M1347" i="8"/>
  <c r="K1348" i="8"/>
  <c r="J1347" i="8"/>
  <c r="H271" i="3" l="1"/>
  <c r="H1348" i="8"/>
  <c r="L1348" i="8" s="1"/>
  <c r="G272" i="3" l="1"/>
  <c r="M1348" i="8"/>
  <c r="J1348" i="8"/>
  <c r="K1349" i="8"/>
  <c r="H272" i="3" l="1"/>
  <c r="H1349" i="8"/>
  <c r="L1349" i="8" s="1"/>
  <c r="G275" i="3" l="1"/>
  <c r="K1350" i="8"/>
  <c r="M1349" i="8" s="1"/>
  <c r="J1349" i="8"/>
  <c r="H275" i="3" l="1"/>
  <c r="H1350" i="8"/>
  <c r="L1350" i="8" s="1"/>
  <c r="G276" i="3" l="1"/>
  <c r="M1350" i="8"/>
  <c r="K1351" i="8"/>
  <c r="J1350" i="8"/>
  <c r="H276" i="3" l="1"/>
  <c r="H1351" i="8"/>
  <c r="L1351" i="8" s="1"/>
  <c r="G277" i="3" l="1"/>
  <c r="M1351" i="8"/>
  <c r="K1352" i="8"/>
  <c r="J1351" i="8"/>
  <c r="H277" i="3" l="1"/>
  <c r="H1352" i="8"/>
  <c r="L1352" i="8" s="1"/>
  <c r="G278" i="3" l="1"/>
  <c r="M1352" i="8"/>
  <c r="J1352" i="8"/>
  <c r="K1353" i="8"/>
  <c r="H278" i="3" l="1"/>
  <c r="H1353" i="8"/>
  <c r="L1353" i="8" s="1"/>
  <c r="G279" i="3" l="1"/>
  <c r="M1353" i="8"/>
  <c r="J1353" i="8"/>
  <c r="K1354" i="8"/>
  <c r="H279" i="3" l="1"/>
  <c r="H1354" i="8"/>
  <c r="L1354" i="8" s="1"/>
  <c r="G282" i="3" l="1"/>
  <c r="M1354" i="8"/>
  <c r="J1354" i="8"/>
  <c r="K1355" i="8"/>
  <c r="H282" i="3" l="1"/>
  <c r="H1355" i="8"/>
  <c r="L1355" i="8" s="1"/>
  <c r="G283" i="3" l="1"/>
  <c r="M1355" i="8"/>
  <c r="J1355" i="8"/>
  <c r="K1356" i="8"/>
  <c r="H283" i="3" l="1"/>
  <c r="H1356" i="8"/>
  <c r="L1356" i="8" s="1"/>
  <c r="G284" i="3" l="1"/>
  <c r="M1356" i="8"/>
  <c r="J1356" i="8"/>
  <c r="K1357" i="8"/>
  <c r="H284" i="3" l="1"/>
  <c r="H1357" i="8"/>
  <c r="L1357" i="8" s="1"/>
  <c r="G285" i="3" l="1"/>
  <c r="M1357" i="8"/>
  <c r="J1357" i="8"/>
  <c r="K1358" i="8"/>
  <c r="H285" i="3" l="1"/>
  <c r="H1358" i="8"/>
  <c r="L1358" i="8" s="1"/>
  <c r="G286" i="3" l="1"/>
  <c r="M1358" i="8"/>
  <c r="K1359" i="8"/>
  <c r="J1358" i="8"/>
  <c r="H286" i="3" l="1"/>
  <c r="H1359" i="8"/>
  <c r="L1359" i="8" s="1"/>
  <c r="G289" i="3" l="1"/>
  <c r="M1359" i="8"/>
  <c r="K1360" i="8"/>
  <c r="J1359" i="8"/>
  <c r="H289" i="3" l="1"/>
  <c r="H1360" i="8"/>
  <c r="L1360" i="8" s="1"/>
  <c r="G290" i="3" l="1"/>
  <c r="M1360" i="8"/>
  <c r="K1361" i="8"/>
  <c r="J1360" i="8"/>
  <c r="H290" i="3" l="1"/>
  <c r="H1361" i="8"/>
  <c r="L1361" i="8" s="1"/>
  <c r="G291" i="3" l="1"/>
  <c r="M1361" i="8"/>
  <c r="J1361" i="8"/>
  <c r="K1362" i="8"/>
  <c r="H291" i="3" l="1"/>
  <c r="H1362" i="8"/>
  <c r="L1362" i="8" s="1"/>
  <c r="G292" i="3" l="1"/>
  <c r="M1362" i="8"/>
  <c r="J1362" i="8"/>
  <c r="K1363" i="8"/>
  <c r="H292" i="3" l="1"/>
  <c r="H1363" i="8"/>
  <c r="L1363" i="8" s="1"/>
  <c r="G293" i="3" l="1"/>
  <c r="M1363" i="8"/>
  <c r="J1363" i="8"/>
  <c r="K1364" i="8"/>
  <c r="H293" i="3" l="1"/>
  <c r="H1364" i="8"/>
  <c r="L1364" i="8" s="1"/>
  <c r="G296" i="3" l="1"/>
  <c r="M1364" i="8"/>
  <c r="J1364" i="8"/>
  <c r="K1365" i="8"/>
  <c r="H296" i="3" l="1"/>
  <c r="H1365" i="8"/>
  <c r="L1365" i="8" s="1"/>
  <c r="G297" i="3" l="1"/>
  <c r="M1365" i="8"/>
  <c r="K1366" i="8"/>
  <c r="J1365" i="8"/>
  <c r="H297" i="3" l="1"/>
  <c r="H1366" i="8"/>
  <c r="L1366" i="8" s="1"/>
  <c r="G298" i="3" l="1"/>
  <c r="M1366" i="8"/>
  <c r="J1366" i="8"/>
  <c r="K1367" i="8"/>
  <c r="H298" i="3" l="1"/>
  <c r="H1367" i="8"/>
  <c r="L1367" i="8" s="1"/>
  <c r="G299" i="3" l="1"/>
  <c r="J1367" i="8"/>
  <c r="K1368" i="8"/>
  <c r="M1367" i="8" s="1"/>
  <c r="H299" i="3" l="1"/>
  <c r="H1368" i="8"/>
  <c r="L1368" i="8" s="1"/>
  <c r="G300" i="3" l="1"/>
  <c r="M1368" i="8"/>
  <c r="J1368" i="8"/>
  <c r="K1369" i="8"/>
  <c r="H300" i="3" l="1"/>
  <c r="H1369" i="8"/>
  <c r="L1369" i="8" s="1"/>
  <c r="G303" i="3" l="1"/>
  <c r="M1369" i="8"/>
  <c r="K1370" i="8"/>
  <c r="J1369" i="8"/>
  <c r="H303" i="3" l="1"/>
  <c r="H1370" i="8"/>
  <c r="L1370" i="8" s="1"/>
  <c r="G304" i="3" l="1"/>
  <c r="M1370" i="8"/>
  <c r="J1370" i="8"/>
  <c r="K1371" i="8"/>
  <c r="H304" i="3" l="1"/>
  <c r="H1371" i="8"/>
  <c r="L1371" i="8" s="1"/>
  <c r="G305" i="3" l="1"/>
  <c r="M1371" i="8"/>
  <c r="K1372" i="8"/>
  <c r="J1371" i="8"/>
  <c r="H305" i="3" l="1"/>
  <c r="H1372" i="8"/>
  <c r="L1372" i="8" s="1"/>
  <c r="G306" i="3" l="1"/>
  <c r="M1372" i="8"/>
  <c r="K1373" i="8"/>
  <c r="J1372" i="8"/>
  <c r="H306" i="3" l="1"/>
  <c r="H1373" i="8"/>
  <c r="L1373" i="8" s="1"/>
  <c r="G307" i="3" l="1"/>
  <c r="M1373" i="8"/>
  <c r="K1374" i="8"/>
  <c r="J1373" i="8"/>
  <c r="H307" i="3" l="1"/>
  <c r="H1374" i="8"/>
  <c r="L1374" i="8" s="1"/>
  <c r="G310" i="3" l="1"/>
  <c r="M1374" i="8"/>
  <c r="J1374" i="8"/>
  <c r="K1375" i="8"/>
  <c r="H310" i="3" l="1"/>
  <c r="H1375" i="8"/>
  <c r="L1375" i="8" s="1"/>
  <c r="G311" i="3" l="1"/>
  <c r="M1375" i="8"/>
  <c r="J1375" i="8"/>
  <c r="K1376" i="8"/>
  <c r="H311" i="3" l="1"/>
  <c r="H1376" i="8"/>
  <c r="L1376" i="8" s="1"/>
  <c r="G312" i="3" l="1"/>
  <c r="K1377" i="8"/>
  <c r="M1376" i="8" s="1"/>
  <c r="J1376" i="8"/>
  <c r="H312" i="3" l="1"/>
  <c r="H1377" i="8"/>
  <c r="L1377" i="8" s="1"/>
  <c r="G313" i="3" l="1"/>
  <c r="M1377" i="8"/>
  <c r="K1378" i="8"/>
  <c r="J1377" i="8"/>
  <c r="H313" i="3" l="1"/>
  <c r="H1378" i="8"/>
  <c r="L1378" i="8" s="1"/>
  <c r="G314" i="3" l="1"/>
  <c r="M1378" i="8"/>
  <c r="K1379" i="8"/>
  <c r="J1378" i="8"/>
  <c r="H314" i="3" l="1"/>
  <c r="H1379" i="8"/>
  <c r="L1379" i="8" s="1"/>
  <c r="G317" i="3" l="1"/>
  <c r="M1379" i="8"/>
  <c r="K1380" i="8"/>
  <c r="J1379" i="8"/>
  <c r="H317" i="3" l="1"/>
  <c r="H1380" i="8"/>
  <c r="L1380" i="8" s="1"/>
  <c r="G318" i="3" l="1"/>
  <c r="M1380" i="8"/>
  <c r="K1381" i="8"/>
  <c r="J1380" i="8"/>
  <c r="H318" i="3" l="1"/>
  <c r="H1381" i="8"/>
  <c r="L1381" i="8" s="1"/>
  <c r="G319" i="3" l="1"/>
  <c r="M1381" i="8"/>
  <c r="K1382" i="8"/>
  <c r="J1381" i="8"/>
  <c r="H319" i="3" l="1"/>
  <c r="H1382" i="8"/>
  <c r="L1382" i="8" s="1"/>
  <c r="G320" i="3" l="1"/>
  <c r="M1382" i="8"/>
  <c r="J1382" i="8"/>
  <c r="K1383" i="8"/>
  <c r="H320" i="3" l="1"/>
  <c r="H1383" i="8"/>
  <c r="L1383" i="8" s="1"/>
  <c r="G321" i="3" l="1"/>
  <c r="M1383" i="8"/>
  <c r="J1383" i="8"/>
  <c r="K1384" i="8"/>
  <c r="H321" i="3" l="1"/>
  <c r="H1384" i="8"/>
  <c r="L1384" i="8" s="1"/>
  <c r="G324" i="3" l="1"/>
  <c r="M1384" i="8"/>
  <c r="K1385" i="8"/>
  <c r="J1384" i="8"/>
  <c r="H324" i="3" l="1"/>
  <c r="H1385" i="8"/>
  <c r="L1385" i="8" s="1"/>
  <c r="G325" i="3" l="1"/>
  <c r="M1385" i="8"/>
  <c r="K1386" i="8"/>
  <c r="J1385" i="8"/>
  <c r="H325" i="3" l="1"/>
  <c r="H1386" i="8"/>
  <c r="L1386" i="8" s="1"/>
  <c r="G326" i="3" l="1"/>
  <c r="M1386" i="8"/>
  <c r="K1387" i="8"/>
  <c r="J1386" i="8"/>
  <c r="H326" i="3" l="1"/>
  <c r="H1387" i="8"/>
  <c r="L1387" i="8" s="1"/>
  <c r="G327" i="3" l="1"/>
  <c r="M1387" i="8"/>
  <c r="K1388" i="8"/>
  <c r="J1387" i="8"/>
  <c r="H327" i="3" l="1"/>
  <c r="H1388" i="8"/>
  <c r="L1388" i="8" s="1"/>
  <c r="G328" i="3" l="1"/>
  <c r="M1388" i="8"/>
  <c r="K1389" i="8"/>
  <c r="J1388" i="8"/>
  <c r="H328" i="3" l="1"/>
  <c r="H1389" i="8"/>
  <c r="L1389" i="8" s="1"/>
  <c r="G331" i="3" l="1"/>
  <c r="M1389" i="8"/>
  <c r="J1389" i="8"/>
  <c r="K1390" i="8"/>
  <c r="H331" i="3" l="1"/>
  <c r="H1390" i="8"/>
  <c r="L1390" i="8" s="1"/>
  <c r="G332" i="3" l="1"/>
  <c r="M1390" i="8"/>
  <c r="J1390" i="8"/>
  <c r="K1391" i="8"/>
  <c r="H332" i="3" l="1"/>
  <c r="H1391" i="8"/>
  <c r="L1391" i="8" s="1"/>
  <c r="G333" i="3" l="1"/>
  <c r="M1391" i="8"/>
  <c r="K1392" i="8"/>
  <c r="J1391" i="8"/>
  <c r="H333" i="3" l="1"/>
  <c r="H1392" i="8"/>
  <c r="L1392" i="8" s="1"/>
  <c r="G334" i="3" l="1"/>
  <c r="M1392" i="8"/>
  <c r="J1392" i="8"/>
  <c r="K1393" i="8"/>
  <c r="H334" i="3" l="1"/>
  <c r="H1393" i="8"/>
  <c r="L1393" i="8" s="1"/>
  <c r="G335" i="3" l="1"/>
  <c r="M1393" i="8"/>
  <c r="J1393" i="8"/>
  <c r="K1394" i="8"/>
  <c r="H335" i="3" l="1"/>
  <c r="H1394" i="8"/>
  <c r="L1394" i="8" s="1"/>
  <c r="G338" i="3" l="1"/>
  <c r="M1394" i="8"/>
  <c r="K1395" i="8"/>
  <c r="J1394" i="8"/>
  <c r="H338" i="3" l="1"/>
  <c r="H1395" i="8"/>
  <c r="L1395" i="8" s="1"/>
  <c r="G339" i="3" l="1"/>
  <c r="M1395" i="8"/>
  <c r="J1395" i="8"/>
  <c r="K1396" i="8"/>
  <c r="H339" i="3" l="1"/>
  <c r="H1396" i="8"/>
  <c r="L1396" i="8" s="1"/>
  <c r="G340" i="3" l="1"/>
  <c r="J1396" i="8"/>
  <c r="K1397" i="8"/>
  <c r="M1396" i="8" s="1"/>
  <c r="H340" i="3" l="1"/>
  <c r="H1397" i="8"/>
  <c r="L1397" i="8" s="1"/>
  <c r="G341" i="3" l="1"/>
  <c r="M1397" i="8"/>
  <c r="J1397" i="8"/>
  <c r="K1398" i="8"/>
  <c r="H341" i="3" l="1"/>
  <c r="H1398" i="8"/>
  <c r="L1398" i="8" s="1"/>
  <c r="G342" i="3" l="1"/>
  <c r="M1398" i="8"/>
  <c r="J1398" i="8"/>
  <c r="K1399" i="8"/>
  <c r="H342" i="3" l="1"/>
  <c r="H1399" i="8"/>
  <c r="L1399" i="8" s="1"/>
  <c r="G345" i="3" l="1"/>
  <c r="M1399" i="8"/>
  <c r="J1399" i="8"/>
  <c r="K1400" i="8"/>
  <c r="H345" i="3" l="1"/>
  <c r="H1400" i="8"/>
  <c r="L1400" i="8" s="1"/>
  <c r="G346" i="3" l="1"/>
  <c r="M1400" i="8"/>
  <c r="K1401" i="8"/>
  <c r="J1400" i="8"/>
  <c r="H346" i="3" l="1"/>
  <c r="H1401" i="8"/>
  <c r="L1401" i="8" s="1"/>
  <c r="G347" i="3" l="1"/>
  <c r="M1401" i="8"/>
  <c r="K1402" i="8"/>
  <c r="J1401" i="8"/>
  <c r="H347" i="3" l="1"/>
  <c r="H1402" i="8"/>
  <c r="L1402" i="8" s="1"/>
  <c r="G348" i="3" l="1"/>
  <c r="M1402" i="8"/>
  <c r="K1403" i="8"/>
  <c r="J1402" i="8"/>
  <c r="H348" i="3" l="1"/>
  <c r="H1403" i="8"/>
  <c r="L1403" i="8" s="1"/>
  <c r="G349" i="3" l="1"/>
  <c r="M1403" i="8"/>
  <c r="K1404" i="8"/>
  <c r="J1403" i="8"/>
  <c r="H349" i="3" l="1"/>
  <c r="H1404" i="8"/>
  <c r="L1404" i="8" s="1"/>
  <c r="G352" i="3" l="1"/>
  <c r="M1404" i="8"/>
  <c r="J1404" i="8"/>
  <c r="K1405" i="8"/>
  <c r="H352" i="3" l="1"/>
  <c r="H1405" i="8"/>
  <c r="L1405" i="8" s="1"/>
  <c r="G353" i="3" l="1"/>
  <c r="M1405" i="8"/>
  <c r="K1406" i="8"/>
  <c r="J1405" i="8"/>
  <c r="H353" i="3" l="1"/>
  <c r="H1406" i="8"/>
  <c r="L1406" i="8" s="1"/>
  <c r="G354" i="3" l="1"/>
  <c r="M1406" i="8"/>
  <c r="J1406" i="8"/>
  <c r="K1407" i="8"/>
  <c r="H354" i="3" l="1"/>
  <c r="H1407" i="8"/>
  <c r="L1407" i="8" s="1"/>
  <c r="G355" i="3" l="1"/>
  <c r="M1407" i="8"/>
  <c r="J1407" i="8"/>
  <c r="K1408" i="8"/>
  <c r="H355" i="3" l="1"/>
  <c r="H1408" i="8"/>
  <c r="L1408" i="8" s="1"/>
  <c r="G356" i="3" l="1"/>
  <c r="M1408" i="8"/>
  <c r="K1409" i="8"/>
  <c r="J1408" i="8"/>
  <c r="H356" i="3" l="1"/>
  <c r="H1409" i="8"/>
  <c r="L1409" i="8" s="1"/>
  <c r="G359" i="3" l="1"/>
  <c r="M1409" i="8"/>
  <c r="K1410" i="8"/>
  <c r="J1409" i="8"/>
  <c r="H359" i="3" l="1"/>
  <c r="H1410" i="8"/>
  <c r="L1410" i="8" s="1"/>
  <c r="G360" i="3" l="1"/>
  <c r="M1410" i="8"/>
  <c r="J1410" i="8"/>
  <c r="K1411" i="8"/>
  <c r="H360" i="3" l="1"/>
  <c r="H1411" i="8"/>
  <c r="L1411" i="8" s="1"/>
  <c r="G361" i="3" l="1"/>
  <c r="M1411" i="8"/>
  <c r="J1411" i="8"/>
  <c r="K1412" i="8"/>
  <c r="H361" i="3" l="1"/>
  <c r="H1412" i="8"/>
  <c r="L1412" i="8" s="1"/>
  <c r="G362" i="3" l="1"/>
  <c r="M1412" i="8"/>
  <c r="J1412" i="8"/>
  <c r="K1413" i="8"/>
  <c r="H362" i="3" l="1"/>
  <c r="H1413" i="8"/>
  <c r="L1413" i="8" s="1"/>
  <c r="H1414" i="8"/>
  <c r="G363" i="3" l="1"/>
  <c r="J1413" i="8"/>
  <c r="K1414" i="8"/>
  <c r="L1414" i="8" s="1"/>
  <c r="G366" i="3" l="1"/>
  <c r="M1414" i="8"/>
  <c r="K1415" i="8"/>
  <c r="J1414" i="8"/>
  <c r="H366" i="3" l="1"/>
  <c r="H1415" i="8"/>
  <c r="L1415" i="8" s="1"/>
  <c r="G367" i="3" l="1"/>
  <c r="J1415" i="8"/>
  <c r="K1416" i="8"/>
  <c r="M1415" i="8" s="1"/>
  <c r="H367" i="3" l="1"/>
  <c r="H1416" i="8"/>
  <c r="L1416" i="8" s="1"/>
  <c r="G368" i="3" l="1"/>
  <c r="M1416" i="8"/>
  <c r="J1416" i="8"/>
  <c r="K1417" i="8"/>
  <c r="H368" i="3" l="1"/>
  <c r="H1417" i="8"/>
  <c r="L1417" i="8" s="1"/>
  <c r="G369" i="3" l="1"/>
  <c r="M1417" i="8"/>
  <c r="J1417" i="8"/>
  <c r="K1418" i="8"/>
  <c r="H369" i="3" l="1"/>
  <c r="H1418" i="8"/>
  <c r="L1418" i="8" s="1"/>
  <c r="G370" i="3" l="1"/>
  <c r="M1418" i="8"/>
  <c r="J1418" i="8"/>
  <c r="K1419" i="8"/>
  <c r="H370" i="3" l="1"/>
  <c r="H1419" i="8"/>
  <c r="L1419" i="8" s="1"/>
  <c r="G373" i="3" l="1"/>
  <c r="M1419" i="8"/>
  <c r="K1420" i="8"/>
  <c r="J1419" i="8"/>
  <c r="H373" i="3" l="1"/>
  <c r="H1420" i="8"/>
  <c r="L1420" i="8" s="1"/>
  <c r="G374" i="3" l="1"/>
  <c r="M1420" i="8"/>
  <c r="K1421" i="8"/>
  <c r="J1420" i="8"/>
  <c r="H374" i="3" l="1"/>
  <c r="H1421" i="8"/>
  <c r="L1421" i="8" s="1"/>
  <c r="G375" i="3" l="1"/>
  <c r="M1421" i="8"/>
  <c r="K1422" i="8"/>
  <c r="J1421" i="8"/>
  <c r="H375" i="3" l="1"/>
  <c r="H1422" i="8"/>
  <c r="L1422" i="8" s="1"/>
  <c r="G376" i="3" l="1"/>
  <c r="M1422" i="8"/>
  <c r="K1423" i="8"/>
  <c r="J1422" i="8"/>
  <c r="H376" i="3" l="1"/>
  <c r="H1423" i="8"/>
  <c r="L1423" i="8" s="1"/>
  <c r="G377" i="3" l="1"/>
  <c r="M1423" i="8"/>
  <c r="K1424" i="8"/>
  <c r="J1423" i="8"/>
  <c r="H377" i="3" l="1"/>
  <c r="H1424" i="8"/>
  <c r="L1424" i="8" s="1"/>
  <c r="G380" i="3" l="1"/>
  <c r="M1424" i="8"/>
  <c r="J1424" i="8"/>
  <c r="K1425" i="8"/>
  <c r="H380" i="3" l="1"/>
  <c r="H1425" i="8"/>
  <c r="L1425" i="8" s="1"/>
  <c r="G381" i="3" l="1"/>
  <c r="M1425" i="8"/>
  <c r="K1426" i="8"/>
  <c r="J1425" i="8"/>
  <c r="H381" i="3" l="1"/>
  <c r="H1426" i="8"/>
  <c r="L1426" i="8" s="1"/>
  <c r="G382" i="3" l="1"/>
  <c r="M1426" i="8"/>
  <c r="J1426" i="8"/>
  <c r="K1427" i="8"/>
  <c r="H382" i="3" l="1"/>
  <c r="H1427" i="8"/>
  <c r="L1427" i="8" s="1"/>
  <c r="G383" i="3" l="1"/>
  <c r="M1427" i="8"/>
  <c r="K1428" i="8"/>
  <c r="J1427" i="8"/>
  <c r="H383" i="3" l="1"/>
  <c r="H1428" i="8"/>
  <c r="L1428" i="8" s="1"/>
  <c r="G384" i="3" l="1"/>
  <c r="M1428" i="8"/>
  <c r="J1428" i="8"/>
  <c r="K1429" i="8"/>
  <c r="H384" i="3" l="1"/>
  <c r="H1429" i="8"/>
  <c r="L1429" i="8" s="1"/>
  <c r="G387" i="3" l="1"/>
  <c r="M1429" i="8"/>
  <c r="K1430" i="8"/>
  <c r="J1429" i="8"/>
  <c r="H387" i="3" l="1"/>
  <c r="H1430" i="8"/>
  <c r="L1430" i="8" s="1"/>
  <c r="G388" i="3" l="1"/>
  <c r="M1430" i="8"/>
  <c r="J1430" i="8"/>
  <c r="K1431" i="8"/>
  <c r="H388" i="3" l="1"/>
  <c r="H1431" i="8"/>
  <c r="L1431" i="8" s="1"/>
  <c r="G389" i="3" l="1"/>
  <c r="M1431" i="8"/>
  <c r="J1431" i="8"/>
  <c r="K1432" i="8"/>
  <c r="H389" i="3" l="1"/>
  <c r="H1432" i="8"/>
  <c r="L1432" i="8" s="1"/>
  <c r="G390" i="3" l="1"/>
  <c r="M1432" i="8"/>
  <c r="J1432" i="8"/>
  <c r="K1433" i="8"/>
  <c r="H390" i="3" l="1"/>
  <c r="H1433" i="8"/>
  <c r="L1433" i="8" s="1"/>
  <c r="G391" i="3" l="1"/>
  <c r="M1433" i="8"/>
  <c r="K1434" i="8"/>
  <c r="J1433" i="8"/>
  <c r="H391" i="3" l="1"/>
  <c r="H1434" i="8"/>
  <c r="L1434" i="8" s="1"/>
  <c r="G394" i="3" l="1"/>
  <c r="M1434" i="8"/>
  <c r="K1435" i="8"/>
  <c r="J1434" i="8"/>
  <c r="H394" i="3" l="1"/>
  <c r="H1435" i="8"/>
  <c r="L1435" i="8" s="1"/>
  <c r="G395" i="3" l="1"/>
  <c r="M1435" i="8"/>
  <c r="K1436" i="8"/>
  <c r="J1435" i="8"/>
  <c r="H395" i="3" l="1"/>
  <c r="H1436" i="8"/>
  <c r="L1436" i="8" s="1"/>
  <c r="G396" i="3" l="1"/>
  <c r="M1436" i="8"/>
  <c r="K1437" i="8"/>
  <c r="J1436" i="8"/>
  <c r="H396" i="3" l="1"/>
  <c r="H1437" i="8"/>
  <c r="L1437" i="8" s="1"/>
  <c r="G397" i="3" l="1"/>
  <c r="K1438" i="8"/>
  <c r="M1437" i="8" s="1"/>
  <c r="J1437" i="8"/>
  <c r="H397" i="3" l="1"/>
  <c r="H1438" i="8"/>
  <c r="L1438" i="8" s="1"/>
  <c r="G398" i="3" l="1"/>
  <c r="M1438" i="8"/>
  <c r="K1439" i="8"/>
  <c r="J1438" i="8"/>
  <c r="H398" i="3" l="1"/>
  <c r="H1439" i="8"/>
  <c r="L1439" i="8" s="1"/>
  <c r="G401" i="3" l="1"/>
  <c r="M1439" i="8"/>
  <c r="K1440" i="8"/>
  <c r="J1439" i="8"/>
  <c r="H401" i="3" l="1"/>
  <c r="H1440" i="8"/>
  <c r="L1440" i="8" s="1"/>
  <c r="G402" i="3" l="1"/>
  <c r="M1440" i="8"/>
  <c r="K1441" i="8"/>
  <c r="J1440" i="8"/>
  <c r="H402" i="3" l="1"/>
  <c r="H1441" i="8"/>
  <c r="L1441" i="8" s="1"/>
  <c r="G403" i="3" l="1"/>
  <c r="M1441" i="8"/>
  <c r="J1441" i="8"/>
  <c r="K1442" i="8"/>
  <c r="H403" i="3" l="1"/>
  <c r="H1442" i="8"/>
  <c r="L1442" i="8" s="1"/>
  <c r="G404" i="3" l="1"/>
  <c r="M1442" i="8"/>
  <c r="J1442" i="8"/>
  <c r="K1443" i="8"/>
  <c r="H404" i="3" l="1"/>
  <c r="H1443" i="8"/>
  <c r="L1443" i="8" s="1"/>
  <c r="G405" i="3" l="1"/>
  <c r="M1443" i="8"/>
  <c r="J1443" i="8"/>
  <c r="K1444" i="8"/>
  <c r="H405" i="3" l="1"/>
  <c r="H1444" i="8"/>
  <c r="L1444" i="8" s="1"/>
  <c r="G408" i="3" l="1"/>
  <c r="M1444" i="8"/>
  <c r="K1445" i="8"/>
  <c r="J1444" i="8"/>
  <c r="H408" i="3" l="1"/>
  <c r="H1445" i="8"/>
  <c r="L1445" i="8" s="1"/>
  <c r="G409" i="3" l="1"/>
  <c r="M1445" i="8"/>
  <c r="J1445" i="8"/>
  <c r="K1446" i="8"/>
  <c r="H409" i="3" l="1"/>
  <c r="H1446" i="8"/>
  <c r="L1446" i="8" s="1"/>
  <c r="G410" i="3" l="1"/>
  <c r="M1446" i="8"/>
  <c r="K1447" i="8"/>
  <c r="J1446" i="8"/>
  <c r="H410" i="3" l="1"/>
  <c r="H1447" i="8"/>
  <c r="L1447" i="8" s="1"/>
  <c r="G411" i="3" l="1"/>
  <c r="M1447" i="8"/>
  <c r="K1448" i="8"/>
  <c r="J1447" i="8"/>
  <c r="H411" i="3" l="1"/>
  <c r="H1448" i="8"/>
  <c r="L1448" i="8" s="1"/>
  <c r="G412" i="3" l="1"/>
  <c r="M1448" i="8"/>
  <c r="J1448" i="8"/>
  <c r="K1449" i="8"/>
  <c r="H412" i="3" l="1"/>
  <c r="H1449" i="8"/>
  <c r="L1449" i="8" s="1"/>
  <c r="G415" i="3" l="1"/>
  <c r="M1449" i="8"/>
  <c r="K1450" i="8"/>
  <c r="J1449" i="8"/>
  <c r="H415" i="3" l="1"/>
  <c r="H1450" i="8"/>
  <c r="L1450" i="8" s="1"/>
  <c r="G416" i="3" l="1"/>
  <c r="M1450" i="8"/>
  <c r="K1451" i="8"/>
  <c r="J1450" i="8"/>
  <c r="H416" i="3" l="1"/>
  <c r="H1451" i="8"/>
  <c r="L1451" i="8" s="1"/>
  <c r="G417" i="3" l="1"/>
  <c r="M1451" i="8"/>
  <c r="K1452" i="8"/>
  <c r="J1451" i="8"/>
  <c r="H417" i="3" l="1"/>
  <c r="H1452" i="8"/>
  <c r="L1452" i="8" s="1"/>
  <c r="G418" i="3" l="1"/>
  <c r="M1452" i="8"/>
  <c r="J1452" i="8"/>
  <c r="K1453" i="8"/>
  <c r="H418" i="3" l="1"/>
  <c r="H1453" i="8"/>
  <c r="L1453" i="8" s="1"/>
  <c r="G419" i="3" l="1"/>
  <c r="M1453" i="8"/>
  <c r="J1453" i="8"/>
  <c r="K1454" i="8"/>
  <c r="H419" i="3" l="1"/>
  <c r="H1454" i="8"/>
  <c r="L1454" i="8" s="1"/>
  <c r="G422" i="3" l="1"/>
  <c r="M1454" i="8"/>
  <c r="J1454" i="8"/>
  <c r="K1455" i="8"/>
  <c r="H422" i="3" l="1"/>
  <c r="H1455" i="8"/>
  <c r="L1455" i="8" s="1"/>
  <c r="G423" i="3" l="1"/>
  <c r="M1455" i="8"/>
  <c r="J1455" i="8"/>
  <c r="K1456" i="8"/>
  <c r="H423" i="3" l="1"/>
  <c r="H1456" i="8"/>
  <c r="L1456" i="8" s="1"/>
  <c r="G424" i="3" l="1"/>
  <c r="M1456" i="8"/>
  <c r="J1456" i="8"/>
  <c r="K1457" i="8"/>
  <c r="H424" i="3" l="1"/>
  <c r="H1457" i="8"/>
  <c r="L1457" i="8" s="1"/>
  <c r="G425" i="3" l="1"/>
  <c r="M1457" i="8"/>
  <c r="J1457" i="8"/>
  <c r="K1458" i="8"/>
  <c r="H425" i="3" l="1"/>
  <c r="H1458" i="8"/>
  <c r="L1458" i="8" s="1"/>
  <c r="G426" i="3" l="1"/>
  <c r="M1458" i="8"/>
  <c r="J1458" i="8"/>
  <c r="K1459" i="8"/>
  <c r="H426" i="3" l="1"/>
  <c r="H1459" i="8"/>
  <c r="L1459" i="8" s="1"/>
  <c r="G429" i="3" l="1"/>
  <c r="M1459" i="8"/>
  <c r="J1459" i="8"/>
  <c r="K1460" i="8"/>
  <c r="H429" i="3" l="1"/>
  <c r="H1460" i="8"/>
  <c r="L1460" i="8" s="1"/>
  <c r="G430" i="3" l="1"/>
  <c r="M1460" i="8"/>
  <c r="K1461" i="8"/>
  <c r="J1460" i="8"/>
  <c r="H430" i="3" l="1"/>
  <c r="H1461" i="8"/>
  <c r="L1461" i="8" s="1"/>
  <c r="G431" i="3" l="1"/>
  <c r="M1461" i="8"/>
  <c r="J1461" i="8"/>
  <c r="K1462" i="8"/>
  <c r="H431" i="3" l="1"/>
  <c r="H1462" i="8"/>
  <c r="L1462" i="8" s="1"/>
  <c r="G432" i="3" l="1"/>
  <c r="M1462" i="8"/>
  <c r="K1463" i="8"/>
  <c r="O1463" i="8" s="1"/>
  <c r="J1462" i="8"/>
  <c r="O1464" i="8" l="1"/>
  <c r="P1463" i="8"/>
  <c r="H432" i="3"/>
  <c r="H1463" i="8"/>
  <c r="L1463" i="8" s="1"/>
  <c r="G433" i="3" l="1"/>
  <c r="M1463" i="8"/>
  <c r="K1464" i="8"/>
  <c r="J1463" i="8"/>
  <c r="H433" i="3" l="1"/>
  <c r="H1464" i="8"/>
  <c r="L1464" i="8" s="1"/>
  <c r="G436" i="3" l="1"/>
  <c r="K1465" i="8"/>
  <c r="J1464" i="8"/>
  <c r="M1464" i="8" l="1"/>
  <c r="H436" i="3" l="1"/>
  <c r="H1465" i="8"/>
  <c r="L1465" i="8" s="1"/>
  <c r="G437" i="3" l="1"/>
  <c r="M1465" i="8"/>
  <c r="J1465" i="8"/>
  <c r="K1466" i="8"/>
  <c r="H437" i="3" l="1"/>
  <c r="H1466" i="8"/>
  <c r="L1466" i="8" s="1"/>
  <c r="G438" i="3" l="1"/>
  <c r="M1466" i="8"/>
  <c r="J1466" i="8"/>
  <c r="K1467" i="8"/>
  <c r="H438" i="3" l="1"/>
  <c r="H1467" i="8"/>
  <c r="L1467" i="8" s="1"/>
  <c r="G439" i="3" l="1"/>
  <c r="M1467" i="8"/>
  <c r="J1467" i="8"/>
  <c r="K1468" i="8"/>
  <c r="H439" i="3" l="1"/>
  <c r="H1468" i="8"/>
  <c r="L1468" i="8" s="1"/>
  <c r="G440" i="3" l="1"/>
  <c r="M1468" i="8"/>
  <c r="K1469" i="8"/>
  <c r="J1468" i="8"/>
  <c r="H440" i="3" l="1"/>
  <c r="H1469" i="8"/>
  <c r="L1469" i="8" s="1"/>
  <c r="G443" i="3" l="1"/>
  <c r="M1469" i="8"/>
  <c r="K1470" i="8"/>
  <c r="J1469" i="8"/>
  <c r="H443" i="3" l="1"/>
  <c r="H1470" i="8"/>
  <c r="L1470" i="8" s="1"/>
  <c r="G444" i="3" l="1"/>
  <c r="M1470" i="8"/>
  <c r="K1471" i="8"/>
  <c r="J1470" i="8"/>
  <c r="H444" i="3" l="1"/>
  <c r="H1471" i="8"/>
  <c r="L1471" i="8" s="1"/>
  <c r="G445" i="3" l="1"/>
  <c r="M1471" i="8"/>
  <c r="J1471" i="8"/>
  <c r="K1472" i="8"/>
  <c r="H445" i="3" l="1"/>
  <c r="H1472" i="8"/>
  <c r="L1472" i="8" s="1"/>
  <c r="G446" i="3" l="1"/>
  <c r="M1472" i="8"/>
  <c r="K1473" i="8"/>
  <c r="J1472" i="8"/>
  <c r="H446" i="3" l="1"/>
  <c r="H1473" i="8"/>
  <c r="L1473" i="8" s="1"/>
  <c r="G447" i="3" l="1"/>
  <c r="M1473" i="8"/>
  <c r="K1474" i="8"/>
  <c r="J1473" i="8"/>
  <c r="H447" i="3" l="1"/>
  <c r="H1474" i="8"/>
  <c r="L1474" i="8" s="1"/>
  <c r="G450" i="3" l="1"/>
  <c r="M1474" i="8"/>
  <c r="J1474" i="8"/>
  <c r="K1475" i="8"/>
  <c r="H450" i="3" l="1"/>
  <c r="H1475" i="8"/>
  <c r="L1475" i="8" s="1"/>
  <c r="G451" i="3" l="1"/>
  <c r="M1475" i="8"/>
  <c r="K1476" i="8"/>
  <c r="J1475" i="8"/>
  <c r="H451" i="3" l="1"/>
  <c r="H1476" i="8"/>
  <c r="L1476" i="8" s="1"/>
  <c r="G452" i="3" l="1"/>
  <c r="M1476" i="8"/>
  <c r="J1476" i="8"/>
  <c r="K1477" i="8"/>
  <c r="H452" i="3" l="1"/>
  <c r="H1477" i="8"/>
  <c r="L1477" i="8" s="1"/>
  <c r="G453" i="3" l="1"/>
  <c r="M1477" i="8"/>
  <c r="K1478" i="8"/>
  <c r="J1477" i="8"/>
  <c r="H453" i="3" l="1"/>
  <c r="H1478" i="8"/>
  <c r="L1478" i="8" s="1"/>
  <c r="G454" i="3" l="1"/>
  <c r="M1478" i="8"/>
  <c r="K1479" i="8"/>
  <c r="J1478" i="8"/>
  <c r="H454" i="3" l="1"/>
  <c r="H1479" i="8"/>
  <c r="L1479" i="8" s="1"/>
  <c r="G457" i="3" l="1"/>
  <c r="M1479" i="8"/>
  <c r="K1480" i="8"/>
  <c r="J1479" i="8"/>
  <c r="H457" i="3" l="1"/>
  <c r="H1480" i="8"/>
  <c r="L1480" i="8" s="1"/>
  <c r="G458" i="3" l="1"/>
  <c r="M1480" i="8"/>
  <c r="J1480" i="8"/>
  <c r="K1481" i="8"/>
  <c r="H458" i="3" l="1"/>
  <c r="H1481" i="8"/>
  <c r="L1481" i="8" s="1"/>
  <c r="G459" i="3" l="1"/>
  <c r="M1481" i="8"/>
  <c r="J1481" i="8"/>
  <c r="K1482" i="8"/>
  <c r="H459" i="3" l="1"/>
  <c r="H1482" i="8"/>
  <c r="L1482" i="8" s="1"/>
  <c r="G460" i="3" l="1"/>
  <c r="M1482" i="8"/>
  <c r="K1483" i="8"/>
  <c r="J1482" i="8"/>
  <c r="H460" i="3" l="1"/>
  <c r="H1483" i="8"/>
  <c r="L1483" i="8" s="1"/>
  <c r="G461" i="3" l="1"/>
  <c r="M1483" i="8"/>
  <c r="J1483" i="8"/>
  <c r="K1484" i="8"/>
  <c r="H461" i="3" l="1"/>
  <c r="H1484" i="8"/>
  <c r="L1484" i="8" s="1"/>
  <c r="G464" i="3" l="1"/>
  <c r="M1484" i="8"/>
  <c r="K1485" i="8"/>
  <c r="J1484" i="8"/>
  <c r="H464" i="3" l="1"/>
  <c r="H1485" i="8"/>
  <c r="L1485" i="8" s="1"/>
  <c r="G465" i="3" l="1"/>
  <c r="M1485" i="8"/>
  <c r="J1485" i="8"/>
  <c r="K1486" i="8"/>
  <c r="H465" i="3" l="1"/>
  <c r="H1486" i="8"/>
  <c r="L1486" i="8" s="1"/>
  <c r="G466" i="3" l="1"/>
  <c r="M1486" i="8"/>
  <c r="J1486" i="8"/>
  <c r="K1487" i="8"/>
  <c r="H466" i="3" l="1"/>
  <c r="H1487" i="8"/>
  <c r="L1487" i="8" s="1"/>
  <c r="G467" i="3" l="1"/>
  <c r="M1487" i="8"/>
  <c r="K1488" i="8"/>
  <c r="J1487" i="8"/>
  <c r="H467" i="3" l="1"/>
  <c r="H1488" i="8"/>
  <c r="L1488" i="8" s="1"/>
  <c r="G468" i="3" l="1"/>
  <c r="M1488" i="8"/>
  <c r="K1489" i="8"/>
  <c r="J1488" i="8"/>
  <c r="H468" i="3" l="1"/>
  <c r="H1489" i="8"/>
  <c r="L1489" i="8" s="1"/>
  <c r="G471" i="3" l="1"/>
  <c r="M1489" i="8"/>
  <c r="K1490" i="8"/>
  <c r="J1489" i="8"/>
  <c r="H471" i="3" l="1"/>
  <c r="H1490" i="8"/>
  <c r="L1490" i="8" s="1"/>
  <c r="G472" i="3" l="1"/>
  <c r="M1490" i="8"/>
  <c r="J1490" i="8"/>
  <c r="K1491" i="8"/>
  <c r="H472" i="3" l="1"/>
  <c r="H1491" i="8"/>
  <c r="L1491" i="8" s="1"/>
  <c r="G473" i="3" l="1"/>
  <c r="M1491" i="8"/>
  <c r="J1491" i="8"/>
  <c r="K1492" i="8"/>
  <c r="H473" i="3" l="1"/>
  <c r="H1492" i="8"/>
  <c r="L1492" i="8" s="1"/>
  <c r="G474" i="3" l="1"/>
  <c r="M1492" i="8"/>
  <c r="K1493" i="8"/>
  <c r="J1492" i="8"/>
  <c r="H474" i="3" l="1"/>
  <c r="H1493" i="8"/>
  <c r="L1493" i="8" s="1"/>
  <c r="G475" i="3" l="1"/>
  <c r="M1493" i="8"/>
  <c r="K1494" i="8"/>
  <c r="J1493" i="8"/>
  <c r="H475" i="3" l="1"/>
  <c r="H1494" i="8"/>
  <c r="L1494" i="8" s="1"/>
  <c r="G478" i="3" l="1"/>
  <c r="M1494" i="8"/>
  <c r="J1494" i="8"/>
  <c r="K1495" i="8"/>
  <c r="H478" i="3" l="1"/>
  <c r="H1495" i="8"/>
  <c r="L1495" i="8" s="1"/>
  <c r="G479" i="3" l="1"/>
  <c r="M1495" i="8"/>
  <c r="J1495" i="8"/>
  <c r="K1496" i="8"/>
  <c r="H479" i="3" l="1"/>
  <c r="H1496" i="8"/>
  <c r="L1496" i="8" s="1"/>
  <c r="G480" i="3" l="1"/>
  <c r="M1496" i="8"/>
  <c r="K1497" i="8"/>
  <c r="J1496" i="8"/>
  <c r="H480" i="3" l="1"/>
  <c r="H1497" i="8"/>
  <c r="L1497" i="8" s="1"/>
  <c r="G481" i="3" l="1"/>
  <c r="J1497" i="8"/>
  <c r="K1498" i="8"/>
  <c r="M1497" i="8" l="1"/>
  <c r="H481" i="3" l="1"/>
  <c r="H1498" i="8"/>
  <c r="L1498" i="8" s="1"/>
  <c r="G482" i="3" l="1"/>
  <c r="M1498" i="8"/>
  <c r="J1498" i="8"/>
  <c r="K1499" i="8"/>
  <c r="H482" i="3" l="1"/>
  <c r="H1499" i="8"/>
  <c r="L1499" i="8" s="1"/>
  <c r="G485" i="3" l="1"/>
  <c r="M1499" i="8"/>
  <c r="J1499" i="8"/>
  <c r="K1500" i="8"/>
  <c r="H485" i="3" l="1"/>
  <c r="H1500" i="8"/>
  <c r="L1500" i="8" s="1"/>
  <c r="G486" i="3" l="1"/>
  <c r="M1500" i="8"/>
  <c r="K1501" i="8"/>
  <c r="J1500" i="8"/>
  <c r="H486" i="3" l="1"/>
  <c r="H1501" i="8"/>
  <c r="L1501" i="8" s="1"/>
  <c r="G487" i="3" l="1"/>
  <c r="M1501" i="8"/>
  <c r="K1502" i="8"/>
  <c r="J1501" i="8"/>
  <c r="H487" i="3" l="1"/>
  <c r="H1502" i="8"/>
  <c r="L1502" i="8" s="1"/>
  <c r="G488" i="3" l="1"/>
  <c r="M1502" i="8"/>
  <c r="J1502" i="8"/>
  <c r="K1503" i="8"/>
  <c r="H488" i="3" l="1"/>
  <c r="H1503" i="8"/>
  <c r="L1503" i="8" s="1"/>
  <c r="G489" i="3" l="1"/>
  <c r="K1504" i="8"/>
  <c r="J1503" i="8"/>
  <c r="M1503" i="8" l="1"/>
  <c r="H489" i="3" l="1"/>
  <c r="H1504" i="8"/>
  <c r="L1504" i="8" s="1"/>
  <c r="G492" i="3" l="1"/>
  <c r="M1504" i="8"/>
  <c r="J1504" i="8"/>
  <c r="K1505" i="8"/>
  <c r="H492" i="3" l="1"/>
  <c r="H1505" i="8"/>
  <c r="L1505" i="8" s="1"/>
  <c r="G493" i="3" l="1"/>
  <c r="M1505" i="8"/>
  <c r="K1506" i="8"/>
  <c r="J1505" i="8"/>
  <c r="H493" i="3" l="1"/>
  <c r="H1506" i="8"/>
  <c r="L1506" i="8" s="1"/>
  <c r="G494" i="3" l="1"/>
  <c r="M1506" i="8"/>
  <c r="K1507" i="8"/>
  <c r="J1506" i="8"/>
  <c r="H494" i="3" l="1"/>
  <c r="H1507" i="8"/>
  <c r="L1507" i="8" s="1"/>
  <c r="G495" i="3" l="1"/>
  <c r="M1507" i="8"/>
  <c r="J1507" i="8"/>
  <c r="K1508" i="8"/>
  <c r="H495" i="3" l="1"/>
  <c r="H1508" i="8"/>
  <c r="L1508" i="8" s="1"/>
  <c r="G496" i="3" l="1"/>
  <c r="M1508" i="8"/>
  <c r="J1508" i="8"/>
  <c r="K1509" i="8"/>
  <c r="H496" i="3" l="1"/>
  <c r="H1509" i="8"/>
  <c r="L1509" i="8" s="1"/>
  <c r="G499" i="3" l="1"/>
  <c r="M1509" i="8"/>
  <c r="J1509" i="8"/>
  <c r="K1510" i="8"/>
  <c r="H499" i="3" l="1"/>
  <c r="H1510" i="8"/>
  <c r="L1510" i="8" s="1"/>
  <c r="G500" i="3" l="1"/>
  <c r="M1510" i="8"/>
  <c r="K1511" i="8"/>
  <c r="J1510" i="8"/>
  <c r="H500" i="3" l="1"/>
  <c r="H1511" i="8"/>
  <c r="L1511" i="8" s="1"/>
  <c r="G501" i="3" l="1"/>
  <c r="M1511" i="8"/>
  <c r="K1512" i="8"/>
  <c r="J1511" i="8"/>
  <c r="H501" i="3" l="1"/>
  <c r="H1512" i="8"/>
  <c r="L1512" i="8" s="1"/>
  <c r="G502" i="3" l="1"/>
  <c r="M1512" i="8"/>
  <c r="K1513" i="8"/>
  <c r="J1512" i="8"/>
  <c r="H502" i="3" l="1"/>
  <c r="H1513" i="8"/>
  <c r="L1513" i="8" s="1"/>
  <c r="G503" i="3" l="1"/>
  <c r="M1513" i="8"/>
  <c r="K1514" i="8"/>
  <c r="J1513" i="8"/>
  <c r="H503" i="3" l="1"/>
  <c r="H1514" i="8"/>
  <c r="L1514" i="8" s="1"/>
  <c r="G506" i="3" l="1"/>
  <c r="M1514" i="8"/>
  <c r="K1515" i="8"/>
  <c r="J1514" i="8"/>
  <c r="H506" i="3" l="1"/>
  <c r="H1515" i="8"/>
  <c r="L1515" i="8" s="1"/>
  <c r="G507" i="3" l="1"/>
  <c r="M1515" i="8"/>
  <c r="J1515" i="8"/>
  <c r="K1516" i="8"/>
  <c r="H507" i="3" l="1"/>
  <c r="H1516" i="8"/>
  <c r="L1516" i="8" s="1"/>
  <c r="G508" i="3" l="1"/>
  <c r="J1516" i="8"/>
  <c r="K1517" i="8"/>
  <c r="M1516" i="8" l="1"/>
  <c r="H508" i="3" l="1"/>
  <c r="H1517" i="8"/>
  <c r="L1517" i="8" s="1"/>
  <c r="G509" i="3" l="1"/>
  <c r="M1517" i="8"/>
  <c r="K1518" i="8"/>
  <c r="J1517" i="8"/>
  <c r="H509" i="3" l="1"/>
  <c r="H1518" i="8"/>
  <c r="L1518" i="8" s="1"/>
  <c r="G510" i="3" l="1"/>
  <c r="M1518" i="8"/>
  <c r="K1519" i="8"/>
  <c r="J1518" i="8"/>
  <c r="H510" i="3" l="1"/>
  <c r="H1519" i="8"/>
  <c r="L1519" i="8" s="1"/>
  <c r="G513" i="3" l="1"/>
  <c r="M1519" i="8"/>
  <c r="K1520" i="8"/>
  <c r="J1519" i="8"/>
  <c r="H513" i="3" l="1"/>
  <c r="H1520" i="8"/>
  <c r="L1520" i="8" s="1"/>
  <c r="G514" i="3" l="1"/>
  <c r="M1520" i="8"/>
  <c r="K1521" i="8"/>
  <c r="J1520" i="8"/>
  <c r="H514" i="3" l="1"/>
  <c r="H1521" i="8"/>
  <c r="L1521" i="8" s="1"/>
  <c r="G515" i="3" l="1"/>
  <c r="M1521" i="8"/>
  <c r="J1521" i="8"/>
  <c r="K1522" i="8"/>
  <c r="H515" i="3" l="1"/>
  <c r="H1522" i="8"/>
  <c r="L1522" i="8" s="1"/>
  <c r="G516" i="3" l="1"/>
  <c r="M1522" i="8"/>
  <c r="J1522" i="8"/>
  <c r="K1523" i="8"/>
  <c r="H516" i="3" l="1"/>
  <c r="H1524" i="8"/>
  <c r="H1523" i="8"/>
  <c r="L1523" i="8" s="1"/>
  <c r="G517" i="3" l="1"/>
  <c r="J1523" i="8"/>
  <c r="K1524" i="8"/>
  <c r="L1524" i="8" s="1"/>
  <c r="G520" i="3" l="1"/>
  <c r="K1525" i="8"/>
  <c r="M1524" i="8" s="1"/>
  <c r="J1524" i="8"/>
  <c r="H520" i="3" l="1"/>
  <c r="O1524" i="8"/>
  <c r="Q1524" i="8" s="1"/>
  <c r="H1525" i="8"/>
  <c r="L1525" i="8" s="1"/>
  <c r="G521" i="3" l="1"/>
  <c r="M1525" i="8"/>
  <c r="J1525" i="8"/>
  <c r="K1526" i="8"/>
  <c r="H521" i="3" l="1"/>
  <c r="H1526" i="8"/>
  <c r="L1526" i="8" s="1"/>
  <c r="G522" i="3" l="1"/>
  <c r="M1526" i="8"/>
  <c r="J1526" i="8"/>
  <c r="K1527" i="8"/>
  <c r="H522" i="3" l="1"/>
  <c r="H1527" i="8"/>
  <c r="L1527" i="8" s="1"/>
  <c r="G523" i="3" l="1"/>
  <c r="M1527" i="8"/>
  <c r="J1527" i="8"/>
  <c r="K1528" i="8"/>
  <c r="H523" i="3" l="1"/>
  <c r="H1528" i="8"/>
  <c r="L1528" i="8" s="1"/>
  <c r="G524" i="3" l="1"/>
  <c r="M1528" i="8"/>
  <c r="K1529" i="8"/>
  <c r="J1528" i="8"/>
  <c r="H524" i="3" l="1"/>
  <c r="H1529" i="8"/>
  <c r="L1529" i="8" s="1"/>
  <c r="G527" i="3" l="1"/>
  <c r="M1529" i="8"/>
  <c r="J1529" i="8"/>
  <c r="K1530" i="8"/>
  <c r="H527" i="3" l="1"/>
  <c r="H1530" i="8"/>
  <c r="L1530" i="8" s="1"/>
  <c r="G528" i="3" l="1"/>
  <c r="M1530" i="8"/>
  <c r="J1530" i="8"/>
  <c r="K1531" i="8"/>
  <c r="H528" i="3" l="1"/>
  <c r="H1531" i="8"/>
  <c r="L1531" i="8" s="1"/>
  <c r="G529" i="3" l="1"/>
  <c r="M1531" i="8"/>
  <c r="K1532" i="8"/>
  <c r="J1531" i="8"/>
  <c r="H529" i="3" l="1"/>
  <c r="H1532" i="8"/>
  <c r="L1532" i="8" s="1"/>
  <c r="G530" i="3" l="1"/>
  <c r="M1532" i="8"/>
  <c r="J1532" i="8"/>
  <c r="K1533" i="8"/>
  <c r="H530" i="3" l="1"/>
  <c r="H1533" i="8"/>
  <c r="L1533" i="8" s="1"/>
  <c r="G531" i="3" l="1"/>
  <c r="M1533" i="8"/>
  <c r="K1534" i="8"/>
  <c r="J1533" i="8"/>
  <c r="H531" i="3" l="1"/>
  <c r="H1534" i="8"/>
  <c r="L1534" i="8" s="1"/>
  <c r="G534" i="3" l="1"/>
  <c r="J1534" i="8"/>
  <c r="K1535" i="8"/>
  <c r="M1534" i="8" s="1"/>
  <c r="H534" i="3" l="1"/>
  <c r="O1534" i="8"/>
  <c r="Q1534" i="8" s="1"/>
  <c r="H1535" i="8"/>
  <c r="L1535" i="8" s="1"/>
  <c r="G535" i="3" l="1"/>
  <c r="M1535" i="8"/>
  <c r="J1535" i="8"/>
  <c r="K1536" i="8"/>
  <c r="H535" i="3" l="1"/>
  <c r="H1536" i="8"/>
  <c r="L1536" i="8" s="1"/>
  <c r="G536" i="3" l="1"/>
  <c r="M1536" i="8"/>
  <c r="K1537" i="8"/>
  <c r="J1536" i="8"/>
  <c r="H536" i="3" l="1"/>
  <c r="H1537" i="8"/>
  <c r="L1537" i="8" s="1"/>
  <c r="G537" i="3" l="1"/>
  <c r="M1537" i="8"/>
  <c r="K1538" i="8"/>
  <c r="J1537" i="8"/>
  <c r="H537" i="3" l="1"/>
  <c r="H1538" i="8"/>
  <c r="L1538" i="8" s="1"/>
  <c r="G538" i="3" l="1"/>
  <c r="J1538" i="8"/>
  <c r="K1539" i="8"/>
  <c r="M1538" i="8" s="1"/>
  <c r="H538" i="3" l="1"/>
  <c r="H1539" i="8"/>
  <c r="L1539" i="8" s="1"/>
  <c r="O1538" i="8"/>
  <c r="Q1538" i="8" s="1"/>
  <c r="G541" i="3" l="1"/>
  <c r="K1540" i="8"/>
  <c r="M1539" i="8" s="1"/>
  <c r="J1539" i="8"/>
  <c r="H541" i="3" l="1"/>
  <c r="O1539" i="8"/>
  <c r="Q1539" i="8" s="1"/>
  <c r="H1540" i="8"/>
  <c r="L1540" i="8" s="1"/>
  <c r="G542" i="3" l="1"/>
  <c r="M1540" i="8"/>
  <c r="J1540" i="8"/>
  <c r="K1541" i="8"/>
  <c r="H542" i="3" l="1"/>
  <c r="H1541" i="8"/>
  <c r="L1541" i="8" s="1"/>
  <c r="G543" i="3" l="1"/>
  <c r="J1541" i="8"/>
  <c r="K1542" i="8"/>
  <c r="M1541" i="8" s="1"/>
  <c r="H543" i="3" l="1"/>
  <c r="H1543" i="8"/>
  <c r="L1543" i="8" s="1"/>
  <c r="O1541" i="8"/>
  <c r="Q1541" i="8" s="1"/>
  <c r="H1542" i="8"/>
  <c r="L1542" i="8" s="1"/>
  <c r="G544" i="3" s="1"/>
  <c r="G545" i="3" l="1"/>
  <c r="M1543" i="8"/>
  <c r="K1544" i="8"/>
  <c r="J1543" i="8"/>
  <c r="H545" i="3" l="1"/>
  <c r="H1544" i="8"/>
  <c r="L1544" i="8" s="1"/>
  <c r="G548" i="3" l="1"/>
  <c r="M1544" i="8"/>
  <c r="K1545" i="8"/>
  <c r="J1544" i="8"/>
  <c r="H548" i="3" l="1"/>
  <c r="H1545" i="8"/>
  <c r="L1545" i="8" s="1"/>
  <c r="G549" i="3" l="1"/>
  <c r="M1545" i="8"/>
  <c r="J1545" i="8"/>
  <c r="K1546" i="8"/>
  <c r="H549" i="3" l="1"/>
  <c r="H1546" i="8"/>
  <c r="L1546" i="8" s="1"/>
  <c r="G550" i="3" l="1"/>
  <c r="M1546" i="8"/>
  <c r="K1547" i="8"/>
  <c r="J1546" i="8"/>
  <c r="O1546" i="8" s="1"/>
  <c r="H550" i="3" l="1"/>
  <c r="H1547" i="8"/>
  <c r="L1547" i="8" s="1"/>
  <c r="G551" i="3" l="1"/>
  <c r="M1547" i="8"/>
  <c r="K1548" i="8"/>
  <c r="J1547" i="8"/>
  <c r="H551" i="3" l="1"/>
  <c r="H1548" i="8"/>
  <c r="L1548" i="8" s="1"/>
  <c r="G552" i="3" l="1"/>
  <c r="M1548" i="8"/>
  <c r="K1549" i="8"/>
  <c r="J1548" i="8"/>
  <c r="H552" i="3" l="1"/>
  <c r="H1549" i="8"/>
  <c r="L1549" i="8" s="1"/>
  <c r="G555" i="3" l="1"/>
  <c r="M1549" i="8"/>
  <c r="K1550" i="8"/>
  <c r="J1549" i="8"/>
  <c r="H555" i="3" l="1"/>
  <c r="H1550" i="8"/>
  <c r="L1550" i="8" s="1"/>
  <c r="G556" i="3" l="1"/>
  <c r="M1550" i="8"/>
  <c r="J1550" i="8"/>
  <c r="K1551" i="8"/>
  <c r="H556" i="3" l="1"/>
  <c r="H1551" i="8"/>
  <c r="L1551" i="8" s="1"/>
  <c r="G557" i="3" l="1"/>
  <c r="M1551" i="8"/>
  <c r="K1552" i="8"/>
  <c r="J1551" i="8"/>
  <c r="H557" i="3" l="1"/>
  <c r="H1552" i="8"/>
  <c r="L1552" i="8" s="1"/>
  <c r="G558" i="3" l="1"/>
  <c r="M1552" i="8"/>
  <c r="K1553" i="8"/>
  <c r="J1552" i="8"/>
  <c r="H558" i="3" l="1"/>
  <c r="H1553" i="8"/>
  <c r="L1553" i="8" s="1"/>
  <c r="G559" i="3" l="1"/>
  <c r="M1553" i="8"/>
  <c r="J1553" i="8"/>
  <c r="K1554" i="8"/>
  <c r="H559" i="3" l="1"/>
  <c r="H1554" i="8"/>
  <c r="L1554" i="8" s="1"/>
  <c r="G562" i="3" l="1"/>
  <c r="M1554" i="8"/>
  <c r="K1555" i="8"/>
  <c r="J1554" i="8"/>
  <c r="H562" i="3" l="1"/>
  <c r="H1555" i="8"/>
  <c r="L1555" i="8" s="1"/>
  <c r="G563" i="3" l="1"/>
  <c r="M1555" i="8"/>
  <c r="J1555" i="8"/>
  <c r="K1556" i="8"/>
  <c r="H563" i="3" l="1"/>
  <c r="H1556" i="8"/>
  <c r="L1556" i="8" s="1"/>
  <c r="G564" i="3" l="1"/>
  <c r="M1556" i="8"/>
  <c r="J1556" i="8"/>
  <c r="K1557" i="8"/>
  <c r="H564" i="3" l="1"/>
  <c r="H1557" i="8"/>
  <c r="L1557" i="8" s="1"/>
  <c r="G565" i="3" l="1"/>
  <c r="M1557" i="8"/>
  <c r="K1558" i="8"/>
  <c r="J1557" i="8"/>
  <c r="H565" i="3" l="1"/>
  <c r="H1558" i="8"/>
  <c r="L1558" i="8" s="1"/>
  <c r="G566" i="3" l="1"/>
  <c r="J1558" i="8"/>
  <c r="K1559" i="8"/>
  <c r="M1558" i="8" s="1"/>
  <c r="H566" i="3" l="1"/>
  <c r="H1562" i="8"/>
  <c r="L1562" i="8" s="1"/>
  <c r="H1561" i="8"/>
  <c r="L1561" i="8" s="1"/>
  <c r="G571" i="3" s="1"/>
  <c r="H1559" i="8"/>
  <c r="L1559" i="8" s="1"/>
  <c r="G569" i="3" s="1"/>
  <c r="H1560" i="8"/>
  <c r="L1560" i="8" s="1"/>
  <c r="G570" i="3" s="1"/>
  <c r="G572" i="3" l="1"/>
  <c r="K1563" i="8"/>
  <c r="L1563" i="8" s="1"/>
  <c r="J1562" i="8"/>
  <c r="G573" i="3" l="1"/>
  <c r="J1563" i="8"/>
  <c r="K1564" i="8"/>
  <c r="M1563" i="8" s="1"/>
  <c r="H573" i="3" l="1"/>
  <c r="H1564" i="8"/>
  <c r="L1564" i="8" s="1"/>
  <c r="G576" i="3" l="1"/>
  <c r="M1564" i="8"/>
  <c r="K1565" i="8"/>
  <c r="J1564" i="8"/>
  <c r="H576" i="3" l="1"/>
  <c r="H1565" i="8"/>
  <c r="L1565" i="8" s="1"/>
  <c r="G577" i="3" l="1"/>
  <c r="M1565" i="8"/>
  <c r="J1565" i="8"/>
  <c r="K1566" i="8"/>
  <c r="H577" i="3" l="1"/>
  <c r="H1566" i="8"/>
  <c r="L1566" i="8" s="1"/>
  <c r="G578" i="3" l="1"/>
  <c r="M1566" i="8"/>
  <c r="J1566" i="8"/>
  <c r="K1567" i="8"/>
  <c r="H578" i="3" l="1"/>
  <c r="H1567" i="8"/>
  <c r="L1567" i="8" s="1"/>
  <c r="G579" i="3" l="1"/>
  <c r="M1567" i="8"/>
  <c r="K1568" i="8"/>
  <c r="J1567" i="8"/>
  <c r="H579" i="3" l="1"/>
  <c r="H1568" i="8"/>
  <c r="L1568" i="8" s="1"/>
  <c r="G580" i="3" l="1"/>
  <c r="J1568" i="8"/>
  <c r="K1569" i="8"/>
  <c r="M1568" i="8" s="1"/>
  <c r="H580" i="3" l="1"/>
  <c r="H1569" i="8"/>
  <c r="L1569" i="8" s="1"/>
  <c r="G583" i="3" l="1"/>
  <c r="M1569" i="8"/>
  <c r="J1569" i="8"/>
  <c r="K1570" i="8"/>
  <c r="H583" i="3" l="1"/>
  <c r="H1570" i="8"/>
  <c r="L1570" i="8" s="1"/>
  <c r="G584" i="3" l="1"/>
  <c r="M1570" i="8"/>
  <c r="K1571" i="8"/>
  <c r="J1570" i="8"/>
  <c r="Q583" i="3" l="1" a="1"/>
  <c r="Q583" i="3" s="1"/>
  <c r="P583" i="3" a="1"/>
  <c r="P583" i="3" s="1"/>
  <c r="H584" i="3"/>
  <c r="H1571" i="8"/>
  <c r="L1571" i="8" s="1"/>
  <c r="G585" i="3" l="1"/>
  <c r="M1571" i="8"/>
  <c r="J1571" i="8"/>
  <c r="K1572" i="8"/>
  <c r="Q584" i="3" l="1" a="1"/>
  <c r="Q584" i="3" s="1"/>
  <c r="P584" i="3" a="1"/>
  <c r="P584" i="3" s="1"/>
  <c r="H585" i="3"/>
  <c r="H1572" i="8"/>
  <c r="L1572" i="8" s="1"/>
  <c r="G586" i="3" l="1"/>
  <c r="M1572" i="8"/>
  <c r="K1573" i="8"/>
  <c r="J1572" i="8"/>
  <c r="P585" i="3" l="1" a="1"/>
  <c r="P585" i="3" s="1"/>
  <c r="Q585" i="3" a="1"/>
  <c r="Q585" i="3" s="1"/>
  <c r="H586" i="3"/>
  <c r="H1573" i="8"/>
  <c r="L1573" i="8" s="1"/>
  <c r="G587" i="3" s="1"/>
  <c r="M1573" i="8" l="1"/>
  <c r="K1574" i="8"/>
  <c r="J1573" i="8"/>
  <c r="H587" i="3" l="1"/>
  <c r="P588" i="3" a="1"/>
  <c r="P588" i="3" s="1"/>
  <c r="Q588" i="3" a="1"/>
  <c r="Q588" i="3" s="1"/>
  <c r="P587" i="3" a="1"/>
  <c r="P587" i="3" s="1"/>
  <c r="Q587" i="3" a="1"/>
  <c r="Q587" i="3" s="1"/>
  <c r="P586" i="3" a="1"/>
  <c r="P586" i="3" s="1"/>
  <c r="Q586" i="3" a="1"/>
  <c r="Q586" i="3" s="1"/>
  <c r="H1574" i="8"/>
  <c r="L1574" i="8" s="1"/>
  <c r="M1574" i="8" l="1"/>
  <c r="K1575" i="8"/>
  <c r="J1574" i="8"/>
  <c r="H1575" i="8" l="1"/>
  <c r="L1575" i="8" s="1"/>
  <c r="Q589" i="3" a="1"/>
  <c r="Q589" i="3" s="1"/>
  <c r="P589" i="3" a="1"/>
  <c r="P589" i="3" s="1"/>
  <c r="K1576" i="8"/>
  <c r="J1575" i="8"/>
  <c r="M1575" i="8" l="1"/>
  <c r="H1576" i="8" s="1"/>
  <c r="L1576" i="8" s="1"/>
  <c r="M1576" i="8" l="1"/>
  <c r="H1577" i="8" s="1"/>
  <c r="J1576" i="8"/>
  <c r="K1577" i="8"/>
  <c r="L1577" i="8" l="1"/>
  <c r="M1577" i="8" l="1"/>
  <c r="H1578" i="8" s="1"/>
  <c r="K1578" i="8"/>
  <c r="J1577" i="8"/>
  <c r="L1578" i="8" l="1"/>
  <c r="M1578" i="8"/>
  <c r="H1579" i="8" s="1"/>
  <c r="K1579" i="8"/>
  <c r="J1578" i="8"/>
  <c r="L1579" i="8" l="1"/>
  <c r="M1579" i="8" l="1"/>
  <c r="H1580" i="8" s="1"/>
  <c r="L1580" i="8" s="1"/>
  <c r="K1580" i="8"/>
  <c r="J1579" i="8"/>
  <c r="M1580" i="8" l="1"/>
  <c r="H1581" i="8" s="1"/>
  <c r="K1581" i="8"/>
  <c r="J1580" i="8"/>
  <c r="L1581" i="8" l="1"/>
  <c r="M1581" i="8" l="1"/>
  <c r="H1582" i="8" s="1"/>
  <c r="L1582" i="8" s="1"/>
  <c r="K1582" i="8"/>
  <c r="J1581" i="8"/>
  <c r="M1582" i="8" l="1"/>
  <c r="H1583" i="8" s="1"/>
  <c r="J1582" i="8"/>
  <c r="K1583" i="8"/>
  <c r="L1583" i="8" l="1"/>
  <c r="M1583" i="8" l="1"/>
  <c r="H1584" i="8" s="1"/>
  <c r="J1583" i="8"/>
  <c r="K1584" i="8"/>
  <c r="L1584" i="8" l="1"/>
  <c r="M1584" i="8" l="1"/>
  <c r="H1585" i="8" s="1"/>
  <c r="L1585" i="8" s="1"/>
  <c r="K1585" i="8"/>
  <c r="J1584" i="8"/>
  <c r="M1585" i="8" l="1"/>
  <c r="H1586" i="8" s="1"/>
  <c r="L1586" i="8" s="1"/>
  <c r="K1586" i="8"/>
  <c r="J1585" i="8"/>
  <c r="M1586" i="8" l="1"/>
  <c r="J158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tc={D49AA7D5-B908-4B7C-85A7-2AB3F8DF51F1}</author>
  </authors>
  <commentList>
    <comment ref="B942" authorId="0" shapeId="0" xr:uid="{D49AA7D5-B908-4B7C-85A7-2AB3F8DF51F1}">
      <text>
        <t>[Threaded comment]
Your version of Excel allows you to read this threaded comment; however, any edits to it will get removed if the file is opened in a newer version of Excel. Learn more: https://go.microsoft.com/fwlink/?linkid=870924
Comment:
    Fİyatlar güncellenecek
Reply:
    25 Aralık güncellendi.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Selin Atan</author>
  </authors>
  <commentList>
    <comment ref="P1071" authorId="0" shapeId="0" xr:uid="{63E63B13-6546-42C4-8850-A057489A3C3F}">
      <text>
        <r>
          <rPr>
            <b/>
            <sz val="9"/>
            <color indexed="81"/>
            <rFont val="Tahoma"/>
            <family val="2"/>
            <charset val="162"/>
          </rPr>
          <t>Selin Atan:</t>
        </r>
        <r>
          <rPr>
            <sz val="9"/>
            <color indexed="81"/>
            <rFont val="Tahoma"/>
            <family val="2"/>
            <charset val="162"/>
          </rPr>
          <t xml:space="preserve">
Servis ücreti ve EPDK Payı dahil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<sst xmlns="http://schemas.openxmlformats.org/spreadsheetml/2006/main" count="932" uniqueCount="220">
  <si>
    <t>YILBAŞI</t>
  </si>
  <si>
    <t>1 GÜN</t>
  </si>
  <si>
    <t>ÇARŞAMBA</t>
  </si>
  <si>
    <t>ULUSAL EGEMENLİK VE ÇOCUK BAYRAMI</t>
  </si>
  <si>
    <t>PERŞEMBE</t>
  </si>
  <si>
    <t>EMEK VE DAYANIŞMA GÜNÜ</t>
  </si>
  <si>
    <t>CUMA</t>
  </si>
  <si>
    <t>ATATÜRK'Ü ANMA GENÇLİK VE SPOR BAYRAMI</t>
  </si>
  <si>
    <t>SALI</t>
  </si>
  <si>
    <t>RAMAZAN BAYRAMI ARİFESİ</t>
  </si>
  <si>
    <t>1/2 GÜN</t>
  </si>
  <si>
    <t>CUMARTESİ</t>
  </si>
  <si>
    <t>1. GÜN</t>
  </si>
  <si>
    <t>PAZAR</t>
  </si>
  <si>
    <t>2. GÜN</t>
  </si>
  <si>
    <t>PAZARTESİ</t>
  </si>
  <si>
    <t>3. GÜN</t>
  </si>
  <si>
    <t>DEMOKRASİ BAYRAMI</t>
  </si>
  <si>
    <t>KURBAN BAYRAMI ARİFESİ</t>
  </si>
  <si>
    <t>4. GÜN</t>
  </si>
  <si>
    <t>ZAFER BAYRAMI</t>
  </si>
  <si>
    <t>CUMHURİYET BAYRAMI</t>
  </si>
  <si>
    <t>1,5 GÜN</t>
  </si>
  <si>
    <t>Tarih</t>
  </si>
  <si>
    <t>Toptan Satis Miktar</t>
  </si>
  <si>
    <t>Tuplu Satis Miktar</t>
  </si>
  <si>
    <t>Dokme Satis Miktar</t>
  </si>
  <si>
    <t>Otogaz Satis Miktar</t>
  </si>
  <si>
    <t>Toplam Satis Miktar</t>
  </si>
  <si>
    <t>Weekday</t>
  </si>
  <si>
    <t xml:space="preserve">Tüplü ÖTV + EPDK Dahil </t>
  </si>
  <si>
    <t>Yarımca Tüpraş</t>
  </si>
  <si>
    <t>Tüpraş Gelir Payı Dahil</t>
  </si>
  <si>
    <t xml:space="preserve">Tatil </t>
  </si>
  <si>
    <t>Type</t>
  </si>
  <si>
    <t>Date</t>
  </si>
  <si>
    <t>Holiday_Type</t>
  </si>
  <si>
    <t>RAMAZAN BAYRAMI 1</t>
  </si>
  <si>
    <t>RAMAZAN BAYRAMI 2</t>
  </si>
  <si>
    <t>RAMAZAN BAYRAMI 3</t>
  </si>
  <si>
    <t>KURBAN BAYRAMI 1</t>
  </si>
  <si>
    <t>KURBAN BAYRAMI 2</t>
  </si>
  <si>
    <t>KURBAN BAYRAMI 3</t>
  </si>
  <si>
    <t>KURBAN BAYRAMI 4</t>
  </si>
  <si>
    <t>RAMAZAN BAYRAMI ARİFESİ -1</t>
  </si>
  <si>
    <t>RAMAZAN BAYRAMI ARİFESİ -2</t>
  </si>
  <si>
    <t>RAMAZAN BAYRAMI 3+1</t>
  </si>
  <si>
    <t>RAMAZAN BAYRAMI 3+2</t>
  </si>
  <si>
    <t>Y</t>
  </si>
  <si>
    <t>KURBAN BAYRAMI ARİFESİ -2</t>
  </si>
  <si>
    <t>KURBAN BAYRAMI ARİFESİ -1</t>
  </si>
  <si>
    <t>RBA</t>
  </si>
  <si>
    <t>RB1</t>
  </si>
  <si>
    <t>RB2</t>
  </si>
  <si>
    <t>RB3</t>
  </si>
  <si>
    <t>T</t>
  </si>
  <si>
    <t>KBA</t>
  </si>
  <si>
    <t>KB1</t>
  </si>
  <si>
    <t>KB2</t>
  </si>
  <si>
    <t>KB3</t>
  </si>
  <si>
    <t>KB4</t>
  </si>
  <si>
    <t>RBA-1</t>
  </si>
  <si>
    <t>RBA-2</t>
  </si>
  <si>
    <t>RB+1</t>
  </si>
  <si>
    <t>RB+2</t>
  </si>
  <si>
    <t>KBA-2</t>
  </si>
  <si>
    <t>KBA-1</t>
  </si>
  <si>
    <t>Y-1</t>
  </si>
  <si>
    <t>Y+1</t>
  </si>
  <si>
    <t>YILBAŞI -1</t>
  </si>
  <si>
    <t>YILBAŞI +1</t>
  </si>
  <si>
    <t>KURBAN BAYRAMI 4+1</t>
  </si>
  <si>
    <t>KURBAN BAYRAMI 4+2</t>
  </si>
  <si>
    <t>KB+1</t>
  </si>
  <si>
    <t>KB+2</t>
  </si>
  <si>
    <t>Special_Day_Type_Holiday</t>
  </si>
  <si>
    <t>Special_Day_Type_Month</t>
  </si>
  <si>
    <t>USD/TL</t>
  </si>
  <si>
    <t>LPG (USD)</t>
  </si>
  <si>
    <t>LPG (TL)</t>
  </si>
  <si>
    <t xml:space="preserve">Son 5 Gün Parite Ortalaması </t>
  </si>
  <si>
    <t>Son 5 Gün 
Ortalama</t>
  </si>
  <si>
    <t>Esas Parite Fiyatı</t>
  </si>
  <si>
    <t>LPG Sales Price</t>
  </si>
  <si>
    <t>Limit</t>
  </si>
  <si>
    <t>Tüpraş Fiyat Değişikliği  TL/ton</t>
  </si>
  <si>
    <t>LPG USD Sales Price</t>
  </si>
  <si>
    <t xml:space="preserve">Üst Band </t>
  </si>
  <si>
    <t xml:space="preserve">Alt Band </t>
  </si>
  <si>
    <t>İzmir Sales Price</t>
  </si>
  <si>
    <t>Kırıkkale Sales Price</t>
  </si>
  <si>
    <t>Dörtyol Sales Price</t>
  </si>
  <si>
    <t>Samsun</t>
  </si>
  <si>
    <t>Ambarlı Sales Price</t>
  </si>
  <si>
    <t>ABD DOLARI</t>
  </si>
  <si>
    <t>NULL</t>
  </si>
  <si>
    <t>2017 APR</t>
  </si>
  <si>
    <t>2017 MAY</t>
  </si>
  <si>
    <t>2017 JUN</t>
  </si>
  <si>
    <t>2017 JULY</t>
  </si>
  <si>
    <t>2017 AUG</t>
  </si>
  <si>
    <t>2017 SEPT</t>
  </si>
  <si>
    <t>2017 OCT</t>
  </si>
  <si>
    <t>2017 NOV</t>
  </si>
  <si>
    <t>2017 DEC</t>
  </si>
  <si>
    <t>2018 FEB</t>
  </si>
  <si>
    <t>2018 MARCH</t>
  </si>
  <si>
    <t>2018 APR</t>
  </si>
  <si>
    <t>2018 MAY</t>
  </si>
  <si>
    <t>2018 JUNE</t>
  </si>
  <si>
    <t>2018 JULY</t>
  </si>
  <si>
    <t>2018 AUG</t>
  </si>
  <si>
    <t>2018 SEPT</t>
  </si>
  <si>
    <t>2018 OCT</t>
  </si>
  <si>
    <t>2018 NOV</t>
  </si>
  <si>
    <t>2018 DEC</t>
  </si>
  <si>
    <t>12019</t>
  </si>
  <si>
    <t>22019</t>
  </si>
  <si>
    <t>32019</t>
  </si>
  <si>
    <t>42019</t>
  </si>
  <si>
    <t/>
  </si>
  <si>
    <t>52019</t>
  </si>
  <si>
    <t>62019</t>
  </si>
  <si>
    <t>72019</t>
  </si>
  <si>
    <t>82019</t>
  </si>
  <si>
    <t>92019</t>
  </si>
  <si>
    <t>102019</t>
  </si>
  <si>
    <t>112019</t>
  </si>
  <si>
    <t>122019</t>
  </si>
  <si>
    <t>12020</t>
  </si>
  <si>
    <t>22020</t>
  </si>
  <si>
    <t>LPG tavan (TL/ton)</t>
  </si>
  <si>
    <t>LPG</t>
  </si>
  <si>
    <t>Refinery Price</t>
  </si>
  <si>
    <t>SCT</t>
  </si>
  <si>
    <t>Sales Price (wo VAT)</t>
  </si>
  <si>
    <t>TL/ton</t>
  </si>
  <si>
    <t>Difference</t>
  </si>
  <si>
    <t>Gasoline</t>
  </si>
  <si>
    <t>32020</t>
  </si>
  <si>
    <t>42020</t>
  </si>
  <si>
    <t>52020</t>
  </si>
  <si>
    <t>62020</t>
  </si>
  <si>
    <t>72020</t>
  </si>
  <si>
    <t>82020</t>
  </si>
  <si>
    <t>92020</t>
  </si>
  <si>
    <t>102020</t>
  </si>
  <si>
    <t>112020</t>
  </si>
  <si>
    <t>122020</t>
  </si>
  <si>
    <t>Year</t>
  </si>
  <si>
    <t>Month</t>
  </si>
  <si>
    <t>Day</t>
  </si>
  <si>
    <t>Tesis</t>
  </si>
  <si>
    <t>Toptan Satis Tutar</t>
  </si>
  <si>
    <t>Tuplu Satis Tutar</t>
  </si>
  <si>
    <t>Dokme Satis Tutar</t>
  </si>
  <si>
    <t>Otogaz Satis Tutar</t>
  </si>
  <si>
    <t>Ihracat Satis Miktar</t>
  </si>
  <si>
    <t>Ihracat Satis Tutar</t>
  </si>
  <si>
    <t>Toplam Satis Tutar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</si>
  <si>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</si>
  <si>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</si>
  <si>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</si>
  <si>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</si>
  <si>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</si>
  <si>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</si>
  <si>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</si>
  <si>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</si>
  <si>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</si>
  <si>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</si>
  <si>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</si>
  <si>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>5.0</t>
  </si>
  <si>
    <t>7.0</t>
  </si>
  <si>
    <t>Row Labels</t>
  </si>
  <si>
    <t>I</t>
  </si>
  <si>
    <t>I+1</t>
  </si>
  <si>
    <t>I-1</t>
  </si>
  <si>
    <t>I-2</t>
  </si>
  <si>
    <t>(blank)</t>
  </si>
  <si>
    <t>Grand Total</t>
  </si>
  <si>
    <t>Average of Otogaz Satis Miktar</t>
  </si>
  <si>
    <t>Previous Day of the new year</t>
  </si>
  <si>
    <t xml:space="preserve">New year </t>
  </si>
  <si>
    <t>The day after new year</t>
  </si>
  <si>
    <t>National sovereign and children's day</t>
  </si>
  <si>
    <t>Labor and Solidarity day</t>
  </si>
  <si>
    <t xml:space="preserve"> aid-al-fitr day 1</t>
  </si>
  <si>
    <t xml:space="preserve"> aid-al-fitr day 2</t>
  </si>
  <si>
    <t xml:space="preserve"> aid-al-fitr day 3</t>
  </si>
  <si>
    <t>Commemoration of Atatürk, Youth and Sports Day</t>
  </si>
  <si>
    <t>The day before aid-al-fitr</t>
  </si>
  <si>
    <t>The day before aid-al-adha</t>
  </si>
  <si>
    <t>aid-al-adha day 1</t>
  </si>
  <si>
    <t>aid-al-adha day 2</t>
  </si>
  <si>
    <t>aid-al-adha day 3</t>
  </si>
  <si>
    <t>aid-al-adha day 4</t>
  </si>
  <si>
    <t>Democracy Day</t>
  </si>
  <si>
    <t>Victory day</t>
  </si>
  <si>
    <t>Republic Day</t>
  </si>
  <si>
    <t>Three days before the aid-al-fitr</t>
  </si>
  <si>
    <t>Two days before the aid-al-fitr</t>
  </si>
  <si>
    <t>The day after the aid-al-fitr</t>
  </si>
  <si>
    <t>Two days after the aid-al-fitr</t>
  </si>
  <si>
    <t>Three days before the aid-al-adha</t>
  </si>
  <si>
    <t>Two days before the aid-al-adha</t>
  </si>
  <si>
    <t>The day after the aid-al-adha</t>
  </si>
  <si>
    <t>Two days after the aid-al-adha</t>
  </si>
  <si>
    <t>Categorical Variable Explanation</t>
  </si>
  <si>
    <t>Wholesale</t>
  </si>
  <si>
    <t>Cylindrical Sale</t>
  </si>
  <si>
    <t>Bulk Sale</t>
  </si>
  <si>
    <t>Autogas Sale</t>
  </si>
  <si>
    <t>Total Sale</t>
  </si>
  <si>
    <t>TUPRAS Price Change  TL/ton</t>
  </si>
  <si>
    <t>TUPRAS Price (OTV+Gelir)</t>
  </si>
  <si>
    <t>Special_Day_Type_Raise</t>
  </si>
  <si>
    <t>Special_Day_Type_Discount</t>
  </si>
  <si>
    <t>Covid Cases</t>
  </si>
  <si>
    <t>Covid Deaths</t>
  </si>
  <si>
    <t>Death/recovering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</si>
</sst>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-* #,##0_-;\-* #,##0_-;_-* &quot;-&quot;??_-;_-@_-"/>
    <numFmt numFmtId="165" formatCode="[$-F800]dddd\,\ mmmm\ dd\,\ yyyy"/>
    <numFmt numFmtId="166" formatCode="0.0000"/>
    <numFmt numFmtId="167" formatCode="#,##0.00\ &quot;TL&quot;"/>
    <numFmt numFmtId="168" formatCode="#,##0.00\ [$USD]"/>
    <numFmt numFmtId="169" formatCode="#,##0.0000\ &quot;TL&quot;"/>
    <numFmt numFmtId="170" formatCode="#,##0.000\ [$USD]"/>
    <numFmt numFmtId="171" formatCode="[$USD]\ #,##0.00"/>
    <numFmt numFmtId="172" formatCode="0.000%"/>
    <numFmt numFmtId="173" formatCode="0.0%"/>
    <numFmt numFmtId="174" formatCode="[$USD]\ #,##0.0000"/>
    <numFmt numFmtId="17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6"/>
      <color rgb="FF000000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1"/>
      <name val="Tahoma"/>
      <family val="2"/>
      <charset val="162"/>
    </font>
    <font>
      <b/>
      <sz val="11"/>
      <color rgb="FF00206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theme="7" tint="0.59999389629810485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b/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rgb="FF212529"/>
      <name val="Calibri"/>
      <family val="2"/>
      <charset val="162"/>
      <scheme val="minor"/>
    </font>
    <font>
      <sz val="11"/>
      <color rgb="FF212529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162"/>
    </font>
  </fonts>
  <fills count="15">
    <fill>
      <patternFill patternType="none"/>
    </fill>
    <fill>
      <patternFill patternType="gray125"/>
    </fill>
    <fill>
      <patternFill patternType="solid">
        <fgColor rgb="FFD6EDFC"/>
        <bgColor indexed="64"/>
      </patternFill>
    </fill>
    <fill>
      <patternFill patternType="solid">
        <fgColor rgb="FFDCE9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2F2F2"/>
      </left>
      <right/>
      <top/>
      <bottom style="medium">
        <color rgb="FFDEE2E6"/>
      </bottom>
      <diagonal/>
    </border>
    <border>
      <left/>
      <right style="medium">
        <color rgb="FFF2F2F2"/>
      </right>
      <top/>
      <bottom style="medium">
        <color rgb="FFDEE2E6"/>
      </bottom>
      <diagonal/>
    </border>
    <border>
      <left style="medium">
        <color rgb="FFF2F2F2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2F2F2"/>
      </right>
      <top/>
      <bottom style="medium">
        <color rgb="FFFFFFFF"/>
      </bottom>
      <diagonal/>
    </border>
    <border>
      <left style="medium">
        <color rgb="FFF2F2F2"/>
      </left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0" borderId="0"/>
  </cellStyleXfs>
  <cellXfs count="179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16" fontId="5" fillId="2" borderId="1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" fontId="5" fillId="3" borderId="1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16" fontId="5" fillId="3" borderId="3" xfId="0" applyNumberFormat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14" fontId="0" fillId="0" borderId="0" xfId="0" applyNumberFormat="1"/>
    <xf numFmtId="0" fontId="4" fillId="0" borderId="0" xfId="0" applyFont="1" applyBorder="1"/>
    <xf numFmtId="164" fontId="4" fillId="0" borderId="0" xfId="1" applyNumberFormat="1" applyFont="1" applyBorder="1" applyAlignment="1">
      <alignment vertical="center" wrapText="1"/>
    </xf>
    <xf numFmtId="0" fontId="0" fillId="0" borderId="0" xfId="0" applyNumberFormat="1"/>
    <xf numFmtId="0" fontId="0" fillId="0" borderId="0" xfId="0" applyFill="1"/>
    <xf numFmtId="0" fontId="5" fillId="0" borderId="0" xfId="0" applyFont="1" applyFill="1" applyAlignment="1">
      <alignment horizontal="left" vertical="center" wrapText="1"/>
    </xf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16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0" borderId="8" xfId="0" applyBorder="1"/>
    <xf numFmtId="1" fontId="0" fillId="0" borderId="9" xfId="0" applyNumberForma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7" fontId="0" fillId="0" borderId="6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17" fontId="0" fillId="0" borderId="0" xfId="0" applyNumberFormat="1"/>
    <xf numFmtId="165" fontId="0" fillId="0" borderId="14" xfId="0" applyNumberFormat="1" applyBorder="1" applyAlignment="1">
      <alignment horizontal="left"/>
    </xf>
    <xf numFmtId="166" fontId="7" fillId="6" borderId="6" xfId="0" applyNumberFormat="1" applyFont="1" applyFill="1" applyBorder="1" applyAlignment="1">
      <alignment horizontal="center"/>
    </xf>
    <xf numFmtId="168" fontId="7" fillId="6" borderId="6" xfId="0" applyNumberFormat="1" applyFont="1" applyFill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165" fontId="0" fillId="0" borderId="6" xfId="0" applyNumberFormat="1" applyBorder="1" applyAlignment="1">
      <alignment horizontal="left"/>
    </xf>
    <xf numFmtId="167" fontId="0" fillId="0" borderId="7" xfId="0" applyNumberFormat="1" applyBorder="1" applyAlignment="1">
      <alignment horizontal="center"/>
    </xf>
    <xf numFmtId="0" fontId="0" fillId="0" borderId="18" xfId="0" applyBorder="1" applyAlignment="1">
      <alignment vertical="center"/>
    </xf>
    <xf numFmtId="165" fontId="0" fillId="0" borderId="20" xfId="0" applyNumberFormat="1" applyBorder="1" applyAlignment="1">
      <alignment horizontal="left"/>
    </xf>
    <xf numFmtId="167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 vertical="center"/>
    </xf>
    <xf numFmtId="167" fontId="13" fillId="0" borderId="6" xfId="0" applyNumberFormat="1" applyFont="1" applyBorder="1" applyAlignment="1">
      <alignment horizontal="center"/>
    </xf>
    <xf numFmtId="10" fontId="0" fillId="0" borderId="22" xfId="0" applyNumberFormat="1" applyBorder="1" applyAlignment="1">
      <alignment horizontal="center" vertical="center"/>
    </xf>
    <xf numFmtId="167" fontId="0" fillId="0" borderId="18" xfId="0" applyNumberFormat="1" applyBorder="1" applyAlignment="1">
      <alignment horizontal="center"/>
    </xf>
    <xf numFmtId="165" fontId="0" fillId="0" borderId="24" xfId="0" applyNumberFormat="1" applyBorder="1" applyAlignment="1">
      <alignment horizontal="left"/>
    </xf>
    <xf numFmtId="167" fontId="0" fillId="0" borderId="24" xfId="0" applyNumberFormat="1" applyBorder="1" applyAlignment="1">
      <alignment horizontal="center"/>
    </xf>
    <xf numFmtId="10" fontId="0" fillId="0" borderId="25" xfId="0" applyNumberFormat="1" applyBorder="1" applyAlignment="1">
      <alignment horizontal="center" vertical="center"/>
    </xf>
    <xf numFmtId="167" fontId="0" fillId="0" borderId="26" xfId="0" applyNumberFormat="1" applyBorder="1" applyAlignment="1">
      <alignment horizontal="center"/>
    </xf>
    <xf numFmtId="10" fontId="0" fillId="0" borderId="14" xfId="0" applyNumberFormat="1" applyBorder="1" applyAlignment="1">
      <alignment horizontal="center" vertical="center"/>
    </xf>
    <xf numFmtId="167" fontId="0" fillId="0" borderId="27" xfId="0" applyNumberFormat="1" applyBorder="1" applyAlignment="1">
      <alignment horizontal="center"/>
    </xf>
    <xf numFmtId="10" fontId="0" fillId="0" borderId="6" xfId="0" applyNumberFormat="1" applyBorder="1" applyAlignment="1">
      <alignment horizontal="center" vertical="center"/>
    </xf>
    <xf numFmtId="167" fontId="0" fillId="0" borderId="22" xfId="0" applyNumberFormat="1" applyBorder="1" applyAlignment="1">
      <alignment horizontal="center"/>
    </xf>
    <xf numFmtId="10" fontId="0" fillId="7" borderId="6" xfId="0" applyNumberFormat="1" applyFill="1" applyBorder="1" applyAlignment="1">
      <alignment horizontal="center" vertical="center"/>
    </xf>
    <xf numFmtId="167" fontId="0" fillId="4" borderId="6" xfId="0" applyNumberFormat="1" applyFill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167" fontId="0" fillId="0" borderId="0" xfId="0" applyNumberFormat="1"/>
    <xf numFmtId="167" fontId="0" fillId="4" borderId="22" xfId="0" applyNumberFormat="1" applyFill="1" applyBorder="1" applyAlignment="1">
      <alignment horizontal="center"/>
    </xf>
    <xf numFmtId="1" fontId="0" fillId="0" borderId="0" xfId="0" applyNumberFormat="1"/>
    <xf numFmtId="165" fontId="0" fillId="0" borderId="32" xfId="0" applyNumberFormat="1" applyBorder="1" applyAlignment="1">
      <alignment horizontal="left"/>
    </xf>
    <xf numFmtId="166" fontId="7" fillId="8" borderId="24" xfId="0" applyNumberFormat="1" applyFont="1" applyFill="1" applyBorder="1" applyAlignment="1">
      <alignment horizontal="center"/>
    </xf>
    <xf numFmtId="171" fontId="0" fillId="0" borderId="0" xfId="0" applyNumberFormat="1"/>
    <xf numFmtId="171" fontId="0" fillId="0" borderId="6" xfId="0" applyNumberFormat="1" applyBorder="1" applyAlignment="1">
      <alignment horizontal="center"/>
    </xf>
    <xf numFmtId="0" fontId="9" fillId="9" borderId="33" xfId="0" applyFont="1" applyFill="1" applyBorder="1"/>
    <xf numFmtId="4" fontId="0" fillId="0" borderId="34" xfId="0" applyNumberFormat="1" applyBorder="1" applyAlignment="1">
      <alignment horizontal="center"/>
    </xf>
    <xf numFmtId="0" fontId="9" fillId="9" borderId="38" xfId="0" applyFont="1" applyFill="1" applyBorder="1" applyAlignment="1">
      <alignment horizontal="center"/>
    </xf>
    <xf numFmtId="0" fontId="9" fillId="9" borderId="39" xfId="0" applyFont="1" applyFill="1" applyBorder="1" applyAlignment="1">
      <alignment horizontal="center"/>
    </xf>
    <xf numFmtId="0" fontId="9" fillId="9" borderId="34" xfId="0" applyFont="1" applyFill="1" applyBorder="1" applyAlignment="1">
      <alignment horizontal="center"/>
    </xf>
    <xf numFmtId="0" fontId="9" fillId="9" borderId="41" xfId="0" applyFont="1" applyFill="1" applyBorder="1" applyAlignment="1">
      <alignment horizontal="center"/>
    </xf>
    <xf numFmtId="14" fontId="9" fillId="9" borderId="8" xfId="0" applyNumberFormat="1" applyFont="1" applyFill="1" applyBorder="1" applyAlignment="1">
      <alignment horizontal="center"/>
    </xf>
    <xf numFmtId="4" fontId="0" fillId="0" borderId="38" xfId="0" applyNumberFormat="1" applyBorder="1" applyAlignment="1">
      <alignment horizontal="center"/>
    </xf>
    <xf numFmtId="14" fontId="9" fillId="9" borderId="42" xfId="0" applyNumberFormat="1" applyFont="1" applyFill="1" applyBorder="1" applyAlignment="1">
      <alignment horizontal="center"/>
    </xf>
    <xf numFmtId="4" fontId="0" fillId="0" borderId="43" xfId="0" applyNumberFormat="1" applyBorder="1" applyAlignment="1">
      <alignment horizontal="center"/>
    </xf>
    <xf numFmtId="14" fontId="9" fillId="9" borderId="40" xfId="0" applyNumberFormat="1" applyFont="1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4" fontId="0" fillId="0" borderId="44" xfId="0" applyNumberFormat="1" applyBorder="1" applyAlignment="1">
      <alignment horizontal="center"/>
    </xf>
    <xf numFmtId="4" fontId="0" fillId="0" borderId="41" xfId="0" applyNumberFormat="1" applyBorder="1" applyAlignment="1">
      <alignment horizontal="center"/>
    </xf>
    <xf numFmtId="4" fontId="0" fillId="0" borderId="0" xfId="0" applyNumberFormat="1"/>
    <xf numFmtId="4" fontId="0" fillId="5" borderId="33" xfId="0" applyNumberFormat="1" applyFill="1" applyBorder="1" applyAlignment="1">
      <alignment horizontal="center"/>
    </xf>
    <xf numFmtId="167" fontId="0" fillId="10" borderId="22" xfId="0" applyNumberFormat="1" applyFill="1" applyBorder="1" applyAlignment="1">
      <alignment horizontal="center"/>
    </xf>
    <xf numFmtId="2" fontId="0" fillId="5" borderId="33" xfId="0" applyNumberFormat="1" applyFill="1" applyBorder="1" applyAlignment="1">
      <alignment horizontal="center"/>
    </xf>
    <xf numFmtId="9" fontId="0" fillId="0" borderId="0" xfId="0" applyNumberFormat="1"/>
    <xf numFmtId="166" fontId="14" fillId="6" borderId="6" xfId="0" applyNumberFormat="1" applyFont="1" applyFill="1" applyBorder="1" applyAlignment="1">
      <alignment horizontal="center"/>
    </xf>
    <xf numFmtId="168" fontId="14" fillId="6" borderId="6" xfId="0" applyNumberFormat="1" applyFont="1" applyFill="1" applyBorder="1" applyAlignment="1">
      <alignment horizontal="center"/>
    </xf>
    <xf numFmtId="172" fontId="0" fillId="0" borderId="6" xfId="0" applyNumberFormat="1" applyBorder="1" applyAlignment="1">
      <alignment horizontal="center" vertical="center"/>
    </xf>
    <xf numFmtId="173" fontId="0" fillId="0" borderId="6" xfId="0" applyNumberFormat="1" applyBorder="1" applyAlignment="1">
      <alignment horizontal="center" vertical="center"/>
    </xf>
    <xf numFmtId="174" fontId="0" fillId="0" borderId="0" xfId="0" applyNumberFormat="1"/>
    <xf numFmtId="10" fontId="0" fillId="0" borderId="0" xfId="2" applyNumberFormat="1" applyFont="1"/>
    <xf numFmtId="2" fontId="0" fillId="0" borderId="0" xfId="0" applyNumberFormat="1"/>
    <xf numFmtId="165" fontId="8" fillId="0" borderId="6" xfId="0" applyNumberFormat="1" applyFont="1" applyBorder="1" applyAlignment="1">
      <alignment horizontal="left"/>
    </xf>
    <xf numFmtId="168" fontId="14" fillId="11" borderId="6" xfId="0" applyNumberFormat="1" applyFont="1" applyFill="1" applyBorder="1" applyAlignment="1">
      <alignment horizontal="center"/>
    </xf>
    <xf numFmtId="0" fontId="0" fillId="0" borderId="0" xfId="0" applyBorder="1"/>
    <xf numFmtId="43" fontId="9" fillId="4" borderId="0" xfId="1" applyFont="1" applyFill="1" applyBorder="1" applyAlignment="1">
      <alignment horizontal="center"/>
    </xf>
    <xf numFmtId="43" fontId="16" fillId="0" borderId="0" xfId="1" applyFont="1" applyBorder="1" applyAlignment="1">
      <alignment horizontal="center"/>
    </xf>
    <xf numFmtId="43" fontId="3" fillId="0" borderId="0" xfId="1" applyFont="1"/>
    <xf numFmtId="43" fontId="0" fillId="0" borderId="0" xfId="1" applyNumberFormat="1" applyFont="1"/>
    <xf numFmtId="0" fontId="3" fillId="0" borderId="0" xfId="0" applyFont="1" applyFill="1" applyBorder="1"/>
    <xf numFmtId="0" fontId="3" fillId="0" borderId="6" xfId="0" applyFont="1" applyFill="1" applyBorder="1"/>
    <xf numFmtId="0" fontId="17" fillId="0" borderId="6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vertical="center" wrapText="1"/>
    </xf>
    <xf numFmtId="0" fontId="9" fillId="12" borderId="6" xfId="0" applyFont="1" applyFill="1" applyBorder="1"/>
    <xf numFmtId="0" fontId="9" fillId="0" borderId="0" xfId="0" applyFont="1"/>
    <xf numFmtId="0" fontId="9" fillId="0" borderId="0" xfId="0" applyFont="1" applyAlignment="1">
      <alignment wrapText="1"/>
    </xf>
    <xf numFmtId="0" fontId="2" fillId="0" borderId="45" xfId="0" applyFont="1" applyBorder="1" applyAlignment="1">
      <alignment vertical="center" wrapText="1"/>
    </xf>
    <xf numFmtId="14" fontId="2" fillId="0" borderId="45" xfId="0" applyNumberFormat="1" applyFont="1" applyBorder="1" applyAlignment="1">
      <alignment vertical="center" wrapText="1"/>
    </xf>
    <xf numFmtId="3" fontId="2" fillId="0" borderId="45" xfId="0" applyNumberFormat="1" applyFont="1" applyBorder="1" applyAlignment="1">
      <alignment vertical="center" wrapText="1"/>
    </xf>
    <xf numFmtId="4" fontId="2" fillId="0" borderId="45" xfId="0" applyNumberFormat="1" applyFont="1" applyBorder="1" applyAlignment="1">
      <alignment vertical="center" wrapText="1"/>
    </xf>
    <xf numFmtId="165" fontId="13" fillId="0" borderId="0" xfId="0" applyNumberFormat="1" applyFont="1" applyBorder="1"/>
    <xf numFmtId="165" fontId="16" fillId="0" borderId="0" xfId="3" applyNumberFormat="1" applyFont="1" applyBorder="1" applyAlignment="1">
      <alignment horizontal="center"/>
    </xf>
    <xf numFmtId="165" fontId="3" fillId="0" borderId="0" xfId="0" applyNumberFormat="1" applyFont="1"/>
    <xf numFmtId="43" fontId="1" fillId="0" borderId="0" xfId="1" applyFont="1"/>
    <xf numFmtId="164" fontId="4" fillId="0" borderId="0" xfId="1" applyNumberFormat="1" applyFont="1" applyBorder="1"/>
    <xf numFmtId="0" fontId="1" fillId="0" borderId="0" xfId="0" applyFont="1"/>
    <xf numFmtId="0" fontId="18" fillId="14" borderId="46" xfId="0" applyFont="1" applyFill="1" applyBorder="1" applyAlignment="1">
      <alignment horizontal="center" wrapText="1"/>
    </xf>
    <xf numFmtId="0" fontId="18" fillId="14" borderId="49" xfId="0" applyFont="1" applyFill="1" applyBorder="1" applyAlignment="1">
      <alignment horizontal="center" wrapText="1"/>
    </xf>
    <xf numFmtId="0" fontId="19" fillId="13" borderId="47" xfId="0" applyFont="1" applyFill="1" applyBorder="1" applyAlignment="1">
      <alignment vertical="top" wrapText="1"/>
    </xf>
    <xf numFmtId="3" fontId="19" fillId="13" borderId="47" xfId="0" applyNumberFormat="1" applyFont="1" applyFill="1" applyBorder="1" applyAlignment="1">
      <alignment vertical="top" wrapText="1"/>
    </xf>
    <xf numFmtId="3" fontId="19" fillId="13" borderId="51" xfId="0" applyNumberFormat="1" applyFont="1" applyFill="1" applyBorder="1" applyAlignment="1">
      <alignment vertical="top" wrapText="1"/>
    </xf>
    <xf numFmtId="16" fontId="19" fillId="13" borderId="47" xfId="0" applyNumberFormat="1" applyFont="1" applyFill="1" applyBorder="1" applyAlignment="1">
      <alignment vertical="top" wrapText="1"/>
    </xf>
    <xf numFmtId="0" fontId="19" fillId="13" borderId="51" xfId="0" applyFont="1" applyFill="1" applyBorder="1" applyAlignment="1">
      <alignment vertical="top" wrapText="1"/>
    </xf>
    <xf numFmtId="0" fontId="19" fillId="13" borderId="53" xfId="0" applyFont="1" applyFill="1" applyBorder="1" applyAlignment="1">
      <alignment vertical="top" wrapText="1"/>
    </xf>
    <xf numFmtId="14" fontId="18" fillId="14" borderId="48" xfId="0" applyNumberFormat="1" applyFont="1" applyFill="1" applyBorder="1" applyAlignment="1">
      <alignment horizontal="center" wrapText="1"/>
    </xf>
    <xf numFmtId="14" fontId="19" fillId="13" borderId="50" xfId="0" applyNumberFormat="1" applyFont="1" applyFill="1" applyBorder="1" applyAlignment="1">
      <alignment vertical="top" wrapText="1"/>
    </xf>
    <xf numFmtId="14" fontId="19" fillId="13" borderId="52" xfId="0" applyNumberFormat="1" applyFont="1" applyFill="1" applyBorder="1" applyAlignment="1">
      <alignment vertical="top" wrapText="1"/>
    </xf>
    <xf numFmtId="14" fontId="1" fillId="0" borderId="0" xfId="0" applyNumberFormat="1" applyFont="1"/>
    <xf numFmtId="164" fontId="19" fillId="13" borderId="47" xfId="1" applyNumberFormat="1" applyFont="1" applyFill="1" applyBorder="1" applyAlignment="1">
      <alignment vertical="top" wrapText="1"/>
    </xf>
    <xf numFmtId="164" fontId="0" fillId="0" borderId="0" xfId="0" applyNumberFormat="1"/>
    <xf numFmtId="164" fontId="19" fillId="13" borderId="53" xfId="1" applyNumberFormat="1" applyFont="1" applyFill="1" applyBorder="1" applyAlignment="1">
      <alignment vertical="top" wrapText="1"/>
    </xf>
    <xf numFmtId="3" fontId="19" fillId="13" borderId="53" xfId="0" applyNumberFormat="1" applyFont="1" applyFill="1" applyBorder="1" applyAlignment="1">
      <alignment vertical="top" wrapText="1"/>
    </xf>
    <xf numFmtId="0" fontId="1" fillId="13" borderId="51" xfId="0" applyFont="1" applyFill="1" applyBorder="1"/>
    <xf numFmtId="3" fontId="19" fillId="13" borderId="54" xfId="0" applyNumberFormat="1" applyFont="1" applyFill="1" applyBorder="1" applyAlignment="1">
      <alignment vertical="top" wrapText="1"/>
    </xf>
    <xf numFmtId="17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1" fillId="0" borderId="45" xfId="0" applyFont="1" applyBorder="1" applyAlignment="1">
      <alignment vertical="center" wrapText="1"/>
    </xf>
    <xf numFmtId="14" fontId="21" fillId="0" borderId="45" xfId="0" applyNumberFormat="1" applyFont="1" applyBorder="1" applyAlignment="1">
      <alignment vertical="center" wrapText="1"/>
    </xf>
    <xf numFmtId="3" fontId="21" fillId="0" borderId="45" xfId="0" applyNumberFormat="1" applyFont="1" applyBorder="1" applyAlignment="1">
      <alignment vertical="center" wrapText="1"/>
    </xf>
    <xf numFmtId="4" fontId="21" fillId="0" borderId="45" xfId="0" applyNumberFormat="1" applyFont="1" applyBorder="1" applyAlignment="1">
      <alignment vertical="center" wrapText="1"/>
    </xf>
    <xf numFmtId="14" fontId="9" fillId="0" borderId="0" xfId="0" applyNumberFormat="1" applyFont="1" applyAlignment="1">
      <alignment wrapText="1"/>
    </xf>
    <xf numFmtId="14" fontId="0" fillId="0" borderId="45" xfId="0" applyNumberFormat="1" applyBorder="1" applyAlignment="1">
      <alignment wrapText="1"/>
    </xf>
    <xf numFmtId="0" fontId="0" fillId="0" borderId="45" xfId="0" applyBorder="1" applyAlignment="1">
      <alignment wrapText="1"/>
    </xf>
    <xf numFmtId="3" fontId="0" fillId="0" borderId="45" xfId="0" applyNumberFormat="1" applyBorder="1" applyAlignment="1">
      <alignment wrapText="1"/>
    </xf>
    <xf numFmtId="4" fontId="0" fillId="0" borderId="45" xfId="0" applyNumberFormat="1" applyBorder="1" applyAlignment="1">
      <alignment wrapText="1"/>
    </xf>
    <xf numFmtId="14" fontId="4" fillId="0" borderId="0" xfId="0" applyNumberFormat="1" applyFont="1" applyBorder="1" applyAlignment="1">
      <alignment vertical="center" wrapText="1"/>
    </xf>
    <xf numFmtId="14" fontId="4" fillId="0" borderId="0" xfId="0" applyNumberFormat="1" applyFont="1" applyBorder="1"/>
    <xf numFmtId="0" fontId="9" fillId="9" borderId="35" xfId="0" applyFont="1" applyFill="1" applyBorder="1" applyAlignment="1">
      <alignment horizontal="center"/>
    </xf>
    <xf numFmtId="0" fontId="9" fillId="9" borderId="36" xfId="0" applyFont="1" applyFill="1" applyBorder="1" applyAlignment="1">
      <alignment horizontal="center"/>
    </xf>
    <xf numFmtId="0" fontId="9" fillId="9" borderId="37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 vertical="center"/>
    </xf>
    <xf numFmtId="0" fontId="9" fillId="9" borderId="40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23" xfId="0" applyFont="1" applyBorder="1" applyAlignment="1">
      <alignment horizontal="center" vertical="center" textRotation="90"/>
    </xf>
    <xf numFmtId="17" fontId="12" fillId="0" borderId="13" xfId="0" applyNumberFormat="1" applyFont="1" applyBorder="1" applyAlignment="1">
      <alignment horizontal="center" vertical="center" textRotation="90"/>
    </xf>
    <xf numFmtId="17" fontId="12" fillId="0" borderId="28" xfId="0" applyNumberFormat="1" applyFont="1" applyBorder="1" applyAlignment="1">
      <alignment horizontal="center" vertical="center" textRotation="90"/>
    </xf>
    <xf numFmtId="0" fontId="12" fillId="0" borderId="29" xfId="0" applyFont="1" applyBorder="1" applyAlignment="1">
      <alignment horizontal="center" vertical="center" textRotation="90"/>
    </xf>
    <xf numFmtId="0" fontId="12" fillId="0" borderId="30" xfId="0" applyFont="1" applyBorder="1" applyAlignment="1">
      <alignment horizontal="center" vertical="center" textRotation="90"/>
    </xf>
    <xf numFmtId="17" fontId="12" fillId="0" borderId="16" xfId="0" applyNumberFormat="1" applyFont="1" applyBorder="1" applyAlignment="1">
      <alignment horizontal="center" vertical="center" textRotation="90"/>
    </xf>
    <xf numFmtId="17" fontId="12" fillId="0" borderId="19" xfId="0" applyNumberFormat="1" applyFont="1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3" xr:uid="{639C3014-47F7-44AA-8560-0802CBD3D75C}"/>
    <cellStyle name="Percent" xfId="2" builtinId="5"/>
  </cellStyles>
  <dxfs count="8"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ğasoy Okumuş" id="{FA05C5F3-A8E2-4352-9639-8AB9AB3F79A8}" userId="S::agasoy.okumus@milangaz.com.tr::5f3a4b9b-704d-49ba-b3b2-50f51fe8cb2a" providerId="AD"/>
  <person displayName="Şebnem Savtekin" id="{E09F8560-7A6E-4FDC-BC23-09AA686DF78B}" userId="S::Sebnem.Savtekin@milangaz.com.tr::32d312d7-ee91-4462-b1a7-137040874ee8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ıdvan Memiş" refreshedDate="44571.912474999997" createdVersion="7" refreshedVersion="7" minRefreshableVersion="3" recordCount="595" xr:uid="{7D85899C-D50E-4F9E-8116-BBBFA4F6C73D}">
  <cacheSource type="worksheet">
    <worksheetSource ref="A1:N1048576" sheet="data"/>
  </cacheSource>
  <cacheFields count="20">
    <cacheField name="Tarih" numFmtId="165">
      <sharedItems containsNonDate="0" containsDate="1" containsString="0" containsBlank="1" minDate="2020-06-01T00:00:00" maxDate="2022-01-15T00:00:00"/>
    </cacheField>
    <cacheField name="Toptan Satis Miktar" numFmtId="0">
      <sharedItems containsString="0" containsBlank="1" containsNumber="1" containsInteger="1" minValue="0" maxValue="9165980"/>
    </cacheField>
    <cacheField name="Tuplu Satis Miktar" numFmtId="0">
      <sharedItems containsString="0" containsBlank="1" containsNumber="1" containsInteger="1" minValue="0" maxValue="1122743"/>
    </cacheField>
    <cacheField name="Dokme Satis Miktar" numFmtId="0">
      <sharedItems containsString="0" containsBlank="1" containsNumber="1" containsInteger="1" minValue="0" maxValue="284016"/>
    </cacheField>
    <cacheField name="Otogaz Satis Miktar" numFmtId="0">
      <sharedItems containsString="0" containsBlank="1" containsNumber="1" containsInteger="1" minValue="0" maxValue="1102172"/>
    </cacheField>
    <cacheField name="Toplam Satis Miktar" numFmtId="0">
      <sharedItems containsString="0" containsBlank="1" containsNumber="1" containsInteger="1" minValue="0" maxValue="11878500"/>
    </cacheField>
    <cacheField name="Limit" numFmtId="0">
      <sharedItems containsString="0" containsBlank="1" containsNumber="1" minValue="-6.998661347052329E-2" maxValue="0.11127224526221864"/>
    </cacheField>
    <cacheField name="Tüpraş Fiyat Değişikliği  TL/ton" numFmtId="0">
      <sharedItems containsString="0" containsBlank="1" containsNumber="1" minValue="-2861.6440999999995" maxValue="1174.6561500000007"/>
    </cacheField>
    <cacheField name="Tüpraş Fiyat (OTV+Gelir)" numFmtId="43">
      <sharedItems containsString="0" containsBlank="1" containsNumber="1" minValue="3461.61" maxValue="12135.18"/>
    </cacheField>
    <cacheField name="Year" numFmtId="0">
      <sharedItems containsString="0" containsBlank="1" containsNumber="1" containsInteger="1" minValue="2020" maxValue="2022"/>
    </cacheField>
    <cacheField name="Month" numFmtId="0">
      <sharedItems containsString="0" containsBlank="1" containsNumber="1" containsInteger="1" minValue="1" maxValue="12"/>
    </cacheField>
    <cacheField name="Day" numFmtId="0">
      <sharedItems containsString="0" containsBlank="1" containsNumber="1" containsInteger="1" minValue="1" maxValue="31"/>
    </cacheField>
    <cacheField name="Weekday" numFmtId="0">
      <sharedItems containsString="0" containsBlank="1" containsNumber="1" containsInteger="1" minValue="1" maxValue="7"/>
    </cacheField>
    <cacheField name="Special_Day_Type_Holiday" numFmtId="0">
      <sharedItems containsBlank="1" containsMixedTypes="1" containsNumber="1" containsInteger="1" minValue="0" maxValue="0"/>
    </cacheField>
    <cacheField name="Special_Day_Type_Month" numFmtId="0">
      <sharedItems containsBlank="1" containsMixedTypes="1" containsNumber="1" containsInteger="1" minValue="0" maxValue="0"/>
    </cacheField>
    <cacheField name="Special_Day_Type_Zam" numFmtId="0">
      <sharedItems containsBlank="1" containsMixedTypes="1" containsNumber="1" containsInteger="1" minValue="0" maxValue="0"/>
    </cacheField>
    <cacheField name="Special_Day_Type_Indirim" numFmtId="0">
      <sharedItems containsBlank="1" containsMixedTypes="1" containsNumber="1" containsInteger="1" minValue="0" maxValue="0" count="6">
        <n v="0"/>
        <s v="I-2"/>
        <s v="I-1"/>
        <s v="I"/>
        <s v="I+1"/>
        <m/>
      </sharedItems>
    </cacheField>
    <cacheField name="Covid Hasta Sayisi" numFmtId="0">
      <sharedItems containsString="0" containsBlank="1" containsNumber="1" containsInteger="1" minValue="0" maxValue="7381"/>
    </cacheField>
    <cacheField name="Covid Vefat Sayisi" numFmtId="0">
      <sharedItems containsString="0" containsBlank="1" containsNumber="1" containsInteger="1" minValue="14" maxValue="394"/>
    </cacheField>
    <cacheField name="Vefat/Iyilesen" numFmtId="0">
      <sharedItems containsString="0" containsBlank="1" containsNumber="1" minValue="3.964009312275845E-3" maxValue="7.01071080817916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5">
  <r>
    <d v="2020-06-01T00:00:00"/>
    <n v="216800"/>
    <n v="729273"/>
    <n v="5961"/>
    <n v="171280"/>
    <n v="1123314"/>
    <n v="0"/>
    <n v="0"/>
    <n v="3461.61"/>
    <n v="2020"/>
    <n v="6"/>
    <n v="1"/>
    <n v="2"/>
    <n v="0"/>
    <s v="A0"/>
    <s v="Z-2"/>
    <x v="0"/>
    <n v="827"/>
    <n v="23"/>
    <n v="2.3613963039014373E-2"/>
  </r>
  <r>
    <d v="2020-06-02T00:00:00"/>
    <n v="336380"/>
    <n v="712024"/>
    <n v="7134"/>
    <n v="657056"/>
    <n v="1712594"/>
    <n v="5.4786007684181529E-2"/>
    <n v="293.10305000000017"/>
    <n v="3461.61"/>
    <n v="2020"/>
    <n v="6"/>
    <n v="2"/>
    <n v="3"/>
    <n v="0"/>
    <s v="A+1"/>
    <s v="Z-1"/>
    <x v="0"/>
    <n v="786"/>
    <n v="22"/>
    <n v="2.2587268993839837E-2"/>
  </r>
  <r>
    <d v="2020-06-03T00:00:00"/>
    <n v="202420"/>
    <n v="187235"/>
    <n v="10074"/>
    <n v="375137"/>
    <n v="774866"/>
    <n v="0"/>
    <n v="0"/>
    <n v="3752.43"/>
    <n v="2020"/>
    <n v="6"/>
    <n v="3"/>
    <n v="4"/>
    <n v="0"/>
    <n v="0"/>
    <s v="Z"/>
    <x v="0"/>
    <n v="867"/>
    <n v="24"/>
    <n v="2.577873254564984E-2"/>
  </r>
  <r>
    <d v="2020-06-04T00:00:00"/>
    <n v="244140"/>
    <n v="303234"/>
    <n v="3724"/>
    <n v="422513"/>
    <n v="973611"/>
    <n v="0"/>
    <n v="0"/>
    <n v="3752.43"/>
    <n v="2020"/>
    <n v="6"/>
    <n v="4"/>
    <n v="5"/>
    <n v="0"/>
    <n v="0"/>
    <s v="Z+1"/>
    <x v="0"/>
    <n v="988"/>
    <n v="21"/>
    <n v="2.267818574514039E-2"/>
  </r>
  <r>
    <d v="2020-06-05T00:00:00"/>
    <n v="367680"/>
    <n v="288031"/>
    <n v="2225"/>
    <n v="578255"/>
    <n v="1236191"/>
    <n v="0"/>
    <n v="0"/>
    <n v="3752.43"/>
    <n v="2020"/>
    <n v="6"/>
    <n v="5"/>
    <n v="6"/>
    <n v="0"/>
    <n v="0"/>
    <n v="0"/>
    <x v="0"/>
    <n v="930"/>
    <n v="18"/>
    <n v="1.1097410604192354E-2"/>
  </r>
  <r>
    <d v="2020-06-06T00:00:00"/>
    <n v="481300"/>
    <n v="291250"/>
    <n v="4993"/>
    <n v="754352"/>
    <n v="1531895"/>
    <n v="0"/>
    <n v="0"/>
    <n v="3752.43"/>
    <n v="2020"/>
    <n v="6"/>
    <n v="6"/>
    <n v="7"/>
    <n v="0"/>
    <n v="0"/>
    <n v="0"/>
    <x v="0"/>
    <n v="878"/>
    <n v="21"/>
    <n v="1.0926118626430802E-2"/>
  </r>
  <r>
    <d v="2020-06-07T00:00:00"/>
    <n v="360440"/>
    <n v="780"/>
    <n v="0"/>
    <n v="485740"/>
    <n v="846960"/>
    <n v="0"/>
    <n v="0"/>
    <n v="3752.43"/>
    <n v="2020"/>
    <n v="6"/>
    <n v="7"/>
    <n v="1"/>
    <n v="0"/>
    <n v="0"/>
    <n v="0"/>
    <x v="0"/>
    <n v="914"/>
    <n v="23"/>
    <n v="8.6890819795995469E-3"/>
  </r>
  <r>
    <d v="2020-06-08T00:00:00"/>
    <n v="407460"/>
    <n v="404246"/>
    <n v="5650"/>
    <n v="533995"/>
    <n v="1351351"/>
    <n v="0"/>
    <n v="0"/>
    <n v="3752.43"/>
    <n v="2020"/>
    <n v="6"/>
    <n v="8"/>
    <n v="2"/>
    <n v="0"/>
    <n v="0"/>
    <n v="0"/>
    <x v="0"/>
    <n v="989"/>
    <n v="19"/>
    <n v="5.5702140134857815E-3"/>
  </r>
  <r>
    <d v="2020-06-09T00:00:00"/>
    <n v="396180"/>
    <n v="378589"/>
    <n v="6695"/>
    <n v="515611"/>
    <n v="1297075"/>
    <n v="0"/>
    <n v="0"/>
    <n v="3752.43"/>
    <n v="2020"/>
    <n v="6"/>
    <n v="9"/>
    <n v="3"/>
    <n v="0"/>
    <n v="0"/>
    <n v="0"/>
    <x v="0"/>
    <n v="993"/>
    <n v="18"/>
    <n v="5.5935363579863269E-3"/>
  </r>
  <r>
    <d v="2020-06-10T00:00:00"/>
    <n v="304340"/>
    <n v="380192"/>
    <n v="4372"/>
    <n v="575367"/>
    <n v="1264271"/>
    <n v="0"/>
    <n v="0"/>
    <n v="3752.43"/>
    <n v="2020"/>
    <n v="6"/>
    <n v="10"/>
    <n v="4"/>
    <n v="0"/>
    <n v="0"/>
    <n v="0"/>
    <x v="0"/>
    <n v="922"/>
    <n v="17"/>
    <n v="7.5858991521642128E-3"/>
  </r>
  <r>
    <d v="2020-06-11T00:00:00"/>
    <n v="456160"/>
    <n v="376201"/>
    <n v="5037"/>
    <n v="538706"/>
    <n v="1376104"/>
    <n v="0"/>
    <n v="0"/>
    <n v="3752.43"/>
    <n v="2020"/>
    <n v="6"/>
    <n v="11"/>
    <n v="5"/>
    <n v="0"/>
    <n v="0"/>
    <n v="0"/>
    <x v="0"/>
    <n v="987"/>
    <n v="17"/>
    <n v="1.6650342801175319E-2"/>
  </r>
  <r>
    <d v="2020-06-12T00:00:00"/>
    <n v="464620"/>
    <n v="407578"/>
    <n v="1001"/>
    <n v="604258"/>
    <n v="1477457"/>
    <n v="0"/>
    <n v="0"/>
    <n v="3752.43"/>
    <n v="2020"/>
    <n v="6"/>
    <n v="12"/>
    <n v="6"/>
    <n v="0"/>
    <n v="0"/>
    <n v="0"/>
    <x v="0"/>
    <n v="1195"/>
    <n v="15"/>
    <n v="1.2077294685990338E-2"/>
  </r>
  <r>
    <d v="2020-06-13T00:00:00"/>
    <n v="580800"/>
    <n v="336679"/>
    <n v="4852"/>
    <n v="603169"/>
    <n v="1525500"/>
    <n v="0"/>
    <n v="0"/>
    <n v="3752.43"/>
    <n v="2020"/>
    <n v="6"/>
    <n v="13"/>
    <n v="7"/>
    <n v="0"/>
    <n v="0"/>
    <n v="0"/>
    <x v="0"/>
    <n v="1459"/>
    <n v="14"/>
    <n v="1.4213197969543147E-2"/>
  </r>
  <r>
    <d v="2020-06-14T00:00:00"/>
    <n v="539540"/>
    <n v="1276"/>
    <n v="0"/>
    <n v="449132"/>
    <n v="989948"/>
    <n v="0"/>
    <n v="0"/>
    <n v="3752.43"/>
    <n v="2020"/>
    <n v="6"/>
    <n v="14"/>
    <n v="1"/>
    <n v="0"/>
    <n v="0"/>
    <n v="0"/>
    <x v="0"/>
    <n v="1562"/>
    <n v="15"/>
    <n v="1.1278195488721804E-2"/>
  </r>
  <r>
    <d v="2020-06-15T00:00:00"/>
    <n v="446800"/>
    <n v="503235"/>
    <n v="5098"/>
    <n v="631647"/>
    <n v="1586780"/>
    <n v="0"/>
    <n v="0"/>
    <n v="3752.43"/>
    <n v="2020"/>
    <n v="6"/>
    <n v="15"/>
    <n v="2"/>
    <n v="0"/>
    <n v="0"/>
    <n v="0"/>
    <x v="0"/>
    <n v="1592"/>
    <n v="18"/>
    <n v="1.9007391763463569E-2"/>
  </r>
  <r>
    <d v="2020-06-16T00:00:00"/>
    <n v="526980"/>
    <n v="490738"/>
    <n v="3450"/>
    <n v="621022"/>
    <n v="1642190"/>
    <n v="0"/>
    <n v="0"/>
    <n v="3752.43"/>
    <n v="2020"/>
    <n v="6"/>
    <n v="16"/>
    <n v="3"/>
    <n v="0"/>
    <n v="0"/>
    <n v="0"/>
    <x v="0"/>
    <n v="1467"/>
    <n v="17"/>
    <n v="1.6748768472906402E-2"/>
  </r>
  <r>
    <d v="2020-06-17T00:00:00"/>
    <n v="510480"/>
    <n v="402837"/>
    <n v="2500"/>
    <n v="534608"/>
    <n v="1450425"/>
    <n v="0"/>
    <n v="0"/>
    <n v="3752.43"/>
    <n v="2020"/>
    <n v="6"/>
    <n v="17"/>
    <n v="4"/>
    <n v="0"/>
    <n v="0"/>
    <n v="0"/>
    <x v="0"/>
    <n v="1429"/>
    <n v="19"/>
    <n v="1.506740681998414E-2"/>
  </r>
  <r>
    <d v="2020-06-18T00:00:00"/>
    <n v="376220"/>
    <n v="389970"/>
    <n v="11991"/>
    <n v="561722"/>
    <n v="1339903"/>
    <n v="0"/>
    <n v="0"/>
    <n v="3752.43"/>
    <n v="2020"/>
    <n v="6"/>
    <n v="18"/>
    <n v="5"/>
    <n v="0"/>
    <n v="0"/>
    <n v="0"/>
    <x v="0"/>
    <n v="1304"/>
    <n v="21"/>
    <n v="1.5195369030390739E-2"/>
  </r>
  <r>
    <d v="2020-06-19T00:00:00"/>
    <n v="475160"/>
    <n v="435161"/>
    <n v="15499"/>
    <n v="539183"/>
    <n v="1465003"/>
    <n v="0"/>
    <n v="0"/>
    <n v="3752.43"/>
    <n v="2020"/>
    <n v="6"/>
    <n v="19"/>
    <n v="6"/>
    <n v="0"/>
    <n v="0"/>
    <n v="0"/>
    <x v="0"/>
    <n v="1214"/>
    <n v="23"/>
    <n v="1.5394912985274432E-2"/>
  </r>
  <r>
    <d v="2020-06-20T00:00:00"/>
    <n v="491440"/>
    <n v="312214"/>
    <n v="7886"/>
    <n v="646913"/>
    <n v="1458453"/>
    <n v="0"/>
    <n v="0"/>
    <n v="3752.43"/>
    <n v="2020"/>
    <n v="6"/>
    <n v="20"/>
    <n v="7"/>
    <n v="0"/>
    <n v="0"/>
    <n v="0"/>
    <x v="0"/>
    <n v="1248"/>
    <n v="22"/>
    <n v="1.676829268292683E-2"/>
  </r>
  <r>
    <d v="2020-06-21T00:00:00"/>
    <n v="474360"/>
    <n v="664"/>
    <n v="0"/>
    <n v="439578"/>
    <n v="914602"/>
    <n v="0"/>
    <n v="0"/>
    <n v="3752.43"/>
    <n v="2020"/>
    <n v="6"/>
    <n v="21"/>
    <n v="1"/>
    <n v="0"/>
    <n v="0"/>
    <n v="0"/>
    <x v="0"/>
    <n v="1192"/>
    <n v="23"/>
    <n v="1.6288951841359773E-2"/>
  </r>
  <r>
    <d v="2020-06-22T00:00:00"/>
    <n v="791817"/>
    <n v="425175"/>
    <n v="4201"/>
    <n v="639943"/>
    <n v="1861136"/>
    <n v="0"/>
    <n v="0"/>
    <n v="3752.43"/>
    <n v="2020"/>
    <n v="6"/>
    <n v="22"/>
    <n v="2"/>
    <n v="0"/>
    <n v="0"/>
    <n v="0"/>
    <x v="0"/>
    <n v="1212"/>
    <n v="24"/>
    <n v="1.8561484918793503E-2"/>
  </r>
  <r>
    <d v="2020-06-23T00:00:00"/>
    <n v="733780"/>
    <n v="532857"/>
    <n v="6117"/>
    <n v="591885"/>
    <n v="1864639"/>
    <n v="0"/>
    <n v="0"/>
    <n v="3752.43"/>
    <n v="2020"/>
    <n v="6"/>
    <n v="23"/>
    <n v="3"/>
    <n v="0"/>
    <n v="0"/>
    <n v="0"/>
    <x v="0"/>
    <n v="1268"/>
    <n v="27"/>
    <n v="2.0532319391634982E-2"/>
  </r>
  <r>
    <d v="2020-06-24T00:00:00"/>
    <n v="456660"/>
    <n v="420761"/>
    <n v="2239"/>
    <n v="513672"/>
    <n v="1393332"/>
    <n v="0"/>
    <n v="0"/>
    <n v="3752.43"/>
    <n v="2020"/>
    <n v="6"/>
    <n v="24"/>
    <n v="4"/>
    <n v="0"/>
    <n v="0"/>
    <n v="0"/>
    <x v="0"/>
    <n v="1492"/>
    <n v="24"/>
    <n v="1.7316017316017316E-2"/>
  </r>
  <r>
    <d v="2020-06-25T00:00:00"/>
    <n v="1450340"/>
    <n v="507295"/>
    <n v="7200"/>
    <n v="563111"/>
    <n v="2527946"/>
    <n v="0"/>
    <n v="0"/>
    <n v="3752.43"/>
    <n v="2020"/>
    <n v="6"/>
    <n v="25"/>
    <n v="5"/>
    <n v="0"/>
    <n v="0"/>
    <n v="0"/>
    <x v="0"/>
    <n v="1458"/>
    <n v="21"/>
    <n v="1.4266304347826086E-2"/>
  </r>
  <r>
    <d v="2020-06-26T00:00:00"/>
    <n v="560980"/>
    <n v="492067"/>
    <n v="11558"/>
    <n v="674334"/>
    <n v="1738939"/>
    <n v="0"/>
    <n v="0"/>
    <n v="3752.43"/>
    <n v="2020"/>
    <n v="6"/>
    <n v="26"/>
    <n v="6"/>
    <n v="0"/>
    <n v="0"/>
    <n v="0"/>
    <x v="0"/>
    <n v="1396"/>
    <n v="19"/>
    <n v="1.2734584450402145E-2"/>
  </r>
  <r>
    <d v="2020-06-27T00:00:00"/>
    <n v="630820"/>
    <n v="424738"/>
    <n v="1933"/>
    <n v="638173"/>
    <n v="1695664"/>
    <n v="0"/>
    <n v="0"/>
    <n v="3752.43"/>
    <n v="2020"/>
    <n v="6"/>
    <n v="27"/>
    <n v="7"/>
    <n v="0"/>
    <n v="0"/>
    <n v="0"/>
    <x v="0"/>
    <n v="1372"/>
    <n v="17"/>
    <n v="8.5685483870967735E-3"/>
  </r>
  <r>
    <d v="2020-06-28T00:00:00"/>
    <n v="541260"/>
    <n v="678"/>
    <n v="2956"/>
    <n v="402130"/>
    <n v="947024"/>
    <n v="0"/>
    <n v="0"/>
    <n v="3752.43"/>
    <n v="2020"/>
    <n v="6"/>
    <n v="28"/>
    <n v="1"/>
    <n v="0"/>
    <n v="0"/>
    <n v="0"/>
    <x v="0"/>
    <n v="1356"/>
    <n v="15"/>
    <n v="1.0615711252653927E-2"/>
  </r>
  <r>
    <d v="2020-06-29T00:00:00"/>
    <n v="448500"/>
    <n v="599064"/>
    <n v="15820"/>
    <n v="536650"/>
    <n v="1600034"/>
    <n v="0"/>
    <n v="0"/>
    <n v="3752.43"/>
    <n v="2020"/>
    <n v="6"/>
    <n v="29"/>
    <n v="2"/>
    <n v="0"/>
    <n v="0"/>
    <n v="0"/>
    <x v="0"/>
    <n v="1374"/>
    <n v="18"/>
    <n v="1.4827018121911038E-2"/>
  </r>
  <r>
    <d v="2020-06-30T00:00:00"/>
    <n v="1304580"/>
    <n v="864756"/>
    <n v="48981"/>
    <n v="853968"/>
    <n v="3072285"/>
    <n v="0"/>
    <n v="0"/>
    <n v="3752.43"/>
    <n v="2020"/>
    <n v="6"/>
    <n v="30"/>
    <n v="3"/>
    <n v="0"/>
    <s v="A-1"/>
    <s v="Z-2"/>
    <x v="0"/>
    <n v="1293"/>
    <n v="16"/>
    <n v="1.2288786482334869E-2"/>
  </r>
  <r>
    <d v="2020-07-01T00:00:00"/>
    <n v="506880"/>
    <n v="874079"/>
    <n v="1440"/>
    <n v="773753"/>
    <n v="2156152"/>
    <n v="5.2960787381300459E-2"/>
    <n v="476.94519999999989"/>
    <n v="3752.43"/>
    <n v="2020"/>
    <n v="7"/>
    <n v="1"/>
    <n v="4"/>
    <n v="0"/>
    <s v="A0"/>
    <s v="Z-1"/>
    <x v="0"/>
    <n v="1192"/>
    <n v="19"/>
    <n v="8.2215491129381223E-3"/>
  </r>
  <r>
    <d v="2020-07-02T00:00:00"/>
    <n v="366040"/>
    <n v="195193"/>
    <n v="11983"/>
    <n v="413394"/>
    <n v="986610"/>
    <n v="0"/>
    <n v="0"/>
    <n v="4229.38"/>
    <n v="2020"/>
    <n v="7"/>
    <n v="2"/>
    <n v="5"/>
    <n v="0"/>
    <s v="A+1"/>
    <s v="Z"/>
    <x v="0"/>
    <n v="1186"/>
    <n v="17"/>
    <n v="1.1017498379779649E-2"/>
  </r>
  <r>
    <d v="2020-07-03T00:00:00"/>
    <n v="341500"/>
    <n v="258664"/>
    <n v="3371"/>
    <n v="504178"/>
    <n v="1107713"/>
    <n v="0"/>
    <n v="0"/>
    <n v="4229.38"/>
    <n v="2020"/>
    <n v="7"/>
    <n v="3"/>
    <n v="6"/>
    <n v="0"/>
    <n v="0"/>
    <s v="Z+1"/>
    <x v="0"/>
    <n v="1172"/>
    <n v="19"/>
    <n v="1.4470677837014471E-2"/>
  </r>
  <r>
    <d v="2020-07-04T00:00:00"/>
    <n v="407880"/>
    <n v="275959"/>
    <n v="4098"/>
    <n v="641523"/>
    <n v="1329460"/>
    <n v="0"/>
    <n v="0"/>
    <n v="4229.38"/>
    <n v="2020"/>
    <n v="7"/>
    <n v="4"/>
    <n v="7"/>
    <n v="0"/>
    <n v="0"/>
    <n v="0"/>
    <x v="0"/>
    <n v="1154"/>
    <n v="20"/>
    <n v="1.6474464579901153E-2"/>
  </r>
  <r>
    <d v="2020-07-05T00:00:00"/>
    <n v="462920"/>
    <n v="618"/>
    <n v="0"/>
    <n v="499316"/>
    <n v="962854"/>
    <n v="0"/>
    <n v="0"/>
    <n v="4229.38"/>
    <n v="2020"/>
    <n v="7"/>
    <n v="5"/>
    <n v="1"/>
    <n v="0"/>
    <n v="0"/>
    <n v="0"/>
    <x v="0"/>
    <n v="1148"/>
    <n v="19"/>
    <n v="1.5993265993265993E-2"/>
  </r>
  <r>
    <d v="2020-07-06T00:00:00"/>
    <n v="526320"/>
    <n v="417471"/>
    <n v="2459"/>
    <n v="617726"/>
    <n v="1563976"/>
    <n v="0"/>
    <n v="0"/>
    <n v="4229.38"/>
    <n v="2020"/>
    <n v="7"/>
    <n v="6"/>
    <n v="2"/>
    <n v="0"/>
    <n v="0"/>
    <n v="0"/>
    <x v="0"/>
    <n v="1086"/>
    <n v="16"/>
    <n v="6.9114470842332612E-3"/>
  </r>
  <r>
    <d v="2020-07-07T00:00:00"/>
    <n v="433060"/>
    <n v="372158"/>
    <n v="10504"/>
    <n v="626272"/>
    <n v="1441994"/>
    <n v="0"/>
    <n v="0"/>
    <n v="4229.38"/>
    <n v="2020"/>
    <n v="7"/>
    <n v="7"/>
    <n v="3"/>
    <n v="0"/>
    <n v="0"/>
    <n v="0"/>
    <x v="0"/>
    <n v="1053"/>
    <n v="19"/>
    <n v="8.2716586852416198E-3"/>
  </r>
  <r>
    <d v="2020-07-08T00:00:00"/>
    <n v="416020"/>
    <n v="396865"/>
    <n v="15211"/>
    <n v="634320"/>
    <n v="1462416"/>
    <n v="0"/>
    <n v="0"/>
    <n v="4229.38"/>
    <n v="2020"/>
    <n v="7"/>
    <n v="8"/>
    <n v="4"/>
    <n v="0"/>
    <n v="0"/>
    <n v="0"/>
    <x v="0"/>
    <n v="1041"/>
    <n v="22"/>
    <n v="9.9143758449752144E-3"/>
  </r>
  <r>
    <d v="2020-07-09T00:00:00"/>
    <n v="420740"/>
    <n v="343940"/>
    <n v="14648"/>
    <n v="497966"/>
    <n v="1277294"/>
    <n v="0"/>
    <n v="0"/>
    <n v="4229.38"/>
    <n v="2020"/>
    <n v="7"/>
    <n v="9"/>
    <n v="5"/>
    <n v="0"/>
    <n v="0"/>
    <n v="0"/>
    <x v="0"/>
    <n v="1024"/>
    <n v="18"/>
    <n v="6.252170892671066E-3"/>
  </r>
  <r>
    <d v="2020-07-10T00:00:00"/>
    <n v="435920"/>
    <n v="413013"/>
    <n v="0"/>
    <n v="657681"/>
    <n v="1506614"/>
    <n v="0"/>
    <n v="0"/>
    <n v="4229.38"/>
    <n v="2020"/>
    <n v="7"/>
    <n v="10"/>
    <n v="6"/>
    <n v="0"/>
    <n v="0"/>
    <n v="0"/>
    <x v="0"/>
    <n v="1003"/>
    <n v="23"/>
    <n v="1.5405224380442064E-2"/>
  </r>
  <r>
    <d v="2020-07-11T00:00:00"/>
    <n v="503080"/>
    <n v="378582"/>
    <n v="3500"/>
    <n v="695630"/>
    <n v="1580792"/>
    <n v="0"/>
    <n v="0"/>
    <n v="4229.38"/>
    <n v="2020"/>
    <n v="7"/>
    <n v="11"/>
    <n v="7"/>
    <n v="0"/>
    <n v="0"/>
    <n v="0"/>
    <x v="0"/>
    <n v="1016"/>
    <n v="21"/>
    <n v="1.5742128935532233E-2"/>
  </r>
  <r>
    <d v="2020-07-12T00:00:00"/>
    <n v="493280"/>
    <n v="892"/>
    <n v="0"/>
    <n v="492652"/>
    <n v="986824"/>
    <n v="0"/>
    <n v="0"/>
    <n v="4229.38"/>
    <n v="2020"/>
    <n v="7"/>
    <n v="12"/>
    <n v="1"/>
    <n v="0"/>
    <n v="0"/>
    <n v="0"/>
    <x v="0"/>
    <n v="1012"/>
    <n v="19"/>
    <n v="1.4637904468412942E-2"/>
  </r>
  <r>
    <d v="2020-07-13T00:00:00"/>
    <n v="438520"/>
    <n v="490970"/>
    <n v="2339"/>
    <n v="689205"/>
    <n v="1621034"/>
    <n v="0"/>
    <n v="0"/>
    <n v="4229.38"/>
    <n v="2020"/>
    <n v="7"/>
    <n v="13"/>
    <n v="2"/>
    <n v="0"/>
    <n v="0"/>
    <n v="0"/>
    <x v="0"/>
    <n v="1008"/>
    <n v="19"/>
    <n v="1.6435986159169549E-2"/>
  </r>
  <r>
    <d v="2020-07-14T00:00:00"/>
    <n v="411500"/>
    <n v="474957"/>
    <n v="0"/>
    <n v="614142"/>
    <n v="1500599"/>
    <n v="0"/>
    <n v="0"/>
    <n v="4229.38"/>
    <n v="2020"/>
    <n v="7"/>
    <n v="14"/>
    <n v="3"/>
    <n v="0"/>
    <n v="0"/>
    <n v="0"/>
    <x v="0"/>
    <n v="992"/>
    <n v="20"/>
    <n v="1.9065776930409915E-2"/>
  </r>
  <r>
    <d v="2020-07-15T00:00:00"/>
    <n v="492000"/>
    <n v="426386"/>
    <n v="7204"/>
    <n v="658424"/>
    <n v="1584014"/>
    <n v="0"/>
    <n v="0"/>
    <n v="4229.38"/>
    <n v="2020"/>
    <n v="7"/>
    <n v="15"/>
    <n v="4"/>
    <s v="T"/>
    <n v="0"/>
    <n v="0"/>
    <x v="0"/>
    <n v="947"/>
    <n v="17"/>
    <n v="1.6781836130306021E-2"/>
  </r>
  <r>
    <d v="2020-07-16T00:00:00"/>
    <n v="1436340"/>
    <n v="374402"/>
    <n v="9492"/>
    <n v="581062"/>
    <n v="2401296"/>
    <n v="0"/>
    <n v="0"/>
    <n v="4229.38"/>
    <n v="2020"/>
    <n v="7"/>
    <n v="16"/>
    <n v="5"/>
    <n v="0"/>
    <n v="0"/>
    <n v="0"/>
    <x v="0"/>
    <n v="933"/>
    <n v="21"/>
    <n v="1.9319227230910764E-2"/>
  </r>
  <r>
    <d v="2020-07-17T00:00:00"/>
    <n v="400180"/>
    <n v="387740"/>
    <n v="2380"/>
    <n v="622987"/>
    <n v="1413287"/>
    <n v="0"/>
    <n v="0"/>
    <n v="4229.38"/>
    <n v="2020"/>
    <n v="7"/>
    <n v="17"/>
    <n v="6"/>
    <n v="0"/>
    <n v="0"/>
    <n v="0"/>
    <x v="0"/>
    <n v="926"/>
    <n v="18"/>
    <n v="1.7751479289940829E-2"/>
  </r>
  <r>
    <d v="2020-07-18T00:00:00"/>
    <n v="578820"/>
    <n v="386712"/>
    <n v="1000"/>
    <n v="650358"/>
    <n v="1616890"/>
    <n v="0"/>
    <n v="0"/>
    <n v="4229.38"/>
    <n v="2020"/>
    <n v="7"/>
    <n v="18"/>
    <n v="7"/>
    <n v="0"/>
    <n v="0"/>
    <n v="0"/>
    <x v="0"/>
    <n v="918"/>
    <n v="17"/>
    <n v="1.441899915182358E-2"/>
  </r>
  <r>
    <d v="2020-07-19T00:00:00"/>
    <n v="389220"/>
    <n v="738"/>
    <n v="0"/>
    <n v="560155"/>
    <n v="950113"/>
    <n v="0"/>
    <n v="0"/>
    <n v="4229.38"/>
    <n v="2020"/>
    <n v="7"/>
    <n v="19"/>
    <n v="1"/>
    <n v="0"/>
    <n v="0"/>
    <n v="0"/>
    <x v="0"/>
    <n v="924"/>
    <n v="16"/>
    <n v="1.60481444332999E-2"/>
  </r>
  <r>
    <d v="2020-07-20T00:00:00"/>
    <n v="825160"/>
    <n v="493056"/>
    <n v="4232"/>
    <n v="624250"/>
    <n v="1946698"/>
    <n v="0"/>
    <n v="0"/>
    <n v="4229.38"/>
    <n v="2020"/>
    <n v="7"/>
    <n v="20"/>
    <n v="2"/>
    <n v="0"/>
    <n v="0"/>
    <n v="0"/>
    <x v="0"/>
    <n v="931"/>
    <n v="17"/>
    <n v="1.7137096774193547E-2"/>
  </r>
  <r>
    <d v="2020-07-21T00:00:00"/>
    <n v="493080"/>
    <n v="483396"/>
    <n v="13384"/>
    <n v="565034"/>
    <n v="1554894"/>
    <n v="0"/>
    <n v="0"/>
    <n v="4229.38"/>
    <n v="2020"/>
    <n v="7"/>
    <n v="21"/>
    <n v="3"/>
    <n v="0"/>
    <n v="0"/>
    <n v="0"/>
    <x v="0"/>
    <n v="928"/>
    <n v="18"/>
    <n v="1.7839444995044598E-2"/>
  </r>
  <r>
    <d v="2020-07-22T00:00:00"/>
    <n v="683520"/>
    <n v="411111"/>
    <n v="8060"/>
    <n v="660693"/>
    <n v="1763384"/>
    <n v="0"/>
    <n v="0"/>
    <n v="4229.38"/>
    <n v="2020"/>
    <n v="7"/>
    <n v="22"/>
    <n v="4"/>
    <n v="0"/>
    <n v="0"/>
    <n v="0"/>
    <x v="0"/>
    <n v="902"/>
    <n v="19"/>
    <n v="1.5793848711554447E-2"/>
  </r>
  <r>
    <d v="2020-07-23T00:00:00"/>
    <n v="526560"/>
    <n v="505543"/>
    <n v="4251"/>
    <n v="515837"/>
    <n v="1552191"/>
    <n v="0"/>
    <n v="0"/>
    <n v="4229.38"/>
    <n v="2020"/>
    <n v="7"/>
    <n v="23"/>
    <n v="5"/>
    <n v="0"/>
    <n v="0"/>
    <n v="0"/>
    <x v="0"/>
    <n v="913"/>
    <n v="18"/>
    <n v="1.5638575152041704E-2"/>
  </r>
  <r>
    <d v="2020-07-24T00:00:00"/>
    <n v="1253100"/>
    <n v="529136"/>
    <n v="7498"/>
    <n v="644372"/>
    <n v="2434106"/>
    <n v="0"/>
    <n v="0"/>
    <n v="4229.38"/>
    <n v="2020"/>
    <n v="7"/>
    <n v="24"/>
    <n v="6"/>
    <n v="0"/>
    <n v="0"/>
    <n v="0"/>
    <x v="0"/>
    <n v="937"/>
    <n v="17"/>
    <n v="1.6848364717542121E-2"/>
  </r>
  <r>
    <d v="2020-07-25T00:00:00"/>
    <n v="590500"/>
    <n v="409387"/>
    <n v="26614"/>
    <n v="692151"/>
    <n v="1718652"/>
    <n v="0"/>
    <n v="0"/>
    <n v="4229.38"/>
    <n v="2020"/>
    <n v="7"/>
    <n v="25"/>
    <n v="7"/>
    <n v="0"/>
    <n v="0"/>
    <n v="0"/>
    <x v="0"/>
    <n v="921"/>
    <n v="16"/>
    <n v="1.4505893019038985E-2"/>
  </r>
  <r>
    <d v="2020-07-26T00:00:00"/>
    <n v="396020"/>
    <n v="1402"/>
    <n v="0"/>
    <n v="549062"/>
    <n v="946484"/>
    <n v="0"/>
    <n v="0"/>
    <n v="4229.38"/>
    <n v="2020"/>
    <n v="7"/>
    <n v="26"/>
    <n v="1"/>
    <n v="0"/>
    <n v="0"/>
    <n v="0"/>
    <x v="0"/>
    <n v="927"/>
    <n v="17"/>
    <n v="1.6831683168316833E-2"/>
  </r>
  <r>
    <d v="2020-07-27T00:00:00"/>
    <n v="528040"/>
    <n v="634273"/>
    <n v="13285"/>
    <n v="734245"/>
    <n v="1909843"/>
    <n v="0"/>
    <n v="0"/>
    <n v="4229.38"/>
    <n v="2020"/>
    <n v="7"/>
    <n v="27"/>
    <n v="2"/>
    <n v="0"/>
    <n v="0"/>
    <n v="0"/>
    <x v="0"/>
    <n v="919"/>
    <n v="17"/>
    <n v="1.7311608961303463E-2"/>
  </r>
  <r>
    <d v="2020-07-28T00:00:00"/>
    <n v="603500"/>
    <n v="662582"/>
    <n v="1001"/>
    <n v="637175"/>
    <n v="1904258"/>
    <n v="0"/>
    <n v="0"/>
    <n v="4229.38"/>
    <n v="2020"/>
    <n v="7"/>
    <n v="28"/>
    <n v="3"/>
    <n v="0"/>
    <n v="0"/>
    <n v="0"/>
    <x v="0"/>
    <n v="963"/>
    <n v="15"/>
    <n v="1.3736263736263736E-2"/>
  </r>
  <r>
    <d v="2020-07-29T00:00:00"/>
    <n v="520940"/>
    <n v="748094"/>
    <n v="7890"/>
    <n v="845963"/>
    <n v="2122887"/>
    <n v="0"/>
    <n v="0"/>
    <n v="4229.38"/>
    <n v="2020"/>
    <n v="7"/>
    <n v="29"/>
    <n v="4"/>
    <n v="0"/>
    <n v="0"/>
    <n v="0"/>
    <x v="0"/>
    <n v="942"/>
    <n v="14"/>
    <n v="1.4056224899598393E-2"/>
  </r>
  <r>
    <d v="2020-07-30T00:00:00"/>
    <n v="731500"/>
    <n v="660348"/>
    <n v="11277"/>
    <n v="1102172"/>
    <n v="2505297"/>
    <n v="0"/>
    <n v="0"/>
    <n v="4229.38"/>
    <n v="2020"/>
    <n v="7"/>
    <n v="30"/>
    <n v="5"/>
    <s v="KBA"/>
    <n v="0"/>
    <n v="0"/>
    <x v="0"/>
    <n v="967"/>
    <n v="15"/>
    <n v="1.5274949083503055E-2"/>
  </r>
  <r>
    <d v="2020-07-31T00:00:00"/>
    <n v="591360"/>
    <n v="1170"/>
    <n v="4600"/>
    <n v="650224"/>
    <n v="1247354"/>
    <n v="0"/>
    <n v="0"/>
    <n v="4229.38"/>
    <n v="2020"/>
    <n v="7"/>
    <n v="31"/>
    <n v="6"/>
    <s v="KB1"/>
    <s v="A-1"/>
    <n v="0"/>
    <x v="0"/>
    <n v="982"/>
    <n v="17"/>
    <n v="1.7068273092369479E-2"/>
  </r>
  <r>
    <d v="2020-08-01T00:00:00"/>
    <n v="557300"/>
    <n v="9241"/>
    <n v="0"/>
    <n v="705551"/>
    <n v="1272092"/>
    <n v="0"/>
    <n v="0"/>
    <n v="4229.38"/>
    <n v="2020"/>
    <n v="8"/>
    <n v="1"/>
    <n v="7"/>
    <s v="KB2"/>
    <s v="A0"/>
    <n v="0"/>
    <x v="0"/>
    <n v="996"/>
    <n v="19"/>
    <n v="1.9367991845056064E-2"/>
  </r>
  <r>
    <d v="2020-08-02T00:00:00"/>
    <n v="519820"/>
    <n v="1866"/>
    <n v="0"/>
    <n v="773239"/>
    <n v="1294925"/>
    <n v="0"/>
    <n v="0"/>
    <n v="4229.38"/>
    <n v="2020"/>
    <n v="8"/>
    <n v="2"/>
    <n v="1"/>
    <s v="KB3"/>
    <s v="A+1"/>
    <n v="0"/>
    <x v="0"/>
    <n v="987"/>
    <n v="18"/>
    <n v="1.8404907975460124E-2"/>
  </r>
  <r>
    <d v="2020-08-03T00:00:00"/>
    <n v="579460"/>
    <n v="531093"/>
    <n v="0"/>
    <n v="829463"/>
    <n v="1940016"/>
    <n v="0"/>
    <n v="0"/>
    <n v="4229.38"/>
    <n v="2020"/>
    <n v="8"/>
    <n v="3"/>
    <n v="2"/>
    <s v="KB4"/>
    <n v="0"/>
    <n v="0"/>
    <x v="0"/>
    <n v="995"/>
    <n v="19"/>
    <n v="1.8943170488534396E-2"/>
  </r>
  <r>
    <d v="2020-08-04T00:00:00"/>
    <n v="549980"/>
    <n v="547954"/>
    <n v="10298"/>
    <n v="646957"/>
    <n v="1755189"/>
    <n v="0"/>
    <n v="0"/>
    <n v="4229.38"/>
    <n v="2020"/>
    <n v="8"/>
    <n v="4"/>
    <n v="3"/>
    <s v="KB+1"/>
    <n v="0"/>
    <n v="0"/>
    <x v="0"/>
    <n v="1083"/>
    <n v="18"/>
    <n v="1.8108651911468814E-2"/>
  </r>
  <r>
    <d v="2020-08-05T00:00:00"/>
    <n v="477400"/>
    <n v="469766"/>
    <n v="6630"/>
    <n v="605106"/>
    <n v="1558902"/>
    <n v="0"/>
    <n v="0"/>
    <n v="4229.38"/>
    <n v="2020"/>
    <n v="8"/>
    <n v="5"/>
    <n v="4"/>
    <s v="KB+2"/>
    <n v="0"/>
    <n v="0"/>
    <x v="0"/>
    <n v="1178"/>
    <n v="19"/>
    <n v="1.8719211822660099E-2"/>
  </r>
  <r>
    <d v="2020-08-06T00:00:00"/>
    <n v="308120"/>
    <n v="454648"/>
    <n v="7278"/>
    <n v="618995"/>
    <n v="1389041"/>
    <n v="0"/>
    <n v="0"/>
    <n v="4229.38"/>
    <n v="2020"/>
    <n v="8"/>
    <n v="6"/>
    <n v="5"/>
    <n v="0"/>
    <n v="0"/>
    <n v="0"/>
    <x v="0"/>
    <n v="1153"/>
    <n v="14"/>
    <n v="1.3461538461538462E-2"/>
  </r>
  <r>
    <d v="2020-08-07T00:00:00"/>
    <n v="390780"/>
    <n v="554854"/>
    <n v="2032"/>
    <n v="582893"/>
    <n v="1530559"/>
    <n v="0"/>
    <n v="0"/>
    <n v="4229.38"/>
    <n v="2020"/>
    <n v="8"/>
    <n v="7"/>
    <n v="6"/>
    <n v="0"/>
    <n v="0"/>
    <n v="0"/>
    <x v="0"/>
    <n v="1185"/>
    <n v="15"/>
    <n v="1.4591439688715954E-2"/>
  </r>
  <r>
    <d v="2020-08-08T00:00:00"/>
    <n v="433620"/>
    <n v="415898"/>
    <n v="2970"/>
    <n v="793744"/>
    <n v="1646232"/>
    <n v="0"/>
    <n v="0"/>
    <n v="4229.38"/>
    <n v="2020"/>
    <n v="8"/>
    <n v="8"/>
    <n v="7"/>
    <n v="0"/>
    <n v="0"/>
    <n v="0"/>
    <x v="0"/>
    <n v="1172"/>
    <n v="16"/>
    <n v="1.4787430683918669E-2"/>
  </r>
  <r>
    <d v="2020-08-09T00:00:00"/>
    <n v="300180"/>
    <n v="802"/>
    <n v="0"/>
    <n v="549759"/>
    <n v="850741"/>
    <n v="0"/>
    <n v="0"/>
    <n v="4229.38"/>
    <n v="2020"/>
    <n v="8"/>
    <n v="9"/>
    <n v="1"/>
    <n v="0"/>
    <n v="0"/>
    <n v="0"/>
    <x v="0"/>
    <n v="1182"/>
    <n v="15"/>
    <n v="1.3599274705349048E-2"/>
  </r>
  <r>
    <d v="2020-08-10T00:00:00"/>
    <n v="359640"/>
    <n v="548111"/>
    <n v="6910"/>
    <n v="700480"/>
    <n v="1615141"/>
    <n v="0"/>
    <n v="0"/>
    <n v="4229.38"/>
    <n v="2020"/>
    <n v="8"/>
    <n v="10"/>
    <n v="2"/>
    <n v="0"/>
    <n v="0"/>
    <n v="0"/>
    <x v="0"/>
    <n v="1193"/>
    <n v="14"/>
    <n v="1.1560693641618497E-2"/>
  </r>
  <r>
    <d v="2020-08-11T00:00:00"/>
    <n v="336720"/>
    <n v="457428"/>
    <n v="10705"/>
    <n v="597829"/>
    <n v="1402682"/>
    <n v="0"/>
    <n v="0"/>
    <n v="4229.38"/>
    <n v="2020"/>
    <n v="8"/>
    <n v="11"/>
    <n v="3"/>
    <n v="0"/>
    <n v="0"/>
    <n v="0"/>
    <x v="0"/>
    <n v="1183"/>
    <n v="15"/>
    <n v="1.2658227848101266E-2"/>
  </r>
  <r>
    <d v="2020-08-12T00:00:00"/>
    <n v="434680"/>
    <n v="465808"/>
    <n v="19754"/>
    <n v="599035"/>
    <n v="1519277"/>
    <n v="0"/>
    <n v="0"/>
    <n v="4229.38"/>
    <n v="2020"/>
    <n v="8"/>
    <n v="12"/>
    <n v="4"/>
    <n v="0"/>
    <n v="0"/>
    <n v="0"/>
    <x v="0"/>
    <n v="1212"/>
    <n v="18"/>
    <n v="1.9271948608137045E-2"/>
  </r>
  <r>
    <d v="2020-08-13T00:00:00"/>
    <n v="324300"/>
    <n v="479434"/>
    <n v="10945"/>
    <n v="587614"/>
    <n v="1402293"/>
    <n v="0"/>
    <n v="0"/>
    <n v="4229.38"/>
    <n v="2020"/>
    <n v="8"/>
    <n v="13"/>
    <n v="5"/>
    <n v="0"/>
    <n v="0"/>
    <n v="0"/>
    <x v="0"/>
    <n v="1243"/>
    <n v="21"/>
    <n v="2.1694214876033058E-2"/>
  </r>
  <r>
    <d v="2020-08-14T00:00:00"/>
    <n v="399880"/>
    <n v="401313"/>
    <n v="5593"/>
    <n v="648839"/>
    <n v="1455625"/>
    <n v="0"/>
    <n v="0"/>
    <n v="4229.38"/>
    <n v="2020"/>
    <n v="8"/>
    <n v="14"/>
    <n v="6"/>
    <n v="0"/>
    <n v="0"/>
    <n v="0"/>
    <x v="0"/>
    <n v="1226"/>
    <n v="22"/>
    <n v="2.3835319609967497E-2"/>
  </r>
  <r>
    <d v="2020-08-15T00:00:00"/>
    <n v="536820"/>
    <n v="366967"/>
    <n v="5681"/>
    <n v="689389"/>
    <n v="1598857"/>
    <n v="0"/>
    <n v="0"/>
    <n v="4229.38"/>
    <n v="2020"/>
    <n v="8"/>
    <n v="15"/>
    <n v="7"/>
    <n v="0"/>
    <n v="0"/>
    <n v="0"/>
    <x v="0"/>
    <n v="1256"/>
    <n v="21"/>
    <n v="2.1169354838709676E-2"/>
  </r>
  <r>
    <d v="2020-08-16T00:00:00"/>
    <n v="362520"/>
    <n v="796"/>
    <n v="0"/>
    <n v="515170"/>
    <n v="878486"/>
    <n v="0"/>
    <n v="0"/>
    <n v="4229.38"/>
    <n v="2020"/>
    <n v="8"/>
    <n v="16"/>
    <n v="1"/>
    <n v="0"/>
    <n v="0"/>
    <n v="0"/>
    <x v="0"/>
    <n v="1192"/>
    <n v="19"/>
    <n v="1.9057171514543631E-2"/>
  </r>
  <r>
    <d v="2020-08-17T00:00:00"/>
    <n v="317800"/>
    <n v="513177"/>
    <n v="7760"/>
    <n v="706665"/>
    <n v="1545402"/>
    <n v="0"/>
    <n v="0"/>
    <n v="4229.38"/>
    <n v="2020"/>
    <n v="8"/>
    <n v="17"/>
    <n v="2"/>
    <n v="0"/>
    <n v="0"/>
    <n v="0"/>
    <x v="0"/>
    <n v="1233"/>
    <n v="22"/>
    <n v="2.1956087824351298E-2"/>
  </r>
  <r>
    <d v="2020-08-18T00:00:00"/>
    <n v="288220"/>
    <n v="497444"/>
    <n v="5466"/>
    <n v="572209"/>
    <n v="1363339"/>
    <n v="0"/>
    <n v="0"/>
    <n v="4229.38"/>
    <n v="2020"/>
    <n v="8"/>
    <n v="18"/>
    <n v="3"/>
    <n v="0"/>
    <n v="0"/>
    <s v="Z-2"/>
    <x v="0"/>
    <n v="1263"/>
    <n v="20"/>
    <n v="2.1231422505307854E-2"/>
  </r>
  <r>
    <d v="2020-08-19T00:00:00"/>
    <n v="186460"/>
    <n v="715167"/>
    <n v="60074"/>
    <n v="659475"/>
    <n v="1621176"/>
    <n v="3.1399397187036805E-2"/>
    <n v="87.502999999999702"/>
    <n v="4229.38"/>
    <n v="2020"/>
    <n v="8"/>
    <n v="19"/>
    <n v="4"/>
    <n v="0"/>
    <n v="0"/>
    <s v="Z-1"/>
    <x v="0"/>
    <n v="1303"/>
    <n v="23"/>
    <n v="2.2954091816367265E-2"/>
  </r>
  <r>
    <d v="2020-08-20T00:00:00"/>
    <n v="245620"/>
    <n v="353585"/>
    <n v="6560"/>
    <n v="549590"/>
    <n v="1155355"/>
    <n v="0"/>
    <n v="0"/>
    <n v="4316.88"/>
    <n v="2020"/>
    <n v="8"/>
    <n v="20"/>
    <n v="5"/>
    <n v="0"/>
    <n v="0"/>
    <s v="Z"/>
    <x v="0"/>
    <n v="1412"/>
    <n v="19"/>
    <n v="2.1541950113378686E-2"/>
  </r>
  <r>
    <d v="2020-08-21T00:00:00"/>
    <n v="255780"/>
    <n v="382942"/>
    <n v="10497"/>
    <n v="554515"/>
    <n v="1203734"/>
    <n v="0"/>
    <n v="0"/>
    <n v="4316.88"/>
    <n v="2020"/>
    <n v="8"/>
    <n v="21"/>
    <n v="6"/>
    <n v="0"/>
    <n v="0"/>
    <s v="Z+1"/>
    <x v="0"/>
    <n v="1203"/>
    <n v="22"/>
    <n v="2.8497409326424871E-2"/>
  </r>
  <r>
    <d v="2020-08-22T00:00:00"/>
    <n v="435720"/>
    <n v="358532"/>
    <n v="4586"/>
    <n v="655997"/>
    <n v="1454835"/>
    <n v="0"/>
    <n v="0"/>
    <n v="4316.88"/>
    <n v="2020"/>
    <n v="8"/>
    <n v="22"/>
    <n v="7"/>
    <n v="0"/>
    <n v="0"/>
    <n v="0"/>
    <x v="0"/>
    <n v="1309"/>
    <n v="22"/>
    <n v="2.7465667915106119E-2"/>
  </r>
  <r>
    <d v="2020-08-23T00:00:00"/>
    <n v="4351879"/>
    <n v="930"/>
    <n v="0"/>
    <n v="520885"/>
    <n v="4873694"/>
    <n v="0"/>
    <n v="0"/>
    <n v="4316.88"/>
    <n v="2020"/>
    <n v="8"/>
    <n v="23"/>
    <n v="1"/>
    <n v="0"/>
    <n v="0"/>
    <n v="0"/>
    <x v="0"/>
    <n v="1217"/>
    <n v="19"/>
    <n v="2.3899371069182392E-2"/>
  </r>
  <r>
    <d v="2020-08-24T00:00:00"/>
    <n v="866400"/>
    <n v="490125"/>
    <n v="5660"/>
    <n v="600284"/>
    <n v="1962469"/>
    <n v="0"/>
    <n v="0"/>
    <n v="4316.88"/>
    <n v="2020"/>
    <n v="8"/>
    <n v="24"/>
    <n v="2"/>
    <n v="0"/>
    <n v="0"/>
    <n v="0"/>
    <x v="0"/>
    <n v="1443"/>
    <n v="18"/>
    <n v="2.4226110363391656E-2"/>
  </r>
  <r>
    <d v="2020-08-25T00:00:00"/>
    <n v="501660"/>
    <n v="469256"/>
    <n v="9609"/>
    <n v="616882"/>
    <n v="1597407"/>
    <n v="0"/>
    <n v="0"/>
    <n v="4316.88"/>
    <n v="2020"/>
    <n v="8"/>
    <n v="25"/>
    <n v="3"/>
    <n v="0"/>
    <n v="0"/>
    <n v="0"/>
    <x v="0"/>
    <n v="1502"/>
    <n v="24"/>
    <n v="2.7057497181510709E-2"/>
  </r>
  <r>
    <d v="2020-08-26T00:00:00"/>
    <n v="1144080"/>
    <n v="421937"/>
    <n v="0"/>
    <n v="642291"/>
    <n v="2208308"/>
    <n v="0"/>
    <n v="0"/>
    <n v="4316.88"/>
    <n v="2020"/>
    <n v="8"/>
    <n v="26"/>
    <n v="4"/>
    <n v="0"/>
    <n v="0"/>
    <n v="0"/>
    <x v="0"/>
    <n v="1313"/>
    <n v="20"/>
    <n v="1.9960079840319361E-2"/>
  </r>
  <r>
    <d v="2020-08-27T00:00:00"/>
    <n v="1024840"/>
    <n v="469121"/>
    <n v="16545"/>
    <n v="527936"/>
    <n v="2038442"/>
    <n v="0"/>
    <n v="0"/>
    <n v="4316.88"/>
    <n v="2020"/>
    <n v="8"/>
    <n v="27"/>
    <n v="5"/>
    <n v="0"/>
    <n v="0"/>
    <n v="0"/>
    <x v="0"/>
    <n v="1491"/>
    <n v="26"/>
    <n v="2.6130653266331658E-2"/>
  </r>
  <r>
    <d v="2020-08-28T00:00:00"/>
    <n v="916720"/>
    <n v="481528"/>
    <n v="7332"/>
    <n v="654957"/>
    <n v="2060537"/>
    <n v="0"/>
    <n v="0"/>
    <n v="4316.88"/>
    <n v="2020"/>
    <n v="8"/>
    <n v="28"/>
    <n v="6"/>
    <n v="0"/>
    <n v="0"/>
    <n v="0"/>
    <x v="0"/>
    <n v="1517"/>
    <n v="36"/>
    <n v="3.5398230088495575E-2"/>
  </r>
  <r>
    <d v="2020-08-29T00:00:00"/>
    <n v="526860"/>
    <n v="441788"/>
    <n v="9600"/>
    <n v="645343"/>
    <n v="1623591"/>
    <n v="0"/>
    <n v="0"/>
    <n v="4316.88"/>
    <n v="2020"/>
    <n v="8"/>
    <n v="29"/>
    <n v="7"/>
    <n v="0"/>
    <n v="0"/>
    <n v="0"/>
    <x v="0"/>
    <n v="1549"/>
    <n v="39"/>
    <n v="3.8883349950149554E-2"/>
  </r>
  <r>
    <d v="2020-08-30T00:00:00"/>
    <n v="569860"/>
    <n v="720"/>
    <n v="0"/>
    <n v="549477"/>
    <n v="1120057"/>
    <n v="0"/>
    <n v="0"/>
    <n v="4316.88"/>
    <n v="2020"/>
    <n v="8"/>
    <n v="30"/>
    <n v="1"/>
    <s v="T"/>
    <n v="0"/>
    <n v="0"/>
    <x v="0"/>
    <n v="1482"/>
    <n v="42"/>
    <n v="4.0895813047711782E-2"/>
  </r>
  <r>
    <d v="2020-08-31T00:00:00"/>
    <n v="1633420"/>
    <n v="810117"/>
    <n v="5113"/>
    <n v="681829"/>
    <n v="3130479"/>
    <n v="0"/>
    <n v="0"/>
    <n v="4316.88"/>
    <n v="2020"/>
    <n v="8"/>
    <n v="31"/>
    <n v="2"/>
    <n v="0"/>
    <s v="A-1"/>
    <n v="0"/>
    <x v="0"/>
    <n v="1587"/>
    <n v="44"/>
    <n v="4.0478380864765406E-2"/>
  </r>
  <r>
    <d v="2020-09-01T00:00:00"/>
    <n v="497400"/>
    <n v="489863"/>
    <n v="0"/>
    <n v="581010"/>
    <n v="1568273"/>
    <n v="0"/>
    <n v="0"/>
    <n v="4316.88"/>
    <n v="2020"/>
    <n v="9"/>
    <n v="1"/>
    <n v="3"/>
    <n v="0"/>
    <s v="A0"/>
    <n v="0"/>
    <x v="0"/>
    <n v="1572"/>
    <n v="47"/>
    <n v="4.6859421734795612E-2"/>
  </r>
  <r>
    <d v="2020-09-02T00:00:00"/>
    <n v="704560"/>
    <n v="497815"/>
    <n v="5350"/>
    <n v="620835"/>
    <n v="1828560"/>
    <n v="0"/>
    <n v="0"/>
    <n v="4316.88"/>
    <n v="2020"/>
    <n v="9"/>
    <n v="2"/>
    <n v="4"/>
    <n v="0"/>
    <s v="A+1"/>
    <s v="Z-2"/>
    <x v="0"/>
    <n v="1596"/>
    <n v="45"/>
    <n v="4.7518479408658922E-2"/>
  </r>
  <r>
    <d v="2020-09-03T00:00:00"/>
    <n v="453420"/>
    <n v="536036"/>
    <n v="4301"/>
    <n v="614888"/>
    <n v="1608645"/>
    <n v="4.3471156748195516E-2"/>
    <n v="201.59900000000016"/>
    <n v="4316.88"/>
    <n v="2020"/>
    <n v="9"/>
    <n v="3"/>
    <n v="5"/>
    <n v="0"/>
    <n v="0"/>
    <s v="Z-1"/>
    <x v="0"/>
    <n v="1642"/>
    <n v="49"/>
    <n v="4.046242774566474E-2"/>
  </r>
  <r>
    <d v="2020-09-04T00:00:00"/>
    <n v="265940"/>
    <n v="279224"/>
    <n v="16352"/>
    <n v="370138"/>
    <n v="931654"/>
    <n v="0"/>
    <n v="0"/>
    <n v="4466.28"/>
    <n v="2020"/>
    <n v="9"/>
    <n v="4"/>
    <n v="6"/>
    <n v="0"/>
    <n v="0"/>
    <s v="Z"/>
    <x v="0"/>
    <n v="1612"/>
    <n v="53"/>
    <n v="5.190989226248776E-2"/>
  </r>
  <r>
    <d v="2020-09-05T00:00:00"/>
    <n v="566600"/>
    <n v="275149"/>
    <n v="4704"/>
    <n v="670066"/>
    <n v="1516519"/>
    <n v="0"/>
    <n v="0"/>
    <n v="4466.28"/>
    <n v="2020"/>
    <n v="9"/>
    <n v="5"/>
    <n v="7"/>
    <n v="0"/>
    <n v="0"/>
    <s v="Z+1"/>
    <x v="0"/>
    <n v="1673"/>
    <n v="56"/>
    <n v="5.6910569105691054E-2"/>
  </r>
  <r>
    <d v="2020-09-06T00:00:00"/>
    <n v="545960"/>
    <n v="520"/>
    <n v="0"/>
    <n v="395151"/>
    <n v="941631"/>
    <n v="0"/>
    <n v="0"/>
    <n v="4466.28"/>
    <n v="2020"/>
    <n v="9"/>
    <n v="6"/>
    <n v="1"/>
    <n v="0"/>
    <n v="0"/>
    <n v="0"/>
    <x v="0"/>
    <n v="1578"/>
    <n v="53"/>
    <n v="5.231984205330701E-2"/>
  </r>
  <r>
    <d v="2020-09-07T00:00:00"/>
    <n v="450760"/>
    <n v="413302"/>
    <n v="20352"/>
    <n v="558171"/>
    <n v="1442585"/>
    <n v="0"/>
    <n v="0"/>
    <n v="4466.28"/>
    <n v="2020"/>
    <n v="9"/>
    <n v="7"/>
    <n v="2"/>
    <n v="0"/>
    <n v="0"/>
    <n v="0"/>
    <x v="0"/>
    <n v="1703"/>
    <n v="57"/>
    <n v="5.4441260744985676E-2"/>
  </r>
  <r>
    <d v="2020-09-08T00:00:00"/>
    <n v="446240"/>
    <n v="419503"/>
    <n v="1887"/>
    <n v="589538"/>
    <n v="1457168"/>
    <n v="0"/>
    <n v="0"/>
    <n v="4466.28"/>
    <n v="2020"/>
    <n v="9"/>
    <n v="8"/>
    <n v="3"/>
    <n v="0"/>
    <n v="0"/>
    <n v="0"/>
    <x v="0"/>
    <n v="1761"/>
    <n v="52"/>
    <n v="4.7575480329368709E-2"/>
  </r>
  <r>
    <d v="2020-09-09T00:00:00"/>
    <n v="585000"/>
    <n v="388171"/>
    <n v="13914"/>
    <n v="533983"/>
    <n v="1521068"/>
    <n v="0"/>
    <n v="0"/>
    <n v="4466.28"/>
    <n v="2020"/>
    <n v="9"/>
    <n v="9"/>
    <n v="4"/>
    <n v="0"/>
    <n v="0"/>
    <n v="0"/>
    <x v="0"/>
    <n v="1673"/>
    <n v="55"/>
    <n v="5.8324496288441142E-2"/>
  </r>
  <r>
    <d v="2020-09-10T00:00:00"/>
    <n v="509120"/>
    <n v="406392"/>
    <n v="7770"/>
    <n v="479476"/>
    <n v="1402758"/>
    <n v="0"/>
    <n v="0"/>
    <n v="4466.28"/>
    <n v="2020"/>
    <n v="9"/>
    <n v="10"/>
    <n v="5"/>
    <n v="0"/>
    <n v="0"/>
    <n v="0"/>
    <x v="0"/>
    <n v="1512"/>
    <n v="58"/>
    <n v="4.7579983593109103E-2"/>
  </r>
  <r>
    <d v="2020-09-11T00:00:00"/>
    <n v="358780"/>
    <n v="463330"/>
    <n v="4674"/>
    <n v="556517"/>
    <n v="1383301"/>
    <n v="0"/>
    <n v="0"/>
    <n v="4466.28"/>
    <n v="2020"/>
    <n v="9"/>
    <n v="11"/>
    <n v="6"/>
    <n v="0"/>
    <n v="0"/>
    <n v="0"/>
    <x v="0"/>
    <n v="1671"/>
    <n v="56"/>
    <n v="5.0134288272157566E-2"/>
  </r>
  <r>
    <d v="2020-09-12T00:00:00"/>
    <n v="436800"/>
    <n v="338499"/>
    <n v="8505"/>
    <n v="627716"/>
    <n v="1411520"/>
    <n v="0"/>
    <n v="0"/>
    <n v="4466.28"/>
    <n v="2020"/>
    <n v="9"/>
    <n v="12"/>
    <n v="7"/>
    <n v="0"/>
    <n v="0"/>
    <n v="0"/>
    <x v="0"/>
    <n v="1509"/>
    <n v="48"/>
    <n v="3.9768019884009943E-2"/>
  </r>
  <r>
    <d v="2020-09-13T00:00:00"/>
    <n v="406920"/>
    <n v="968"/>
    <n v="0"/>
    <n v="432000"/>
    <n v="839888"/>
    <n v="0"/>
    <n v="0"/>
    <n v="4466.28"/>
    <n v="2020"/>
    <n v="9"/>
    <n v="13"/>
    <n v="1"/>
    <n v="0"/>
    <n v="0"/>
    <n v="0"/>
    <x v="0"/>
    <n v="1527"/>
    <n v="57"/>
    <n v="5.1724137931034482E-2"/>
  </r>
  <r>
    <d v="2020-09-14T00:00:00"/>
    <n v="467280"/>
    <n v="474013"/>
    <n v="9546"/>
    <n v="573435"/>
    <n v="1524274"/>
    <n v="0"/>
    <n v="0"/>
    <n v="4466.28"/>
    <n v="2020"/>
    <n v="9"/>
    <n v="14"/>
    <n v="2"/>
    <n v="0"/>
    <n v="0"/>
    <n v="0"/>
    <x v="0"/>
    <n v="1716"/>
    <n v="63"/>
    <n v="5.1428571428571428E-2"/>
  </r>
  <r>
    <d v="2020-09-15T00:00:00"/>
    <n v="331840"/>
    <n v="444197"/>
    <n v="2878"/>
    <n v="573186"/>
    <n v="1352101"/>
    <n v="0"/>
    <n v="0"/>
    <n v="4466.28"/>
    <n v="2020"/>
    <n v="9"/>
    <n v="15"/>
    <n v="3"/>
    <n v="0"/>
    <n v="0"/>
    <n v="0"/>
    <x v="0"/>
    <n v="1742"/>
    <n v="67"/>
    <n v="5.5740432612312811E-2"/>
  </r>
  <r>
    <d v="2020-09-16T00:00:00"/>
    <n v="379420"/>
    <n v="470314"/>
    <n v="12472"/>
    <n v="512485"/>
    <n v="1374691"/>
    <n v="0"/>
    <n v="0"/>
    <n v="4466.28"/>
    <n v="2020"/>
    <n v="9"/>
    <n v="16"/>
    <n v="4"/>
    <n v="0"/>
    <n v="0"/>
    <n v="0"/>
    <x v="0"/>
    <n v="1771"/>
    <n v="63"/>
    <n v="4.6944858420268257E-2"/>
  </r>
  <r>
    <d v="2020-09-17T00:00:00"/>
    <n v="393000"/>
    <n v="395052"/>
    <n v="7915"/>
    <n v="511208"/>
    <n v="1307175"/>
    <n v="0"/>
    <n v="0"/>
    <n v="4466.28"/>
    <n v="2020"/>
    <n v="9"/>
    <n v="17"/>
    <n v="5"/>
    <n v="0"/>
    <n v="0"/>
    <n v="0"/>
    <x v="0"/>
    <n v="1648"/>
    <n v="66"/>
    <n v="5.774278215223097E-2"/>
  </r>
  <r>
    <d v="2020-09-18T00:00:00"/>
    <n v="441560"/>
    <n v="461112"/>
    <n v="8154"/>
    <n v="570551"/>
    <n v="1481377"/>
    <n v="0"/>
    <n v="0"/>
    <n v="4466.28"/>
    <n v="2020"/>
    <n v="9"/>
    <n v="18"/>
    <n v="6"/>
    <n v="0"/>
    <n v="0"/>
    <n v="0"/>
    <x v="0"/>
    <n v="1771"/>
    <n v="62"/>
    <n v="5.849056603773585E-2"/>
  </r>
  <r>
    <d v="2020-09-19T00:00:00"/>
    <n v="271200"/>
    <n v="391306"/>
    <n v="7154"/>
    <n v="659724"/>
    <n v="1329384"/>
    <n v="0"/>
    <n v="0"/>
    <n v="4466.28"/>
    <n v="2020"/>
    <n v="9"/>
    <n v="19"/>
    <n v="7"/>
    <n v="0"/>
    <n v="0"/>
    <n v="0"/>
    <x v="0"/>
    <n v="1538"/>
    <n v="68"/>
    <n v="5.1829268292682924E-2"/>
  </r>
  <r>
    <d v="2020-09-20T00:00:00"/>
    <n v="498140"/>
    <n v="626"/>
    <n v="5500"/>
    <n v="439534"/>
    <n v="943800"/>
    <n v="0"/>
    <n v="0"/>
    <n v="4466.28"/>
    <n v="2020"/>
    <n v="9"/>
    <n v="20"/>
    <n v="1"/>
    <n v="0"/>
    <n v="0"/>
    <n v="0"/>
    <x v="0"/>
    <n v="1519"/>
    <n v="61"/>
    <n v="5.4659498207885307E-2"/>
  </r>
  <r>
    <d v="2020-09-21T00:00:00"/>
    <n v="378440"/>
    <n v="474532"/>
    <n v="2570"/>
    <n v="559246"/>
    <n v="1414788"/>
    <n v="0"/>
    <n v="0"/>
    <n v="4466.28"/>
    <n v="2020"/>
    <n v="9"/>
    <n v="21"/>
    <n v="2"/>
    <n v="0"/>
    <n v="0"/>
    <n v="0"/>
    <x v="0"/>
    <n v="1743"/>
    <n v="68"/>
    <n v="5.6572379367720464E-2"/>
  </r>
  <r>
    <d v="2020-09-22T00:00:00"/>
    <n v="404200"/>
    <n v="458973"/>
    <n v="5622"/>
    <n v="486662"/>
    <n v="1355457"/>
    <n v="0"/>
    <n v="0"/>
    <n v="4466.28"/>
    <n v="2020"/>
    <n v="9"/>
    <n v="22"/>
    <n v="3"/>
    <n v="0"/>
    <n v="0"/>
    <n v="0"/>
    <x v="0"/>
    <n v="1692"/>
    <n v="65"/>
    <n v="5.1546391752577317E-2"/>
  </r>
  <r>
    <d v="2020-09-23T00:00:00"/>
    <n v="298180"/>
    <n v="471785"/>
    <n v="6698"/>
    <n v="539791"/>
    <n v="1316454"/>
    <n v="0"/>
    <n v="0"/>
    <n v="4466.28"/>
    <n v="2020"/>
    <n v="9"/>
    <n v="23"/>
    <n v="4"/>
    <n v="0"/>
    <n v="0"/>
    <s v="Z-2"/>
    <x v="0"/>
    <n v="1767"/>
    <n v="72"/>
    <n v="7.010710808179163E-2"/>
  </r>
  <r>
    <d v="2020-09-24T00:00:00"/>
    <n v="444860"/>
    <n v="451196"/>
    <n v="4600"/>
    <n v="513644"/>
    <n v="1414300"/>
    <n v="3.0521445161668537E-2"/>
    <n v="111.60431999999992"/>
    <n v="4466.28"/>
    <n v="2020"/>
    <n v="9"/>
    <n v="24"/>
    <n v="5"/>
    <n v="0"/>
    <n v="0"/>
    <s v="Z-1"/>
    <x v="0"/>
    <n v="1721"/>
    <n v="74"/>
    <n v="5.9629331184528608E-2"/>
  </r>
  <r>
    <d v="2020-09-25T00:00:00"/>
    <n v="384820"/>
    <n v="462614"/>
    <n v="12920"/>
    <n v="533674"/>
    <n v="1394028"/>
    <n v="0"/>
    <n v="0"/>
    <n v="4466.28"/>
    <n v="2020"/>
    <n v="9"/>
    <n v="25"/>
    <n v="6"/>
    <n v="0"/>
    <n v="0"/>
    <s v="Z"/>
    <x v="0"/>
    <n v="1665"/>
    <n v="73"/>
    <n v="5.5386949924127467E-2"/>
  </r>
  <r>
    <d v="2020-09-26T00:00:00"/>
    <n v="1373680"/>
    <n v="430516"/>
    <n v="14623"/>
    <n v="598907"/>
    <n v="2417726"/>
    <n v="0"/>
    <n v="0"/>
    <n v="4466.28"/>
    <n v="2020"/>
    <n v="9"/>
    <n v="26"/>
    <n v="7"/>
    <n v="0"/>
    <n v="0"/>
    <s v="Z+1"/>
    <x v="0"/>
    <n v="1511"/>
    <n v="71"/>
    <n v="5.7629870129870128E-2"/>
  </r>
  <r>
    <d v="2020-09-27T00:00:00"/>
    <n v="370360"/>
    <n v="698"/>
    <n v="0"/>
    <n v="410747"/>
    <n v="781805"/>
    <n v="0"/>
    <n v="0"/>
    <n v="4466.28"/>
    <n v="2020"/>
    <n v="9"/>
    <n v="27"/>
    <n v="1"/>
    <n v="0"/>
    <n v="0"/>
    <n v="0"/>
    <x v="0"/>
    <n v="1467"/>
    <n v="68"/>
    <n v="6.093189964157706E-2"/>
  </r>
  <r>
    <d v="2020-09-28T00:00:00"/>
    <n v="365460"/>
    <n v="534612"/>
    <n v="1500"/>
    <n v="541852"/>
    <n v="1443424"/>
    <n v="0"/>
    <n v="0"/>
    <n v="4466.28"/>
    <n v="2020"/>
    <n v="9"/>
    <n v="28"/>
    <n v="2"/>
    <n v="0"/>
    <n v="0"/>
    <n v="0"/>
    <x v="0"/>
    <n v="1412"/>
    <n v="65"/>
    <n v="4.5710267229254573E-2"/>
  </r>
  <r>
    <d v="2020-09-29T00:00:00"/>
    <n v="353680"/>
    <n v="497870"/>
    <n v="0"/>
    <n v="583692"/>
    <n v="1435242"/>
    <n v="0"/>
    <n v="0"/>
    <n v="4466.28"/>
    <n v="2020"/>
    <n v="9"/>
    <n v="29"/>
    <n v="3"/>
    <n v="0"/>
    <n v="0"/>
    <n v="0"/>
    <x v="0"/>
    <n v="1427"/>
    <n v="68"/>
    <n v="4.6831955922865015E-2"/>
  </r>
  <r>
    <d v="2020-09-30T00:00:00"/>
    <n v="1503764"/>
    <n v="728369"/>
    <n v="12572"/>
    <n v="667728"/>
    <n v="2912433"/>
    <n v="0"/>
    <n v="0"/>
    <n v="4466.28"/>
    <n v="2020"/>
    <n v="9"/>
    <n v="30"/>
    <n v="4"/>
    <n v="0"/>
    <s v="A-1"/>
    <n v="0"/>
    <x v="0"/>
    <n v="1391"/>
    <n v="65"/>
    <n v="5.2208835341365459E-2"/>
  </r>
  <r>
    <d v="2020-10-01T00:00:00"/>
    <n v="358200"/>
    <n v="288172"/>
    <n v="6500"/>
    <n v="376746"/>
    <n v="1029618"/>
    <n v="0"/>
    <n v="0"/>
    <n v="4466.28"/>
    <n v="2020"/>
    <n v="10"/>
    <n v="1"/>
    <n v="5"/>
    <n v="0"/>
    <s v="A0"/>
    <s v="Z-2"/>
    <x v="0"/>
    <n v="1407"/>
    <n v="67"/>
    <n v="4.7788873038516408E-2"/>
  </r>
  <r>
    <d v="2020-10-02T00:00:00"/>
    <n v="323660"/>
    <n v="436415"/>
    <n v="12297"/>
    <n v="539599"/>
    <n v="1311971"/>
    <n v="4.6508217862673167E-2"/>
    <n v="292.19568000000027"/>
    <n v="4466.28"/>
    <n v="2020"/>
    <n v="10"/>
    <n v="2"/>
    <n v="6"/>
    <n v="0"/>
    <s v="A+1"/>
    <s v="Z-1"/>
    <x v="0"/>
    <n v="1442"/>
    <n v="63"/>
    <n v="4.1832669322709161E-2"/>
  </r>
  <r>
    <d v="2020-10-03T00:00:00"/>
    <n v="455440"/>
    <n v="281565"/>
    <n v="6001"/>
    <n v="613214"/>
    <n v="1356220"/>
    <n v="0"/>
    <n v="0"/>
    <n v="4466.28"/>
    <n v="2020"/>
    <n v="10"/>
    <n v="3"/>
    <n v="7"/>
    <n v="0"/>
    <n v="0"/>
    <s v="Z"/>
    <x v="0"/>
    <n v="1502"/>
    <n v="59"/>
    <n v="4.8720066061106522E-2"/>
  </r>
  <r>
    <d v="2020-10-04T00:00:00"/>
    <n v="309920"/>
    <n v="818"/>
    <n v="0"/>
    <n v="409817"/>
    <n v="5618955"/>
    <n v="0"/>
    <n v="0"/>
    <n v="4466.28"/>
    <n v="2020"/>
    <n v="10"/>
    <n v="4"/>
    <n v="1"/>
    <n v="0"/>
    <n v="0"/>
    <s v="Z+1"/>
    <x v="0"/>
    <n v="1429"/>
    <n v="57"/>
    <n v="4.8223350253807105E-2"/>
  </r>
  <r>
    <d v="2020-10-05T00:00:00"/>
    <n v="536480"/>
    <n v="464028"/>
    <n v="10289"/>
    <n v="519015"/>
    <n v="1529812"/>
    <n v="0"/>
    <n v="0"/>
    <n v="4466.28"/>
    <n v="2020"/>
    <n v="10"/>
    <n v="5"/>
    <n v="2"/>
    <n v="0"/>
    <n v="0"/>
    <n v="0"/>
    <x v="0"/>
    <n v="1603"/>
    <n v="57"/>
    <n v="4.3181818181818182E-2"/>
  </r>
  <r>
    <d v="2020-10-06T00:00:00"/>
    <n v="365540"/>
    <n v="436156"/>
    <n v="32604"/>
    <n v="471203"/>
    <n v="1305503"/>
    <n v="0"/>
    <n v="0"/>
    <n v="4466.28"/>
    <n v="2020"/>
    <n v="10"/>
    <n v="6"/>
    <n v="3"/>
    <n v="0"/>
    <n v="0"/>
    <n v="0"/>
    <x v="0"/>
    <n v="1511"/>
    <n v="55"/>
    <n v="4.4751830756712775E-2"/>
  </r>
  <r>
    <d v="2020-10-07T00:00:00"/>
    <n v="382980"/>
    <n v="408856"/>
    <n v="9901"/>
    <n v="498689"/>
    <n v="1300426"/>
    <n v="0"/>
    <n v="0"/>
    <n v="4466.28"/>
    <n v="2020"/>
    <n v="10"/>
    <n v="7"/>
    <n v="4"/>
    <n v="0"/>
    <n v="0"/>
    <n v="0"/>
    <x v="0"/>
    <n v="1581"/>
    <n v="56"/>
    <n v="4.1328413284132844E-2"/>
  </r>
  <r>
    <d v="2020-10-08T00:00:00"/>
    <n v="385980"/>
    <n v="410504"/>
    <n v="6099"/>
    <n v="505398"/>
    <n v="1307981"/>
    <n v="0"/>
    <n v="0"/>
    <n v="4466.28"/>
    <n v="2020"/>
    <n v="10"/>
    <n v="8"/>
    <n v="5"/>
    <n v="0"/>
    <n v="0"/>
    <n v="0"/>
    <x v="0"/>
    <n v="1615"/>
    <n v="58"/>
    <n v="4.1487839771101577E-2"/>
  </r>
  <r>
    <d v="2020-10-09T00:00:00"/>
    <n v="421020"/>
    <n v="428204"/>
    <n v="3106"/>
    <n v="544772"/>
    <n v="1397102"/>
    <n v="0"/>
    <n v="0"/>
    <n v="4466.28"/>
    <n v="2020"/>
    <n v="10"/>
    <n v="9"/>
    <n v="6"/>
    <n v="0"/>
    <n v="0"/>
    <n v="0"/>
    <x v="0"/>
    <n v="1629"/>
    <n v="55"/>
    <n v="3.9229671897289584E-2"/>
  </r>
  <r>
    <d v="2020-10-10T00:00:00"/>
    <n v="340040"/>
    <n v="352851"/>
    <n v="3832"/>
    <n v="546870"/>
    <n v="1243593"/>
    <n v="0"/>
    <n v="0"/>
    <n v="4466.28"/>
    <n v="2020"/>
    <n v="10"/>
    <n v="10"/>
    <n v="7"/>
    <n v="0"/>
    <n v="0"/>
    <n v="0"/>
    <x v="0"/>
    <n v="1649"/>
    <n v="56"/>
    <n v="4.0258806613946804E-2"/>
  </r>
  <r>
    <d v="2020-10-11T00:00:00"/>
    <n v="400700"/>
    <n v="1084"/>
    <n v="0"/>
    <n v="416918"/>
    <n v="818702"/>
    <n v="0"/>
    <n v="0"/>
    <n v="4466.28"/>
    <n v="2020"/>
    <n v="10"/>
    <n v="11"/>
    <n v="1"/>
    <n v="0"/>
    <n v="0"/>
    <n v="0"/>
    <x v="0"/>
    <n v="1502"/>
    <n v="59"/>
    <n v="4.8679867986798679E-2"/>
  </r>
  <r>
    <d v="2020-10-12T00:00:00"/>
    <n v="425900"/>
    <n v="522327"/>
    <n v="8901"/>
    <n v="523393"/>
    <n v="1480521"/>
    <n v="0"/>
    <n v="0"/>
    <n v="4466.28"/>
    <n v="2020"/>
    <n v="10"/>
    <n v="12"/>
    <n v="2"/>
    <n v="0"/>
    <n v="0"/>
    <n v="0"/>
    <x v="0"/>
    <n v="1614"/>
    <n v="58"/>
    <n v="4.4581091468101464E-2"/>
  </r>
  <r>
    <d v="2020-10-13T00:00:00"/>
    <n v="431440"/>
    <n v="450918"/>
    <n v="2864"/>
    <n v="506547"/>
    <n v="1391769"/>
    <n v="0"/>
    <n v="0"/>
    <n v="4466.28"/>
    <n v="2020"/>
    <n v="10"/>
    <n v="13"/>
    <n v="3"/>
    <n v="0"/>
    <n v="0"/>
    <n v="0"/>
    <x v="0"/>
    <n v="1632"/>
    <n v="62"/>
    <n v="4.7184170471841702E-2"/>
  </r>
  <r>
    <d v="2020-10-14T00:00:00"/>
    <n v="312180"/>
    <n v="430914"/>
    <n v="9352"/>
    <n v="495079"/>
    <n v="1247525"/>
    <n v="0"/>
    <n v="0"/>
    <n v="4466.28"/>
    <n v="2020"/>
    <n v="10"/>
    <n v="14"/>
    <n v="4"/>
    <n v="0"/>
    <n v="0"/>
    <n v="0"/>
    <x v="0"/>
    <n v="1671"/>
    <n v="57"/>
    <n v="4.0830945558739257E-2"/>
  </r>
  <r>
    <d v="2020-10-15T00:00:00"/>
    <n v="406060"/>
    <n v="444594"/>
    <n v="27692"/>
    <n v="485605"/>
    <n v="1363951"/>
    <n v="0"/>
    <n v="0"/>
    <n v="4466.28"/>
    <n v="2020"/>
    <n v="10"/>
    <n v="15"/>
    <n v="5"/>
    <n v="0"/>
    <n v="0"/>
    <n v="0"/>
    <x v="0"/>
    <n v="1693"/>
    <n v="66"/>
    <n v="5.0343249427917618E-2"/>
  </r>
  <r>
    <d v="2020-10-16T00:00:00"/>
    <n v="437020"/>
    <n v="470668"/>
    <n v="50000"/>
    <n v="481671"/>
    <n v="1439359"/>
    <n v="0"/>
    <n v="0"/>
    <n v="4466.28"/>
    <n v="2020"/>
    <n v="10"/>
    <n v="16"/>
    <n v="6"/>
    <n v="0"/>
    <n v="0"/>
    <n v="0"/>
    <x v="0"/>
    <n v="1812"/>
    <n v="73"/>
    <n v="5.1444679351656093E-2"/>
  </r>
  <r>
    <d v="2020-10-17T00:00:00"/>
    <n v="1737822"/>
    <n v="358220"/>
    <n v="20553"/>
    <n v="594353"/>
    <n v="2710948"/>
    <n v="0"/>
    <n v="0"/>
    <n v="4466.28"/>
    <n v="2020"/>
    <n v="10"/>
    <n v="17"/>
    <n v="7"/>
    <n v="0"/>
    <n v="0"/>
    <n v="0"/>
    <x v="0"/>
    <n v="1723"/>
    <n v="71"/>
    <n v="5.0678087080656672E-2"/>
  </r>
  <r>
    <d v="2020-10-18T00:00:00"/>
    <n v="437100"/>
    <n v="960"/>
    <n v="0"/>
    <n v="454486"/>
    <n v="892546"/>
    <n v="0"/>
    <n v="0"/>
    <n v="4466.28"/>
    <n v="2020"/>
    <n v="10"/>
    <n v="18"/>
    <n v="1"/>
    <n v="0"/>
    <n v="0"/>
    <n v="0"/>
    <x v="0"/>
    <n v="1815"/>
    <n v="72"/>
    <n v="4.7872340425531915E-2"/>
  </r>
  <r>
    <d v="2020-10-19T00:00:00"/>
    <n v="386240"/>
    <n v="496668"/>
    <n v="8538"/>
    <n v="513371"/>
    <n v="1404817"/>
    <n v="0"/>
    <n v="0"/>
    <n v="4466.28"/>
    <n v="2020"/>
    <n v="10"/>
    <n v="19"/>
    <n v="2"/>
    <n v="0"/>
    <n v="0"/>
    <n v="0"/>
    <x v="0"/>
    <n v="2026"/>
    <n v="75"/>
    <n v="5.2668539325842693E-2"/>
  </r>
  <r>
    <d v="2020-10-20T00:00:00"/>
    <n v="338000"/>
    <n v="428692"/>
    <n v="0"/>
    <n v="578708"/>
    <n v="1345400"/>
    <n v="0"/>
    <n v="0"/>
    <n v="4466.28"/>
    <n v="2020"/>
    <n v="10"/>
    <n v="20"/>
    <n v="3"/>
    <n v="0"/>
    <n v="0"/>
    <n v="0"/>
    <x v="0"/>
    <n v="1894"/>
    <n v="74"/>
    <n v="4.8941798941798939E-2"/>
  </r>
  <r>
    <d v="2020-10-21T00:00:00"/>
    <n v="363300"/>
    <n v="443504"/>
    <n v="11739"/>
    <n v="468994"/>
    <n v="1287537"/>
    <n v="0"/>
    <n v="0"/>
    <n v="4466.28"/>
    <n v="2020"/>
    <n v="10"/>
    <n v="21"/>
    <n v="4"/>
    <n v="0"/>
    <n v="0"/>
    <n v="0"/>
    <x v="0"/>
    <n v="2013"/>
    <n v="68"/>
    <n v="4.5122760451227602E-2"/>
  </r>
  <r>
    <d v="2020-10-22T00:00:00"/>
    <n v="412320"/>
    <n v="437371"/>
    <n v="18025"/>
    <n v="447479"/>
    <n v="1315195"/>
    <n v="0"/>
    <n v="0"/>
    <n v="4466.28"/>
    <n v="2020"/>
    <n v="10"/>
    <n v="22"/>
    <n v="5"/>
    <n v="0"/>
    <n v="0"/>
    <n v="0"/>
    <x v="0"/>
    <n v="2102"/>
    <n v="71"/>
    <n v="4.4908285895003161E-2"/>
  </r>
  <r>
    <d v="2020-10-23T00:00:00"/>
    <n v="457120"/>
    <n v="453525"/>
    <n v="7803"/>
    <n v="540300"/>
    <n v="1458748"/>
    <n v="0"/>
    <n v="0"/>
    <n v="4466.28"/>
    <n v="2020"/>
    <n v="10"/>
    <n v="23"/>
    <n v="6"/>
    <n v="0"/>
    <n v="0"/>
    <n v="0"/>
    <x v="0"/>
    <n v="2165"/>
    <n v="74"/>
    <n v="4.9564634963161422E-2"/>
  </r>
  <r>
    <d v="2020-10-24T00:00:00"/>
    <n v="401240"/>
    <n v="343631"/>
    <n v="5456"/>
    <n v="543382"/>
    <n v="1293709"/>
    <n v="0"/>
    <n v="0"/>
    <n v="4466.28"/>
    <n v="2020"/>
    <n v="10"/>
    <n v="24"/>
    <n v="7"/>
    <n v="0"/>
    <n v="0"/>
    <n v="0"/>
    <x v="0"/>
    <n v="2091"/>
    <n v="69"/>
    <n v="4.3865225683407505E-2"/>
  </r>
  <r>
    <d v="2020-10-25T00:00:00"/>
    <n v="402140"/>
    <n v="640"/>
    <n v="0"/>
    <n v="399741"/>
    <n v="4803513"/>
    <n v="0"/>
    <n v="0"/>
    <n v="4466.28"/>
    <n v="2020"/>
    <n v="10"/>
    <n v="25"/>
    <n v="1"/>
    <n v="0"/>
    <n v="0"/>
    <n v="0"/>
    <x v="0"/>
    <n v="2017"/>
    <n v="72"/>
    <n v="5.5512721665381647E-2"/>
  </r>
  <r>
    <d v="2020-10-26T00:00:00"/>
    <n v="405880"/>
    <n v="567326"/>
    <n v="4001"/>
    <n v="541183"/>
    <n v="1518390"/>
    <n v="0"/>
    <n v="0"/>
    <n v="4466.28"/>
    <n v="2020"/>
    <n v="10"/>
    <n v="26"/>
    <n v="2"/>
    <n v="0"/>
    <n v="0"/>
    <n v="0"/>
    <x v="0"/>
    <n v="2198"/>
    <n v="75"/>
    <n v="4.6353522867737945E-2"/>
  </r>
  <r>
    <d v="2020-10-27T00:00:00"/>
    <n v="404400"/>
    <n v="494252"/>
    <n v="17723"/>
    <n v="593458"/>
    <n v="1509833"/>
    <n v="0"/>
    <n v="0"/>
    <n v="4466.28"/>
    <n v="2020"/>
    <n v="10"/>
    <n v="27"/>
    <n v="3"/>
    <n v="0"/>
    <n v="0"/>
    <s v="Z-2"/>
    <x v="0"/>
    <n v="2209"/>
    <n v="76"/>
    <n v="5.0297816015883519E-2"/>
  </r>
  <r>
    <d v="2020-10-28T00:00:00"/>
    <n v="1330859"/>
    <n v="568932"/>
    <n v="3001"/>
    <n v="476750"/>
    <n v="2379542"/>
    <n v="3.2106751003682946E-2"/>
    <n v="173.70204999999987"/>
    <n v="4466.28"/>
    <n v="2020"/>
    <n v="10"/>
    <n v="28"/>
    <n v="4"/>
    <s v="T"/>
    <n v="0"/>
    <s v="Z-1"/>
    <x v="0"/>
    <n v="2305"/>
    <n v="77"/>
    <n v="4.6329723225030081E-2"/>
  </r>
  <r>
    <d v="2020-10-29T00:00:00"/>
    <n v="484040"/>
    <n v="305889"/>
    <n v="7437"/>
    <n v="455088"/>
    <n v="1252454"/>
    <n v="0"/>
    <n v="0"/>
    <n v="4466.28"/>
    <n v="2020"/>
    <n v="10"/>
    <n v="29"/>
    <n v="5"/>
    <s v="T"/>
    <n v="0"/>
    <s v="Z"/>
    <x v="0"/>
    <n v="2319"/>
    <n v="72"/>
    <n v="4.5540796963946868E-2"/>
  </r>
  <r>
    <d v="2020-10-30T00:00:00"/>
    <n v="269660"/>
    <n v="651427"/>
    <n v="7228"/>
    <n v="508788"/>
    <n v="1437103"/>
    <n v="0"/>
    <n v="0"/>
    <n v="4466.28"/>
    <n v="2020"/>
    <n v="10"/>
    <n v="30"/>
    <n v="6"/>
    <n v="0"/>
    <n v="0"/>
    <s v="Z+1"/>
    <x v="0"/>
    <n v="2322"/>
    <n v="78"/>
    <n v="4.5801526717557252E-2"/>
  </r>
  <r>
    <d v="2020-10-31T00:00:00"/>
    <n v="446560"/>
    <n v="506285"/>
    <n v="3849"/>
    <n v="622795"/>
    <n v="1579489"/>
    <n v="0"/>
    <n v="0"/>
    <n v="4466.28"/>
    <n v="2020"/>
    <n v="10"/>
    <n v="31"/>
    <n v="7"/>
    <n v="0"/>
    <s v="A-1"/>
    <n v="0"/>
    <x v="0"/>
    <n v="2213"/>
    <n v="75"/>
    <n v="4.9800796812749001E-2"/>
  </r>
  <r>
    <d v="2020-11-01T00:00:00"/>
    <n v="355060"/>
    <n v="670"/>
    <n v="0"/>
    <n v="324290"/>
    <n v="680020"/>
    <n v="0"/>
    <n v="0"/>
    <n v="4466.28"/>
    <n v="2020"/>
    <n v="11"/>
    <n v="1"/>
    <n v="1"/>
    <n v="0"/>
    <s v="A0"/>
    <n v="0"/>
    <x v="0"/>
    <n v="2106"/>
    <n v="74"/>
    <n v="4.8844884488448842E-2"/>
  </r>
  <r>
    <d v="2020-11-02T00:00:00"/>
    <n v="404280"/>
    <n v="433435"/>
    <n v="15138"/>
    <n v="499599"/>
    <n v="2347802"/>
    <n v="0"/>
    <n v="0"/>
    <n v="4466.28"/>
    <n v="2020"/>
    <n v="11"/>
    <n v="2"/>
    <n v="2"/>
    <n v="0"/>
    <s v="A+1"/>
    <s v="Z-2"/>
    <x v="0"/>
    <n v="2302"/>
    <n v="76"/>
    <n v="4.9967126890203814E-2"/>
  </r>
  <r>
    <d v="2020-11-03T00:00:00"/>
    <n v="330820"/>
    <n v="426478"/>
    <n v="9151"/>
    <n v="539122"/>
    <n v="1305571"/>
    <n v="4.0774861637034109E-2"/>
    <n v="284.19795000000022"/>
    <n v="4466.28"/>
    <n v="2020"/>
    <n v="11"/>
    <n v="3"/>
    <n v="3"/>
    <n v="0"/>
    <n v="0"/>
    <s v="Z-1"/>
    <x v="0"/>
    <n v="2343"/>
    <n v="79"/>
    <n v="4.3478260869565216E-2"/>
  </r>
  <r>
    <d v="2020-11-04T00:00:00"/>
    <n v="304560"/>
    <n v="402126"/>
    <n v="14340"/>
    <n v="454725"/>
    <n v="1175751"/>
    <n v="0"/>
    <n v="0"/>
    <n v="4466.2799999999988"/>
    <n v="2020"/>
    <n v="11"/>
    <n v="4"/>
    <n v="4"/>
    <n v="0"/>
    <n v="0"/>
    <s v="Z"/>
    <x v="0"/>
    <n v="2391"/>
    <n v="77"/>
    <n v="4.1825095057034217E-2"/>
  </r>
  <r>
    <d v="2020-11-05T00:00:00"/>
    <n v="360040"/>
    <n v="392474"/>
    <n v="13756"/>
    <n v="451337"/>
    <n v="1217607"/>
    <n v="0"/>
    <n v="0"/>
    <n v="4466.2799999999988"/>
    <n v="2020"/>
    <n v="11"/>
    <n v="5"/>
    <n v="5"/>
    <n v="0"/>
    <n v="0"/>
    <s v="Z+1"/>
    <x v="0"/>
    <n v="2311"/>
    <n v="81"/>
    <n v="4.7257876312718786E-2"/>
  </r>
  <r>
    <d v="2020-11-06T00:00:00"/>
    <n v="371400"/>
    <n v="482668"/>
    <n v="21877"/>
    <n v="506624"/>
    <n v="1382569"/>
    <n v="0"/>
    <n v="0"/>
    <n v="4466.2799999999988"/>
    <n v="2020"/>
    <n v="11"/>
    <n v="6"/>
    <n v="6"/>
    <n v="0"/>
    <n v="0"/>
    <n v="0"/>
    <x v="0"/>
    <n v="2436"/>
    <n v="83"/>
    <n v="4.336468129571578E-2"/>
  </r>
  <r>
    <d v="2020-11-07T00:00:00"/>
    <n v="466400"/>
    <n v="330721"/>
    <n v="0"/>
    <n v="476181"/>
    <n v="1273302"/>
    <n v="0"/>
    <n v="0"/>
    <n v="4466.2799999999988"/>
    <n v="2020"/>
    <n v="11"/>
    <n v="7"/>
    <n v="7"/>
    <n v="0"/>
    <n v="0"/>
    <n v="0"/>
    <x v="0"/>
    <n v="2483"/>
    <n v="81"/>
    <n v="4.2012448132780086E-2"/>
  </r>
  <r>
    <d v="2020-11-08T00:00:00"/>
    <n v="297040"/>
    <n v="402"/>
    <n v="0"/>
    <n v="417838"/>
    <n v="715280"/>
    <n v="0"/>
    <n v="0"/>
    <n v="4466.2799999999988"/>
    <n v="2020"/>
    <n v="11"/>
    <n v="8"/>
    <n v="1"/>
    <n v="0"/>
    <n v="0"/>
    <n v="0"/>
    <x v="0"/>
    <n v="2516"/>
    <n v="84"/>
    <n v="4.1625371655104063E-2"/>
  </r>
  <r>
    <d v="2020-11-09T00:00:00"/>
    <n v="371600"/>
    <n v="488033"/>
    <n v="14984"/>
    <n v="559247"/>
    <n v="1433864"/>
    <n v="0"/>
    <n v="0"/>
    <n v="4466.2799999999988"/>
    <n v="2020"/>
    <n v="11"/>
    <n v="9"/>
    <n v="2"/>
    <n v="0"/>
    <n v="0"/>
    <n v="0"/>
    <x v="0"/>
    <n v="2576"/>
    <n v="85"/>
    <n v="4.1524181729360038E-2"/>
  </r>
  <r>
    <d v="2020-11-10T00:00:00"/>
    <n v="377740"/>
    <n v="426971"/>
    <n v="5612"/>
    <n v="496452"/>
    <n v="1306775"/>
    <n v="0"/>
    <n v="0"/>
    <n v="4466.2799999999988"/>
    <n v="2020"/>
    <n v="11"/>
    <n v="10"/>
    <n v="3"/>
    <n v="0"/>
    <n v="0"/>
    <n v="0"/>
    <x v="0"/>
    <n v="2529"/>
    <n v="87"/>
    <n v="3.9277652370203163E-2"/>
  </r>
  <r>
    <d v="2020-11-11T00:00:00"/>
    <n v="299820"/>
    <n v="464061"/>
    <n v="3502"/>
    <n v="376244"/>
    <n v="1143627"/>
    <n v="0"/>
    <n v="0"/>
    <n v="4466.2799999999988"/>
    <n v="2020"/>
    <n v="11"/>
    <n v="11"/>
    <n v="4"/>
    <n v="0"/>
    <n v="0"/>
    <n v="0"/>
    <x v="0"/>
    <n v="2693"/>
    <n v="86"/>
    <n v="4.0719696969696968E-2"/>
  </r>
  <r>
    <d v="2020-11-12T00:00:00"/>
    <n v="411942"/>
    <n v="418897"/>
    <n v="22149"/>
    <n v="522877"/>
    <n v="1375865"/>
    <n v="0"/>
    <n v="0"/>
    <n v="4466.2799999999988"/>
    <n v="2020"/>
    <n v="11"/>
    <n v="12"/>
    <n v="5"/>
    <n v="0"/>
    <n v="0"/>
    <n v="0"/>
    <x v="0"/>
    <n v="2841"/>
    <n v="88"/>
    <n v="4.0348464007336084E-2"/>
  </r>
  <r>
    <d v="2020-11-13T00:00:00"/>
    <n v="400500"/>
    <n v="422866"/>
    <n v="18501"/>
    <n v="461310"/>
    <n v="1303177"/>
    <n v="0"/>
    <n v="0"/>
    <n v="4466.2799999999988"/>
    <n v="2020"/>
    <n v="11"/>
    <n v="13"/>
    <n v="6"/>
    <n v="0"/>
    <n v="0"/>
    <n v="0"/>
    <x v="0"/>
    <n v="3045"/>
    <n v="93"/>
    <n v="4.6268656716417909E-2"/>
  </r>
  <r>
    <d v="2020-11-14T00:00:00"/>
    <n v="414620"/>
    <n v="337238"/>
    <n v="8858"/>
    <n v="593545"/>
    <n v="3496185"/>
    <n v="0"/>
    <n v="0"/>
    <n v="4466.2799999999988"/>
    <n v="2020"/>
    <n v="11"/>
    <n v="14"/>
    <n v="7"/>
    <n v="0"/>
    <n v="0"/>
    <n v="0"/>
    <x v="0"/>
    <n v="3116"/>
    <n v="92"/>
    <n v="4.0034812880765887E-2"/>
  </r>
  <r>
    <d v="2020-11-15T00:00:00"/>
    <n v="474980"/>
    <n v="682"/>
    <n v="0"/>
    <n v="339331"/>
    <n v="814993"/>
    <n v="0"/>
    <n v="0"/>
    <n v="4466.2799999999988"/>
    <n v="2020"/>
    <n v="11"/>
    <n v="15"/>
    <n v="1"/>
    <n v="0"/>
    <n v="0"/>
    <n v="0"/>
    <x v="1"/>
    <n v="3223"/>
    <n v="89"/>
    <n v="3.4752049980476374E-2"/>
  </r>
  <r>
    <d v="2020-11-16T00:00:00"/>
    <n v="1713014"/>
    <n v="491205"/>
    <n v="9433"/>
    <n v="556557"/>
    <n v="2770209"/>
    <n v="-4.7731355252606314E-2"/>
    <n v="-320"/>
    <n v="4466.2799999999988"/>
    <n v="2020"/>
    <n v="11"/>
    <n v="16"/>
    <n v="2"/>
    <n v="0"/>
    <n v="0"/>
    <n v="0"/>
    <x v="2"/>
    <n v="3316"/>
    <n v="94"/>
    <n v="3.466076696165192E-2"/>
  </r>
  <r>
    <d v="2020-11-17T00:00:00"/>
    <n v="303700"/>
    <n v="407673"/>
    <n v="27473"/>
    <n v="442227"/>
    <n v="1181073"/>
    <n v="0"/>
    <n v="0"/>
    <n v="4466.2799999999988"/>
    <n v="2020"/>
    <n v="11"/>
    <n v="17"/>
    <n v="3"/>
    <n v="0"/>
    <n v="0"/>
    <n v="0"/>
    <x v="3"/>
    <n v="3819"/>
    <n v="103"/>
    <n v="3.8318452380952384E-2"/>
  </r>
  <r>
    <d v="2020-11-18T00:00:00"/>
    <n v="417320"/>
    <n v="429055"/>
    <n v="5137"/>
    <n v="543578"/>
    <n v="1395090"/>
    <n v="0"/>
    <n v="0"/>
    <n v="4466.2799999999988"/>
    <n v="2020"/>
    <n v="11"/>
    <n v="18"/>
    <n v="4"/>
    <n v="0"/>
    <n v="0"/>
    <n v="0"/>
    <x v="4"/>
    <n v="4215"/>
    <n v="116"/>
    <n v="4.4753086419753084E-2"/>
  </r>
  <r>
    <d v="2020-11-19T00:00:00"/>
    <n v="426100"/>
    <n v="413857"/>
    <n v="18829"/>
    <n v="409284"/>
    <n v="1268070"/>
    <n v="0"/>
    <n v="0"/>
    <n v="4466.2799999999988"/>
    <n v="2020"/>
    <n v="11"/>
    <n v="19"/>
    <n v="5"/>
    <n v="0"/>
    <n v="0"/>
    <n v="0"/>
    <x v="0"/>
    <n v="4542"/>
    <n v="123"/>
    <n v="4.2152159013022619E-2"/>
  </r>
  <r>
    <d v="2020-11-20T00:00:00"/>
    <n v="347160"/>
    <n v="363080"/>
    <n v="16575"/>
    <n v="460458"/>
    <n v="1187273"/>
    <n v="0"/>
    <n v="0"/>
    <n v="4466.2799999999988"/>
    <n v="2020"/>
    <n v="11"/>
    <n v="20"/>
    <n v="6"/>
    <n v="0"/>
    <n v="0"/>
    <n v="0"/>
    <x v="0"/>
    <n v="5103"/>
    <n v="141"/>
    <n v="4.6704206690957269E-2"/>
  </r>
  <r>
    <d v="2020-11-21T00:00:00"/>
    <n v="317200"/>
    <n v="319343"/>
    <n v="0"/>
    <n v="488173"/>
    <n v="1124716"/>
    <n v="0"/>
    <n v="0"/>
    <n v="4466.2799999999988"/>
    <n v="2020"/>
    <n v="11"/>
    <n v="21"/>
    <n v="7"/>
    <n v="0"/>
    <n v="0"/>
    <n v="0"/>
    <x v="0"/>
    <n v="5532"/>
    <n v="135"/>
    <n v="4.1756882152799255E-2"/>
  </r>
  <r>
    <d v="2020-11-22T00:00:00"/>
    <n v="304140"/>
    <n v="378"/>
    <n v="0"/>
    <n v="308446"/>
    <n v="2753646"/>
    <n v="0"/>
    <n v="0"/>
    <n v="4466.2799999999988"/>
    <n v="2020"/>
    <n v="11"/>
    <n v="22"/>
    <n v="1"/>
    <n v="0"/>
    <n v="0"/>
    <n v="0"/>
    <x v="0"/>
    <n v="6017"/>
    <n v="139"/>
    <n v="3.6463798530954876E-2"/>
  </r>
  <r>
    <d v="2020-11-23T00:00:00"/>
    <n v="382800"/>
    <n v="508436"/>
    <n v="19240"/>
    <n v="455682"/>
    <n v="1366158"/>
    <n v="0"/>
    <n v="0"/>
    <n v="4466.2799999999988"/>
    <n v="2020"/>
    <n v="11"/>
    <n v="23"/>
    <n v="2"/>
    <n v="0"/>
    <n v="0"/>
    <n v="0"/>
    <x v="0"/>
    <n v="6713"/>
    <n v="153"/>
    <n v="4.701905347264905E-2"/>
  </r>
  <r>
    <d v="2020-11-24T00:00:00"/>
    <n v="311400"/>
    <n v="391047"/>
    <n v="5801"/>
    <n v="411024"/>
    <n v="1119272"/>
    <n v="0"/>
    <n v="0"/>
    <n v="4466.2799999999988"/>
    <n v="2020"/>
    <n v="11"/>
    <n v="24"/>
    <n v="3"/>
    <n v="0"/>
    <n v="0"/>
    <n v="0"/>
    <x v="0"/>
    <n v="7381"/>
    <n v="161"/>
    <n v="4.3773790103317022E-2"/>
  </r>
  <r>
    <d v="2020-11-25T00:00:00"/>
    <n v="301940"/>
    <n v="445621"/>
    <n v="7464"/>
    <n v="437296"/>
    <n v="1192321"/>
    <n v="0"/>
    <n v="0"/>
    <n v="4466.2799999999988"/>
    <n v="2020"/>
    <n v="11"/>
    <n v="25"/>
    <n v="4"/>
    <n v="0"/>
    <n v="0"/>
    <n v="0"/>
    <x v="0"/>
    <n v="6814"/>
    <n v="168"/>
    <n v="4.2955765788800816E-2"/>
  </r>
  <r>
    <d v="2020-11-26T00:00:00"/>
    <n v="300320"/>
    <n v="420538"/>
    <n v="9980"/>
    <n v="412397"/>
    <n v="6143235"/>
    <n v="0"/>
    <n v="0"/>
    <n v="4466.2799999999988"/>
    <n v="2020"/>
    <n v="11"/>
    <n v="26"/>
    <n v="5"/>
    <n v="0"/>
    <n v="0"/>
    <n v="0"/>
    <x v="0"/>
    <n v="6876"/>
    <n v="174"/>
    <n v="5.2871467639015499E-2"/>
  </r>
  <r>
    <d v="2020-11-27T00:00:00"/>
    <n v="460520"/>
    <n v="437517"/>
    <n v="14738"/>
    <n v="475063"/>
    <n v="1387838"/>
    <n v="0"/>
    <n v="0"/>
    <n v="4466.2799999999988"/>
    <n v="2020"/>
    <n v="11"/>
    <n v="27"/>
    <n v="6"/>
    <n v="0"/>
    <n v="0"/>
    <n v="0"/>
    <x v="0"/>
    <n v="6592"/>
    <n v="177"/>
    <n v="4.6033810143042912E-2"/>
  </r>
  <r>
    <d v="2020-11-28T00:00:00"/>
    <n v="242380"/>
    <n v="313695"/>
    <n v="2000"/>
    <n v="474870"/>
    <n v="1032945"/>
    <n v="0"/>
    <n v="0"/>
    <n v="4466.2799999999988"/>
    <n v="2020"/>
    <n v="11"/>
    <n v="28"/>
    <n v="7"/>
    <n v="0"/>
    <n v="0"/>
    <n v="0"/>
    <x v="0"/>
    <n v="6714"/>
    <n v="182"/>
    <n v="5.0401550816948214E-2"/>
  </r>
  <r>
    <d v="2020-11-29T00:00:00"/>
    <n v="329460"/>
    <n v="348"/>
    <n v="2014"/>
    <n v="360779"/>
    <n v="692601"/>
    <n v="0"/>
    <n v="0"/>
    <n v="4466.2799999999988"/>
    <n v="2020"/>
    <n v="11"/>
    <n v="29"/>
    <n v="1"/>
    <n v="0"/>
    <n v="0"/>
    <s v="Z-2"/>
    <x v="0"/>
    <n v="6439"/>
    <n v="185"/>
    <n v="4.6077210460772101E-2"/>
  </r>
  <r>
    <d v="2020-11-30T00:00:00"/>
    <n v="441600"/>
    <n v="769542"/>
    <n v="96098"/>
    <n v="509546"/>
    <n v="1816786"/>
    <n v="3.0457204343147838E-2"/>
    <n v="72.004800000000159"/>
    <n v="4466.2799999999988"/>
    <n v="2020"/>
    <n v="11"/>
    <n v="30"/>
    <n v="2"/>
    <n v="0"/>
    <s v="A-1"/>
    <s v="Z-1"/>
    <x v="0"/>
    <n v="6514"/>
    <n v="188"/>
    <n v="4.1917502787068003E-2"/>
  </r>
  <r>
    <d v="2020-12-01T00:00:00"/>
    <n v="215480"/>
    <n v="329036"/>
    <n v="10001"/>
    <n v="292941"/>
    <n v="847458"/>
    <n v="4.2102495067244727E-2"/>
    <n v="139.69519999999966"/>
    <n v="4466.2799999999988"/>
    <n v="2020"/>
    <n v="12"/>
    <n v="1"/>
    <n v="3"/>
    <n v="0"/>
    <s v="A0"/>
    <s v="Z-1"/>
    <x v="0"/>
    <n v="6101"/>
    <n v="190"/>
    <n v="4.1367298062268673E-2"/>
  </r>
  <r>
    <d v="2020-12-02T00:00:00"/>
    <n v="373520"/>
    <n v="390748"/>
    <n v="5001"/>
    <n v="384936"/>
    <n v="3292081"/>
    <n v="0"/>
    <n v="0"/>
    <n v="4466.2799999999988"/>
    <n v="2020"/>
    <n v="12"/>
    <n v="2"/>
    <n v="4"/>
    <n v="0"/>
    <s v="A+1"/>
    <s v="Z"/>
    <x v="0"/>
    <n v="6690"/>
    <n v="193"/>
    <n v="4.0033188135241649E-2"/>
  </r>
  <r>
    <d v="2020-12-03T00:00:00"/>
    <n v="213180"/>
    <n v="365690"/>
    <n v="0"/>
    <n v="359142"/>
    <n v="938012"/>
    <n v="0"/>
    <n v="0"/>
    <n v="4466.2799999999988"/>
    <n v="2020"/>
    <n v="12"/>
    <n v="3"/>
    <n v="5"/>
    <n v="0"/>
    <n v="0"/>
    <s v="Z+1"/>
    <x v="0"/>
    <n v="6511"/>
    <n v="187"/>
    <n v="4.4630071599045348E-2"/>
  </r>
  <r>
    <d v="2020-12-04T00:00:00"/>
    <n v="293040"/>
    <n v="445173"/>
    <n v="18010"/>
    <n v="437376"/>
    <n v="1193599"/>
    <n v="0"/>
    <n v="0"/>
    <n v="4466.2799999999988"/>
    <n v="2020"/>
    <n v="12"/>
    <n v="4"/>
    <n v="6"/>
    <n v="0"/>
    <n v="0"/>
    <n v="0"/>
    <x v="0"/>
    <n v="6903"/>
    <n v="193"/>
    <n v="4.0116399916857205E-2"/>
  </r>
  <r>
    <d v="2020-12-05T00:00:00"/>
    <n v="165500"/>
    <n v="241574"/>
    <n v="5364"/>
    <n v="264069"/>
    <n v="676507"/>
    <n v="0"/>
    <n v="0"/>
    <n v="4466.2799999999988"/>
    <n v="2020"/>
    <n v="12"/>
    <n v="5"/>
    <n v="7"/>
    <n v="0"/>
    <n v="0"/>
    <n v="0"/>
    <x v="0"/>
    <n v="6128"/>
    <n v="196"/>
    <n v="4.7804878048780489E-2"/>
  </r>
  <r>
    <d v="2020-12-06T00:00:00"/>
    <n v="225240"/>
    <n v="450"/>
    <n v="0"/>
    <n v="116370"/>
    <n v="342060"/>
    <n v="0"/>
    <n v="0"/>
    <n v="4466.2799999999988"/>
    <n v="2020"/>
    <n v="12"/>
    <n v="6"/>
    <n v="1"/>
    <n v="0"/>
    <n v="0"/>
    <n v="0"/>
    <x v="0"/>
    <n v="6093"/>
    <n v="195"/>
    <n v="4.8616305160807775E-2"/>
  </r>
  <r>
    <d v="2020-12-07T00:00:00"/>
    <n v="149760"/>
    <n v="425404"/>
    <n v="699"/>
    <n v="246031"/>
    <n v="821894"/>
    <n v="0"/>
    <n v="0"/>
    <n v="4466.2799999999988"/>
    <n v="2020"/>
    <n v="12"/>
    <n v="7"/>
    <n v="2"/>
    <n v="0"/>
    <n v="0"/>
    <n v="0"/>
    <x v="0"/>
    <n v="6420"/>
    <n v="203"/>
    <n v="4.046242774566474E-2"/>
  </r>
  <r>
    <d v="2020-12-08T00:00:00"/>
    <n v="230740"/>
    <n v="341989"/>
    <n v="14409"/>
    <n v="487516"/>
    <n v="1074654"/>
    <n v="0"/>
    <n v="0"/>
    <n v="4466.2799999999988"/>
    <n v="2020"/>
    <n v="12"/>
    <n v="8"/>
    <n v="3"/>
    <n v="0"/>
    <n v="0"/>
    <n v="0"/>
    <x v="0"/>
    <n v="6593"/>
    <n v="211"/>
    <n v="4.0228789323164919E-2"/>
  </r>
  <r>
    <d v="2020-12-09T00:00:00"/>
    <n v="187180"/>
    <n v="380214"/>
    <n v="12002"/>
    <n v="383502"/>
    <n v="962898"/>
    <n v="0"/>
    <n v="0"/>
    <n v="4466.2799999999988"/>
    <n v="2020"/>
    <n v="12"/>
    <n v="9"/>
    <n v="4"/>
    <n v="0"/>
    <n v="0"/>
    <n v="0"/>
    <x v="0"/>
    <n v="6213"/>
    <n v="217"/>
    <n v="3.7119397878891548E-2"/>
  </r>
  <r>
    <d v="2020-12-10T00:00:00"/>
    <n v="307220"/>
    <n v="446841"/>
    <n v="10074"/>
    <n v="356593"/>
    <n v="1120728"/>
    <n v="0"/>
    <n v="0"/>
    <n v="4466.2799999999988"/>
    <n v="2020"/>
    <n v="12"/>
    <n v="10"/>
    <n v="5"/>
    <n v="0"/>
    <n v="0"/>
    <n v="0"/>
    <x v="0"/>
    <n v="5918"/>
    <n v="220"/>
    <n v="4.2048929663608563E-2"/>
  </r>
  <r>
    <d v="2020-12-11T00:00:00"/>
    <n v="2284683"/>
    <n v="348400"/>
    <n v="19889"/>
    <n v="391591"/>
    <n v="3044563"/>
    <n v="0"/>
    <n v="0"/>
    <n v="4466.2799999999988"/>
    <n v="2020"/>
    <n v="12"/>
    <n v="11"/>
    <n v="6"/>
    <n v="0"/>
    <n v="0"/>
    <n v="0"/>
    <x v="0"/>
    <n v="5607"/>
    <n v="226"/>
    <n v="4.0971718636693258E-2"/>
  </r>
  <r>
    <d v="2020-12-12T00:00:00"/>
    <n v="191260"/>
    <n v="352116"/>
    <n v="13521"/>
    <n v="293781"/>
    <n v="850678"/>
    <n v="0"/>
    <n v="0"/>
    <n v="4466.2799999999988"/>
    <n v="2020"/>
    <n v="12"/>
    <n v="12"/>
    <n v="7"/>
    <n v="0"/>
    <n v="0"/>
    <n v="0"/>
    <x v="0"/>
    <n v="5203"/>
    <n v="222"/>
    <n v="1.0994997771284236E-2"/>
  </r>
  <r>
    <d v="2020-12-13T00:00:00"/>
    <n v="100300"/>
    <n v="180"/>
    <n v="0"/>
    <n v="40151"/>
    <n v="2259115"/>
    <n v="0"/>
    <n v="0"/>
    <n v="4466.2799999999988"/>
    <n v="2020"/>
    <n v="12"/>
    <n v="13"/>
    <n v="1"/>
    <n v="0"/>
    <n v="0"/>
    <n v="0"/>
    <x v="0"/>
    <n v="5103"/>
    <n v="218"/>
    <n v="9.8131892865181182E-3"/>
  </r>
  <r>
    <d v="2020-12-14T00:00:00"/>
    <n v="214620"/>
    <n v="462715"/>
    <n v="14398"/>
    <n v="376343"/>
    <n v="1068076"/>
    <n v="0"/>
    <n v="0"/>
    <n v="4466.2799999999988"/>
    <n v="2020"/>
    <n v="12"/>
    <n v="14"/>
    <n v="2"/>
    <n v="0"/>
    <n v="0"/>
    <n v="0"/>
    <x v="0"/>
    <n v="5064"/>
    <n v="229"/>
    <n v="8.1309473086209338E-3"/>
  </r>
  <r>
    <d v="2020-12-15T00:00:00"/>
    <n v="207400"/>
    <n v="383988"/>
    <n v="7427"/>
    <n v="429113"/>
    <n v="1027928"/>
    <n v="0"/>
    <n v="0"/>
    <n v="4466.2799999999988"/>
    <n v="2020"/>
    <n v="12"/>
    <n v="15"/>
    <n v="3"/>
    <n v="0"/>
    <n v="0"/>
    <n v="0"/>
    <x v="0"/>
    <n v="5105"/>
    <n v="235"/>
    <n v="8.0350121379970593E-3"/>
  </r>
  <r>
    <d v="2020-12-16T00:00:00"/>
    <n v="289780"/>
    <n v="430949"/>
    <n v="10265"/>
    <n v="410742"/>
    <n v="1141736"/>
    <n v="0"/>
    <n v="0"/>
    <n v="4466.2799999999988"/>
    <n v="2020"/>
    <n v="12"/>
    <n v="16"/>
    <n v="4"/>
    <n v="0"/>
    <n v="0"/>
    <n v="0"/>
    <x v="0"/>
    <n v="4893"/>
    <n v="240"/>
    <n v="8.0208542209745329E-3"/>
  </r>
  <r>
    <d v="2020-12-17T00:00:00"/>
    <n v="367080"/>
    <n v="354653"/>
    <n v="8708"/>
    <n v="316511"/>
    <n v="1046952"/>
    <n v="0"/>
    <n v="0"/>
    <n v="4466.2799999999988"/>
    <n v="2020"/>
    <n v="12"/>
    <n v="17"/>
    <n v="5"/>
    <n v="0"/>
    <n v="0"/>
    <n v="0"/>
    <x v="0"/>
    <n v="4209"/>
    <n v="243"/>
    <n v="7.96878074375287E-3"/>
  </r>
  <r>
    <d v="2020-12-18T00:00:00"/>
    <n v="259380"/>
    <n v="354322"/>
    <n v="4632"/>
    <n v="537687"/>
    <n v="1156021"/>
    <n v="0"/>
    <n v="0"/>
    <n v="4466.2799999999988"/>
    <n v="2020"/>
    <n v="12"/>
    <n v="18"/>
    <n v="6"/>
    <n v="0"/>
    <n v="0"/>
    <n v="0"/>
    <x v="0"/>
    <n v="4103"/>
    <n v="246"/>
    <n v="7.7007356393801844E-3"/>
  </r>
  <r>
    <d v="2020-12-19T00:00:00"/>
    <n v="254360"/>
    <n v="289153"/>
    <n v="4321"/>
    <n v="262414"/>
    <n v="810248"/>
    <n v="0"/>
    <n v="0"/>
    <n v="4466.2799999999988"/>
    <n v="2020"/>
    <n v="12"/>
    <n v="19"/>
    <n v="7"/>
    <n v="0"/>
    <n v="0"/>
    <n v="0"/>
    <x v="0"/>
    <n v="4002"/>
    <n v="241"/>
    <n v="9.4450540837121809E-3"/>
  </r>
  <r>
    <d v="2020-12-20T00:00:00"/>
    <n v="135340"/>
    <n v="306"/>
    <n v="0"/>
    <n v="103373"/>
    <n v="239019"/>
    <n v="0"/>
    <n v="0"/>
    <n v="4466.2799999999988"/>
    <n v="2020"/>
    <n v="12"/>
    <n v="20"/>
    <n v="1"/>
    <n v="0"/>
    <n v="0"/>
    <n v="0"/>
    <x v="0"/>
    <n v="3546"/>
    <n v="246"/>
    <n v="1.1593929682345178E-2"/>
  </r>
  <r>
    <d v="2020-12-21T00:00:00"/>
    <n v="258440"/>
    <n v="411327"/>
    <n v="6907"/>
    <n v="325076"/>
    <n v="1001750"/>
    <n v="0"/>
    <n v="0"/>
    <n v="4466.2799999999988"/>
    <n v="2020"/>
    <n v="12"/>
    <n v="21"/>
    <n v="2"/>
    <n v="0"/>
    <n v="0"/>
    <n v="0"/>
    <x v="0"/>
    <n v="3412"/>
    <n v="254"/>
    <n v="7.3796449635375808E-3"/>
  </r>
  <r>
    <d v="2020-12-22T00:00:00"/>
    <n v="175560"/>
    <n v="354485"/>
    <n v="13468"/>
    <n v="505690"/>
    <n v="3254803"/>
    <n v="0"/>
    <n v="0"/>
    <n v="4466.2799999999988"/>
    <n v="2020"/>
    <n v="12"/>
    <n v="22"/>
    <n v="3"/>
    <n v="0"/>
    <n v="0"/>
    <n v="0"/>
    <x v="0"/>
    <n v="3309"/>
    <n v="251"/>
    <n v="7.8168794767985057E-3"/>
  </r>
  <r>
    <d v="2020-12-23T00:00:00"/>
    <n v="334760"/>
    <n v="393362"/>
    <n v="19002"/>
    <n v="383678"/>
    <n v="1130802"/>
    <n v="0"/>
    <n v="0"/>
    <n v="4466.2799999999988"/>
    <n v="2020"/>
    <n v="12"/>
    <n v="23"/>
    <n v="4"/>
    <n v="0"/>
    <n v="0"/>
    <n v="0"/>
    <x v="0"/>
    <n v="3192"/>
    <n v="259"/>
    <n v="7.508987591325525E-3"/>
  </r>
  <r>
    <d v="2020-12-24T00:00:00"/>
    <n v="562720"/>
    <n v="403138"/>
    <n v="13069"/>
    <n v="422847"/>
    <n v="1401774"/>
    <n v="0"/>
    <n v="0"/>
    <n v="4466.2799999999988"/>
    <n v="2020"/>
    <n v="12"/>
    <n v="24"/>
    <n v="5"/>
    <n v="0"/>
    <n v="0"/>
    <n v="0"/>
    <x v="0"/>
    <n v="3218"/>
    <n v="254"/>
    <n v="7.4738855377372371E-3"/>
  </r>
  <r>
    <d v="2020-12-25T00:00:00"/>
    <n v="377720"/>
    <n v="438102"/>
    <n v="11086"/>
    <n v="451420"/>
    <n v="1278328"/>
    <n v="0"/>
    <n v="0"/>
    <n v="4466.2799999999988"/>
    <n v="2020"/>
    <n v="12"/>
    <n v="25"/>
    <n v="6"/>
    <n v="0"/>
    <n v="0"/>
    <n v="0"/>
    <x v="0"/>
    <n v="3199"/>
    <n v="256"/>
    <n v="7.2090338205063218E-3"/>
  </r>
  <r>
    <d v="2020-12-26T00:00:00"/>
    <n v="326260"/>
    <n v="298570"/>
    <n v="3985"/>
    <n v="254583"/>
    <n v="883398"/>
    <n v="0"/>
    <n v="0"/>
    <n v="4466.2799999999988"/>
    <n v="2020"/>
    <n v="12"/>
    <n v="26"/>
    <n v="7"/>
    <n v="0"/>
    <n v="0"/>
    <n v="0"/>
    <x v="0"/>
    <n v="3002"/>
    <n v="253"/>
    <n v="1.0890620291851406E-2"/>
  </r>
  <r>
    <d v="2020-12-27T00:00:00"/>
    <n v="169120"/>
    <n v="146"/>
    <n v="0"/>
    <n v="96245"/>
    <n v="265511"/>
    <n v="0"/>
    <n v="0"/>
    <n v="4466.2799999999988"/>
    <n v="2020"/>
    <n v="12"/>
    <n v="27"/>
    <n v="1"/>
    <n v="0"/>
    <n v="0"/>
    <n v="0"/>
    <x v="0"/>
    <n v="2806"/>
    <n v="254"/>
    <n v="1.1983393093036422E-2"/>
  </r>
  <r>
    <d v="2020-12-28T00:00:00"/>
    <n v="301340"/>
    <n v="477905"/>
    <n v="1610"/>
    <n v="339657"/>
    <n v="1120512"/>
    <n v="0"/>
    <n v="0"/>
    <n v="4466.2799999999988"/>
    <n v="2020"/>
    <n v="12"/>
    <n v="28"/>
    <n v="2"/>
    <n v="0"/>
    <n v="0"/>
    <n v="0"/>
    <x v="0"/>
    <n v="2816"/>
    <n v="257"/>
    <n v="1.1575012385713642E-2"/>
  </r>
  <r>
    <d v="2020-12-29T00:00:00"/>
    <n v="574580"/>
    <n v="494750"/>
    <n v="12511"/>
    <n v="482965"/>
    <n v="1564806"/>
    <n v="0"/>
    <n v="0"/>
    <n v="4466.2799999999988"/>
    <n v="2020"/>
    <n v="12"/>
    <n v="29"/>
    <n v="3"/>
    <n v="0"/>
    <n v="0"/>
    <n v="0"/>
    <x v="1"/>
    <n v="2783"/>
    <n v="253"/>
    <n v="1.2045324700057132E-2"/>
  </r>
  <r>
    <d v="2020-12-30T00:00:00"/>
    <n v="252020"/>
    <n v="520650"/>
    <n v="284016"/>
    <n v="564898"/>
    <n v="1621584"/>
    <n v="-3.2361561385678084E-2"/>
    <n v="-170.19999999999982"/>
    <n v="4466.2799999999988"/>
    <n v="2020"/>
    <n v="12"/>
    <n v="30"/>
    <n v="4"/>
    <n v="0"/>
    <n v="0"/>
    <n v="0"/>
    <x v="2"/>
    <n v="2612"/>
    <n v="254"/>
    <n v="1.2579239302694136E-2"/>
  </r>
  <r>
    <d v="2020-12-31T00:00:00"/>
    <n v="484820"/>
    <n v="604026"/>
    <n v="58430"/>
    <n v="590230"/>
    <n v="1737506"/>
    <n v="0"/>
    <n v="0"/>
    <n v="4466.2799999999988"/>
    <n v="2020"/>
    <n v="12"/>
    <n v="31"/>
    <n v="5"/>
    <s v="Y-1"/>
    <s v="A-1"/>
    <n v="0"/>
    <x v="3"/>
    <n v="2219"/>
    <n v="239"/>
    <n v="1.085327641796467E-2"/>
  </r>
  <r>
    <d v="2021-01-01T00:00:00"/>
    <n v="390500"/>
    <n v="0"/>
    <n v="0"/>
    <n v="134781"/>
    <n v="2725784"/>
    <n v="0"/>
    <n v="0"/>
    <n v="4467.2599999999993"/>
    <n v="2021"/>
    <n v="1"/>
    <n v="1"/>
    <n v="6"/>
    <s v="Y"/>
    <s v="A0"/>
    <n v="0"/>
    <x v="4"/>
    <n v="1908"/>
    <n v="212"/>
    <n v="1.5024805102763997E-2"/>
  </r>
  <r>
    <d v="2021-01-02T00:00:00"/>
    <n v="236500"/>
    <n v="210774"/>
    <n v="6886"/>
    <n v="127347"/>
    <n v="581507"/>
    <n v="0"/>
    <n v="0"/>
    <n v="4467.2599999999993"/>
    <n v="2021"/>
    <n v="1"/>
    <n v="2"/>
    <n v="7"/>
    <s v="Y+1"/>
    <s v="A+1"/>
    <n v="0"/>
    <x v="0"/>
    <n v="1713"/>
    <n v="202"/>
    <n v="1.7306374228923921E-2"/>
  </r>
  <r>
    <d v="2021-01-03T00:00:00"/>
    <n v="241340"/>
    <n v="168"/>
    <n v="0"/>
    <n v="77928"/>
    <n v="319436"/>
    <n v="0"/>
    <n v="0"/>
    <n v="4467.2599999999993"/>
    <n v="2021"/>
    <n v="1"/>
    <n v="3"/>
    <n v="1"/>
    <n v="0"/>
    <n v="0"/>
    <s v="Z-2"/>
    <x v="0"/>
    <n v="1515"/>
    <n v="193"/>
    <n v="1.9105127697485645E-2"/>
  </r>
  <r>
    <d v="2021-01-04T00:00:00"/>
    <n v="349040"/>
    <n v="402924"/>
    <n v="33086"/>
    <n v="386570"/>
    <n v="1171620"/>
    <n v="5.9538641335079967E-2"/>
    <n v="615.32194999999956"/>
    <n v="4467.2599999999993"/>
    <n v="2021"/>
    <n v="1"/>
    <n v="4"/>
    <n v="2"/>
    <n v="0"/>
    <n v="0"/>
    <s v="Z-1"/>
    <x v="0"/>
    <n v="1508"/>
    <n v="197"/>
    <n v="1.990703314470493E-2"/>
  </r>
  <r>
    <d v="2021-01-05T00:00:00"/>
    <n v="715900"/>
    <n v="444550"/>
    <n v="7821"/>
    <n v="414001"/>
    <n v="1582272"/>
    <n v="0"/>
    <n v="0"/>
    <n v="4467.26"/>
    <n v="2021"/>
    <n v="1"/>
    <n v="5"/>
    <n v="3"/>
    <n v="0"/>
    <n v="0"/>
    <s v="Z"/>
    <x v="0"/>
    <n v="1477"/>
    <n v="194"/>
    <n v="2.1778176919622812E-2"/>
  </r>
  <r>
    <d v="2021-01-06T00:00:00"/>
    <n v="804560"/>
    <n v="367472"/>
    <n v="13813"/>
    <n v="360316"/>
    <n v="1546161"/>
    <n v="0"/>
    <n v="0"/>
    <n v="4467.26"/>
    <n v="2021"/>
    <n v="1"/>
    <n v="6"/>
    <n v="4"/>
    <n v="0"/>
    <n v="0"/>
    <s v="Z+1"/>
    <x v="0"/>
    <n v="1458"/>
    <n v="191"/>
    <n v="2.1948977246609973E-2"/>
  </r>
  <r>
    <d v="2021-01-07T00:00:00"/>
    <n v="930240"/>
    <n v="354903"/>
    <n v="5501"/>
    <n v="380215"/>
    <n v="1670859"/>
    <n v="0"/>
    <n v="0"/>
    <n v="4467.26"/>
    <n v="2021"/>
    <n v="1"/>
    <n v="7"/>
    <n v="5"/>
    <n v="0"/>
    <n v="0"/>
    <n v="0"/>
    <x v="0"/>
    <n v="1370"/>
    <n v="194"/>
    <n v="2.3626842041164293E-2"/>
  </r>
  <r>
    <d v="2021-01-08T00:00:00"/>
    <n v="647880"/>
    <n v="382444"/>
    <n v="14580"/>
    <n v="465436"/>
    <n v="1510340"/>
    <n v="0"/>
    <n v="0"/>
    <n v="4467.26"/>
    <n v="2021"/>
    <n v="1"/>
    <n v="8"/>
    <n v="6"/>
    <n v="0"/>
    <n v="0"/>
    <n v="0"/>
    <x v="0"/>
    <n v="1291"/>
    <n v="186"/>
    <n v="1.879927228623408E-2"/>
  </r>
  <r>
    <d v="2021-01-09T00:00:00"/>
    <n v="551900"/>
    <n v="273370"/>
    <n v="7770"/>
    <n v="272799"/>
    <n v="6106125"/>
    <n v="0"/>
    <n v="0"/>
    <n v="4467.26"/>
    <n v="2021"/>
    <n v="1"/>
    <n v="9"/>
    <n v="7"/>
    <n v="0"/>
    <n v="0"/>
    <n v="0"/>
    <x v="0"/>
    <n v="1103"/>
    <n v="181"/>
    <n v="2.2905593520627689E-2"/>
  </r>
  <r>
    <d v="2021-01-10T00:00:00"/>
    <n v="260520"/>
    <n v="172"/>
    <n v="0"/>
    <n v="64272"/>
    <n v="324964"/>
    <n v="0"/>
    <n v="0"/>
    <n v="4467.26"/>
    <n v="2021"/>
    <n v="1"/>
    <n v="10"/>
    <n v="1"/>
    <n v="0"/>
    <n v="0"/>
    <n v="0"/>
    <x v="0"/>
    <n v="1017"/>
    <n v="176"/>
    <n v="2.1720350487473776E-2"/>
  </r>
  <r>
    <d v="2021-01-11T00:00:00"/>
    <n v="689020"/>
    <n v="393139"/>
    <n v="800"/>
    <n v="356151"/>
    <n v="1439110"/>
    <n v="0"/>
    <n v="0"/>
    <n v="4467.26"/>
    <n v="2021"/>
    <n v="1"/>
    <n v="11"/>
    <n v="2"/>
    <n v="0"/>
    <n v="0"/>
    <n v="0"/>
    <x v="0"/>
    <n v="1003"/>
    <n v="174"/>
    <n v="1.6891563925832444E-2"/>
  </r>
  <r>
    <d v="2021-01-12T00:00:00"/>
    <n v="894220"/>
    <n v="405062"/>
    <n v="16613"/>
    <n v="409134"/>
    <n v="1725029"/>
    <n v="0"/>
    <n v="0"/>
    <n v="4467.26"/>
    <n v="2021"/>
    <n v="1"/>
    <n v="12"/>
    <n v="3"/>
    <n v="0"/>
    <n v="0"/>
    <n v="0"/>
    <x v="0"/>
    <n v="983"/>
    <n v="171"/>
    <n v="1.7077798861480076E-2"/>
  </r>
  <r>
    <d v="2021-01-13T00:00:00"/>
    <n v="885779"/>
    <n v="378121"/>
    <n v="7468"/>
    <n v="407135"/>
    <n v="6843819"/>
    <n v="0"/>
    <n v="0"/>
    <n v="4467.26"/>
    <n v="2021"/>
    <n v="1"/>
    <n v="13"/>
    <n v="4"/>
    <n v="0"/>
    <n v="0"/>
    <n v="0"/>
    <x v="0"/>
    <n v="971"/>
    <n v="173"/>
    <n v="1.8281728838634683E-2"/>
  </r>
  <r>
    <d v="2021-01-14T00:00:00"/>
    <n v="875440"/>
    <n v="375431"/>
    <n v="3000"/>
    <n v="449411"/>
    <n v="1703282"/>
    <n v="0"/>
    <n v="0"/>
    <n v="4467.26"/>
    <n v="2021"/>
    <n v="1"/>
    <n v="14"/>
    <n v="5"/>
    <n v="0"/>
    <n v="0"/>
    <n v="0"/>
    <x v="0"/>
    <n v="958"/>
    <n v="170"/>
    <n v="1.8865830651426035E-2"/>
  </r>
  <r>
    <d v="2021-01-15T00:00:00"/>
    <n v="965640"/>
    <n v="391821"/>
    <n v="22892"/>
    <n v="399400"/>
    <n v="1779753"/>
    <n v="0"/>
    <n v="0"/>
    <n v="4467.26"/>
    <n v="2021"/>
    <n v="1"/>
    <n v="15"/>
    <n v="6"/>
    <n v="0"/>
    <n v="0"/>
    <n v="0"/>
    <x v="0"/>
    <n v="921"/>
    <n v="169"/>
    <n v="1.855307937204962E-2"/>
  </r>
  <r>
    <d v="2021-01-16T00:00:00"/>
    <n v="667140"/>
    <n v="243523"/>
    <n v="7517"/>
    <n v="295550"/>
    <n v="1213730"/>
    <n v="0"/>
    <n v="0"/>
    <n v="4467.26"/>
    <n v="2021"/>
    <n v="1"/>
    <n v="16"/>
    <n v="7"/>
    <n v="0"/>
    <n v="0"/>
    <n v="0"/>
    <x v="0"/>
    <n v="902"/>
    <n v="168"/>
    <n v="2.0986883198001249E-2"/>
  </r>
  <r>
    <d v="2021-01-17T00:00:00"/>
    <n v="514000"/>
    <n v="462"/>
    <n v="0"/>
    <n v="43236"/>
    <n v="2655190"/>
    <n v="0"/>
    <n v="0"/>
    <n v="4467.26"/>
    <n v="2021"/>
    <n v="1"/>
    <n v="17"/>
    <n v="1"/>
    <n v="0"/>
    <n v="0"/>
    <n v="0"/>
    <x v="0"/>
    <n v="803"/>
    <n v="165"/>
    <n v="1.8724466636404903E-2"/>
  </r>
  <r>
    <d v="2021-01-18T00:00:00"/>
    <n v="880880"/>
    <n v="399294"/>
    <n v="15707"/>
    <n v="449741"/>
    <n v="1745622"/>
    <n v="0"/>
    <n v="0"/>
    <n v="4467.26"/>
    <n v="2021"/>
    <n v="1"/>
    <n v="18"/>
    <n v="2"/>
    <n v="0"/>
    <n v="0"/>
    <n v="0"/>
    <x v="0"/>
    <n v="749"/>
    <n v="164"/>
    <n v="2.0746363061353575E-2"/>
  </r>
  <r>
    <d v="2021-01-19T00:00:00"/>
    <n v="968520"/>
    <n v="329623"/>
    <n v="13924"/>
    <n v="452392"/>
    <n v="1764459"/>
    <n v="0"/>
    <n v="0"/>
    <n v="4467.26"/>
    <n v="2021"/>
    <n v="1"/>
    <n v="19"/>
    <n v="3"/>
    <n v="0"/>
    <n v="0"/>
    <n v="0"/>
    <x v="0"/>
    <n v="761"/>
    <n v="167"/>
    <n v="2.3136602937101691E-2"/>
  </r>
  <r>
    <d v="2021-01-20T00:00:00"/>
    <n v="862340"/>
    <n v="340065"/>
    <n v="14575"/>
    <n v="367052"/>
    <n v="1584032"/>
    <n v="0"/>
    <n v="0"/>
    <n v="4467.26"/>
    <n v="2021"/>
    <n v="1"/>
    <n v="20"/>
    <n v="4"/>
    <n v="0"/>
    <n v="0"/>
    <n v="0"/>
    <x v="0"/>
    <n v="752"/>
    <n v="159"/>
    <n v="2.6803776129467296E-2"/>
  </r>
  <r>
    <d v="2021-01-21T00:00:00"/>
    <n v="786860"/>
    <n v="415009"/>
    <n v="12730"/>
    <n v="365573"/>
    <n v="1580172"/>
    <n v="0"/>
    <n v="0"/>
    <n v="4467.26"/>
    <n v="2021"/>
    <n v="1"/>
    <n v="21"/>
    <n v="5"/>
    <n v="0"/>
    <n v="0"/>
    <n v="0"/>
    <x v="0"/>
    <n v="743"/>
    <n v="153"/>
    <n v="2.5028627515131685E-2"/>
  </r>
  <r>
    <d v="2021-01-22T00:00:00"/>
    <n v="702240"/>
    <n v="436715"/>
    <n v="34291"/>
    <n v="492599"/>
    <n v="1665845"/>
    <n v="0"/>
    <n v="0"/>
    <n v="4467.26"/>
    <n v="2021"/>
    <n v="1"/>
    <n v="22"/>
    <n v="6"/>
    <n v="0"/>
    <n v="0"/>
    <n v="0"/>
    <x v="0"/>
    <n v="734"/>
    <n v="149"/>
    <n v="2.4759056164838818E-2"/>
  </r>
  <r>
    <d v="2021-01-23T00:00:00"/>
    <n v="661640"/>
    <n v="307122"/>
    <n v="7895"/>
    <n v="271906"/>
    <n v="1248563"/>
    <n v="0"/>
    <n v="0"/>
    <n v="4467.26"/>
    <n v="2021"/>
    <n v="1"/>
    <n v="23"/>
    <n v="7"/>
    <n v="0"/>
    <n v="0"/>
    <n v="0"/>
    <x v="0"/>
    <n v="723"/>
    <n v="144"/>
    <n v="2.4780588538977799E-2"/>
  </r>
  <r>
    <d v="2021-01-24T00:00:00"/>
    <n v="444520"/>
    <n v="60"/>
    <n v="0"/>
    <n v="104906"/>
    <n v="549486"/>
    <n v="0"/>
    <n v="0"/>
    <n v="4467.26"/>
    <n v="2021"/>
    <n v="1"/>
    <n v="24"/>
    <n v="1"/>
    <n v="0"/>
    <n v="0"/>
    <n v="0"/>
    <x v="0"/>
    <n v="684"/>
    <n v="140"/>
    <n v="2.3890784982935155E-2"/>
  </r>
  <r>
    <d v="2021-01-25T00:00:00"/>
    <n v="742640"/>
    <n v="421802"/>
    <n v="7301"/>
    <n v="343844"/>
    <n v="1515587"/>
    <n v="0"/>
    <n v="0"/>
    <n v="4467.26"/>
    <n v="2021"/>
    <n v="1"/>
    <n v="25"/>
    <n v="2"/>
    <n v="0"/>
    <n v="0"/>
    <n v="0"/>
    <x v="0"/>
    <n v="671"/>
    <n v="137"/>
    <n v="2.0502843460041904E-2"/>
  </r>
  <r>
    <d v="2021-01-26T00:00:00"/>
    <n v="691860"/>
    <n v="414917"/>
    <n v="10107"/>
    <n v="406680"/>
    <n v="7123522"/>
    <n v="0"/>
    <n v="0"/>
    <n v="4467.26"/>
    <n v="2021"/>
    <n v="1"/>
    <n v="26"/>
    <n v="3"/>
    <n v="0"/>
    <n v="0"/>
    <n v="0"/>
    <x v="0"/>
    <n v="681"/>
    <n v="134"/>
    <n v="1.6526887025160336E-2"/>
  </r>
  <r>
    <d v="2021-01-27T00:00:00"/>
    <n v="975140"/>
    <n v="399567"/>
    <n v="6930"/>
    <n v="475140"/>
    <n v="1856777"/>
    <n v="0"/>
    <n v="0"/>
    <n v="4467.26"/>
    <n v="2021"/>
    <n v="1"/>
    <n v="27"/>
    <n v="4"/>
    <n v="0"/>
    <n v="0"/>
    <n v="0"/>
    <x v="0"/>
    <n v="675"/>
    <n v="132"/>
    <n v="1.4994888106327389E-2"/>
  </r>
  <r>
    <d v="2021-01-28T00:00:00"/>
    <n v="981620"/>
    <n v="342356"/>
    <n v="21962"/>
    <n v="422332"/>
    <n v="1768270"/>
    <n v="0"/>
    <n v="0"/>
    <n v="4467.26"/>
    <n v="2021"/>
    <n v="1"/>
    <n v="28"/>
    <n v="5"/>
    <n v="0"/>
    <n v="0"/>
    <n v="0"/>
    <x v="0"/>
    <n v="670"/>
    <n v="129"/>
    <n v="1.4491125589755112E-2"/>
  </r>
  <r>
    <d v="2021-01-29T00:00:00"/>
    <n v="1245000"/>
    <n v="472750"/>
    <n v="0"/>
    <n v="497338"/>
    <n v="2215088"/>
    <n v="0"/>
    <n v="0"/>
    <n v="4467.26"/>
    <n v="2021"/>
    <n v="1"/>
    <n v="29"/>
    <n v="6"/>
    <n v="0"/>
    <n v="0"/>
    <n v="0"/>
    <x v="0"/>
    <n v="664"/>
    <n v="131"/>
    <n v="1.6186828123069319E-2"/>
  </r>
  <r>
    <d v="2021-01-30T00:00:00"/>
    <n v="705340"/>
    <n v="384869"/>
    <n v="5741"/>
    <n v="389574"/>
    <n v="1485524"/>
    <n v="0"/>
    <n v="0"/>
    <n v="4467.26"/>
    <n v="2021"/>
    <n v="1"/>
    <n v="30"/>
    <n v="7"/>
    <n v="0"/>
    <n v="0"/>
    <n v="0"/>
    <x v="0"/>
    <n v="658"/>
    <n v="129"/>
    <n v="1.8169014084507041E-2"/>
  </r>
  <r>
    <d v="2021-01-31T00:00:00"/>
    <n v="509660"/>
    <n v="2648"/>
    <n v="121428"/>
    <n v="115818"/>
    <n v="749554"/>
    <n v="0"/>
    <n v="0"/>
    <n v="4467.26"/>
    <n v="2021"/>
    <n v="1"/>
    <n v="31"/>
    <n v="1"/>
    <n v="0"/>
    <s v="A-1"/>
    <n v="0"/>
    <x v="0"/>
    <n v="641"/>
    <n v="128"/>
    <n v="1.8270054239223524E-2"/>
  </r>
  <r>
    <d v="2021-02-01T00:00:00"/>
    <n v="664880"/>
    <n v="296877"/>
    <n v="23471"/>
    <n v="296921"/>
    <n v="1282149"/>
    <n v="0"/>
    <n v="0"/>
    <n v="4467.26"/>
    <n v="2021"/>
    <n v="2"/>
    <n v="1"/>
    <n v="2"/>
    <n v="0"/>
    <s v="A0"/>
    <n v="0"/>
    <x v="0"/>
    <n v="636"/>
    <n v="124"/>
    <n v="1.5469061876247504E-2"/>
  </r>
  <r>
    <d v="2021-02-02T00:00:00"/>
    <n v="677740"/>
    <n v="290657"/>
    <n v="11288"/>
    <n v="430976"/>
    <n v="1410661"/>
    <n v="0"/>
    <n v="0"/>
    <n v="4467.26"/>
    <n v="2021"/>
    <n v="2"/>
    <n v="2"/>
    <n v="3"/>
    <n v="0"/>
    <s v="A+1"/>
    <n v="0"/>
    <x v="0"/>
    <n v="630"/>
    <n v="120"/>
    <n v="1.3890496585252923E-2"/>
  </r>
  <r>
    <d v="2021-02-03T00:00:00"/>
    <n v="895260"/>
    <n v="367795"/>
    <n v="6052"/>
    <n v="390500"/>
    <n v="1659607"/>
    <n v="0"/>
    <n v="0"/>
    <n v="4467.26"/>
    <n v="2021"/>
    <n v="2"/>
    <n v="3"/>
    <n v="4"/>
    <n v="0"/>
    <n v="0"/>
    <n v="0"/>
    <x v="0"/>
    <n v="632"/>
    <n v="117"/>
    <n v="1.4072648544623527E-2"/>
  </r>
  <r>
    <d v="2021-02-04T00:00:00"/>
    <n v="968800"/>
    <n v="334970"/>
    <n v="8280"/>
    <n v="421375"/>
    <n v="3933994"/>
    <n v="0"/>
    <n v="0"/>
    <n v="4467.26"/>
    <n v="2021"/>
    <n v="2"/>
    <n v="4"/>
    <n v="5"/>
    <n v="0"/>
    <n v="0"/>
    <n v="0"/>
    <x v="0"/>
    <n v="627"/>
    <n v="113"/>
    <n v="1.2819058423142371E-2"/>
  </r>
  <r>
    <d v="2021-02-05T00:00:00"/>
    <n v="908240"/>
    <n v="330676"/>
    <n v="10437"/>
    <n v="438307"/>
    <n v="7187636"/>
    <n v="0"/>
    <n v="0"/>
    <n v="4467.26"/>
    <n v="2021"/>
    <n v="2"/>
    <n v="5"/>
    <n v="6"/>
    <n v="0"/>
    <n v="0"/>
    <n v="0"/>
    <x v="0"/>
    <n v="620"/>
    <n v="110"/>
    <n v="1.3386880856760375E-2"/>
  </r>
  <r>
    <d v="2021-02-06T00:00:00"/>
    <n v="704320"/>
    <n v="273065"/>
    <n v="3830"/>
    <n v="297947"/>
    <n v="1279162"/>
    <n v="0"/>
    <n v="0"/>
    <n v="4467.26"/>
    <n v="2021"/>
    <n v="2"/>
    <n v="6"/>
    <n v="7"/>
    <n v="0"/>
    <n v="0"/>
    <n v="0"/>
    <x v="0"/>
    <n v="618"/>
    <n v="108"/>
    <n v="1.3351464952404499E-2"/>
  </r>
  <r>
    <d v="2021-02-07T00:00:00"/>
    <n v="461720"/>
    <n v="0"/>
    <n v="0"/>
    <n v="110991"/>
    <n v="572711"/>
    <n v="0"/>
    <n v="0"/>
    <n v="4467.26"/>
    <n v="2021"/>
    <n v="2"/>
    <n v="7"/>
    <n v="1"/>
    <n v="0"/>
    <n v="0"/>
    <n v="0"/>
    <x v="0"/>
    <n v="623"/>
    <n v="112"/>
    <n v="1.3656871113278868E-2"/>
  </r>
  <r>
    <d v="2021-02-08T00:00:00"/>
    <n v="791860"/>
    <n v="376087"/>
    <n v="8151"/>
    <n v="452312"/>
    <n v="1628410"/>
    <n v="0"/>
    <n v="0"/>
    <n v="4467.26"/>
    <n v="2021"/>
    <n v="2"/>
    <n v="8"/>
    <n v="2"/>
    <n v="0"/>
    <n v="0"/>
    <n v="0"/>
    <x v="0"/>
    <n v="632"/>
    <n v="103"/>
    <n v="1.2022878487218397E-2"/>
  </r>
  <r>
    <d v="2021-02-09T00:00:00"/>
    <n v="794760"/>
    <n v="371356"/>
    <n v="24504"/>
    <n v="479527"/>
    <n v="1670147"/>
    <n v="0"/>
    <n v="0"/>
    <n v="4467.26"/>
    <n v="2021"/>
    <n v="2"/>
    <n v="9"/>
    <n v="3"/>
    <n v="0"/>
    <n v="0"/>
    <n v="0"/>
    <x v="0"/>
    <n v="659"/>
    <n v="98"/>
    <n v="1.2085337279565914E-2"/>
  </r>
  <r>
    <d v="2021-02-10T00:00:00"/>
    <n v="824000"/>
    <n v="370538"/>
    <n v="14004"/>
    <n v="410433"/>
    <n v="1618975"/>
    <n v="0"/>
    <n v="0"/>
    <n v="4467.26"/>
    <n v="2021"/>
    <n v="2"/>
    <n v="10"/>
    <n v="4"/>
    <n v="0"/>
    <n v="0"/>
    <n v="0"/>
    <x v="0"/>
    <n v="664"/>
    <n v="95"/>
    <n v="1.2020751613311401E-2"/>
  </r>
  <r>
    <d v="2021-02-11T00:00:00"/>
    <n v="870880"/>
    <n v="365831"/>
    <n v="9885"/>
    <n v="469727"/>
    <n v="3916246"/>
    <n v="0"/>
    <n v="0"/>
    <n v="4467.26"/>
    <n v="2021"/>
    <n v="2"/>
    <n v="11"/>
    <n v="5"/>
    <n v="0"/>
    <n v="0"/>
    <n v="0"/>
    <x v="0"/>
    <n v="660"/>
    <n v="94"/>
    <n v="1.2034310587632826E-2"/>
  </r>
  <r>
    <d v="2021-02-12T00:00:00"/>
    <n v="1109500"/>
    <n v="400069"/>
    <n v="13087"/>
    <n v="435997"/>
    <n v="1958653"/>
    <n v="0"/>
    <n v="0"/>
    <n v="4467.26"/>
    <n v="2021"/>
    <n v="2"/>
    <n v="12"/>
    <n v="6"/>
    <n v="0"/>
    <n v="0"/>
    <n v="0"/>
    <x v="0"/>
    <n v="667"/>
    <n v="97"/>
    <n v="1.1963492846571288E-2"/>
  </r>
  <r>
    <d v="2021-02-13T00:00:00"/>
    <n v="994940"/>
    <n v="288553"/>
    <n v="5450"/>
    <n v="326490"/>
    <n v="1615433"/>
    <n v="0"/>
    <n v="0"/>
    <n v="4467.26"/>
    <n v="2021"/>
    <n v="2"/>
    <n v="13"/>
    <n v="7"/>
    <n v="0"/>
    <n v="0"/>
    <n v="0"/>
    <x v="0"/>
    <n v="671"/>
    <n v="93"/>
    <n v="1.2889812889812891E-2"/>
  </r>
  <r>
    <d v="2021-02-14T00:00:00"/>
    <n v="500260"/>
    <n v="0"/>
    <n v="0"/>
    <n v="103223"/>
    <n v="603483"/>
    <n v="0"/>
    <n v="0"/>
    <n v="4467.26"/>
    <n v="2021"/>
    <n v="2"/>
    <n v="14"/>
    <n v="1"/>
    <n v="0"/>
    <n v="0"/>
    <n v="0"/>
    <x v="0"/>
    <n v="666"/>
    <n v="94"/>
    <n v="1.3603473227206947E-2"/>
  </r>
  <r>
    <d v="2021-02-15T00:00:00"/>
    <n v="556480"/>
    <n v="417152"/>
    <n v="7611"/>
    <n v="438883"/>
    <n v="1420126"/>
    <n v="0"/>
    <n v="0"/>
    <n v="4467.26"/>
    <n v="2021"/>
    <n v="2"/>
    <n v="15"/>
    <n v="2"/>
    <n v="0"/>
    <n v="0"/>
    <n v="0"/>
    <x v="0"/>
    <n v="660"/>
    <n v="91"/>
    <n v="1.2806079369546862E-2"/>
  </r>
  <r>
    <d v="2021-02-16T00:00:00"/>
    <n v="757960"/>
    <n v="372537"/>
    <n v="20611"/>
    <n v="402326"/>
    <n v="1553434"/>
    <n v="0"/>
    <n v="0"/>
    <n v="4467.26"/>
    <n v="2021"/>
    <n v="2"/>
    <n v="16"/>
    <n v="3"/>
    <n v="0"/>
    <n v="0"/>
    <n v="0"/>
    <x v="0"/>
    <n v="658"/>
    <n v="90"/>
    <n v="1.2519126443177077E-2"/>
  </r>
  <r>
    <d v="2021-02-17T00:00:00"/>
    <n v="571680"/>
    <n v="349881"/>
    <n v="1599"/>
    <n v="407263"/>
    <n v="1330423"/>
    <n v="0"/>
    <n v="0"/>
    <n v="4467.26"/>
    <n v="2021"/>
    <n v="2"/>
    <n v="17"/>
    <n v="4"/>
    <n v="0"/>
    <n v="0"/>
    <n v="0"/>
    <x v="0"/>
    <n v="649"/>
    <n v="86"/>
    <n v="1.1929532528783465E-2"/>
  </r>
  <r>
    <d v="2021-02-18T00:00:00"/>
    <n v="793380"/>
    <n v="320677"/>
    <n v="12834"/>
    <n v="389240"/>
    <n v="1516131"/>
    <n v="0"/>
    <n v="0"/>
    <n v="4467.26"/>
    <n v="2021"/>
    <n v="2"/>
    <n v="18"/>
    <n v="5"/>
    <n v="0"/>
    <n v="0"/>
    <n v="0"/>
    <x v="1"/>
    <n v="640"/>
    <n v="83"/>
    <n v="1.1500623527781627E-2"/>
  </r>
  <r>
    <d v="2021-02-19T00:00:00"/>
    <n v="941960"/>
    <n v="443886"/>
    <n v="16088"/>
    <n v="409942"/>
    <n v="1811876"/>
    <n v="-3.005482727193912E-2"/>
    <n v="-128.66534999999976"/>
    <n v="4467.26"/>
    <n v="2021"/>
    <n v="2"/>
    <n v="19"/>
    <n v="6"/>
    <n v="0"/>
    <n v="0"/>
    <n v="0"/>
    <x v="2"/>
    <n v="638"/>
    <n v="82"/>
    <n v="1.0936249666577753E-2"/>
  </r>
  <r>
    <d v="2021-02-20T00:00:00"/>
    <n v="813420"/>
    <n v="248914"/>
    <n v="1500"/>
    <n v="263499"/>
    <n v="6828327"/>
    <n v="0"/>
    <n v="0"/>
    <n v="4467.26"/>
    <n v="2021"/>
    <n v="2"/>
    <n v="20"/>
    <n v="7"/>
    <n v="0"/>
    <n v="0"/>
    <n v="0"/>
    <x v="3"/>
    <n v="635"/>
    <n v="80"/>
    <n v="1.1095700416088766E-2"/>
  </r>
  <r>
    <d v="2021-02-21T00:00:00"/>
    <n v="581140"/>
    <n v="0"/>
    <n v="0"/>
    <n v="167280"/>
    <n v="748420"/>
    <n v="0"/>
    <n v="0"/>
    <n v="4467.26"/>
    <n v="2021"/>
    <n v="2"/>
    <n v="21"/>
    <n v="1"/>
    <n v="0"/>
    <n v="0"/>
    <n v="0"/>
    <x v="4"/>
    <n v="601"/>
    <n v="77"/>
    <n v="1.5393842463014795E-2"/>
  </r>
  <r>
    <d v="2021-02-22T00:00:00"/>
    <n v="870740"/>
    <n v="395006"/>
    <n v="4592"/>
    <n v="370037"/>
    <n v="1640375"/>
    <n v="0"/>
    <n v="0"/>
    <n v="4467.26"/>
    <n v="2021"/>
    <n v="2"/>
    <n v="22"/>
    <n v="2"/>
    <n v="0"/>
    <n v="0"/>
    <n v="0"/>
    <x v="0"/>
    <n v="623"/>
    <n v="78"/>
    <n v="1.3708260105448155E-2"/>
  </r>
  <r>
    <d v="2021-02-23T00:00:00"/>
    <n v="922860"/>
    <n v="456450"/>
    <n v="19941"/>
    <n v="413230"/>
    <n v="1812481"/>
    <n v="0"/>
    <n v="0"/>
    <n v="4467.26"/>
    <n v="2021"/>
    <n v="2"/>
    <n v="23"/>
    <n v="3"/>
    <n v="0"/>
    <n v="0"/>
    <n v="0"/>
    <x v="0"/>
    <n v="633"/>
    <n v="75"/>
    <n v="1.3523260007212405E-2"/>
  </r>
  <r>
    <d v="2021-02-24T00:00:00"/>
    <n v="1044740"/>
    <n v="349635"/>
    <n v="9454"/>
    <n v="399662"/>
    <n v="1803491"/>
    <n v="0"/>
    <n v="0"/>
    <n v="4467.26"/>
    <n v="2021"/>
    <n v="2"/>
    <n v="24"/>
    <n v="4"/>
    <n v="0"/>
    <n v="0"/>
    <n v="0"/>
    <x v="0"/>
    <n v="660"/>
    <n v="72"/>
    <n v="1.3592599584670568E-2"/>
  </r>
  <r>
    <d v="2021-02-25T00:00:00"/>
    <n v="1727891"/>
    <n v="428815"/>
    <n v="13502"/>
    <n v="415001"/>
    <n v="2585209"/>
    <n v="0"/>
    <n v="0"/>
    <n v="4467.26"/>
    <n v="2021"/>
    <n v="2"/>
    <n v="25"/>
    <n v="5"/>
    <n v="0"/>
    <n v="0"/>
    <n v="0"/>
    <x v="0"/>
    <n v="658"/>
    <n v="73"/>
    <n v="1.1755233494363929E-2"/>
  </r>
  <r>
    <d v="2021-02-26T00:00:00"/>
    <n v="2382660"/>
    <n v="534755"/>
    <n v="10840"/>
    <n v="490726"/>
    <n v="3418981"/>
    <n v="0"/>
    <n v="0"/>
    <n v="4467.26"/>
    <n v="2021"/>
    <n v="2"/>
    <n v="26"/>
    <n v="6"/>
    <n v="0"/>
    <n v="0"/>
    <n v="0"/>
    <x v="0"/>
    <n v="649"/>
    <n v="74"/>
    <n v="7.1970433767749465E-3"/>
  </r>
  <r>
    <d v="2021-02-27T00:00:00"/>
    <n v="1183540"/>
    <n v="423176"/>
    <n v="7983"/>
    <n v="483615"/>
    <n v="4305676"/>
    <n v="0"/>
    <n v="0"/>
    <n v="4467.26"/>
    <n v="2021"/>
    <n v="2"/>
    <n v="27"/>
    <n v="7"/>
    <n v="0"/>
    <n v="0"/>
    <n v="0"/>
    <x v="0"/>
    <n v="621"/>
    <n v="71"/>
    <n v="7.9436115462072059E-3"/>
  </r>
  <r>
    <d v="2021-02-28T00:00:00"/>
    <n v="993540"/>
    <n v="10059"/>
    <n v="60000"/>
    <n v="149155"/>
    <n v="1212754"/>
    <n v="0"/>
    <n v="0"/>
    <n v="4467.26"/>
    <n v="2021"/>
    <n v="2"/>
    <n v="28"/>
    <n v="1"/>
    <n v="0"/>
    <s v="A-1"/>
    <s v="Z-2"/>
    <x v="0"/>
    <n v="610"/>
    <n v="66"/>
    <n v="1.0136691752418983E-2"/>
  </r>
  <r>
    <d v="2021-03-01T00:00:00"/>
    <n v="1218820"/>
    <n v="439320"/>
    <n v="5149"/>
    <n v="335975"/>
    <n v="1999264"/>
    <n v="4.0100288020849847E-2"/>
    <n v="468.49319999999989"/>
    <n v="4467.26"/>
    <n v="2021"/>
    <n v="3"/>
    <n v="1"/>
    <n v="2"/>
    <n v="0"/>
    <s v="A0"/>
    <s v="Z-1"/>
    <x v="0"/>
    <n v="645"/>
    <n v="69"/>
    <n v="1.1602488649739364E-2"/>
  </r>
  <r>
    <d v="2021-03-02T00:00:00"/>
    <n v="1419920"/>
    <n v="593981"/>
    <n v="22352"/>
    <n v="425113"/>
    <n v="2461366"/>
    <n v="0"/>
    <n v="0"/>
    <n v="4467.26"/>
    <n v="2021"/>
    <n v="3"/>
    <n v="2"/>
    <n v="3"/>
    <n v="0"/>
    <s v="A+1"/>
    <s v="Z"/>
    <x v="0"/>
    <n v="668"/>
    <n v="68"/>
    <n v="8.6163203243791175E-3"/>
  </r>
  <r>
    <d v="2021-03-03T00:00:00"/>
    <n v="1051380"/>
    <n v="223146"/>
    <n v="8142"/>
    <n v="438728"/>
    <n v="1721396"/>
    <n v="0"/>
    <n v="0"/>
    <n v="4467.26"/>
    <n v="2021"/>
    <n v="3"/>
    <n v="3"/>
    <n v="4"/>
    <n v="0"/>
    <n v="0"/>
    <s v="Z+1"/>
    <x v="0"/>
    <n v="689"/>
    <n v="65"/>
    <n v="9.039076623557225E-3"/>
  </r>
  <r>
    <d v="2021-03-04T00:00:00"/>
    <n v="958620"/>
    <n v="309888"/>
    <n v="25793"/>
    <n v="374285"/>
    <n v="1668586"/>
    <n v="0"/>
    <n v="0"/>
    <n v="4467.26"/>
    <n v="2021"/>
    <n v="3"/>
    <n v="4"/>
    <n v="5"/>
    <n v="0"/>
    <n v="0"/>
    <n v="0"/>
    <x v="0"/>
    <n v="685"/>
    <n v="68"/>
    <n v="8.6371141877302163E-3"/>
  </r>
  <r>
    <d v="2021-03-05T00:00:00"/>
    <n v="948840"/>
    <n v="301266"/>
    <n v="4650"/>
    <n v="519970"/>
    <n v="1774726"/>
    <n v="0"/>
    <n v="0"/>
    <n v="4467.26"/>
    <n v="2021"/>
    <n v="3"/>
    <n v="5"/>
    <n v="6"/>
    <n v="0"/>
    <n v="0"/>
    <n v="0"/>
    <x v="0"/>
    <n v="698"/>
    <n v="62"/>
    <n v="8.0404616781221631E-3"/>
  </r>
  <r>
    <d v="2021-03-06T00:00:00"/>
    <n v="998560"/>
    <n v="211087"/>
    <n v="17788"/>
    <n v="440635"/>
    <n v="1668070"/>
    <n v="0"/>
    <n v="0"/>
    <n v="4467.26"/>
    <n v="2021"/>
    <n v="3"/>
    <n v="6"/>
    <n v="7"/>
    <n v="0"/>
    <n v="0"/>
    <n v="0"/>
    <x v="0"/>
    <n v="702"/>
    <n v="64"/>
    <n v="8.7779454121519676E-3"/>
  </r>
  <r>
    <d v="2021-03-07T00:00:00"/>
    <n v="1203840"/>
    <n v="0"/>
    <n v="0"/>
    <n v="227560"/>
    <n v="3633142"/>
    <n v="0"/>
    <n v="0"/>
    <n v="4467.26"/>
    <n v="2021"/>
    <n v="3"/>
    <n v="7"/>
    <n v="1"/>
    <n v="0"/>
    <n v="0"/>
    <n v="0"/>
    <x v="0"/>
    <n v="735"/>
    <n v="65"/>
    <n v="8.3493898522800265E-3"/>
  </r>
  <r>
    <d v="2021-03-08T00:00:00"/>
    <n v="1038800"/>
    <n v="379044"/>
    <n v="2300"/>
    <n v="394344"/>
    <n v="1814488"/>
    <n v="0"/>
    <n v="0"/>
    <n v="4467.26"/>
    <n v="2021"/>
    <n v="3"/>
    <n v="8"/>
    <n v="2"/>
    <n v="0"/>
    <n v="0"/>
    <n v="0"/>
    <x v="0"/>
    <n v="767"/>
    <n v="64"/>
    <n v="7.8953861337281023E-3"/>
  </r>
  <r>
    <d v="2021-03-09T00:00:00"/>
    <n v="1074920"/>
    <n v="371635"/>
    <n v="17962"/>
    <n v="486038"/>
    <n v="1950555"/>
    <n v="0"/>
    <n v="0"/>
    <n v="4467.26"/>
    <n v="2021"/>
    <n v="3"/>
    <n v="9"/>
    <n v="3"/>
    <n v="0"/>
    <n v="0"/>
    <n v="0"/>
    <x v="0"/>
    <n v="801"/>
    <n v="66"/>
    <n v="7.6397731218891072E-3"/>
  </r>
  <r>
    <d v="2021-03-10T00:00:00"/>
    <n v="1040160"/>
    <n v="344438"/>
    <n v="4782"/>
    <n v="404040"/>
    <n v="1793420"/>
    <n v="0"/>
    <n v="0"/>
    <n v="4467.26"/>
    <n v="2021"/>
    <n v="3"/>
    <n v="10"/>
    <n v="4"/>
    <n v="0"/>
    <n v="0"/>
    <n v="0"/>
    <x v="0"/>
    <n v="814"/>
    <n v="67"/>
    <n v="7.2881540302404003E-3"/>
  </r>
  <r>
    <d v="2021-03-11T00:00:00"/>
    <n v="1257960"/>
    <n v="308782"/>
    <n v="13997"/>
    <n v="387374"/>
    <n v="1968113"/>
    <n v="0"/>
    <n v="0"/>
    <n v="4467.26"/>
    <n v="2021"/>
    <n v="3"/>
    <n v="11"/>
    <n v="5"/>
    <n v="0"/>
    <n v="0"/>
    <n v="0"/>
    <x v="0"/>
    <n v="821"/>
    <n v="63"/>
    <n v="6.8248293792655184E-3"/>
  </r>
  <r>
    <d v="2021-03-12T00:00:00"/>
    <n v="1847440"/>
    <n v="367947"/>
    <n v="18433"/>
    <n v="493880"/>
    <n v="2727700"/>
    <n v="0"/>
    <n v="0"/>
    <n v="4467.26"/>
    <n v="2021"/>
    <n v="3"/>
    <n v="12"/>
    <n v="6"/>
    <n v="0"/>
    <n v="0"/>
    <n v="0"/>
    <x v="0"/>
    <n v="834"/>
    <n v="66"/>
    <n v="5.9033989266547406E-3"/>
  </r>
  <r>
    <d v="2021-03-13T00:00:00"/>
    <n v="863640"/>
    <n v="247031"/>
    <n v="5700"/>
    <n v="465549"/>
    <n v="1581920"/>
    <n v="0"/>
    <n v="0"/>
    <n v="4467.26"/>
    <n v="2021"/>
    <n v="3"/>
    <n v="13"/>
    <n v="7"/>
    <n v="0"/>
    <n v="0"/>
    <n v="0"/>
    <x v="0"/>
    <n v="841"/>
    <n v="65"/>
    <n v="4.251978805521031E-3"/>
  </r>
  <r>
    <d v="2021-03-14T00:00:00"/>
    <n v="1039120"/>
    <n v="0"/>
    <n v="4332"/>
    <n v="285992"/>
    <n v="1329444"/>
    <n v="0"/>
    <n v="0"/>
    <n v="4467.26"/>
    <n v="2021"/>
    <n v="3"/>
    <n v="14"/>
    <n v="1"/>
    <n v="0"/>
    <n v="0"/>
    <n v="0"/>
    <x v="0"/>
    <n v="852"/>
    <n v="68"/>
    <n v="4.3825728280484661E-3"/>
  </r>
  <r>
    <d v="2021-03-15T00:00:00"/>
    <n v="1125400"/>
    <n v="418273"/>
    <n v="0"/>
    <n v="393985"/>
    <n v="1937658"/>
    <n v="0"/>
    <n v="0"/>
    <n v="4467.26"/>
    <n v="2021"/>
    <n v="3"/>
    <n v="15"/>
    <n v="2"/>
    <n v="0"/>
    <n v="0"/>
    <n v="0"/>
    <x v="0"/>
    <n v="858"/>
    <n v="63"/>
    <n v="3.964009312275845E-3"/>
  </r>
  <r>
    <d v="2021-03-16T00:00:00"/>
    <n v="1073180"/>
    <n v="387278"/>
    <n v="15987"/>
    <n v="402348"/>
    <n v="11878500"/>
    <n v="0"/>
    <n v="0"/>
    <n v="4467.26"/>
    <n v="2021"/>
    <n v="3"/>
    <n v="16"/>
    <n v="3"/>
    <n v="0"/>
    <n v="0"/>
    <n v="0"/>
    <x v="0"/>
    <n v="874"/>
    <n v="71"/>
    <n v="3.9680321913597499E-3"/>
  </r>
  <r>
    <d v="2021-03-17T00:00:00"/>
    <n v="1734900"/>
    <n v="359177"/>
    <n v="15208"/>
    <n v="488500"/>
    <n v="2597785"/>
    <n v="0"/>
    <n v="0"/>
    <n v="4467.26"/>
    <n v="2021"/>
    <n v="3"/>
    <n v="17"/>
    <n v="4"/>
    <n v="0"/>
    <n v="0"/>
    <n v="0"/>
    <x v="0"/>
    <n v="869"/>
    <n v="73"/>
    <n v="4.2538313618087527E-3"/>
  </r>
  <r>
    <d v="2021-03-18T00:00:00"/>
    <n v="1307440"/>
    <n v="348130"/>
    <n v="12547"/>
    <n v="405804"/>
    <n v="2073921"/>
    <n v="0"/>
    <n v="0"/>
    <n v="4467.26"/>
    <n v="2021"/>
    <n v="3"/>
    <n v="18"/>
    <n v="5"/>
    <n v="0"/>
    <n v="0"/>
    <n v="0"/>
    <x v="0"/>
    <n v="902"/>
    <n v="81"/>
    <n v="4.3513295729250608E-3"/>
  </r>
  <r>
    <d v="2021-03-19T00:00:00"/>
    <n v="1566840"/>
    <n v="421578"/>
    <n v="4410"/>
    <n v="424231"/>
    <n v="2417059"/>
    <n v="0"/>
    <n v="0"/>
    <n v="4467.26"/>
    <n v="2021"/>
    <n v="3"/>
    <n v="19"/>
    <n v="6"/>
    <n v="0"/>
    <n v="0"/>
    <n v="0"/>
    <x v="0"/>
    <n v="934"/>
    <n v="87"/>
    <n v="4.8015894916938022E-3"/>
  </r>
  <r>
    <d v="2021-03-20T00:00:00"/>
    <n v="1113240"/>
    <n v="232505"/>
    <n v="7371"/>
    <n v="500623"/>
    <n v="1853739"/>
    <n v="0"/>
    <n v="0"/>
    <n v="4467.26"/>
    <n v="2021"/>
    <n v="3"/>
    <n v="20"/>
    <n v="7"/>
    <n v="0"/>
    <n v="0"/>
    <n v="0"/>
    <x v="0"/>
    <n v="958"/>
    <n v="95"/>
    <n v="5.0491629019399414E-3"/>
  </r>
  <r>
    <d v="2021-03-21T00:00:00"/>
    <n v="907020"/>
    <n v="0"/>
    <n v="1640"/>
    <n v="197989"/>
    <n v="1106649"/>
    <n v="0"/>
    <n v="0"/>
    <n v="4467.26"/>
    <n v="2021"/>
    <n v="3"/>
    <n v="21"/>
    <n v="1"/>
    <n v="0"/>
    <n v="0"/>
    <n v="0"/>
    <x v="0"/>
    <n v="965"/>
    <n v="102"/>
    <n v="5.7905194436559749E-3"/>
  </r>
  <r>
    <d v="2021-03-22T00:00:00"/>
    <n v="1248160"/>
    <n v="447655"/>
    <n v="759"/>
    <n v="520756"/>
    <n v="2217330"/>
    <n v="0"/>
    <n v="0"/>
    <n v="4467.26"/>
    <n v="2021"/>
    <n v="3"/>
    <n v="22"/>
    <n v="2"/>
    <n v="0"/>
    <n v="0"/>
    <n v="0"/>
    <x v="0"/>
    <n v="981"/>
    <n v="117"/>
    <n v="6.0018467220683287E-3"/>
  </r>
  <r>
    <d v="2021-03-23T00:00:00"/>
    <n v="1683220"/>
    <n v="387160"/>
    <n v="5850"/>
    <n v="446261"/>
    <n v="2522491"/>
    <n v="0"/>
    <n v="0"/>
    <n v="4467.26"/>
    <n v="2021"/>
    <n v="3"/>
    <n v="23"/>
    <n v="3"/>
    <n v="0"/>
    <n v="0"/>
    <n v="0"/>
    <x v="0"/>
    <n v="1006"/>
    <n v="138"/>
    <n v="7.1871256705379931E-3"/>
  </r>
  <r>
    <d v="2021-03-24T00:00:00"/>
    <n v="1306500"/>
    <n v="325470"/>
    <n v="18237"/>
    <n v="405069"/>
    <n v="2055276"/>
    <n v="0"/>
    <n v="0"/>
    <n v="4467.26"/>
    <n v="2021"/>
    <n v="3"/>
    <n v="24"/>
    <n v="4"/>
    <n v="0"/>
    <n v="0"/>
    <s v="Z-2"/>
    <x v="0"/>
    <n v="1142"/>
    <n v="146"/>
    <n v="8.2202578683632684E-3"/>
  </r>
  <r>
    <d v="2021-03-25T00:00:00"/>
    <n v="1665560"/>
    <n v="508567"/>
    <n v="17962"/>
    <n v="422223"/>
    <n v="2614312"/>
    <n v="4.2028141547378779E-2"/>
    <n v="344.95040000000063"/>
    <n v="4467.26"/>
    <n v="2021"/>
    <n v="3"/>
    <n v="25"/>
    <n v="5"/>
    <n v="0"/>
    <n v="0"/>
    <s v="Z-1"/>
    <x v="0"/>
    <n v="1210"/>
    <n v="157"/>
    <n v="8.1830501407276143E-3"/>
  </r>
  <r>
    <d v="2021-03-26T00:00:00"/>
    <n v="1774140"/>
    <n v="655429"/>
    <n v="24201"/>
    <n v="454155"/>
    <n v="2907925"/>
    <n v="0"/>
    <n v="0"/>
    <n v="4624.7602000000006"/>
    <n v="2021"/>
    <n v="3"/>
    <n v="26"/>
    <n v="6"/>
    <n v="0"/>
    <n v="0"/>
    <s v="Z"/>
    <x v="0"/>
    <n v="1253"/>
    <n v="153"/>
    <n v="7.5712589073634205E-3"/>
  </r>
  <r>
    <d v="2021-03-27T00:00:00"/>
    <n v="1135220"/>
    <n v="300775"/>
    <n v="0"/>
    <n v="416486"/>
    <n v="1852481"/>
    <n v="0"/>
    <n v="0"/>
    <n v="4624.7602000000006"/>
    <n v="2021"/>
    <n v="3"/>
    <n v="27"/>
    <n v="7"/>
    <n v="0"/>
    <n v="0"/>
    <s v="Z+1"/>
    <x v="0"/>
    <n v="1281"/>
    <n v="151"/>
    <n v="7.9928011856870637E-3"/>
  </r>
  <r>
    <d v="2021-03-28T00:00:00"/>
    <n v="658160"/>
    <n v="0"/>
    <n v="2006"/>
    <n v="281174"/>
    <n v="3103006"/>
    <n v="0"/>
    <n v="0"/>
    <n v="4624.7602000000006"/>
    <n v="2021"/>
    <n v="3"/>
    <n v="28"/>
    <n v="1"/>
    <n v="0"/>
    <n v="0"/>
    <n v="0"/>
    <x v="0"/>
    <n v="1305"/>
    <n v="153"/>
    <n v="8.9140060591936607E-3"/>
  </r>
  <r>
    <d v="2021-03-29T00:00:00"/>
    <n v="1051171"/>
    <n v="392011"/>
    <n v="14592"/>
    <n v="444802"/>
    <n v="1902576"/>
    <n v="0"/>
    <n v="0"/>
    <n v="4624.7602000000006"/>
    <n v="2021"/>
    <n v="3"/>
    <n v="29"/>
    <n v="2"/>
    <n v="0"/>
    <n v="0"/>
    <n v="0"/>
    <x v="0"/>
    <n v="1325"/>
    <n v="154"/>
    <n v="8.5484318623369419E-3"/>
  </r>
  <r>
    <d v="2021-03-30T00:00:00"/>
    <n v="882400"/>
    <n v="387192"/>
    <n v="7662"/>
    <n v="607763"/>
    <n v="1885017"/>
    <n v="0"/>
    <n v="0"/>
    <n v="4624.7602000000006"/>
    <n v="2021"/>
    <n v="3"/>
    <n v="30"/>
    <n v="3"/>
    <n v="0"/>
    <n v="0"/>
    <n v="0"/>
    <x v="0"/>
    <n v="1376"/>
    <n v="155"/>
    <n v="7.7791718946047675E-3"/>
  </r>
  <r>
    <d v="2021-03-31T00:00:00"/>
    <n v="850320"/>
    <n v="523103"/>
    <n v="111250"/>
    <n v="578636"/>
    <n v="2063309"/>
    <n v="0"/>
    <n v="0"/>
    <n v="4624.7602000000006"/>
    <n v="2021"/>
    <n v="3"/>
    <n v="31"/>
    <n v="4"/>
    <n v="0"/>
    <s v="A-1"/>
    <n v="0"/>
    <x v="0"/>
    <n v="1401"/>
    <n v="152"/>
    <n v="7.9195540040639823E-3"/>
  </r>
  <r>
    <d v="2021-04-01T00:00:00"/>
    <n v="1386240"/>
    <n v="318679"/>
    <n v="12288"/>
    <n v="328080"/>
    <n v="4244032"/>
    <n v="0"/>
    <n v="0"/>
    <n v="4624.7602000000006"/>
    <n v="2021"/>
    <n v="4"/>
    <n v="1"/>
    <n v="5"/>
    <n v="0"/>
    <s v="A0"/>
    <n v="0"/>
    <x v="0"/>
    <n v="1424"/>
    <n v="176"/>
    <n v="8.4546284286880907E-3"/>
  </r>
  <r>
    <d v="2021-04-02T00:00:00"/>
    <n v="1151220"/>
    <n v="350861"/>
    <n v="27286"/>
    <n v="367118"/>
    <n v="1896485"/>
    <n v="0"/>
    <n v="0"/>
    <n v="4624.7602000000006"/>
    <n v="2021"/>
    <n v="4"/>
    <n v="2"/>
    <n v="6"/>
    <n v="0"/>
    <s v="A+1"/>
    <n v="0"/>
    <x v="0"/>
    <n v="1471"/>
    <n v="179"/>
    <n v="7.3303575084974811E-3"/>
  </r>
  <r>
    <d v="2021-04-03T00:00:00"/>
    <n v="1034960"/>
    <n v="199749"/>
    <n v="10920"/>
    <n v="314236"/>
    <n v="1559865"/>
    <n v="0"/>
    <n v="0"/>
    <n v="4624.7602000000006"/>
    <n v="2021"/>
    <n v="4"/>
    <n v="3"/>
    <n v="7"/>
    <n v="0"/>
    <n v="0"/>
    <n v="0"/>
    <x v="0"/>
    <n v="1483"/>
    <n v="186"/>
    <n v="8.0124063065391566E-3"/>
  </r>
  <r>
    <d v="2021-04-04T00:00:00"/>
    <n v="778100"/>
    <n v="72"/>
    <n v="593"/>
    <n v="141984"/>
    <n v="920749"/>
    <n v="0"/>
    <n v="0"/>
    <n v="4624.7602000000006"/>
    <n v="2021"/>
    <n v="4"/>
    <n v="4"/>
    <n v="1"/>
    <n v="0"/>
    <n v="0"/>
    <n v="0"/>
    <x v="0"/>
    <n v="1508"/>
    <n v="185"/>
    <n v="8.1591249889741563E-3"/>
  </r>
  <r>
    <d v="2021-04-05T00:00:00"/>
    <n v="882580"/>
    <n v="405540"/>
    <n v="11765"/>
    <n v="481903"/>
    <n v="1781788"/>
    <n v="0"/>
    <n v="0"/>
    <n v="4624.7602000000006"/>
    <n v="2021"/>
    <n v="4"/>
    <n v="5"/>
    <n v="2"/>
    <n v="0"/>
    <n v="0"/>
    <n v="0"/>
    <x v="0"/>
    <n v="1706"/>
    <n v="193"/>
    <n v="7.5311195223787411E-3"/>
  </r>
  <r>
    <d v="2021-04-06T00:00:00"/>
    <n v="883840"/>
    <n v="349462"/>
    <n v="4951"/>
    <n v="547578"/>
    <n v="1785831"/>
    <n v="0"/>
    <n v="0"/>
    <n v="4624.7602000000006"/>
    <n v="2021"/>
    <n v="4"/>
    <n v="6"/>
    <n v="3"/>
    <n v="0"/>
    <n v="0"/>
    <n v="0"/>
    <x v="1"/>
    <n v="2003"/>
    <n v="211"/>
    <n v="7.4040283528668677E-3"/>
  </r>
  <r>
    <d v="2021-04-07T00:00:00"/>
    <n v="952860"/>
    <n v="318621"/>
    <n v="1800"/>
    <n v="415420"/>
    <n v="1688701"/>
    <n v="-3.0270792277809142E-2"/>
    <n v="-150.09660000000076"/>
    <n v="4624.7602000000006"/>
    <n v="2021"/>
    <n v="4"/>
    <n v="7"/>
    <n v="4"/>
    <n v="0"/>
    <n v="0"/>
    <n v="0"/>
    <x v="2"/>
    <n v="2203"/>
    <n v="276"/>
    <n v="7.7739909303439145E-3"/>
  </r>
  <r>
    <d v="2021-04-08T00:00:00"/>
    <n v="898660"/>
    <n v="225407"/>
    <n v="7812"/>
    <n v="398646"/>
    <n v="1530525"/>
    <n v="0"/>
    <n v="0"/>
    <n v="4474.6635999999999"/>
    <n v="2021"/>
    <n v="4"/>
    <n v="8"/>
    <n v="5"/>
    <n v="0"/>
    <n v="0"/>
    <n v="0"/>
    <x v="3"/>
    <n v="2316"/>
    <n v="258"/>
    <n v="6.8048741889539487E-3"/>
  </r>
  <r>
    <d v="2021-04-09T00:00:00"/>
    <n v="1006840"/>
    <n v="511947"/>
    <n v="12709"/>
    <n v="513167"/>
    <n v="2044663"/>
    <n v="0"/>
    <n v="0"/>
    <n v="4474.6635999999999"/>
    <n v="2021"/>
    <n v="4"/>
    <n v="9"/>
    <n v="6"/>
    <n v="0"/>
    <n v="0"/>
    <n v="0"/>
    <x v="4"/>
    <n v="2408"/>
    <n v="253"/>
    <n v="7.0698038339015255E-3"/>
  </r>
  <r>
    <d v="2021-04-10T00:00:00"/>
    <n v="941200"/>
    <n v="303797"/>
    <n v="4620"/>
    <n v="424677"/>
    <n v="1674294"/>
    <n v="0"/>
    <n v="0"/>
    <n v="4474.6635999999999"/>
    <n v="2021"/>
    <n v="4"/>
    <n v="10"/>
    <n v="7"/>
    <n v="0"/>
    <n v="0"/>
    <n v="0"/>
    <x v="0"/>
    <n v="2497"/>
    <n v="248"/>
    <n v="7.6216232828298352E-3"/>
  </r>
  <r>
    <d v="2021-04-11T00:00:00"/>
    <n v="783300"/>
    <n v="0"/>
    <n v="11020"/>
    <n v="103545"/>
    <n v="897865"/>
    <n v="0"/>
    <n v="0"/>
    <n v="4474.6635999999999"/>
    <n v="2021"/>
    <n v="4"/>
    <n v="11"/>
    <n v="1"/>
    <n v="0"/>
    <n v="0"/>
    <n v="0"/>
    <x v="0"/>
    <n v="2548"/>
    <n v="237"/>
    <n v="7.8492415711730809E-3"/>
  </r>
  <r>
    <d v="2021-04-12T00:00:00"/>
    <n v="848720"/>
    <n v="448739"/>
    <n v="9757"/>
    <n v="497290"/>
    <n v="1804506"/>
    <n v="0"/>
    <n v="0"/>
    <n v="4474.6635999999999"/>
    <n v="2021"/>
    <n v="4"/>
    <n v="12"/>
    <n v="2"/>
    <n v="0"/>
    <n v="0"/>
    <n v="0"/>
    <x v="0"/>
    <n v="2671"/>
    <n v="243"/>
    <n v="5.8954825561647823E-3"/>
  </r>
  <r>
    <d v="2021-04-13T00:00:00"/>
    <n v="1308920"/>
    <n v="438502"/>
    <n v="11638"/>
    <n v="493705"/>
    <n v="2252765"/>
    <n v="0"/>
    <n v="0"/>
    <n v="4474.6635999999999"/>
    <n v="2021"/>
    <n v="4"/>
    <n v="13"/>
    <n v="3"/>
    <n v="0"/>
    <n v="0"/>
    <n v="0"/>
    <x v="0"/>
    <n v="2723"/>
    <n v="273"/>
    <n v="5.239520958083832E-3"/>
  </r>
  <r>
    <d v="2021-04-14T00:00:00"/>
    <n v="807220"/>
    <n v="344848"/>
    <n v="10710"/>
    <n v="420724"/>
    <n v="1583502"/>
    <n v="0"/>
    <n v="0"/>
    <n v="4474.6635999999999"/>
    <n v="2021"/>
    <n v="4"/>
    <n v="14"/>
    <n v="4"/>
    <n v="0"/>
    <n v="0"/>
    <n v="0"/>
    <x v="0"/>
    <n v="2802"/>
    <n v="279"/>
    <n v="5.0349196037031019E-3"/>
  </r>
  <r>
    <d v="2021-04-15T00:00:00"/>
    <n v="793820"/>
    <n v="415504"/>
    <n v="6704"/>
    <n v="382955"/>
    <n v="1598983"/>
    <n v="0"/>
    <n v="0"/>
    <n v="4474.6635999999999"/>
    <n v="2021"/>
    <n v="4"/>
    <n v="15"/>
    <n v="5"/>
    <n v="0"/>
    <n v="0"/>
    <n v="0"/>
    <x v="0"/>
    <n v="2845"/>
    <n v="297"/>
    <n v="5.4104273691113784E-3"/>
  </r>
  <r>
    <d v="2021-04-16T00:00:00"/>
    <n v="1038420"/>
    <n v="379150"/>
    <n v="0"/>
    <n v="430295"/>
    <n v="1847865"/>
    <n v="0"/>
    <n v="0"/>
    <n v="4474.6635999999999"/>
    <n v="2021"/>
    <n v="4"/>
    <n v="16"/>
    <n v="6"/>
    <n v="0"/>
    <n v="0"/>
    <n v="0"/>
    <x v="0"/>
    <n v="2915"/>
    <n v="289"/>
    <n v="5.1141390904264729E-3"/>
  </r>
  <r>
    <d v="2021-04-17T00:00:00"/>
    <n v="685280"/>
    <n v="293483"/>
    <n v="7050"/>
    <n v="244732"/>
    <n v="1230545"/>
    <n v="0"/>
    <n v="0"/>
    <n v="4474.6635999999999"/>
    <n v="2021"/>
    <n v="4"/>
    <n v="17"/>
    <n v="7"/>
    <n v="0"/>
    <n v="0"/>
    <n v="0"/>
    <x v="0"/>
    <n v="2973"/>
    <n v="288"/>
    <n v="5.5189330062854515E-3"/>
  </r>
  <r>
    <d v="2021-04-18T00:00:00"/>
    <n v="696700"/>
    <n v="0"/>
    <n v="5236"/>
    <n v="80312"/>
    <n v="782248"/>
    <n v="0"/>
    <n v="0"/>
    <n v="4474.6635999999999"/>
    <n v="2021"/>
    <n v="4"/>
    <n v="18"/>
    <n v="1"/>
    <n v="0"/>
    <n v="0"/>
    <n v="0"/>
    <x v="0"/>
    <n v="3101"/>
    <n v="318"/>
    <n v="7.2510032834731848E-3"/>
  </r>
  <r>
    <d v="2021-04-19T00:00:00"/>
    <n v="419960"/>
    <n v="416175"/>
    <n v="0"/>
    <n v="444575"/>
    <n v="1280710"/>
    <n v="0"/>
    <n v="0"/>
    <n v="4474.6635999999999"/>
    <n v="2021"/>
    <n v="4"/>
    <n v="19"/>
    <n v="2"/>
    <n v="0"/>
    <n v="0"/>
    <n v="0"/>
    <x v="0"/>
    <n v="2862"/>
    <n v="341"/>
    <n v="6.9667191043373449E-3"/>
  </r>
  <r>
    <d v="2021-04-20T00:00:00"/>
    <n v="717440"/>
    <n v="439850"/>
    <n v="9694"/>
    <n v="349306"/>
    <n v="1516290"/>
    <n v="0"/>
    <n v="0"/>
    <n v="4474.6635999999999"/>
    <n v="2021"/>
    <n v="4"/>
    <n v="20"/>
    <n v="3"/>
    <n v="0"/>
    <n v="0"/>
    <n v="0"/>
    <x v="0"/>
    <n v="2895"/>
    <n v="346"/>
    <n v="6.2239171103755939E-3"/>
  </r>
  <r>
    <d v="2021-04-21T00:00:00"/>
    <n v="840400"/>
    <n v="428493"/>
    <n v="7259"/>
    <n v="391080"/>
    <n v="3869563"/>
    <n v="0"/>
    <n v="0"/>
    <n v="4474.6635999999999"/>
    <n v="2021"/>
    <n v="4"/>
    <n v="21"/>
    <n v="4"/>
    <n v="0"/>
    <n v="0"/>
    <n v="0"/>
    <x v="0"/>
    <n v="2932"/>
    <n v="362"/>
    <n v="6.9331392565070002E-3"/>
  </r>
  <r>
    <d v="2021-04-22T00:00:00"/>
    <n v="9165980"/>
    <n v="471031"/>
    <n v="12553"/>
    <n v="411381"/>
    <n v="10060945"/>
    <n v="0"/>
    <n v="0"/>
    <n v="4474.6635999999999"/>
    <n v="2021"/>
    <n v="4"/>
    <n v="22"/>
    <n v="5"/>
    <n v="0"/>
    <n v="0"/>
    <n v="0"/>
    <x v="0"/>
    <n v="3128"/>
    <n v="354"/>
    <n v="5.3969173539859432E-3"/>
  </r>
  <r>
    <d v="2021-04-23T00:00:00"/>
    <n v="764380"/>
    <n v="106548"/>
    <n v="13821"/>
    <n v="319060"/>
    <n v="1203809"/>
    <n v="0"/>
    <n v="0"/>
    <n v="4474.6635999999999"/>
    <n v="2021"/>
    <n v="4"/>
    <n v="23"/>
    <n v="6"/>
    <s v="T"/>
    <n v="0"/>
    <n v="0"/>
    <x v="0"/>
    <n v="3089"/>
    <n v="343"/>
    <n v="5.6999468226535495E-3"/>
  </r>
  <r>
    <d v="2021-04-24T00:00:00"/>
    <n v="529860"/>
    <n v="344289"/>
    <n v="13413"/>
    <n v="139748"/>
    <n v="1027310"/>
    <n v="0"/>
    <n v="0"/>
    <n v="4474.6635999999999"/>
    <n v="2021"/>
    <n v="4"/>
    <n v="24"/>
    <n v="7"/>
    <n v="0"/>
    <n v="0"/>
    <n v="0"/>
    <x v="0"/>
    <n v="2905"/>
    <n v="339"/>
    <n v="6.4822073923934452E-3"/>
  </r>
  <r>
    <d v="2021-04-25T00:00:00"/>
    <n v="402080"/>
    <n v="0"/>
    <n v="0"/>
    <n v="73061"/>
    <n v="475141"/>
    <n v="0"/>
    <n v="0"/>
    <n v="4474.6635999999999"/>
    <n v="2021"/>
    <n v="4"/>
    <n v="25"/>
    <n v="1"/>
    <n v="0"/>
    <n v="0"/>
    <n v="0"/>
    <x v="0"/>
    <n v="2801"/>
    <n v="347"/>
    <n v="6.7725817784370368E-3"/>
  </r>
  <r>
    <d v="2021-04-26T00:00:00"/>
    <n v="328060"/>
    <n v="454362"/>
    <n v="3594"/>
    <n v="452112"/>
    <n v="1238128"/>
    <n v="0"/>
    <n v="0"/>
    <n v="4474.6635999999999"/>
    <n v="2021"/>
    <n v="4"/>
    <n v="26"/>
    <n v="2"/>
    <n v="0"/>
    <n v="0"/>
    <n v="0"/>
    <x v="0"/>
    <n v="2716"/>
    <n v="353"/>
    <n v="7.350032273512816E-3"/>
  </r>
  <r>
    <d v="2021-04-27T00:00:00"/>
    <n v="1005820"/>
    <n v="434608"/>
    <n v="17580"/>
    <n v="493068"/>
    <n v="1951076"/>
    <n v="0"/>
    <n v="0"/>
    <n v="4474.6635999999999"/>
    <n v="2021"/>
    <n v="4"/>
    <n v="27"/>
    <n v="3"/>
    <n v="0"/>
    <n v="0"/>
    <n v="0"/>
    <x v="0"/>
    <n v="2703"/>
    <n v="346"/>
    <n v="7.5890507106509911E-3"/>
  </r>
  <r>
    <d v="2021-04-28T00:00:00"/>
    <n v="7247900"/>
    <n v="566705"/>
    <n v="9550"/>
    <n v="462701"/>
    <n v="8286856"/>
    <n v="0"/>
    <n v="0"/>
    <n v="4474.6635999999999"/>
    <n v="2021"/>
    <n v="4"/>
    <n v="28"/>
    <n v="4"/>
    <n v="0"/>
    <n v="0"/>
    <n v="0"/>
    <x v="0"/>
    <n v="2728"/>
    <n v="341"/>
    <n v="7.5445816186556925E-3"/>
  </r>
  <r>
    <d v="2021-04-29T00:00:00"/>
    <n v="1086580"/>
    <n v="479859"/>
    <n v="6400"/>
    <n v="625792"/>
    <n v="2198631"/>
    <n v="0"/>
    <n v="0"/>
    <n v="4474.6635999999999"/>
    <n v="2021"/>
    <n v="4"/>
    <n v="29"/>
    <n v="5"/>
    <n v="0"/>
    <n v="0"/>
    <n v="0"/>
    <x v="0"/>
    <n v="2715"/>
    <n v="339"/>
    <n v="7.8376066400018488E-3"/>
  </r>
  <r>
    <d v="2021-04-30T00:00:00"/>
    <n v="1014480"/>
    <n v="602443"/>
    <n v="33557"/>
    <n v="476900"/>
    <n v="2127380"/>
    <n v="0"/>
    <n v="0"/>
    <n v="4474.6635999999999"/>
    <n v="2021"/>
    <n v="4"/>
    <n v="30"/>
    <n v="6"/>
    <n v="0"/>
    <s v="A-1"/>
    <n v="0"/>
    <x v="0"/>
    <n v="2673"/>
    <n v="394"/>
    <n v="5.7785665048472497E-3"/>
  </r>
  <r>
    <d v="2021-05-01T00:00:00"/>
    <n v="1016880"/>
    <n v="72396"/>
    <n v="43236"/>
    <n v="65249"/>
    <n v="1197761"/>
    <n v="0"/>
    <n v="0"/>
    <n v="4474.6635999999999"/>
    <n v="2021"/>
    <n v="5"/>
    <n v="1"/>
    <n v="7"/>
    <s v="T"/>
    <s v="A0"/>
    <n v="0"/>
    <x v="0"/>
    <n v="2615"/>
    <n v="373"/>
    <n v="4.5878330176379427E-3"/>
  </r>
  <r>
    <d v="2021-05-02T00:00:00"/>
    <n v="695720"/>
    <n v="0"/>
    <n v="0"/>
    <n v="75702"/>
    <n v="771422"/>
    <n v="0"/>
    <n v="0"/>
    <n v="4474.6635999999999"/>
    <n v="2021"/>
    <n v="5"/>
    <n v="2"/>
    <n v="1"/>
    <n v="0"/>
    <s v="A+1"/>
    <n v="0"/>
    <x v="0"/>
    <n v="2587"/>
    <n v="340"/>
    <n v="4.5223590753105799E-3"/>
  </r>
  <r>
    <d v="2021-05-03T00:00:00"/>
    <n v="990600"/>
    <n v="447915"/>
    <n v="7441"/>
    <n v="203996"/>
    <n v="3850113"/>
    <n v="0"/>
    <n v="0"/>
    <n v="4474.6635999999999"/>
    <n v="2021"/>
    <n v="5"/>
    <n v="3"/>
    <n v="2"/>
    <n v="0"/>
    <n v="0"/>
    <n v="0"/>
    <x v="0"/>
    <n v="2501"/>
    <n v="347"/>
    <n v="9.7917489700321686E-3"/>
  </r>
  <r>
    <d v="2021-05-04T00:00:00"/>
    <n v="1242500"/>
    <n v="410451"/>
    <n v="3883"/>
    <n v="262158"/>
    <n v="1918992"/>
    <n v="0"/>
    <n v="0"/>
    <n v="4474.6635999999999"/>
    <n v="2021"/>
    <n v="5"/>
    <n v="4"/>
    <n v="3"/>
    <n v="0"/>
    <n v="0"/>
    <n v="0"/>
    <x v="1"/>
    <n v="2483"/>
    <n v="336"/>
    <n v="8.7916688471400915E-3"/>
  </r>
  <r>
    <d v="2021-05-05T00:00:00"/>
    <n v="1081240"/>
    <n v="396136"/>
    <n v="10799"/>
    <n v="237513"/>
    <n v="1725688"/>
    <n v="-3.9113229900192233E-2"/>
    <n v="-288.32744999999977"/>
    <n v="4474.6635999999999"/>
    <n v="2021"/>
    <n v="5"/>
    <n v="5"/>
    <n v="4"/>
    <n v="0"/>
    <n v="0"/>
    <n v="0"/>
    <x v="2"/>
    <n v="2414"/>
    <n v="356"/>
    <n v="1.0038348748026168E-2"/>
  </r>
  <r>
    <d v="2021-05-06T00:00:00"/>
    <n v="728500"/>
    <n v="592672"/>
    <n v="5010"/>
    <n v="212138"/>
    <n v="1538320"/>
    <n v="0"/>
    <n v="0"/>
    <n v="4467.3361500000001"/>
    <n v="2021"/>
    <n v="5"/>
    <n v="6"/>
    <n v="5"/>
    <n v="0"/>
    <n v="0"/>
    <n v="0"/>
    <x v="3"/>
    <n v="2401"/>
    <n v="304"/>
    <n v="8.1505710761971151E-3"/>
  </r>
  <r>
    <d v="2021-05-07T00:00:00"/>
    <n v="820840"/>
    <n v="533596"/>
    <n v="9176"/>
    <n v="319675"/>
    <n v="1683287"/>
    <n v="0"/>
    <n v="0"/>
    <n v="4467.3361500000001"/>
    <n v="2021"/>
    <n v="5"/>
    <n v="7"/>
    <n v="6"/>
    <n v="0"/>
    <n v="0"/>
    <n v="0"/>
    <x v="4"/>
    <n v="2210"/>
    <n v="278"/>
    <n v="7.8245939936389987E-3"/>
  </r>
  <r>
    <d v="2021-05-08T00:00:00"/>
    <n v="817120"/>
    <n v="315508"/>
    <n v="10757"/>
    <n v="267221"/>
    <n v="5410587"/>
    <n v="0"/>
    <n v="0"/>
    <n v="4467.3361500000001"/>
    <n v="2021"/>
    <n v="5"/>
    <n v="8"/>
    <n v="7"/>
    <n v="0"/>
    <n v="0"/>
    <n v="0"/>
    <x v="0"/>
    <n v="2178"/>
    <n v="281"/>
    <n v="9.7245293466223705E-3"/>
  </r>
  <r>
    <d v="2021-05-09T00:00:00"/>
    <n v="535940"/>
    <n v="0"/>
    <n v="0"/>
    <n v="199340"/>
    <n v="735280"/>
    <n v="0"/>
    <n v="0"/>
    <n v="4467.3361500000001"/>
    <n v="2021"/>
    <n v="5"/>
    <n v="9"/>
    <n v="1"/>
    <n v="0"/>
    <n v="0"/>
    <n v="0"/>
    <x v="0"/>
    <n v="2102"/>
    <n v="283"/>
    <n v="1.1014244570716899E-2"/>
  </r>
  <r>
    <d v="2021-05-10T00:00:00"/>
    <n v="647840"/>
    <n v="610534"/>
    <n v="12382"/>
    <n v="328561"/>
    <n v="1599317"/>
    <n v="0"/>
    <n v="0"/>
    <n v="4467.3361500000001"/>
    <n v="2021"/>
    <n v="5"/>
    <n v="10"/>
    <n v="2"/>
    <s v="RBA-2"/>
    <n v="0"/>
    <n v="0"/>
    <x v="0"/>
    <n v="1734"/>
    <n v="282"/>
    <n v="1.0462657218120432E-2"/>
  </r>
  <r>
    <d v="2021-05-11T00:00:00"/>
    <n v="862020"/>
    <n v="573959"/>
    <n v="10217"/>
    <n v="339642"/>
    <n v="1785838"/>
    <n v="0"/>
    <n v="0"/>
    <n v="4467.3361500000001"/>
    <n v="2021"/>
    <n v="5"/>
    <n v="11"/>
    <n v="3"/>
    <s v="RBA-1"/>
    <n v="0"/>
    <n v="0"/>
    <x v="0"/>
    <n v="1582"/>
    <n v="278"/>
    <n v="1.2492697613804881E-2"/>
  </r>
  <r>
    <d v="2021-05-12T00:00:00"/>
    <n v="577160"/>
    <n v="442637"/>
    <n v="1751"/>
    <n v="443326"/>
    <n v="1464874"/>
    <n v="0"/>
    <n v="0"/>
    <n v="4467.3361500000001"/>
    <n v="2021"/>
    <n v="5"/>
    <n v="12"/>
    <n v="4"/>
    <s v="RBA"/>
    <n v="0"/>
    <n v="0"/>
    <x v="0"/>
    <n v="1496"/>
    <n v="232"/>
    <n v="6.5970938664088492E-3"/>
  </r>
  <r>
    <d v="2021-05-13T00:00:00"/>
    <n v="661680"/>
    <n v="0"/>
    <n v="0"/>
    <n v="121129"/>
    <n v="782809"/>
    <n v="0"/>
    <n v="0"/>
    <n v="4467.3361500000001"/>
    <n v="2021"/>
    <n v="5"/>
    <n v="13"/>
    <n v="5"/>
    <s v="RB1"/>
    <n v="0"/>
    <n v="0"/>
    <x v="0"/>
    <n v="1217"/>
    <n v="238"/>
    <n v="4.2904528410729736E-3"/>
  </r>
  <r>
    <d v="2021-05-14T00:00:00"/>
    <n v="710520"/>
    <n v="12585"/>
    <n v="0"/>
    <n v="182873"/>
    <n v="905978"/>
    <n v="0"/>
    <n v="0"/>
    <n v="4467.3361500000001"/>
    <n v="2021"/>
    <n v="5"/>
    <n v="14"/>
    <n v="6"/>
    <s v="RB2"/>
    <n v="0"/>
    <n v="0"/>
    <x v="0"/>
    <n v="1102"/>
    <n v="242"/>
    <n v="6.4947263895225567E-3"/>
  </r>
  <r>
    <d v="2021-05-15T00:00:00"/>
    <n v="559900"/>
    <n v="321701"/>
    <n v="2964"/>
    <n v="218850"/>
    <n v="1103415"/>
    <n v="0"/>
    <n v="0"/>
    <n v="4467.3361500000001"/>
    <n v="2021"/>
    <n v="5"/>
    <n v="15"/>
    <n v="7"/>
    <s v="RB3"/>
    <n v="0"/>
    <n v="0"/>
    <x v="0"/>
    <n v="1084"/>
    <n v="236"/>
    <n v="6.0802803112279076E-3"/>
  </r>
  <r>
    <d v="2021-05-16T00:00:00"/>
    <n v="462380"/>
    <n v="0"/>
    <n v="0"/>
    <n v="186894"/>
    <n v="649274"/>
    <n v="0"/>
    <n v="0"/>
    <n v="4467.3361500000001"/>
    <n v="2021"/>
    <n v="5"/>
    <n v="16"/>
    <n v="1"/>
    <s v="RB+1"/>
    <n v="0"/>
    <n v="0"/>
    <x v="0"/>
    <n v="920"/>
    <n v="223"/>
    <n v="1.5466777639062283E-2"/>
  </r>
  <r>
    <d v="2021-05-17T00:00:00"/>
    <n v="735600"/>
    <n v="510587"/>
    <n v="7602"/>
    <n v="452667"/>
    <n v="1706456"/>
    <n v="0"/>
    <n v="0"/>
    <n v="4467.3361500000001"/>
    <n v="2021"/>
    <n v="5"/>
    <n v="17"/>
    <n v="2"/>
    <s v="RB+2"/>
    <n v="0"/>
    <n v="0"/>
    <x v="0"/>
    <n v="923"/>
    <n v="223"/>
    <n v="1.6084824004616274E-2"/>
  </r>
  <r>
    <d v="2021-05-18T00:00:00"/>
    <n v="1381900"/>
    <n v="539051"/>
    <n v="9432"/>
    <n v="500764"/>
    <n v="2431147"/>
    <n v="0"/>
    <n v="0"/>
    <n v="4467.3361500000001"/>
    <n v="2021"/>
    <n v="5"/>
    <n v="18"/>
    <n v="3"/>
    <n v="0"/>
    <n v="0"/>
    <n v="0"/>
    <x v="0"/>
    <n v="916"/>
    <n v="203"/>
    <n v="2.0049382716049384E-2"/>
  </r>
  <r>
    <d v="2021-05-19T00:00:00"/>
    <n v="964520"/>
    <n v="201247"/>
    <n v="7900"/>
    <n v="553325"/>
    <n v="1726992"/>
    <n v="0"/>
    <n v="0"/>
    <n v="4467.3361500000001"/>
    <n v="2021"/>
    <n v="5"/>
    <n v="19"/>
    <n v="4"/>
    <s v="T"/>
    <n v="0"/>
    <n v="0"/>
    <x v="0"/>
    <n v="902"/>
    <n v="233"/>
    <n v="2.5132132456045734E-2"/>
  </r>
  <r>
    <d v="2021-05-20T00:00:00"/>
    <n v="1119300"/>
    <n v="672627"/>
    <n v="8037"/>
    <n v="436462"/>
    <n v="2236426"/>
    <n v="0"/>
    <n v="0"/>
    <n v="4997.0361499999999"/>
    <n v="2021"/>
    <n v="5"/>
    <n v="20"/>
    <n v="5"/>
    <n v="0"/>
    <n v="0"/>
    <n v="0"/>
    <x v="0"/>
    <n v="856"/>
    <n v="207"/>
    <n v="2.2327688490993421E-2"/>
  </r>
  <r>
    <d v="2021-05-21T00:00:00"/>
    <n v="1186040"/>
    <n v="484149"/>
    <n v="3290"/>
    <n v="483103"/>
    <n v="2156582"/>
    <n v="0"/>
    <n v="0"/>
    <n v="4997.0361499999999"/>
    <n v="2021"/>
    <n v="5"/>
    <n v="21"/>
    <n v="6"/>
    <n v="0"/>
    <n v="0"/>
    <n v="0"/>
    <x v="0"/>
    <n v="846"/>
    <n v="214"/>
    <n v="2.4175327609579755E-2"/>
  </r>
  <r>
    <d v="2021-05-22T00:00:00"/>
    <n v="756280"/>
    <n v="393827"/>
    <n v="6762"/>
    <n v="453549"/>
    <n v="1610418"/>
    <n v="0"/>
    <n v="0"/>
    <n v="4997.0361499999999"/>
    <n v="2021"/>
    <n v="5"/>
    <n v="22"/>
    <n v="7"/>
    <n v="0"/>
    <n v="0"/>
    <n v="0"/>
    <x v="0"/>
    <n v="835"/>
    <n v="231"/>
    <n v="1.5961857379767828E-2"/>
  </r>
  <r>
    <d v="2021-05-23T00:00:00"/>
    <n v="488320"/>
    <n v="0"/>
    <n v="0"/>
    <n v="204161"/>
    <n v="692481"/>
    <n v="0"/>
    <n v="0"/>
    <n v="4997.0361499999999"/>
    <n v="2021"/>
    <n v="5"/>
    <n v="23"/>
    <n v="1"/>
    <n v="0"/>
    <n v="0"/>
    <n v="0"/>
    <x v="0"/>
    <n v="710"/>
    <n v="197"/>
    <n v="1.758614533119086E-2"/>
  </r>
  <r>
    <d v="2021-05-24T00:00:00"/>
    <n v="738300"/>
    <n v="448848"/>
    <n v="12305"/>
    <n v="425818"/>
    <n v="1625271"/>
    <n v="0"/>
    <n v="0"/>
    <n v="4997.0361499999999"/>
    <n v="2021"/>
    <n v="5"/>
    <n v="24"/>
    <n v="2"/>
    <n v="0"/>
    <n v="0"/>
    <n v="0"/>
    <x v="0"/>
    <n v="702"/>
    <n v="178"/>
    <n v="1.7794661601519546E-2"/>
  </r>
  <r>
    <d v="2021-05-25T00:00:00"/>
    <n v="789160"/>
    <n v="494671"/>
    <n v="8481"/>
    <n v="557833"/>
    <n v="1850145"/>
    <n v="0"/>
    <n v="0"/>
    <n v="4997.0361499999999"/>
    <n v="2021"/>
    <n v="5"/>
    <n v="25"/>
    <n v="3"/>
    <n v="0"/>
    <n v="0"/>
    <n v="0"/>
    <x v="0"/>
    <n v="693"/>
    <n v="175"/>
    <n v="1.5636168691922803E-2"/>
  </r>
  <r>
    <d v="2021-05-26T00:00:00"/>
    <n v="1024960"/>
    <n v="408342"/>
    <n v="5471"/>
    <n v="479207"/>
    <n v="5917916"/>
    <n v="0"/>
    <n v="0"/>
    <n v="4997.0361499999999"/>
    <n v="2021"/>
    <n v="5"/>
    <n v="26"/>
    <n v="4"/>
    <n v="0"/>
    <n v="0"/>
    <n v="0"/>
    <x v="0"/>
    <n v="681"/>
    <n v="166"/>
    <n v="1.3600983203605079E-2"/>
  </r>
  <r>
    <d v="2021-05-27T00:00:00"/>
    <n v="920540"/>
    <n v="459448"/>
    <n v="11720"/>
    <n v="450462"/>
    <n v="1842170"/>
    <n v="0"/>
    <n v="0"/>
    <n v="4997.0361499999999"/>
    <n v="2021"/>
    <n v="5"/>
    <n v="27"/>
    <n v="5"/>
    <n v="0"/>
    <n v="0"/>
    <n v="0"/>
    <x v="0"/>
    <n v="673"/>
    <n v="183"/>
    <n v="1.3967333231567699E-2"/>
  </r>
  <r>
    <d v="2021-05-28T00:00:00"/>
    <n v="1223560"/>
    <n v="482861"/>
    <n v="8078"/>
    <n v="535967"/>
    <n v="2250466"/>
    <n v="0"/>
    <n v="0"/>
    <n v="4997.0361499999999"/>
    <n v="2021"/>
    <n v="5"/>
    <n v="28"/>
    <n v="6"/>
    <n v="0"/>
    <n v="0"/>
    <n v="0"/>
    <x v="0"/>
    <n v="656"/>
    <n v="164"/>
    <n v="1.3350700097688049E-2"/>
  </r>
  <r>
    <d v="2021-05-29T00:00:00"/>
    <n v="778700"/>
    <n v="410039"/>
    <n v="3302"/>
    <n v="414258"/>
    <n v="1606299"/>
    <n v="0"/>
    <n v="0"/>
    <n v="4997.0361499999999"/>
    <n v="2021"/>
    <n v="5"/>
    <n v="29"/>
    <n v="7"/>
    <n v="0"/>
    <n v="0"/>
    <n v="0"/>
    <x v="0"/>
    <n v="605"/>
    <n v="137"/>
    <n v="1.2254025044722719E-2"/>
  </r>
  <r>
    <d v="2021-05-30T00:00:00"/>
    <n v="636640"/>
    <n v="0"/>
    <n v="0"/>
    <n v="242148"/>
    <n v="878788"/>
    <n v="0"/>
    <n v="0"/>
    <n v="4997.0361499999999"/>
    <n v="2021"/>
    <n v="5"/>
    <n v="30"/>
    <n v="1"/>
    <n v="0"/>
    <n v="0"/>
    <n v="0"/>
    <x v="0"/>
    <n v="582"/>
    <n v="134"/>
    <n v="1.2450060392083991E-2"/>
  </r>
  <r>
    <d v="2021-05-31T00:00:00"/>
    <n v="606660"/>
    <n v="826782"/>
    <n v="92524"/>
    <n v="565315"/>
    <n v="2091281"/>
    <n v="0"/>
    <n v="0"/>
    <n v="4997.0361499999999"/>
    <n v="2021"/>
    <n v="5"/>
    <n v="31"/>
    <n v="2"/>
    <n v="0"/>
    <s v="A-1"/>
    <s v="Z-2"/>
    <x v="0"/>
    <n v="596"/>
    <n v="122"/>
    <n v="1.2732206219995825E-2"/>
  </r>
  <r>
    <d v="2021-06-01T00:00:00"/>
    <n v="748100"/>
    <n v="540430"/>
    <n v="16138"/>
    <n v="527241"/>
    <n v="1831909"/>
    <n v="3.1191329843915743E-2"/>
    <n v="362.73432000000048"/>
    <n v="4997.0361499999999"/>
    <n v="2021"/>
    <n v="6"/>
    <n v="1"/>
    <n v="3"/>
    <n v="0"/>
    <s v="A0"/>
    <s v="Z-1"/>
    <x v="0"/>
    <n v="602"/>
    <n v="129"/>
    <n v="1.3640689436396319E-2"/>
  </r>
  <r>
    <d v="2021-06-02T00:00:00"/>
    <n v="1243900"/>
    <n v="492111"/>
    <n v="24632"/>
    <n v="311078"/>
    <n v="2071721"/>
    <n v="0"/>
    <n v="0"/>
    <n v="4996.9704700000002"/>
    <n v="2021"/>
    <n v="6"/>
    <n v="2"/>
    <n v="4"/>
    <n v="0"/>
    <s v="A+1"/>
    <s v="Z"/>
    <x v="0"/>
    <n v="586"/>
    <n v="112"/>
    <n v="1.5192620727075421E-2"/>
  </r>
  <r>
    <d v="2021-06-03T00:00:00"/>
    <n v="1076220"/>
    <n v="339698"/>
    <n v="9461"/>
    <n v="533640"/>
    <n v="1959019"/>
    <n v="0"/>
    <n v="0"/>
    <n v="4996.9704700000002"/>
    <n v="2021"/>
    <n v="6"/>
    <n v="3"/>
    <n v="5"/>
    <n v="0"/>
    <n v="0"/>
    <s v="Z+1"/>
    <x v="0"/>
    <n v="563"/>
    <n v="114"/>
    <n v="1.3348946135831381E-2"/>
  </r>
  <r>
    <d v="2021-06-04T00:00:00"/>
    <n v="1631760"/>
    <n v="307580"/>
    <n v="1280"/>
    <n v="470273"/>
    <n v="2410893"/>
    <n v="0"/>
    <n v="0"/>
    <n v="4996.9704700000002"/>
    <n v="2021"/>
    <n v="6"/>
    <n v="4"/>
    <n v="6"/>
    <n v="0"/>
    <n v="0"/>
    <n v="0"/>
    <x v="0"/>
    <n v="552"/>
    <n v="94"/>
    <n v="1.2340816594459762E-2"/>
  </r>
  <r>
    <d v="2021-06-05T00:00:00"/>
    <n v="1001640"/>
    <n v="270373"/>
    <n v="9261"/>
    <n v="585036"/>
    <n v="1866310"/>
    <n v="0"/>
    <n v="0"/>
    <n v="4996.9704700000002"/>
    <n v="2021"/>
    <n v="6"/>
    <n v="5"/>
    <n v="7"/>
    <n v="0"/>
    <n v="0"/>
    <n v="0"/>
    <x v="0"/>
    <n v="542"/>
    <n v="92"/>
    <n v="1.2847367686077363E-2"/>
  </r>
  <r>
    <d v="2021-06-06T00:00:00"/>
    <n v="1348020"/>
    <n v="0"/>
    <n v="0"/>
    <n v="288354"/>
    <n v="1636374"/>
    <n v="0"/>
    <n v="0"/>
    <n v="4996.9704700000002"/>
    <n v="2021"/>
    <n v="6"/>
    <n v="6"/>
    <n v="1"/>
    <n v="0"/>
    <n v="0"/>
    <n v="0"/>
    <x v="0"/>
    <n v="482"/>
    <n v="96"/>
    <n v="1.5992003998000999E-2"/>
  </r>
  <r>
    <d v="2021-06-07T00:00:00"/>
    <n v="1229500"/>
    <n v="466087"/>
    <n v="11486"/>
    <n v="553566"/>
    <n v="2260639"/>
    <n v="0"/>
    <n v="0"/>
    <n v="4996.9704700000002"/>
    <n v="2021"/>
    <n v="6"/>
    <n v="7"/>
    <n v="2"/>
    <n v="0"/>
    <n v="0"/>
    <n v="0"/>
    <x v="0"/>
    <n v="495"/>
    <n v="91"/>
    <n v="1.3838199513381996E-2"/>
  </r>
  <r>
    <d v="2021-06-08T00:00:00"/>
    <n v="1294940"/>
    <n v="382756"/>
    <n v="6842"/>
    <n v="429514"/>
    <n v="2114052"/>
    <n v="0"/>
    <n v="0"/>
    <n v="4996.9704700000002"/>
    <n v="2021"/>
    <n v="6"/>
    <n v="8"/>
    <n v="3"/>
    <n v="0"/>
    <n v="0"/>
    <n v="0"/>
    <x v="0"/>
    <n v="557"/>
    <n v="86"/>
    <n v="1.4736120630568882E-2"/>
  </r>
  <r>
    <d v="2021-06-09T00:00:00"/>
    <n v="1251540"/>
    <n v="431770"/>
    <n v="3230"/>
    <n v="503875"/>
    <n v="2190415"/>
    <n v="0"/>
    <n v="0"/>
    <n v="4996.9704700000002"/>
    <n v="2021"/>
    <n v="6"/>
    <n v="9"/>
    <n v="4"/>
    <n v="0"/>
    <n v="0"/>
    <n v="0"/>
    <x v="0"/>
    <n v="558"/>
    <n v="87"/>
    <n v="1.3088611403640741E-2"/>
  </r>
  <r>
    <d v="2021-06-10T00:00:00"/>
    <n v="1376840"/>
    <n v="538676"/>
    <n v="10802"/>
    <n v="439748"/>
    <n v="2366066"/>
    <n v="0"/>
    <n v="0"/>
    <n v="4996.9704700000002"/>
    <n v="2021"/>
    <n v="6"/>
    <n v="10"/>
    <n v="5"/>
    <n v="0"/>
    <n v="0"/>
    <n v="0"/>
    <x v="0"/>
    <n v="563"/>
    <n v="96"/>
    <n v="1.3923132704858593E-2"/>
  </r>
  <r>
    <d v="2021-06-11T00:00:00"/>
    <n v="1822240"/>
    <n v="627734"/>
    <n v="9703"/>
    <n v="520530"/>
    <n v="2980207"/>
    <n v="0"/>
    <n v="0"/>
    <n v="4996.9704700000002"/>
    <n v="2021"/>
    <n v="6"/>
    <n v="11"/>
    <n v="6"/>
    <n v="0"/>
    <n v="0"/>
    <n v="0"/>
    <x v="0"/>
    <n v="561"/>
    <n v="69"/>
    <n v="1.1098600611227281E-2"/>
  </r>
  <r>
    <d v="2021-06-12T00:00:00"/>
    <n v="1153320"/>
    <n v="164656"/>
    <n v="9097"/>
    <n v="569003"/>
    <n v="1896076"/>
    <n v="0"/>
    <n v="0"/>
    <n v="4996.9704700000002"/>
    <n v="2021"/>
    <n v="6"/>
    <n v="12"/>
    <n v="7"/>
    <n v="0"/>
    <n v="0"/>
    <n v="0"/>
    <x v="0"/>
    <n v="503"/>
    <n v="75"/>
    <n v="1.4671361502347418E-2"/>
  </r>
  <r>
    <d v="2021-06-13T00:00:00"/>
    <n v="1239500"/>
    <n v="0"/>
    <n v="0"/>
    <n v="287171"/>
    <n v="1526671"/>
    <n v="0"/>
    <n v="0"/>
    <n v="4996.9704700000002"/>
    <n v="2021"/>
    <n v="6"/>
    <n v="13"/>
    <n v="1"/>
    <n v="0"/>
    <n v="0"/>
    <n v="0"/>
    <x v="0"/>
    <n v="454"/>
    <n v="53"/>
    <n v="1.2637100619933238E-2"/>
  </r>
  <r>
    <d v="2021-06-14T00:00:00"/>
    <n v="1551040"/>
    <n v="373635"/>
    <n v="1740"/>
    <n v="523509"/>
    <n v="2449924"/>
    <n v="0"/>
    <n v="0"/>
    <n v="4996.9704700000002"/>
    <n v="2021"/>
    <n v="6"/>
    <n v="14"/>
    <n v="2"/>
    <n v="0"/>
    <n v="0"/>
    <n v="0"/>
    <x v="0"/>
    <n v="428"/>
    <n v="74"/>
    <n v="1.6139585605234461E-2"/>
  </r>
  <r>
    <d v="2021-06-15T00:00:00"/>
    <n v="1015920"/>
    <n v="409794"/>
    <n v="9481"/>
    <n v="504642"/>
    <n v="1939837"/>
    <n v="0"/>
    <n v="0"/>
    <n v="4996.9704700000002"/>
    <n v="2021"/>
    <n v="6"/>
    <n v="15"/>
    <n v="3"/>
    <n v="0"/>
    <n v="0"/>
    <n v="0"/>
    <x v="0"/>
    <n v="532"/>
    <n v="84"/>
    <n v="2.0066889632107024E-2"/>
  </r>
  <r>
    <d v="2021-06-16T00:00:00"/>
    <n v="1388000"/>
    <n v="422148"/>
    <n v="9056"/>
    <n v="495683"/>
    <n v="2314887"/>
    <n v="0"/>
    <n v="0"/>
    <n v="4996.9704700000002"/>
    <n v="2021"/>
    <n v="6"/>
    <n v="16"/>
    <n v="4"/>
    <n v="0"/>
    <n v="0"/>
    <n v="0"/>
    <x v="0"/>
    <n v="548"/>
    <n v="71"/>
    <n v="1.5328151986183074E-2"/>
  </r>
  <r>
    <d v="2021-06-17T00:00:00"/>
    <n v="1124440"/>
    <n v="385492"/>
    <n v="3830"/>
    <n v="520505"/>
    <n v="2034267"/>
    <n v="0"/>
    <n v="0"/>
    <n v="4996.9704700000002"/>
    <n v="2021"/>
    <n v="6"/>
    <n v="17"/>
    <n v="5"/>
    <n v="0"/>
    <n v="0"/>
    <n v="0"/>
    <x v="0"/>
    <n v="509"/>
    <n v="62"/>
    <n v="1.4965001206854936E-2"/>
  </r>
  <r>
    <d v="2021-06-18T00:00:00"/>
    <n v="1311580"/>
    <n v="454234"/>
    <n v="12722"/>
    <n v="527916"/>
    <n v="2306452"/>
    <n v="0"/>
    <n v="0"/>
    <n v="4996.9704700000002"/>
    <n v="2021"/>
    <n v="6"/>
    <n v="18"/>
    <n v="6"/>
    <n v="0"/>
    <n v="0"/>
    <n v="0"/>
    <x v="0"/>
    <n v="497"/>
    <n v="59"/>
    <n v="1.3327309690535352E-2"/>
  </r>
  <r>
    <d v="2021-06-19T00:00:00"/>
    <n v="1036580"/>
    <n v="234536"/>
    <n v="0"/>
    <n v="600252"/>
    <n v="4071321"/>
    <n v="0"/>
    <n v="0"/>
    <n v="4996.9704700000002"/>
    <n v="2021"/>
    <n v="6"/>
    <n v="19"/>
    <n v="7"/>
    <n v="0"/>
    <n v="0"/>
    <n v="0"/>
    <x v="0"/>
    <n v="494"/>
    <n v="51"/>
    <n v="1.2157330154946364E-2"/>
  </r>
  <r>
    <d v="2021-06-20T00:00:00"/>
    <n v="692780"/>
    <n v="0"/>
    <n v="0"/>
    <n v="309099"/>
    <n v="1001879"/>
    <n v="0"/>
    <n v="0"/>
    <n v="4996.9704700000002"/>
    <n v="2021"/>
    <n v="6"/>
    <n v="20"/>
    <n v="1"/>
    <n v="0"/>
    <n v="0"/>
    <n v="0"/>
    <x v="0"/>
    <n v="409"/>
    <n v="63"/>
    <n v="1.4932448447499408E-2"/>
  </r>
  <r>
    <d v="2021-06-21T00:00:00"/>
    <n v="1227720"/>
    <n v="488751"/>
    <n v="8317"/>
    <n v="548830"/>
    <n v="2273618"/>
    <n v="0"/>
    <n v="0"/>
    <n v="4996.9704700000002"/>
    <n v="2021"/>
    <n v="6"/>
    <n v="21"/>
    <n v="2"/>
    <n v="0"/>
    <n v="0"/>
    <n v="0"/>
    <x v="0"/>
    <n v="429"/>
    <n v="51"/>
    <n v="1.0013744354997054E-2"/>
  </r>
  <r>
    <d v="2021-06-22T00:00:00"/>
    <n v="1320800"/>
    <n v="425855"/>
    <n v="10491"/>
    <n v="461965"/>
    <n v="2219111"/>
    <n v="0"/>
    <n v="0"/>
    <n v="4996.9704700000002"/>
    <n v="2021"/>
    <n v="6"/>
    <n v="22"/>
    <n v="3"/>
    <n v="0"/>
    <n v="0"/>
    <n v="0"/>
    <x v="0"/>
    <n v="565"/>
    <n v="57"/>
    <n v="1.0932105868814729E-2"/>
  </r>
  <r>
    <d v="2021-06-23T00:00:00"/>
    <n v="1411960"/>
    <n v="458356"/>
    <n v="12209"/>
    <n v="486872"/>
    <n v="2369397"/>
    <n v="0"/>
    <n v="0"/>
    <n v="4996.9704700000002"/>
    <n v="2021"/>
    <n v="6"/>
    <n v="23"/>
    <n v="4"/>
    <n v="0"/>
    <n v="0"/>
    <n v="0"/>
    <x v="0"/>
    <n v="550"/>
    <n v="65"/>
    <n v="1.0985296603008281E-2"/>
  </r>
  <r>
    <d v="2021-06-24T00:00:00"/>
    <n v="1573900"/>
    <n v="521449"/>
    <n v="7243"/>
    <n v="538762"/>
    <n v="2641354"/>
    <n v="0"/>
    <n v="0"/>
    <n v="4996.9704700000002"/>
    <n v="2021"/>
    <n v="6"/>
    <n v="24"/>
    <n v="5"/>
    <n v="0"/>
    <n v="0"/>
    <n v="0"/>
    <x v="0"/>
    <n v="498"/>
    <n v="59"/>
    <n v="1.0092370851864523E-2"/>
  </r>
  <r>
    <d v="2021-06-25T00:00:00"/>
    <n v="1942780"/>
    <n v="482052"/>
    <n v="7505"/>
    <n v="545037"/>
    <n v="5177320"/>
    <n v="0"/>
    <n v="0"/>
    <n v="4996.9704700000002"/>
    <n v="2021"/>
    <n v="6"/>
    <n v="25"/>
    <n v="6"/>
    <n v="0"/>
    <n v="0"/>
    <n v="0"/>
    <x v="0"/>
    <n v="477"/>
    <n v="56"/>
    <n v="7.7951002227171495E-3"/>
  </r>
  <r>
    <d v="2021-06-26T00:00:00"/>
    <n v="1239740"/>
    <n v="272661"/>
    <n v="2682"/>
    <n v="555103"/>
    <n v="2070186"/>
    <n v="0"/>
    <n v="0"/>
    <n v="4996.9704700000002"/>
    <n v="2021"/>
    <n v="6"/>
    <n v="26"/>
    <n v="7"/>
    <n v="0"/>
    <n v="0"/>
    <n v="0"/>
    <x v="0"/>
    <n v="470"/>
    <n v="51"/>
    <n v="6.8900297216968383E-3"/>
  </r>
  <r>
    <d v="2021-06-27T00:00:00"/>
    <n v="1253760"/>
    <n v="0"/>
    <n v="0"/>
    <n v="304474"/>
    <n v="1558234"/>
    <n v="0"/>
    <n v="0"/>
    <n v="4996.9704700000002"/>
    <n v="2021"/>
    <n v="6"/>
    <n v="27"/>
    <n v="1"/>
    <n v="0"/>
    <n v="0"/>
    <n v="0"/>
    <x v="0"/>
    <n v="390"/>
    <n v="52"/>
    <n v="8.7586323058783892E-3"/>
  </r>
  <r>
    <d v="2021-06-28T00:00:00"/>
    <n v="1270080"/>
    <n v="608717"/>
    <n v="11707"/>
    <n v="501018"/>
    <n v="2391522"/>
    <n v="0"/>
    <n v="0"/>
    <n v="4996.9704700000002"/>
    <n v="2021"/>
    <n v="6"/>
    <n v="28"/>
    <n v="2"/>
    <n v="0"/>
    <n v="0"/>
    <n v="0"/>
    <x v="0"/>
    <n v="431"/>
    <n v="58"/>
    <n v="1.0887929416181715E-2"/>
  </r>
  <r>
    <d v="2021-06-29T00:00:00"/>
    <n v="1375720"/>
    <n v="606383"/>
    <n v="4061"/>
    <n v="551026"/>
    <n v="2537190"/>
    <n v="0"/>
    <n v="0"/>
    <n v="4996.9704700000002"/>
    <n v="2021"/>
    <n v="6"/>
    <n v="29"/>
    <n v="3"/>
    <n v="0"/>
    <n v="0"/>
    <n v="0"/>
    <x v="0"/>
    <n v="510"/>
    <n v="53"/>
    <n v="8.1089351285189726E-3"/>
  </r>
  <r>
    <d v="2021-06-30T00:00:00"/>
    <n v="1249080"/>
    <n v="856702"/>
    <n v="71278"/>
    <n v="662262"/>
    <n v="2839322"/>
    <n v="0"/>
    <n v="0"/>
    <n v="4996.9704700000002"/>
    <n v="2021"/>
    <n v="6"/>
    <n v="30"/>
    <n v="4"/>
    <n v="0"/>
    <s v="A-1"/>
    <s v="Z-2"/>
    <x v="0"/>
    <n v="522"/>
    <n v="45"/>
    <n v="6.2578222778473091E-3"/>
  </r>
  <r>
    <d v="2021-07-01T00:00:00"/>
    <n v="1628980"/>
    <n v="812772"/>
    <n v="9839"/>
    <n v="584093"/>
    <n v="3035684"/>
    <n v="6.4146237242056897E-2"/>
    <n v="1045.4973299999992"/>
    <n v="4996.9704700000002"/>
    <n v="2021"/>
    <n v="7"/>
    <n v="1"/>
    <n v="5"/>
    <n v="0"/>
    <s v="A0"/>
    <s v="Z-1"/>
    <x v="0"/>
    <n v="462"/>
    <n v="42"/>
    <n v="6.753497346840328E-3"/>
  </r>
  <r>
    <d v="2021-07-02T00:00:00"/>
    <n v="2095440"/>
    <n v="237272"/>
    <n v="10365"/>
    <n v="438210"/>
    <n v="2781287"/>
    <n v="0"/>
    <n v="0"/>
    <n v="5594.5700000000006"/>
    <n v="2021"/>
    <n v="7"/>
    <n v="2"/>
    <n v="6"/>
    <n v="0"/>
    <s v="A+1"/>
    <s v="Z"/>
    <x v="0"/>
    <n v="461"/>
    <n v="55"/>
    <n v="1.0276532137518685E-2"/>
  </r>
  <r>
    <d v="2021-07-03T00:00:00"/>
    <n v="1370600"/>
    <n v="134433"/>
    <n v="0"/>
    <n v="544890"/>
    <n v="2049923"/>
    <n v="0"/>
    <n v="0"/>
    <n v="5594.5700000000006"/>
    <n v="2021"/>
    <n v="7"/>
    <n v="3"/>
    <n v="7"/>
    <n v="0"/>
    <n v="0"/>
    <s v="Z+1"/>
    <x v="0"/>
    <n v="478"/>
    <n v="45"/>
    <n v="9.1593730917972731E-3"/>
  </r>
  <r>
    <d v="2021-07-04T00:00:00"/>
    <n v="1272200"/>
    <n v="0"/>
    <n v="0"/>
    <n v="474346"/>
    <n v="1746546"/>
    <n v="0"/>
    <n v="0"/>
    <n v="5594.5700000000006"/>
    <n v="2021"/>
    <n v="7"/>
    <n v="4"/>
    <n v="1"/>
    <n v="0"/>
    <n v="0"/>
    <n v="0"/>
    <x v="0"/>
    <n v="404"/>
    <n v="50"/>
    <n v="1.2016342225426579E-2"/>
  </r>
  <r>
    <d v="2021-07-05T00:00:00"/>
    <n v="1915320"/>
    <n v="323105"/>
    <n v="2849"/>
    <n v="584669"/>
    <n v="2825943"/>
    <n v="0"/>
    <n v="0"/>
    <n v="5594.5700000000006"/>
    <n v="2021"/>
    <n v="7"/>
    <n v="5"/>
    <n v="2"/>
    <n v="0"/>
    <n v="0"/>
    <n v="0"/>
    <x v="0"/>
    <n v="0"/>
    <n v="35"/>
    <n v="7.3917634635691657E-3"/>
  </r>
  <r>
    <d v="2021-07-06T00:00:00"/>
    <n v="1737020"/>
    <n v="338711"/>
    <n v="8460"/>
    <n v="511735"/>
    <n v="2595926"/>
    <n v="0"/>
    <n v="0"/>
    <n v="5594.5700000000006"/>
    <n v="2021"/>
    <n v="7"/>
    <n v="6"/>
    <n v="3"/>
    <n v="0"/>
    <n v="0"/>
    <n v="0"/>
    <x v="0"/>
    <n v="0"/>
    <n v="37"/>
    <n v="8.322087269455691E-3"/>
  </r>
  <r>
    <d v="2021-07-07T00:00:00"/>
    <n v="1804740"/>
    <n v="363276"/>
    <n v="8323"/>
    <n v="610468"/>
    <n v="2786807"/>
    <n v="0"/>
    <n v="0"/>
    <n v="5594.5700000000006"/>
    <n v="2021"/>
    <n v="7"/>
    <n v="7"/>
    <n v="4"/>
    <n v="0"/>
    <n v="0"/>
    <n v="0"/>
    <x v="0"/>
    <n v="0"/>
    <n v="52"/>
    <n v="1.1216566005176877E-2"/>
  </r>
  <r>
    <d v="2021-07-08T00:00:00"/>
    <n v="1872380"/>
    <n v="398158"/>
    <n v="16694"/>
    <n v="482614"/>
    <n v="2769846"/>
    <n v="0"/>
    <n v="0"/>
    <n v="5594.5700000000006"/>
    <n v="2021"/>
    <n v="7"/>
    <n v="8"/>
    <n v="5"/>
    <n v="0"/>
    <n v="0"/>
    <n v="0"/>
    <x v="0"/>
    <n v="0"/>
    <n v="48"/>
    <n v="9.5770151636073424E-3"/>
  </r>
  <r>
    <d v="2021-07-09T00:00:00"/>
    <n v="1798240"/>
    <n v="427788"/>
    <n v="2519"/>
    <n v="602665"/>
    <n v="2831212"/>
    <n v="0"/>
    <n v="0"/>
    <n v="5594.5700000000006"/>
    <n v="2021"/>
    <n v="7"/>
    <n v="9"/>
    <n v="6"/>
    <n v="0"/>
    <n v="0"/>
    <n v="0"/>
    <x v="0"/>
    <n v="0"/>
    <n v="59"/>
    <n v="1.1509949278189621E-2"/>
  </r>
  <r>
    <d v="2021-07-10T00:00:00"/>
    <n v="1106680"/>
    <n v="227329"/>
    <n v="8499"/>
    <n v="665118"/>
    <n v="2007626"/>
    <n v="0"/>
    <n v="0"/>
    <n v="5594.5700000000006"/>
    <n v="2021"/>
    <n v="7"/>
    <n v="10"/>
    <n v="7"/>
    <n v="0"/>
    <n v="0"/>
    <n v="0"/>
    <x v="0"/>
    <n v="0"/>
    <n v="37"/>
    <n v="7.0921985815602835E-3"/>
  </r>
  <r>
    <d v="2021-07-11T00:00:00"/>
    <n v="1488200"/>
    <n v="0"/>
    <n v="0"/>
    <n v="478352"/>
    <n v="4166381"/>
    <n v="0"/>
    <n v="0"/>
    <n v="5594.5700000000006"/>
    <n v="2021"/>
    <n v="7"/>
    <n v="11"/>
    <n v="1"/>
    <n v="0"/>
    <n v="0"/>
    <n v="0"/>
    <x v="0"/>
    <n v="0"/>
    <n v="37"/>
    <n v="7.0583746661579553E-3"/>
  </r>
  <r>
    <d v="2021-07-12T00:00:00"/>
    <n v="1783600"/>
    <n v="545750"/>
    <n v="0"/>
    <n v="565807"/>
    <n v="2895157"/>
    <n v="0"/>
    <n v="0"/>
    <n v="5594.5700000000006"/>
    <n v="2021"/>
    <n v="7"/>
    <n v="12"/>
    <n v="2"/>
    <n v="0"/>
    <n v="0"/>
    <n v="0"/>
    <x v="0"/>
    <n v="0"/>
    <n v="49"/>
    <n v="8.8993824918270972E-3"/>
  </r>
  <r>
    <d v="2021-07-13T00:00:00"/>
    <n v="1650980"/>
    <n v="469532"/>
    <n v="23301"/>
    <n v="602332"/>
    <n v="2746145"/>
    <n v="0"/>
    <n v="0"/>
    <n v="5594.5700000000006"/>
    <n v="2021"/>
    <n v="7"/>
    <n v="13"/>
    <n v="3"/>
    <n v="0"/>
    <n v="0"/>
    <n v="0"/>
    <x v="0"/>
    <n v="0"/>
    <n v="46"/>
    <n v="8.9112746997287873E-3"/>
  </r>
  <r>
    <d v="2021-07-14T00:00:00"/>
    <n v="1729200"/>
    <n v="574095"/>
    <n v="8662"/>
    <n v="621799"/>
    <n v="2933756"/>
    <n v="0"/>
    <n v="0"/>
    <n v="5594.5700000000006"/>
    <n v="2021"/>
    <n v="7"/>
    <n v="14"/>
    <n v="4"/>
    <n v="0"/>
    <n v="0"/>
    <n v="0"/>
    <x v="0"/>
    <n v="0"/>
    <n v="43"/>
    <n v="8.4929883468299432E-3"/>
  </r>
  <r>
    <d v="2021-07-15T00:00:00"/>
    <n v="1717680"/>
    <n v="331212"/>
    <n v="751"/>
    <n v="624873"/>
    <n v="2674516"/>
    <n v="0"/>
    <n v="0"/>
    <n v="5594.5700000000006"/>
    <n v="2021"/>
    <n v="7"/>
    <n v="15"/>
    <n v="5"/>
    <s v="T"/>
    <n v="0"/>
    <n v="0"/>
    <x v="0"/>
    <n v="0"/>
    <n v="48"/>
    <n v="9.4062316284538507E-3"/>
  </r>
  <r>
    <d v="2021-07-16T00:00:00"/>
    <n v="2242220"/>
    <n v="621223"/>
    <n v="23356"/>
    <n v="631246"/>
    <n v="3518045"/>
    <n v="0"/>
    <n v="0"/>
    <n v="5594.5700000000006"/>
    <n v="2021"/>
    <n v="7"/>
    <n v="16"/>
    <n v="6"/>
    <n v="0"/>
    <n v="0"/>
    <n v="0"/>
    <x v="0"/>
    <n v="0"/>
    <n v="35"/>
    <n v="6.8843430369787571E-3"/>
  </r>
  <r>
    <d v="2021-07-17T00:00:00"/>
    <n v="1576140"/>
    <n v="515793"/>
    <n v="4813"/>
    <n v="673564"/>
    <n v="2770310"/>
    <n v="0"/>
    <n v="0"/>
    <n v="5594.5700000000006"/>
    <n v="2021"/>
    <n v="7"/>
    <n v="17"/>
    <n v="7"/>
    <s v="KBA-2"/>
    <n v="0"/>
    <n v="0"/>
    <x v="0"/>
    <n v="0"/>
    <n v="38"/>
    <n v="6.9216757741347905E-3"/>
  </r>
  <r>
    <d v="2021-07-18T00:00:00"/>
    <n v="1530120"/>
    <n v="0"/>
    <n v="1635"/>
    <n v="654878"/>
    <n v="2186633"/>
    <n v="0"/>
    <n v="0"/>
    <n v="5594.5700000000006"/>
    <n v="2021"/>
    <n v="7"/>
    <n v="18"/>
    <n v="1"/>
    <s v="KBA-1"/>
    <n v="0"/>
    <n v="0"/>
    <x v="0"/>
    <n v="0"/>
    <n v="66"/>
    <n v="1.1311053984575836E-2"/>
  </r>
  <r>
    <d v="2021-07-19T00:00:00"/>
    <n v="2298280"/>
    <n v="672671"/>
    <n v="4986"/>
    <n v="846096"/>
    <n v="3822033"/>
    <n v="0"/>
    <n v="0"/>
    <n v="5594.5700000000006"/>
    <n v="2021"/>
    <n v="7"/>
    <n v="19"/>
    <n v="2"/>
    <s v="KBA"/>
    <n v="0"/>
    <n v="0"/>
    <x v="0"/>
    <n v="0"/>
    <n v="50"/>
    <n v="1.2042389210019268E-2"/>
  </r>
  <r>
    <d v="2021-07-20T00:00:00"/>
    <n v="1461920"/>
    <n v="786"/>
    <n v="0"/>
    <n v="537469"/>
    <n v="2000175"/>
    <n v="0"/>
    <n v="0"/>
    <n v="5594.5700000000006"/>
    <n v="2021"/>
    <n v="7"/>
    <n v="20"/>
    <n v="3"/>
    <s v="KB1"/>
    <n v="0"/>
    <n v="0"/>
    <x v="0"/>
    <n v="0"/>
    <n v="46"/>
    <n v="1.0085507564130673E-2"/>
  </r>
  <r>
    <d v="2021-07-21T00:00:00"/>
    <n v="1360080"/>
    <n v="2250"/>
    <n v="0"/>
    <n v="698517"/>
    <n v="2060847"/>
    <n v="0"/>
    <n v="0"/>
    <n v="5594.5700000000006"/>
    <n v="2021"/>
    <n v="7"/>
    <n v="21"/>
    <n v="4"/>
    <s v="KB2"/>
    <n v="0"/>
    <n v="0"/>
    <x v="0"/>
    <n v="0"/>
    <n v="59"/>
    <n v="1.1928831378892033E-2"/>
  </r>
  <r>
    <d v="2021-07-22T00:00:00"/>
    <n v="2066960"/>
    <n v="302240"/>
    <n v="0"/>
    <n v="682350"/>
    <n v="3051550"/>
    <n v="0"/>
    <n v="0"/>
    <n v="5594.5700000000006"/>
    <n v="2021"/>
    <n v="7"/>
    <n v="22"/>
    <n v="5"/>
    <s v="KB3"/>
    <n v="0"/>
    <n v="0"/>
    <x v="0"/>
    <n v="0"/>
    <n v="52"/>
    <n v="1.0210092283526409E-2"/>
  </r>
  <r>
    <d v="2021-07-23T00:00:00"/>
    <n v="1650440"/>
    <n v="483747"/>
    <n v="0"/>
    <n v="705411"/>
    <n v="2839598"/>
    <n v="0"/>
    <n v="0"/>
    <n v="5594.5700000000006"/>
    <n v="2021"/>
    <n v="7"/>
    <n v="23"/>
    <n v="6"/>
    <s v="KB4"/>
    <n v="0"/>
    <n v="0"/>
    <x v="0"/>
    <n v="0"/>
    <n v="60"/>
    <n v="1.1505273250239693E-2"/>
  </r>
  <r>
    <d v="2021-07-24T00:00:00"/>
    <n v="2517815"/>
    <n v="411009"/>
    <n v="2153"/>
    <n v="684934"/>
    <n v="3615911"/>
    <n v="0"/>
    <n v="0"/>
    <n v="5594.5700000000006"/>
    <n v="2021"/>
    <n v="7"/>
    <n v="24"/>
    <n v="7"/>
    <s v="KB+1"/>
    <n v="0"/>
    <n v="0"/>
    <x v="0"/>
    <n v="0"/>
    <n v="58"/>
    <n v="1.0774660969719487E-2"/>
  </r>
  <r>
    <d v="2021-07-25T00:00:00"/>
    <n v="1504800"/>
    <n v="0"/>
    <n v="3362"/>
    <n v="597182"/>
    <n v="2105344"/>
    <n v="0"/>
    <n v="0"/>
    <n v="5594.5700000000006"/>
    <n v="2021"/>
    <n v="7"/>
    <n v="25"/>
    <n v="1"/>
    <s v="KB+2"/>
    <n v="0"/>
    <n v="0"/>
    <x v="0"/>
    <n v="0"/>
    <n v="55"/>
    <n v="1.0554596046824027E-2"/>
  </r>
  <r>
    <d v="2021-07-26T00:00:00"/>
    <n v="1835880"/>
    <n v="586504"/>
    <n v="7865"/>
    <n v="542933"/>
    <n v="2973182"/>
    <n v="0"/>
    <n v="0"/>
    <n v="5594.5700000000006"/>
    <n v="2021"/>
    <n v="7"/>
    <n v="26"/>
    <n v="2"/>
    <n v="0"/>
    <n v="0"/>
    <n v="0"/>
    <x v="0"/>
    <n v="0"/>
    <n v="63"/>
    <n v="1.1280214861235453E-2"/>
  </r>
  <r>
    <d v="2021-07-27T00:00:00"/>
    <n v="1308440"/>
    <n v="519541"/>
    <n v="2093"/>
    <n v="614211"/>
    <n v="2444285"/>
    <n v="0"/>
    <n v="0"/>
    <n v="5594.5700000000006"/>
    <n v="2021"/>
    <n v="7"/>
    <n v="27"/>
    <n v="3"/>
    <n v="0"/>
    <n v="0"/>
    <n v="0"/>
    <x v="0"/>
    <n v="0"/>
    <n v="51"/>
    <n v="7.1750140686550369E-3"/>
  </r>
  <r>
    <d v="2021-07-28T00:00:00"/>
    <n v="1610840"/>
    <n v="615345"/>
    <n v="4002"/>
    <n v="609535"/>
    <n v="2839722"/>
    <n v="0"/>
    <n v="0"/>
    <n v="5594.5700000000006"/>
    <n v="2021"/>
    <n v="7"/>
    <n v="28"/>
    <n v="4"/>
    <n v="0"/>
    <n v="0"/>
    <n v="0"/>
    <x v="0"/>
    <n v="0"/>
    <n v="76"/>
    <n v="1.8108172504169646E-2"/>
  </r>
  <r>
    <d v="2021-07-29T00:00:00"/>
    <n v="1129920"/>
    <n v="456454"/>
    <n v="8476"/>
    <n v="472784"/>
    <n v="2067634"/>
    <n v="0"/>
    <n v="0"/>
    <n v="5594.5700000000006"/>
    <n v="2021"/>
    <n v="7"/>
    <n v="29"/>
    <n v="5"/>
    <n v="0"/>
    <n v="0"/>
    <n v="0"/>
    <x v="0"/>
    <n v="0"/>
    <n v="60"/>
    <n v="1.0982976386600769E-2"/>
  </r>
  <r>
    <d v="2021-07-30T00:00:00"/>
    <n v="1672460"/>
    <n v="647646"/>
    <n v="6675"/>
    <n v="564714"/>
    <n v="2891495"/>
    <n v="0"/>
    <n v="0"/>
    <n v="5594.5700000000006"/>
    <n v="2021"/>
    <n v="7"/>
    <n v="30"/>
    <n v="6"/>
    <n v="0"/>
    <n v="0"/>
    <n v="0"/>
    <x v="0"/>
    <n v="0"/>
    <n v="69"/>
    <n v="1.1995827538247567E-2"/>
  </r>
  <r>
    <d v="2021-07-31T00:00:00"/>
    <n v="1020640"/>
    <n v="478745"/>
    <n v="142207"/>
    <n v="692061"/>
    <n v="2333653"/>
    <n v="0"/>
    <n v="0"/>
    <n v="5594.5700000000006"/>
    <n v="2021"/>
    <n v="7"/>
    <n v="31"/>
    <n v="7"/>
    <n v="0"/>
    <s v="A-1"/>
    <n v="0"/>
    <x v="0"/>
    <n v="0"/>
    <n v="79"/>
    <n v="1.5468964166829842E-2"/>
  </r>
  <r>
    <d v="2021-08-01T00:00:00"/>
    <n v="1145540"/>
    <n v="0"/>
    <n v="1561"/>
    <n v="459466"/>
    <n v="3806540"/>
    <n v="0"/>
    <n v="0"/>
    <n v="5594.5700000000006"/>
    <n v="2021"/>
    <n v="8"/>
    <n v="1"/>
    <n v="1"/>
    <n v="0"/>
    <s v="A0"/>
    <n v="0"/>
    <x v="0"/>
    <n v="0"/>
    <n v="96"/>
    <n v="1.733164831196967E-2"/>
  </r>
  <r>
    <d v="2021-08-02T00:00:00"/>
    <n v="1411960"/>
    <n v="502100"/>
    <n v="2819"/>
    <n v="564335"/>
    <n v="2481214"/>
    <n v="0"/>
    <n v="0"/>
    <n v="5594.5700000000006"/>
    <n v="2021"/>
    <n v="8"/>
    <n v="2"/>
    <n v="2"/>
    <n v="0"/>
    <s v="A+1"/>
    <n v="0"/>
    <x v="0"/>
    <n v="0"/>
    <n v="91"/>
    <n v="1.530183285690264E-2"/>
  </r>
  <r>
    <d v="2021-08-03T00:00:00"/>
    <n v="1279100"/>
    <n v="376284"/>
    <n v="2956"/>
    <n v="468341"/>
    <n v="2126681"/>
    <n v="0"/>
    <n v="0"/>
    <n v="5594.5700000000006"/>
    <n v="2021"/>
    <n v="8"/>
    <n v="3"/>
    <n v="3"/>
    <n v="0"/>
    <n v="0"/>
    <n v="0"/>
    <x v="0"/>
    <n v="0"/>
    <n v="126"/>
    <n v="2.0182604517059107E-2"/>
  </r>
  <r>
    <d v="2021-08-04T00:00:00"/>
    <n v="1482380"/>
    <n v="469396"/>
    <n v="2567"/>
    <n v="539544"/>
    <n v="2493887"/>
    <n v="0"/>
    <n v="0"/>
    <n v="5594.5700000000006"/>
    <n v="2021"/>
    <n v="8"/>
    <n v="4"/>
    <n v="4"/>
    <n v="0"/>
    <n v="0"/>
    <n v="0"/>
    <x v="0"/>
    <n v="0"/>
    <n v="122"/>
    <n v="2.0013123359580054E-2"/>
  </r>
  <r>
    <d v="2021-08-05T00:00:00"/>
    <n v="1522260"/>
    <n v="341900"/>
    <n v="8446"/>
    <n v="457441"/>
    <n v="2330047"/>
    <n v="0"/>
    <n v="0"/>
    <n v="5594.5700000000006"/>
    <n v="2021"/>
    <n v="8"/>
    <n v="5"/>
    <n v="5"/>
    <n v="0"/>
    <n v="0"/>
    <n v="0"/>
    <x v="0"/>
    <n v="0"/>
    <n v="108"/>
    <n v="1.62748643761302E-2"/>
  </r>
  <r>
    <d v="2021-08-06T00:00:00"/>
    <n v="1637720"/>
    <n v="489328"/>
    <n v="1250"/>
    <n v="529348"/>
    <n v="2657646"/>
    <n v="0"/>
    <n v="0"/>
    <n v="5594.5700000000006"/>
    <n v="2021"/>
    <n v="8"/>
    <n v="6"/>
    <n v="6"/>
    <n v="0"/>
    <n v="0"/>
    <n v="0"/>
    <x v="0"/>
    <n v="0"/>
    <n v="101"/>
    <n v="1.4551217403832301E-2"/>
  </r>
  <r>
    <d v="2021-08-07T00:00:00"/>
    <n v="1234320"/>
    <n v="223066"/>
    <n v="4631"/>
    <n v="589258"/>
    <n v="2051275"/>
    <n v="0"/>
    <n v="0"/>
    <n v="5594.5700000000006"/>
    <n v="2021"/>
    <n v="8"/>
    <n v="7"/>
    <n v="7"/>
    <n v="0"/>
    <n v="0"/>
    <n v="0"/>
    <x v="0"/>
    <n v="0"/>
    <n v="112"/>
    <n v="1.6572950577093813E-2"/>
  </r>
  <r>
    <d v="2021-08-08T00:00:00"/>
    <n v="1218540"/>
    <n v="0"/>
    <n v="0"/>
    <n v="470279"/>
    <n v="1688819"/>
    <n v="0"/>
    <n v="0"/>
    <n v="5594.5700000000006"/>
    <n v="2021"/>
    <n v="8"/>
    <n v="8"/>
    <n v="1"/>
    <n v="0"/>
    <n v="0"/>
    <s v="Z-2"/>
    <x v="0"/>
    <n v="0"/>
    <n v="108"/>
    <n v="1.8508997429305913E-2"/>
  </r>
  <r>
    <d v="2021-08-09T00:00:00"/>
    <n v="2358300"/>
    <n v="720738"/>
    <n v="8835"/>
    <n v="781071"/>
    <n v="6068629"/>
    <n v="3.1759741109060727E-2"/>
    <n v="258.37349999999969"/>
    <n v="5594.5700000000006"/>
    <n v="2021"/>
    <n v="8"/>
    <n v="9"/>
    <n v="2"/>
    <n v="0"/>
    <n v="0"/>
    <s v="Z-1"/>
    <x v="0"/>
    <n v="0"/>
    <n v="117"/>
    <n v="1.5885947046843176E-2"/>
  </r>
  <r>
    <d v="2021-08-10T00:00:00"/>
    <n v="1902400"/>
    <n v="646459"/>
    <n v="0"/>
    <n v="350844"/>
    <n v="2899703"/>
    <n v="0"/>
    <n v="0"/>
    <n v="5852.9412999999995"/>
    <n v="2021"/>
    <n v="8"/>
    <n v="10"/>
    <n v="3"/>
    <n v="0"/>
    <n v="0"/>
    <s v="Z"/>
    <x v="0"/>
    <n v="0"/>
    <n v="124"/>
    <n v="8.2920957603316841E-3"/>
  </r>
  <r>
    <d v="2021-08-11T00:00:00"/>
    <n v="1347960"/>
    <n v="568589"/>
    <n v="12484"/>
    <n v="505391"/>
    <n v="2434424"/>
    <n v="0"/>
    <n v="0"/>
    <n v="5852.94"/>
    <n v="2021"/>
    <n v="8"/>
    <n v="11"/>
    <n v="4"/>
    <n v="0"/>
    <n v="0"/>
    <s v="Z+1"/>
    <x v="0"/>
    <n v="0"/>
    <n v="128"/>
    <n v="7.8225264315834511E-3"/>
  </r>
  <r>
    <d v="2021-08-12T00:00:00"/>
    <n v="1873940"/>
    <n v="188839"/>
    <n v="3570"/>
    <n v="469149"/>
    <n v="4229607"/>
    <n v="0"/>
    <n v="0"/>
    <n v="5852.94"/>
    <n v="2021"/>
    <n v="8"/>
    <n v="12"/>
    <n v="5"/>
    <n v="0"/>
    <n v="0"/>
    <n v="0"/>
    <x v="0"/>
    <n v="0"/>
    <n v="138"/>
    <n v="8.798214854956965E-3"/>
  </r>
  <r>
    <d v="2021-08-13T00:00:00"/>
    <n v="1820860"/>
    <n v="305434"/>
    <n v="18495"/>
    <n v="531667"/>
    <n v="4876370"/>
    <n v="0"/>
    <n v="0"/>
    <n v="5852.94"/>
    <n v="2021"/>
    <n v="8"/>
    <n v="13"/>
    <n v="6"/>
    <n v="0"/>
    <n v="0"/>
    <n v="0"/>
    <x v="0"/>
    <n v="0"/>
    <n v="157"/>
    <n v="9.5197671598350707E-3"/>
  </r>
  <r>
    <d v="2021-08-14T00:00:00"/>
    <n v="1315440"/>
    <n v="221851"/>
    <n v="0"/>
    <n v="579079"/>
    <n v="2116370"/>
    <n v="0"/>
    <n v="0"/>
    <n v="5852.94"/>
    <n v="2021"/>
    <n v="8"/>
    <n v="14"/>
    <n v="7"/>
    <n v="0"/>
    <n v="0"/>
    <n v="0"/>
    <x v="0"/>
    <n v="0"/>
    <n v="145"/>
    <n v="9.437646446237959E-3"/>
  </r>
  <r>
    <d v="2021-08-15T00:00:00"/>
    <n v="1300260"/>
    <n v="0"/>
    <n v="0"/>
    <n v="442867"/>
    <n v="1743127"/>
    <n v="0"/>
    <n v="0"/>
    <n v="5852.94"/>
    <n v="2021"/>
    <n v="8"/>
    <n v="15"/>
    <n v="1"/>
    <n v="0"/>
    <n v="0"/>
    <n v="0"/>
    <x v="0"/>
    <n v="0"/>
    <n v="154"/>
    <n v="1.0675169832247332E-2"/>
  </r>
  <r>
    <d v="2021-08-16T00:00:00"/>
    <n v="2793142"/>
    <n v="425637"/>
    <n v="19108"/>
    <n v="646287"/>
    <n v="3884174"/>
    <n v="0"/>
    <n v="0"/>
    <n v="5852.94"/>
    <n v="2021"/>
    <n v="8"/>
    <n v="16"/>
    <n v="2"/>
    <n v="0"/>
    <n v="0"/>
    <n v="0"/>
    <x v="0"/>
    <n v="0"/>
    <n v="165"/>
    <n v="9.9146737171013095E-3"/>
  </r>
  <r>
    <d v="2021-08-17T00:00:00"/>
    <n v="1994180"/>
    <n v="401464"/>
    <n v="7243"/>
    <n v="533577"/>
    <n v="2936464"/>
    <n v="0"/>
    <n v="0"/>
    <n v="5852.94"/>
    <n v="2021"/>
    <n v="8"/>
    <n v="17"/>
    <n v="3"/>
    <n v="0"/>
    <n v="0"/>
    <n v="0"/>
    <x v="0"/>
    <n v="0"/>
    <n v="183"/>
    <n v="1.2503416233943701E-2"/>
  </r>
  <r>
    <d v="2021-08-18T00:00:00"/>
    <n v="2442320"/>
    <n v="420553"/>
    <n v="6582"/>
    <n v="432818"/>
    <n v="3302273"/>
    <n v="0"/>
    <n v="0"/>
    <n v="5852.94"/>
    <n v="2021"/>
    <n v="8"/>
    <n v="18"/>
    <n v="4"/>
    <n v="0"/>
    <n v="0"/>
    <n v="0"/>
    <x v="0"/>
    <n v="0"/>
    <n v="168"/>
    <n v="1.0812898242904035E-2"/>
  </r>
  <r>
    <d v="2021-08-19T00:00:00"/>
    <n v="2014400"/>
    <n v="372833"/>
    <n v="12288"/>
    <n v="518646"/>
    <n v="2918167"/>
    <n v="0"/>
    <n v="0"/>
    <n v="5852.94"/>
    <n v="2021"/>
    <n v="8"/>
    <n v="19"/>
    <n v="5"/>
    <n v="0"/>
    <n v="0"/>
    <n v="0"/>
    <x v="0"/>
    <n v="0"/>
    <n v="216"/>
    <n v="1.4651020823441633E-2"/>
  </r>
  <r>
    <d v="2021-08-20T00:00:00"/>
    <n v="2532860"/>
    <n v="415587"/>
    <n v="4508"/>
    <n v="570668"/>
    <n v="3523623"/>
    <n v="0"/>
    <n v="0"/>
    <n v="5852.94"/>
    <n v="2021"/>
    <n v="8"/>
    <n v="20"/>
    <n v="6"/>
    <n v="0"/>
    <n v="0"/>
    <n v="0"/>
    <x v="0"/>
    <n v="0"/>
    <n v="204"/>
    <n v="1.3109697320223636E-2"/>
  </r>
  <r>
    <d v="2021-08-21T00:00:00"/>
    <n v="2007140"/>
    <n v="262057"/>
    <n v="10167"/>
    <n v="572777"/>
    <n v="2852141"/>
    <n v="0"/>
    <n v="0"/>
    <n v="5852.94"/>
    <n v="2021"/>
    <n v="8"/>
    <n v="21"/>
    <n v="7"/>
    <n v="0"/>
    <n v="0"/>
    <n v="0"/>
    <x v="0"/>
    <n v="0"/>
    <n v="232"/>
    <n v="1.7625161437362303E-2"/>
  </r>
  <r>
    <d v="2021-08-22T00:00:00"/>
    <n v="1382740"/>
    <n v="0"/>
    <n v="6100"/>
    <n v="471344"/>
    <n v="1860184"/>
    <n v="0"/>
    <n v="0"/>
    <n v="5852.94"/>
    <n v="2021"/>
    <n v="8"/>
    <n v="22"/>
    <n v="1"/>
    <n v="0"/>
    <n v="0"/>
    <n v="0"/>
    <x v="0"/>
    <n v="0"/>
    <n v="206"/>
    <n v="1.5531930935685742E-2"/>
  </r>
  <r>
    <d v="2021-08-23T00:00:00"/>
    <n v="2143720"/>
    <n v="460898"/>
    <n v="1787"/>
    <n v="569969"/>
    <n v="3176374"/>
    <n v="0"/>
    <n v="0"/>
    <n v="5852.94"/>
    <n v="2021"/>
    <n v="8"/>
    <n v="23"/>
    <n v="2"/>
    <n v="0"/>
    <n v="0"/>
    <n v="0"/>
    <x v="0"/>
    <n v="0"/>
    <n v="232"/>
    <n v="1.465294006189604E-2"/>
  </r>
  <r>
    <d v="2021-08-24T00:00:00"/>
    <n v="2014540"/>
    <n v="438467"/>
    <n v="6700"/>
    <n v="562938"/>
    <n v="3022645"/>
    <n v="0"/>
    <n v="0"/>
    <n v="5852.94"/>
    <n v="2021"/>
    <n v="8"/>
    <n v="24"/>
    <n v="3"/>
    <n v="0"/>
    <n v="0"/>
    <n v="0"/>
    <x v="0"/>
    <n v="0"/>
    <n v="230"/>
    <n v="1.4961295778312626E-2"/>
  </r>
  <r>
    <d v="2021-08-25T00:00:00"/>
    <n v="1818840"/>
    <n v="418754"/>
    <n v="6149"/>
    <n v="445475"/>
    <n v="2689218"/>
    <n v="0"/>
    <n v="0"/>
    <n v="5852.94"/>
    <n v="2021"/>
    <n v="8"/>
    <n v="25"/>
    <n v="4"/>
    <n v="0"/>
    <n v="0"/>
    <n v="0"/>
    <x v="0"/>
    <n v="0"/>
    <n v="217"/>
    <n v="1.3032250315296378E-2"/>
  </r>
  <r>
    <d v="2021-08-26T00:00:00"/>
    <n v="1782780"/>
    <n v="456593"/>
    <n v="13421"/>
    <n v="542265"/>
    <n v="2795059"/>
    <n v="0"/>
    <n v="0"/>
    <n v="5852.94"/>
    <n v="2021"/>
    <n v="8"/>
    <n v="26"/>
    <n v="5"/>
    <n v="0"/>
    <n v="0"/>
    <n v="0"/>
    <x v="0"/>
    <n v="0"/>
    <n v="257"/>
    <n v="1.6902334758303189E-2"/>
  </r>
  <r>
    <d v="2021-08-27T00:00:00"/>
    <n v="2328340"/>
    <n v="488407"/>
    <n v="9894"/>
    <n v="525244"/>
    <n v="3351885"/>
    <n v="0"/>
    <n v="0"/>
    <n v="5852.94"/>
    <n v="2021"/>
    <n v="8"/>
    <n v="27"/>
    <n v="6"/>
    <n v="0"/>
    <n v="0"/>
    <n v="0"/>
    <x v="0"/>
    <n v="0"/>
    <n v="244"/>
    <n v="1.6795154185022025E-2"/>
  </r>
  <r>
    <d v="2021-08-28T00:00:00"/>
    <n v="1825260"/>
    <n v="282315"/>
    <n v="1000"/>
    <n v="486716"/>
    <n v="2595291"/>
    <n v="0"/>
    <n v="0"/>
    <n v="5852.94"/>
    <n v="2021"/>
    <n v="8"/>
    <n v="28"/>
    <n v="7"/>
    <n v="0"/>
    <n v="0"/>
    <n v="0"/>
    <x v="0"/>
    <n v="0"/>
    <n v="245"/>
    <n v="2.0123203285420943E-2"/>
  </r>
  <r>
    <d v="2021-08-29T00:00:00"/>
    <n v="1483320"/>
    <n v="0"/>
    <n v="0"/>
    <n v="509715"/>
    <n v="1993035"/>
    <n v="0"/>
    <n v="0"/>
    <n v="5852.94"/>
    <n v="2021"/>
    <n v="8"/>
    <n v="29"/>
    <n v="1"/>
    <n v="0"/>
    <n v="0"/>
    <n v="0"/>
    <x v="0"/>
    <n v="0"/>
    <n v="255"/>
    <n v="2.2376272376272377E-2"/>
  </r>
  <r>
    <d v="2021-08-30T00:00:00"/>
    <n v="1808860"/>
    <n v="512362"/>
    <n v="7244"/>
    <n v="659627"/>
    <n v="2988093"/>
    <n v="0"/>
    <n v="0"/>
    <n v="5852.94"/>
    <n v="2021"/>
    <n v="8"/>
    <n v="30"/>
    <n v="2"/>
    <s v="T"/>
    <n v="0"/>
    <n v="0"/>
    <x v="0"/>
    <n v="0"/>
    <n v="245"/>
    <n v="1.8282217744944408E-2"/>
  </r>
  <r>
    <d v="2021-08-31T00:00:00"/>
    <n v="2052760"/>
    <n v="628182"/>
    <n v="62913"/>
    <n v="589490"/>
    <n v="3333345"/>
    <n v="0"/>
    <n v="0"/>
    <n v="5852.94"/>
    <n v="2021"/>
    <n v="8"/>
    <n v="31"/>
    <n v="3"/>
    <n v="0"/>
    <s v="A-1"/>
    <n v="0"/>
    <x v="0"/>
    <n v="0"/>
    <n v="252"/>
    <n v="1.7864738409187581E-2"/>
  </r>
  <r>
    <d v="2021-09-01T00:00:00"/>
    <n v="1497740"/>
    <n v="366318"/>
    <n v="15087"/>
    <n v="391409"/>
    <n v="4470532"/>
    <n v="0"/>
    <n v="0"/>
    <n v="5852.94"/>
    <n v="2021"/>
    <n v="9"/>
    <n v="1"/>
    <n v="4"/>
    <n v="0"/>
    <s v="A0"/>
    <n v="0"/>
    <x v="0"/>
    <n v="0"/>
    <n v="290"/>
    <n v="1.9124241624901082E-2"/>
  </r>
  <r>
    <d v="2021-09-02T00:00:00"/>
    <n v="1437740"/>
    <n v="308544"/>
    <n v="3509"/>
    <n v="496844"/>
    <n v="2246637"/>
    <n v="0"/>
    <n v="0"/>
    <n v="5852.94"/>
    <n v="2021"/>
    <n v="9"/>
    <n v="2"/>
    <n v="5"/>
    <n v="0"/>
    <s v="A+1"/>
    <n v="0"/>
    <x v="0"/>
    <n v="0"/>
    <n v="283"/>
    <n v="1.4147170565886822E-2"/>
  </r>
  <r>
    <d v="2021-09-03T00:00:00"/>
    <n v="2240820"/>
    <n v="422243"/>
    <n v="10698"/>
    <n v="535317"/>
    <n v="3209078"/>
    <n v="0"/>
    <n v="0"/>
    <n v="5852.94"/>
    <n v="2021"/>
    <n v="9"/>
    <n v="3"/>
    <n v="6"/>
    <n v="0"/>
    <n v="0"/>
    <n v="0"/>
    <x v="0"/>
    <n v="0"/>
    <n v="276"/>
    <n v="1.8999105114614168E-2"/>
  </r>
  <r>
    <d v="2021-09-04T00:00:00"/>
    <n v="1731140"/>
    <n v="279085"/>
    <n v="3800"/>
    <n v="613560"/>
    <n v="2627585"/>
    <n v="0"/>
    <n v="0"/>
    <n v="5852.94"/>
    <n v="2021"/>
    <n v="9"/>
    <n v="4"/>
    <n v="7"/>
    <n v="0"/>
    <n v="0"/>
    <n v="0"/>
    <x v="0"/>
    <n v="0"/>
    <n v="278"/>
    <n v="1.4282778462803123E-2"/>
  </r>
  <r>
    <d v="2021-09-05T00:00:00"/>
    <n v="1353720"/>
    <n v="0"/>
    <n v="0"/>
    <n v="474336"/>
    <n v="1828056"/>
    <n v="0"/>
    <n v="0"/>
    <n v="5852.94"/>
    <n v="2021"/>
    <n v="9"/>
    <n v="5"/>
    <n v="1"/>
    <n v="0"/>
    <n v="0"/>
    <n v="0"/>
    <x v="0"/>
    <n v="0"/>
    <n v="269"/>
    <n v="1.1074972209642224E-2"/>
  </r>
  <r>
    <d v="2021-09-06T00:00:00"/>
    <n v="2051040"/>
    <n v="510915"/>
    <n v="9677"/>
    <n v="507494"/>
    <n v="3079126"/>
    <n v="0"/>
    <n v="0"/>
    <n v="5852.94"/>
    <n v="2021"/>
    <n v="9"/>
    <n v="6"/>
    <n v="2"/>
    <n v="0"/>
    <n v="0"/>
    <n v="0"/>
    <x v="0"/>
    <n v="0"/>
    <n v="271"/>
    <n v="9.24063149998295E-3"/>
  </r>
  <r>
    <d v="2021-09-07T00:00:00"/>
    <n v="1799540"/>
    <n v="424231"/>
    <n v="10485"/>
    <n v="554623"/>
    <n v="2788879"/>
    <n v="0"/>
    <n v="0"/>
    <n v="5852.94"/>
    <n v="2021"/>
    <n v="9"/>
    <n v="7"/>
    <n v="3"/>
    <n v="0"/>
    <n v="0"/>
    <n v="0"/>
    <x v="0"/>
    <n v="0"/>
    <n v="274"/>
    <n v="7.9646532178361731E-3"/>
  </r>
  <r>
    <d v="2021-09-08T00:00:00"/>
    <n v="2572749"/>
    <n v="451749"/>
    <n v="10112"/>
    <n v="458502"/>
    <n v="5189317"/>
    <n v="0"/>
    <n v="0"/>
    <n v="5852.94"/>
    <n v="2021"/>
    <n v="9"/>
    <n v="8"/>
    <n v="4"/>
    <n v="0"/>
    <n v="0"/>
    <n v="0"/>
    <x v="0"/>
    <n v="0"/>
    <n v="262"/>
    <n v="8.7034514832408736E-3"/>
  </r>
  <r>
    <d v="2021-09-09T00:00:00"/>
    <n v="1540820"/>
    <n v="420664"/>
    <n v="6451"/>
    <n v="504415"/>
    <n v="2472350"/>
    <n v="0"/>
    <n v="0"/>
    <n v="5852.94"/>
    <n v="2021"/>
    <n v="9"/>
    <n v="9"/>
    <n v="5"/>
    <n v="0"/>
    <n v="0"/>
    <n v="0"/>
    <x v="0"/>
    <n v="0"/>
    <n v="257"/>
    <n v="8.2050954600600221E-3"/>
  </r>
  <r>
    <d v="2021-09-10T00:00:00"/>
    <n v="1686080"/>
    <n v="529034"/>
    <n v="6011"/>
    <n v="589276"/>
    <n v="2810401"/>
    <n v="0"/>
    <n v="0"/>
    <n v="5852.94"/>
    <n v="2021"/>
    <n v="9"/>
    <n v="10"/>
    <n v="6"/>
    <n v="0"/>
    <n v="0"/>
    <n v="0"/>
    <x v="0"/>
    <n v="0"/>
    <n v="214"/>
    <n v="6.0998204258472764E-3"/>
  </r>
  <r>
    <d v="2021-09-11T00:00:00"/>
    <n v="1107480"/>
    <n v="259504"/>
    <n v="3005"/>
    <n v="559536"/>
    <n v="4129434"/>
    <n v="0"/>
    <n v="0"/>
    <n v="5852.94"/>
    <n v="2021"/>
    <n v="9"/>
    <n v="11"/>
    <n v="7"/>
    <n v="0"/>
    <n v="0"/>
    <n v="0"/>
    <x v="0"/>
    <n v="0"/>
    <n v="259"/>
    <n v="8.5920912951167727E-3"/>
  </r>
  <r>
    <d v="2021-09-12T00:00:00"/>
    <n v="972540"/>
    <n v="0"/>
    <n v="0"/>
    <n v="302495"/>
    <n v="1275035"/>
    <n v="0"/>
    <n v="0"/>
    <n v="5852.94"/>
    <n v="2021"/>
    <n v="9"/>
    <n v="12"/>
    <n v="1"/>
    <n v="0"/>
    <n v="0"/>
    <n v="0"/>
    <x v="0"/>
    <n v="0"/>
    <n v="243"/>
    <n v="9.4862585883822605E-3"/>
  </r>
  <r>
    <d v="2021-09-13T00:00:00"/>
    <n v="1553900"/>
    <n v="485342"/>
    <n v="3712"/>
    <n v="631300"/>
    <n v="2674254"/>
    <n v="0"/>
    <n v="0"/>
    <n v="5852.94"/>
    <n v="2021"/>
    <n v="9"/>
    <n v="13"/>
    <n v="2"/>
    <n v="0"/>
    <n v="0"/>
    <n v="0"/>
    <x v="0"/>
    <n v="0"/>
    <n v="231"/>
    <n v="8.8668816213726392E-3"/>
  </r>
  <r>
    <d v="2021-09-14T00:00:00"/>
    <n v="1495800"/>
    <n v="392309"/>
    <n v="9421"/>
    <n v="464537"/>
    <n v="2362067"/>
    <n v="0"/>
    <n v="0"/>
    <n v="5852.94"/>
    <n v="2021"/>
    <n v="9"/>
    <n v="14"/>
    <n v="3"/>
    <n v="0"/>
    <n v="0"/>
    <n v="0"/>
    <x v="0"/>
    <n v="0"/>
    <n v="276"/>
    <n v="9.4549689972936862E-3"/>
  </r>
  <r>
    <d v="2021-09-15T00:00:00"/>
    <n v="1460880"/>
    <n v="477573"/>
    <n v="16383"/>
    <n v="452816"/>
    <n v="2407652"/>
    <n v="0"/>
    <n v="0"/>
    <n v="5852.94"/>
    <n v="2021"/>
    <n v="9"/>
    <n v="15"/>
    <n v="4"/>
    <n v="0"/>
    <n v="0"/>
    <n v="0"/>
    <x v="0"/>
    <n v="0"/>
    <n v="248"/>
    <n v="8.6907765629380424E-3"/>
  </r>
  <r>
    <d v="2021-09-16T00:00:00"/>
    <n v="1102800"/>
    <n v="440500"/>
    <n v="4350"/>
    <n v="512308"/>
    <n v="2059958"/>
    <n v="0"/>
    <n v="0"/>
    <n v="5852.94"/>
    <n v="2021"/>
    <n v="9"/>
    <n v="16"/>
    <n v="5"/>
    <n v="0"/>
    <n v="0"/>
    <n v="0"/>
    <x v="0"/>
    <n v="0"/>
    <n v="262"/>
    <n v="8.1242829235015045E-3"/>
  </r>
  <r>
    <d v="2021-09-17T00:00:00"/>
    <n v="1737420"/>
    <n v="430526"/>
    <n v="17438"/>
    <n v="414564"/>
    <n v="2599948"/>
    <n v="0"/>
    <n v="0"/>
    <n v="5852.94"/>
    <n v="2021"/>
    <n v="9"/>
    <n v="17"/>
    <n v="6"/>
    <n v="0"/>
    <n v="0"/>
    <n v="0"/>
    <x v="0"/>
    <n v="0"/>
    <n v="237"/>
    <n v="1.0216838384273829E-2"/>
  </r>
  <r>
    <d v="2021-09-18T00:00:00"/>
    <n v="1264320"/>
    <n v="273150"/>
    <n v="3463"/>
    <n v="600624"/>
    <n v="2141557"/>
    <n v="0"/>
    <n v="0"/>
    <n v="5852.94"/>
    <n v="2021"/>
    <n v="9"/>
    <n v="18"/>
    <n v="7"/>
    <n v="0"/>
    <n v="0"/>
    <n v="0"/>
    <x v="0"/>
    <n v="0"/>
    <n v="221"/>
    <n v="9.1995171294176406E-3"/>
  </r>
  <r>
    <d v="2021-09-19T00:00:00"/>
    <n v="882840"/>
    <n v="0"/>
    <n v="0"/>
    <n v="432387"/>
    <n v="1315227"/>
    <n v="0"/>
    <n v="0"/>
    <n v="5852.94"/>
    <n v="2021"/>
    <n v="9"/>
    <n v="19"/>
    <n v="1"/>
    <n v="0"/>
    <n v="0"/>
    <n v="0"/>
    <x v="0"/>
    <n v="0"/>
    <n v="213"/>
    <n v="7.8424153166421207E-3"/>
  </r>
  <r>
    <d v="2021-09-20T00:00:00"/>
    <n v="1433040"/>
    <n v="493933"/>
    <n v="3811"/>
    <n v="553686"/>
    <n v="2484470"/>
    <n v="0"/>
    <n v="0"/>
    <n v="5852.94"/>
    <n v="2021"/>
    <n v="9"/>
    <n v="20"/>
    <n v="2"/>
    <n v="0"/>
    <n v="0"/>
    <n v="0"/>
    <x v="0"/>
    <n v="0"/>
    <n v="231"/>
    <n v="8.2650542058749863E-3"/>
  </r>
  <r>
    <d v="2021-09-21T00:00:00"/>
    <n v="1529700"/>
    <n v="430153"/>
    <n v="17536"/>
    <n v="553760"/>
    <n v="2531149"/>
    <n v="0"/>
    <n v="0"/>
    <n v="5852.94"/>
    <n v="2021"/>
    <n v="9"/>
    <n v="21"/>
    <n v="3"/>
    <n v="0"/>
    <n v="0"/>
    <n v="0"/>
    <x v="0"/>
    <n v="0"/>
    <n v="260"/>
    <n v="1.1129660545353366E-2"/>
  </r>
  <r>
    <d v="2021-09-22T00:00:00"/>
    <n v="1811320"/>
    <n v="424938"/>
    <n v="11939"/>
    <n v="434983"/>
    <n v="2683180"/>
    <n v="0"/>
    <n v="0"/>
    <n v="5852.94"/>
    <n v="2021"/>
    <n v="9"/>
    <n v="22"/>
    <n v="4"/>
    <n v="0"/>
    <n v="0"/>
    <s v="Z-2"/>
    <x v="0"/>
    <n v="0"/>
    <n v="242"/>
    <n v="1.0478004849324558E-2"/>
  </r>
  <r>
    <d v="2021-09-23T00:00:00"/>
    <n v="921040"/>
    <n v="675906"/>
    <n v="3949"/>
    <n v="578712"/>
    <n v="2179607"/>
    <n v="3.2455253222516765E-2"/>
    <n v="222.85919999999987"/>
    <n v="5852.94"/>
    <n v="2021"/>
    <n v="9"/>
    <n v="23"/>
    <n v="5"/>
    <n v="0"/>
    <n v="0"/>
    <s v="Z-1"/>
    <x v="0"/>
    <n v="0"/>
    <n v="217"/>
    <n v="1.0203601824422814E-2"/>
  </r>
  <r>
    <d v="2021-09-24T00:00:00"/>
    <n v="1188760"/>
    <n v="804264"/>
    <n v="4350"/>
    <n v="437522"/>
    <n v="4634207"/>
    <n v="0"/>
    <n v="0"/>
    <n v="6075.8"/>
    <n v="2021"/>
    <n v="9"/>
    <n v="24"/>
    <n v="6"/>
    <n v="0"/>
    <n v="0"/>
    <s v="Z"/>
    <x v="0"/>
    <n v="0"/>
    <n v="221"/>
    <n v="1.0802620001955225E-2"/>
  </r>
  <r>
    <d v="2021-09-25T00:00:00"/>
    <n v="912960"/>
    <n v="201604"/>
    <n v="7796"/>
    <n v="561321"/>
    <n v="1683681"/>
    <n v="0"/>
    <n v="0"/>
    <n v="6075.8"/>
    <n v="2021"/>
    <n v="9"/>
    <n v="25"/>
    <n v="7"/>
    <n v="0"/>
    <n v="0"/>
    <s v="Z+1"/>
    <x v="0"/>
    <n v="0"/>
    <n v="193"/>
    <n v="1.005260690660972E-2"/>
  </r>
  <r>
    <d v="2021-09-26T00:00:00"/>
    <n v="928980"/>
    <n v="230"/>
    <n v="0"/>
    <n v="410233"/>
    <n v="1339443"/>
    <n v="0"/>
    <n v="0"/>
    <n v="6075.8"/>
    <n v="2021"/>
    <n v="9"/>
    <n v="26"/>
    <n v="1"/>
    <n v="0"/>
    <n v="0"/>
    <n v="0"/>
    <x v="0"/>
    <n v="0"/>
    <n v="228"/>
    <n v="9.165829145728643E-3"/>
  </r>
  <r>
    <d v="2021-09-27T00:00:00"/>
    <n v="1157600"/>
    <n v="522320"/>
    <n v="5187"/>
    <n v="624819"/>
    <n v="2309926"/>
    <n v="0"/>
    <n v="0"/>
    <n v="6075.8"/>
    <n v="2021"/>
    <n v="9"/>
    <n v="27"/>
    <n v="2"/>
    <n v="0"/>
    <n v="0"/>
    <n v="0"/>
    <x v="0"/>
    <n v="0"/>
    <n v="206"/>
    <n v="8.1875993640699515E-3"/>
  </r>
  <r>
    <d v="2021-09-28T00:00:00"/>
    <n v="1013540"/>
    <n v="484063"/>
    <n v="6016"/>
    <n v="464063"/>
    <n v="1967682"/>
    <n v="0"/>
    <n v="0"/>
    <n v="6075.8"/>
    <n v="2021"/>
    <n v="9"/>
    <n v="28"/>
    <n v="3"/>
    <n v="0"/>
    <n v="0"/>
    <n v="0"/>
    <x v="0"/>
    <n v="0"/>
    <n v="239"/>
    <n v="7.8784282700421933E-3"/>
  </r>
  <r>
    <d v="2021-09-29T00:00:00"/>
    <n v="1104860"/>
    <n v="567757"/>
    <n v="7704"/>
    <n v="554386"/>
    <n v="2234707"/>
    <n v="0"/>
    <n v="0"/>
    <n v="6075.8"/>
    <n v="2021"/>
    <n v="9"/>
    <n v="29"/>
    <n v="4"/>
    <n v="0"/>
    <n v="0"/>
    <n v="0"/>
    <x v="0"/>
    <n v="0"/>
    <n v="227"/>
    <n v="7.3183312915081561E-3"/>
  </r>
  <r>
    <d v="2021-09-30T00:00:00"/>
    <n v="1072240"/>
    <n v="876001"/>
    <n v="101403"/>
    <n v="706545"/>
    <n v="4955896"/>
    <n v="0"/>
    <n v="0"/>
    <n v="6075.8"/>
    <n v="2021"/>
    <n v="9"/>
    <n v="30"/>
    <n v="5"/>
    <n v="0"/>
    <s v="A-1"/>
    <s v="Z-2"/>
    <x v="0"/>
    <n v="0"/>
    <n v="216"/>
    <n v="6.7249914380896041E-3"/>
  </r>
  <r>
    <d v="2021-10-01T00:00:00"/>
    <n v="1203860"/>
    <n v="1122743"/>
    <n v="5053"/>
    <n v="855729"/>
    <n v="3187385"/>
    <n v="5.4239197374736599E-2"/>
    <n v="1067.6096000000007"/>
    <n v="6075.8"/>
    <n v="2021"/>
    <n v="10"/>
    <n v="1"/>
    <n v="6"/>
    <n v="0"/>
    <s v="A0"/>
    <s v="Z-1"/>
    <x v="0"/>
    <n v="0"/>
    <n v="210"/>
    <n v="8.0079316656497864E-3"/>
  </r>
  <r>
    <d v="2021-10-02T00:00:00"/>
    <n v="1023940"/>
    <n v="328300"/>
    <n v="16997"/>
    <n v="216274"/>
    <n v="1585511"/>
    <n v="0"/>
    <n v="0"/>
    <n v="7143.41"/>
    <n v="2021"/>
    <n v="10"/>
    <n v="2"/>
    <n v="7"/>
    <n v="0"/>
    <s v="A+1"/>
    <s v="Z"/>
    <x v="0"/>
    <n v="0"/>
    <n v="203"/>
    <n v="9.1813658977838077E-3"/>
  </r>
  <r>
    <d v="2021-10-03T00:00:00"/>
    <n v="800440"/>
    <n v="1828"/>
    <n v="0"/>
    <n v="367884"/>
    <n v="1170152"/>
    <n v="0"/>
    <n v="0"/>
    <n v="7143.41"/>
    <n v="2021"/>
    <n v="10"/>
    <n v="3"/>
    <n v="1"/>
    <n v="0"/>
    <n v="0"/>
    <s v="Z+1"/>
    <x v="0"/>
    <n v="0"/>
    <n v="194"/>
    <n v="8.8165788038538449E-3"/>
  </r>
  <r>
    <d v="2021-10-04T00:00:00"/>
    <n v="1182820"/>
    <n v="270756"/>
    <n v="12842"/>
    <n v="453085"/>
    <n v="1919503"/>
    <n v="0"/>
    <n v="0"/>
    <n v="7143.41"/>
    <n v="2021"/>
    <n v="10"/>
    <n v="4"/>
    <n v="2"/>
    <n v="0"/>
    <n v="0"/>
    <n v="0"/>
    <x v="0"/>
    <n v="0"/>
    <n v="248"/>
    <n v="7.4806949806949805E-3"/>
  </r>
  <r>
    <d v="2021-10-05T00:00:00"/>
    <n v="1124360"/>
    <n v="249747"/>
    <n v="21467"/>
    <n v="417468"/>
    <n v="1813042"/>
    <n v="0"/>
    <n v="0"/>
    <n v="7143.41"/>
    <n v="2021"/>
    <n v="10"/>
    <n v="5"/>
    <n v="3"/>
    <n v="0"/>
    <n v="0"/>
    <n v="0"/>
    <x v="0"/>
    <n v="0"/>
    <n v="228"/>
    <n v="7.0656047599863643E-3"/>
  </r>
  <r>
    <d v="2021-10-06T00:00:00"/>
    <n v="1212080"/>
    <n v="299511"/>
    <n v="5691"/>
    <n v="371063"/>
    <n v="1888345"/>
    <n v="0"/>
    <n v="0"/>
    <n v="7143.41"/>
    <n v="2021"/>
    <n v="10"/>
    <n v="6"/>
    <n v="4"/>
    <n v="0"/>
    <n v="0"/>
    <n v="0"/>
    <x v="0"/>
    <n v="0"/>
    <n v="236"/>
    <n v="7.5128131665234141E-3"/>
  </r>
  <r>
    <d v="2021-10-07T00:00:00"/>
    <n v="1066780"/>
    <n v="340174"/>
    <n v="10670"/>
    <n v="355798"/>
    <n v="1773422"/>
    <n v="0"/>
    <n v="0"/>
    <n v="7143.41"/>
    <n v="2021"/>
    <n v="10"/>
    <n v="7"/>
    <n v="5"/>
    <n v="0"/>
    <n v="0"/>
    <n v="0"/>
    <x v="0"/>
    <n v="0"/>
    <n v="217"/>
    <n v="6.7307692307692311E-3"/>
  </r>
  <r>
    <d v="2021-10-08T00:00:00"/>
    <n v="2182953"/>
    <n v="399678"/>
    <n v="15252"/>
    <n v="559868"/>
    <n v="5875589"/>
    <n v="0"/>
    <n v="0"/>
    <n v="7143.41"/>
    <n v="2021"/>
    <n v="10"/>
    <n v="8"/>
    <n v="6"/>
    <n v="0"/>
    <n v="0"/>
    <n v="0"/>
    <x v="0"/>
    <n v="0"/>
    <n v="188"/>
    <n v="6.6744772251215966E-3"/>
  </r>
  <r>
    <d v="2021-10-09T00:00:00"/>
    <n v="1009380"/>
    <n v="140674"/>
    <n v="4244"/>
    <n v="486653"/>
    <n v="1640951"/>
    <n v="0"/>
    <n v="0"/>
    <n v="7143.41"/>
    <n v="2021"/>
    <n v="10"/>
    <n v="9"/>
    <n v="7"/>
    <n v="0"/>
    <n v="0"/>
    <n v="0"/>
    <x v="0"/>
    <n v="0"/>
    <n v="206"/>
    <n v="8.506421109138209E-3"/>
  </r>
  <r>
    <d v="2021-10-10T00:00:00"/>
    <n v="795780"/>
    <n v="0"/>
    <n v="0"/>
    <n v="387422"/>
    <n v="1183202"/>
    <n v="0"/>
    <n v="0"/>
    <n v="7143.41"/>
    <n v="2021"/>
    <n v="10"/>
    <n v="10"/>
    <n v="1"/>
    <n v="0"/>
    <n v="0"/>
    <n v="0"/>
    <x v="0"/>
    <n v="0"/>
    <n v="196"/>
    <n v="7.60515287909359E-3"/>
  </r>
  <r>
    <d v="2021-10-11T00:00:00"/>
    <n v="1291900"/>
    <n v="508352"/>
    <n v="20661"/>
    <n v="530458"/>
    <n v="2351371"/>
    <n v="0"/>
    <n v="0"/>
    <n v="7143.41"/>
    <n v="2021"/>
    <n v="10"/>
    <n v="11"/>
    <n v="2"/>
    <n v="0"/>
    <n v="0"/>
    <n v="0"/>
    <x v="0"/>
    <n v="0"/>
    <n v="188"/>
    <n v="5.5521100971619268E-3"/>
  </r>
  <r>
    <d v="2021-10-12T00:00:00"/>
    <n v="1395520"/>
    <n v="399066"/>
    <n v="5825"/>
    <n v="416836"/>
    <n v="2217247"/>
    <n v="0"/>
    <n v="0"/>
    <n v="7143.41"/>
    <n v="2021"/>
    <n v="10"/>
    <n v="12"/>
    <n v="3"/>
    <n v="0"/>
    <n v="0"/>
    <n v="0"/>
    <x v="0"/>
    <n v="0"/>
    <n v="237"/>
    <n v="7.871139156426437E-3"/>
  </r>
  <r>
    <d v="2021-10-13T00:00:00"/>
    <n v="1034760"/>
    <n v="417771"/>
    <n v="9547"/>
    <n v="457517"/>
    <n v="1919595"/>
    <n v="0"/>
    <n v="0"/>
    <n v="7143.41"/>
    <n v="2021"/>
    <n v="10"/>
    <n v="13"/>
    <n v="4"/>
    <n v="0"/>
    <n v="0"/>
    <n v="0"/>
    <x v="0"/>
    <n v="0"/>
    <n v="236"/>
    <n v="7.7808183047047572E-3"/>
  </r>
  <r>
    <d v="2021-10-14T00:00:00"/>
    <n v="1328720"/>
    <n v="446259"/>
    <n v="19962"/>
    <n v="399124"/>
    <n v="4394839"/>
    <n v="0"/>
    <n v="0"/>
    <n v="7143.41"/>
    <n v="2021"/>
    <n v="10"/>
    <n v="14"/>
    <n v="5"/>
    <n v="0"/>
    <n v="0"/>
    <n v="0"/>
    <x v="0"/>
    <n v="0"/>
    <n v="203"/>
    <n v="7.6716677374248895E-3"/>
  </r>
  <r>
    <d v="2021-10-15T00:00:00"/>
    <n v="1237400"/>
    <n v="578953"/>
    <n v="28056"/>
    <n v="460918"/>
    <n v="4602243"/>
    <n v="0"/>
    <n v="0"/>
    <n v="7143.41"/>
    <n v="2021"/>
    <n v="10"/>
    <n v="15"/>
    <n v="6"/>
    <n v="0"/>
    <n v="0"/>
    <n v="0"/>
    <x v="0"/>
    <n v="0"/>
    <n v="181"/>
    <n v="7.0944224512993377E-3"/>
  </r>
  <r>
    <d v="2021-10-16T00:00:00"/>
    <n v="1145420"/>
    <n v="157129"/>
    <n v="0"/>
    <n v="607573"/>
    <n v="1910122"/>
    <n v="0"/>
    <n v="0"/>
    <n v="7143.41"/>
    <n v="2021"/>
    <n v="10"/>
    <n v="16"/>
    <n v="7"/>
    <n v="0"/>
    <n v="0"/>
    <n v="0"/>
    <x v="0"/>
    <n v="0"/>
    <n v="212"/>
    <n v="8.2776931787122716E-3"/>
  </r>
  <r>
    <d v="2021-10-17T00:00:00"/>
    <n v="1043240"/>
    <n v="214"/>
    <n v="0"/>
    <n v="358996"/>
    <n v="1402450"/>
    <n v="0"/>
    <n v="0"/>
    <n v="7143.41"/>
    <n v="2021"/>
    <n v="10"/>
    <n v="17"/>
    <n v="1"/>
    <n v="0"/>
    <n v="0"/>
    <n v="0"/>
    <x v="0"/>
    <n v="0"/>
    <n v="186"/>
    <n v="7.6220136868417818E-3"/>
  </r>
  <r>
    <d v="2021-10-18T00:00:00"/>
    <n v="1187200"/>
    <n v="666264"/>
    <n v="8458"/>
    <n v="627736"/>
    <n v="2489658"/>
    <n v="0"/>
    <n v="0"/>
    <n v="7143.41"/>
    <n v="2021"/>
    <n v="10"/>
    <n v="18"/>
    <n v="2"/>
    <n v="0"/>
    <n v="0"/>
    <n v="0"/>
    <x v="0"/>
    <n v="0"/>
    <n v="214"/>
    <n v="8.0636045065752282E-3"/>
  </r>
  <r>
    <d v="2021-10-19T00:00:00"/>
    <n v="1389440"/>
    <n v="593465"/>
    <n v="17960"/>
    <n v="471388"/>
    <n v="2472253"/>
    <n v="0"/>
    <n v="0"/>
    <n v="7143.41"/>
    <n v="2021"/>
    <n v="10"/>
    <n v="19"/>
    <n v="3"/>
    <n v="0"/>
    <n v="0"/>
    <s v="Z-2"/>
    <x v="0"/>
    <n v="0"/>
    <n v="223"/>
    <n v="8.1529687042995024E-3"/>
  </r>
  <r>
    <d v="2021-10-20T00:00:00"/>
    <n v="1896300"/>
    <n v="698048"/>
    <n v="16120"/>
    <n v="666617"/>
    <n v="5477181"/>
    <n v="3.4151441902299171E-2"/>
    <n v="326.09205999999904"/>
    <n v="7143.41"/>
    <n v="2021"/>
    <n v="10"/>
    <n v="20"/>
    <n v="4"/>
    <n v="0"/>
    <n v="0"/>
    <s v="Z-1"/>
    <x v="0"/>
    <n v="0"/>
    <n v="214"/>
    <n v="7.4297816199701419E-3"/>
  </r>
  <r>
    <d v="2021-10-21T00:00:00"/>
    <n v="1195660"/>
    <n v="909641"/>
    <n v="19683"/>
    <n v="258305"/>
    <n v="2383289"/>
    <n v="0"/>
    <n v="0"/>
    <n v="7469.5"/>
    <n v="2021"/>
    <n v="10"/>
    <n v="21"/>
    <n v="5"/>
    <n v="0"/>
    <n v="0"/>
    <s v="Z"/>
    <x v="0"/>
    <n v="0"/>
    <n v="198"/>
    <n v="6.7901234567901234E-3"/>
  </r>
  <r>
    <d v="2021-10-22T00:00:00"/>
    <n v="1115840"/>
    <n v="237575"/>
    <n v="3250"/>
    <n v="337137"/>
    <n v="1693802"/>
    <n v="0"/>
    <n v="0"/>
    <n v="7469.5"/>
    <n v="2021"/>
    <n v="10"/>
    <n v="22"/>
    <n v="6"/>
    <n v="0"/>
    <n v="0"/>
    <s v="Z+1"/>
    <x v="0"/>
    <n v="0"/>
    <n v="228"/>
    <n v="7.5242558246980396E-3"/>
  </r>
  <r>
    <d v="2021-10-23T00:00:00"/>
    <n v="860840"/>
    <n v="99769"/>
    <n v="9771"/>
    <n v="498199"/>
    <n v="1468579"/>
    <n v="0"/>
    <n v="0"/>
    <n v="7469.5"/>
    <n v="2021"/>
    <n v="10"/>
    <n v="23"/>
    <n v="7"/>
    <n v="0"/>
    <n v="0"/>
    <n v="0"/>
    <x v="0"/>
    <n v="0"/>
    <n v="217"/>
    <n v="7.8444131149911431E-3"/>
  </r>
  <r>
    <d v="2021-10-24T00:00:00"/>
    <n v="1053320"/>
    <n v="0"/>
    <n v="0"/>
    <n v="341224"/>
    <n v="1394544"/>
    <n v="0"/>
    <n v="0"/>
    <n v="7469.5"/>
    <n v="2021"/>
    <n v="10"/>
    <n v="24"/>
    <n v="1"/>
    <n v="0"/>
    <n v="0"/>
    <n v="0"/>
    <x v="0"/>
    <n v="0"/>
    <n v="195"/>
    <n v="7.9908208007212229E-3"/>
  </r>
  <r>
    <d v="2021-10-25T00:00:00"/>
    <n v="1131460"/>
    <n v="437489"/>
    <n v="10280"/>
    <n v="534240"/>
    <n v="4385715"/>
    <n v="0"/>
    <n v="0"/>
    <n v="7469.5"/>
    <n v="2021"/>
    <n v="10"/>
    <n v="25"/>
    <n v="2"/>
    <n v="0"/>
    <n v="0"/>
    <n v="0"/>
    <x v="0"/>
    <n v="0"/>
    <n v="232"/>
    <n v="7.5266026472878278E-3"/>
  </r>
  <r>
    <d v="2021-10-26T00:00:00"/>
    <n v="1112620"/>
    <n v="408164"/>
    <n v="8216"/>
    <n v="491453"/>
    <n v="2020453"/>
    <n v="0"/>
    <n v="0"/>
    <n v="7469.5"/>
    <n v="2021"/>
    <n v="10"/>
    <n v="26"/>
    <n v="3"/>
    <n v="0"/>
    <n v="0"/>
    <n v="0"/>
    <x v="0"/>
    <n v="0"/>
    <n v="215"/>
    <n v="6.8325547398862298E-3"/>
  </r>
  <r>
    <d v="2021-10-27T00:00:00"/>
    <n v="1607380"/>
    <n v="538442"/>
    <n v="35429"/>
    <n v="519196"/>
    <n v="2700447"/>
    <n v="0"/>
    <n v="0"/>
    <n v="7469.5"/>
    <n v="2021"/>
    <n v="10"/>
    <n v="27"/>
    <n v="4"/>
    <n v="0"/>
    <n v="0"/>
    <n v="0"/>
    <x v="0"/>
    <n v="0"/>
    <n v="210"/>
    <n v="6.8757776177067647E-3"/>
  </r>
  <r>
    <d v="2021-10-28T00:00:00"/>
    <n v="1268460"/>
    <n v="590820"/>
    <n v="5992"/>
    <n v="414531"/>
    <n v="2279803"/>
    <n v="0"/>
    <n v="0"/>
    <n v="7469.5"/>
    <n v="2021"/>
    <n v="10"/>
    <n v="28"/>
    <n v="5"/>
    <n v="0"/>
    <n v="0"/>
    <n v="0"/>
    <x v="0"/>
    <n v="0"/>
    <n v="229"/>
    <n v="8.2817981266500307E-3"/>
  </r>
  <r>
    <d v="2021-10-29T00:00:00"/>
    <n v="1288880"/>
    <n v="632864"/>
    <n v="10034"/>
    <n v="486629"/>
    <n v="2418407"/>
    <n v="0"/>
    <n v="0"/>
    <n v="7469.5"/>
    <n v="2021"/>
    <n v="10"/>
    <n v="29"/>
    <n v="6"/>
    <n v="0"/>
    <n v="0"/>
    <n v="0"/>
    <x v="0"/>
    <n v="0"/>
    <n v="209"/>
    <n v="6.7755948907475844E-3"/>
  </r>
  <r>
    <d v="2021-10-30T00:00:00"/>
    <n v="1324540"/>
    <n v="210954"/>
    <n v="3925"/>
    <n v="485790"/>
    <n v="3733778"/>
    <n v="0"/>
    <n v="0"/>
    <n v="7469.5"/>
    <n v="2021"/>
    <n v="10"/>
    <n v="30"/>
    <n v="7"/>
    <n v="0"/>
    <n v="0"/>
    <n v="0"/>
    <x v="0"/>
    <n v="0"/>
    <n v="203"/>
    <n v="7.0899692651578651E-3"/>
  </r>
  <r>
    <d v="2021-10-31T00:00:00"/>
    <n v="1468580"/>
    <n v="14730"/>
    <n v="200000"/>
    <n v="460725"/>
    <n v="4343939"/>
    <n v="0"/>
    <n v="0"/>
    <n v="7469.5"/>
    <n v="2021"/>
    <n v="10"/>
    <n v="31"/>
    <n v="1"/>
    <n v="0"/>
    <s v="A-1"/>
    <s v="Z-2"/>
    <x v="0"/>
    <n v="0"/>
    <n v="201"/>
    <n v="7.6790830945558742E-3"/>
  </r>
  <r>
    <d v="2021-11-01T00:00:00"/>
    <n v="1207280"/>
    <n v="758626"/>
    <n v="1000"/>
    <n v="844606"/>
    <n v="2811512"/>
    <n v="4.1893939084314581E-2"/>
    <n v="744.16624000000047"/>
    <n v="7469.5"/>
    <n v="2021"/>
    <n v="11"/>
    <n v="1"/>
    <n v="2"/>
    <n v="0"/>
    <s v="A0"/>
    <s v="Z-1"/>
    <x v="0"/>
    <n v="0"/>
    <n v="217"/>
    <n v="7.4071545603495359E-3"/>
  </r>
  <r>
    <d v="2021-11-02T00:00:00"/>
    <n v="1210620"/>
    <n v="1020447"/>
    <n v="6114"/>
    <n v="231504"/>
    <n v="2468685"/>
    <n v="0"/>
    <n v="0"/>
    <n v="8213.67"/>
    <n v="2021"/>
    <n v="11"/>
    <n v="2"/>
    <n v="3"/>
    <n v="0"/>
    <s v="A+1"/>
    <s v="Z"/>
    <x v="0"/>
    <n v="0"/>
    <n v="224"/>
    <n v="7.5074571840332473E-3"/>
  </r>
  <r>
    <d v="2021-11-03T00:00:00"/>
    <n v="1127060"/>
    <n v="101916"/>
    <n v="7256"/>
    <n v="361417"/>
    <n v="1597649"/>
    <n v="0"/>
    <n v="0"/>
    <n v="8213.67"/>
    <n v="2021"/>
    <n v="11"/>
    <n v="3"/>
    <n v="4"/>
    <n v="0"/>
    <n v="0"/>
    <s v="Z+1"/>
    <x v="0"/>
    <n v="0"/>
    <n v="246"/>
    <n v="7.3727746808128032E-3"/>
  </r>
  <r>
    <d v="2021-11-04T00:00:00"/>
    <n v="1019080"/>
    <n v="195786"/>
    <n v="12047"/>
    <n v="297841"/>
    <n v="1524754"/>
    <n v="0"/>
    <n v="0"/>
    <n v="8213.67"/>
    <n v="2021"/>
    <n v="11"/>
    <n v="4"/>
    <n v="5"/>
    <n v="0"/>
    <n v="0"/>
    <n v="0"/>
    <x v="0"/>
    <n v="0"/>
    <n v="228"/>
    <n v="6.5624730161471375E-3"/>
  </r>
  <r>
    <d v="2021-11-05T00:00:00"/>
    <n v="1177800"/>
    <n v="264439"/>
    <n v="11777"/>
    <n v="427485"/>
    <n v="1881501"/>
    <n v="0"/>
    <n v="0"/>
    <n v="8213.67"/>
    <n v="2021"/>
    <n v="11"/>
    <n v="5"/>
    <n v="6"/>
    <n v="0"/>
    <n v="0"/>
    <n v="0"/>
    <x v="0"/>
    <n v="0"/>
    <n v="198"/>
    <n v="6.1488773640570168E-3"/>
  </r>
  <r>
    <d v="2021-11-06T00:00:00"/>
    <n v="1000720"/>
    <n v="114484"/>
    <n v="4714"/>
    <n v="480236"/>
    <n v="1600154"/>
    <n v="0"/>
    <n v="0"/>
    <n v="8213.67"/>
    <n v="2021"/>
    <n v="11"/>
    <n v="6"/>
    <n v="7"/>
    <n v="0"/>
    <n v="0"/>
    <n v="0"/>
    <x v="0"/>
    <n v="0"/>
    <n v="203"/>
    <n v="6.6374574941145698E-3"/>
  </r>
  <r>
    <d v="2021-11-07T00:00:00"/>
    <n v="956840"/>
    <n v="0"/>
    <n v="0"/>
    <n v="300780"/>
    <n v="1257620"/>
    <n v="0"/>
    <n v="0"/>
    <n v="8213.67"/>
    <n v="2021"/>
    <n v="11"/>
    <n v="7"/>
    <n v="1"/>
    <n v="0"/>
    <n v="0"/>
    <n v="0"/>
    <x v="0"/>
    <n v="0"/>
    <n v="200"/>
    <n v="6.9319284624982666E-3"/>
  </r>
  <r>
    <d v="2021-11-08T00:00:00"/>
    <n v="913300"/>
    <n v="352953"/>
    <n v="4240"/>
    <n v="466804"/>
    <n v="1737297"/>
    <n v="0"/>
    <n v="0"/>
    <n v="8213.67"/>
    <n v="2021"/>
    <n v="11"/>
    <n v="8"/>
    <n v="2"/>
    <n v="0"/>
    <n v="0"/>
    <n v="0"/>
    <x v="0"/>
    <n v="0"/>
    <n v="187"/>
    <n v="6.6182976464342598E-3"/>
  </r>
  <r>
    <d v="2021-11-09T00:00:00"/>
    <n v="1231540"/>
    <n v="299642"/>
    <n v="11718"/>
    <n v="460650"/>
    <n v="2003550"/>
    <n v="0"/>
    <n v="0"/>
    <n v="8213.67"/>
    <n v="2021"/>
    <n v="11"/>
    <n v="9"/>
    <n v="3"/>
    <n v="0"/>
    <n v="0"/>
    <n v="0"/>
    <x v="0"/>
    <n v="0"/>
    <n v="196"/>
    <n v="6.7916421220416507E-3"/>
  </r>
  <r>
    <d v="2021-11-10T00:00:00"/>
    <n v="1213940"/>
    <n v="362390"/>
    <n v="16080"/>
    <n v="403927"/>
    <n v="4196301"/>
    <n v="0"/>
    <n v="0"/>
    <n v="8213.67"/>
    <n v="2021"/>
    <n v="11"/>
    <n v="10"/>
    <n v="4"/>
    <n v="0"/>
    <n v="0"/>
    <n v="0"/>
    <x v="0"/>
    <n v="0"/>
    <n v="203"/>
    <n v="7.3783302438847091E-3"/>
  </r>
  <r>
    <d v="2021-11-11T00:00:00"/>
    <n v="1462600"/>
    <n v="363200"/>
    <n v="5312"/>
    <n v="389251"/>
    <n v="2220363"/>
    <n v="0"/>
    <n v="0"/>
    <n v="8213.67"/>
    <n v="2021"/>
    <n v="11"/>
    <n v="11"/>
    <n v="5"/>
    <n v="0"/>
    <n v="0"/>
    <n v="0"/>
    <x v="0"/>
    <n v="0"/>
    <n v="197"/>
    <n v="8.0870279146141207E-3"/>
  </r>
  <r>
    <d v="2021-11-12T00:00:00"/>
    <n v="1329960"/>
    <n v="395555"/>
    <n v="20755"/>
    <n v="386220"/>
    <n v="3852487"/>
    <n v="0"/>
    <n v="0"/>
    <n v="8213.67"/>
    <n v="2021"/>
    <n v="11"/>
    <n v="12"/>
    <n v="6"/>
    <n v="0"/>
    <n v="0"/>
    <n v="0"/>
    <x v="0"/>
    <n v="0"/>
    <n v="217"/>
    <n v="8.6234302972500402E-3"/>
  </r>
  <r>
    <d v="2021-11-13T00:00:00"/>
    <n v="1202500"/>
    <n v="179407"/>
    <n v="13233"/>
    <n v="560511"/>
    <n v="1955651"/>
    <n v="0"/>
    <n v="0"/>
    <n v="8213.67"/>
    <n v="2021"/>
    <n v="11"/>
    <n v="13"/>
    <n v="7"/>
    <n v="0"/>
    <n v="0"/>
    <n v="0"/>
    <x v="0"/>
    <n v="0"/>
    <n v="215"/>
    <n v="8.5135028114358118E-3"/>
  </r>
  <r>
    <d v="2021-11-14T00:00:00"/>
    <n v="1554740"/>
    <n v="0"/>
    <n v="8643"/>
    <n v="522167"/>
    <n v="2085550"/>
    <n v="0"/>
    <n v="0"/>
    <n v="8213.67"/>
    <n v="2021"/>
    <n v="11"/>
    <n v="14"/>
    <n v="1"/>
    <n v="0"/>
    <n v="0"/>
    <s v="Z-2"/>
    <x v="0"/>
    <n v="0"/>
    <n v="189"/>
    <n v="9.1970802919708033E-3"/>
  </r>
  <r>
    <d v="2021-11-15T00:00:00"/>
    <n v="1379340"/>
    <n v="825071"/>
    <n v="8697"/>
    <n v="845767"/>
    <n v="3058875"/>
    <n v="3.3580392487155913E-2"/>
    <n v="371.21865000000071"/>
    <n v="8213.67"/>
    <n v="2021"/>
    <n v="11"/>
    <n v="15"/>
    <n v="2"/>
    <n v="0"/>
    <n v="0"/>
    <s v="Z-1"/>
    <x v="0"/>
    <n v="0"/>
    <n v="215"/>
    <n v="8.5121545648903316E-3"/>
  </r>
  <r>
    <d v="2021-11-16T00:00:00"/>
    <n v="1337880"/>
    <n v="903296"/>
    <n v="13803"/>
    <n v="182904"/>
    <n v="2437883"/>
    <n v="0"/>
    <n v="0"/>
    <n v="8584.89"/>
    <n v="2021"/>
    <n v="11"/>
    <n v="16"/>
    <n v="3"/>
    <n v="0"/>
    <n v="0"/>
    <s v="Z"/>
    <x v="0"/>
    <n v="0"/>
    <n v="227"/>
    <n v="8.2704849346012313E-3"/>
  </r>
  <r>
    <d v="2021-11-17T00:00:00"/>
    <n v="918780"/>
    <n v="144989"/>
    <n v="19958"/>
    <n v="315818"/>
    <n v="1399545"/>
    <n v="0"/>
    <n v="0"/>
    <n v="8584.89"/>
    <n v="2021"/>
    <n v="11"/>
    <n v="17"/>
    <n v="4"/>
    <n v="0"/>
    <n v="0"/>
    <s v="Z+1"/>
    <x v="0"/>
    <n v="0"/>
    <n v="229"/>
    <n v="8.0229828679536132E-3"/>
  </r>
  <r>
    <d v="2021-11-18T00:00:00"/>
    <n v="711280"/>
    <n v="296589"/>
    <n v="12001"/>
    <n v="398077"/>
    <n v="1417947"/>
    <n v="0"/>
    <n v="0"/>
    <n v="8584.89"/>
    <n v="2021"/>
    <n v="11"/>
    <n v="18"/>
    <n v="5"/>
    <n v="0"/>
    <n v="0"/>
    <s v="Z-2"/>
    <x v="0"/>
    <n v="0"/>
    <n v="226"/>
    <n v="7.6511612160606677E-3"/>
  </r>
  <r>
    <d v="2021-11-19T00:00:00"/>
    <n v="1097520"/>
    <n v="612314"/>
    <n v="6409"/>
    <n v="767700"/>
    <n v="2483943"/>
    <n v="4.0392111439017588E-2"/>
    <n v="679.74719999999979"/>
    <n v="8584.89"/>
    <n v="2021"/>
    <n v="11"/>
    <n v="19"/>
    <n v="6"/>
    <n v="0"/>
    <n v="0"/>
    <s v="Z-1"/>
    <x v="0"/>
    <n v="0"/>
    <n v="218"/>
    <n v="7.5828724477373126E-3"/>
  </r>
  <r>
    <d v="2021-11-20T00:00:00"/>
    <n v="994820"/>
    <n v="125987"/>
    <n v="9573"/>
    <n v="303231"/>
    <n v="3632163"/>
    <n v="0"/>
    <n v="0"/>
    <n v="9264.6299999999992"/>
    <n v="2021"/>
    <n v="11"/>
    <n v="20"/>
    <n v="7"/>
    <n v="0"/>
    <n v="0"/>
    <s v="Z"/>
    <x v="0"/>
    <n v="0"/>
    <n v="201"/>
    <n v="6.8922950313753733E-3"/>
  </r>
  <r>
    <d v="2021-11-21T00:00:00"/>
    <n v="583080"/>
    <n v="0"/>
    <n v="0"/>
    <n v="341540"/>
    <n v="924620"/>
    <n v="0"/>
    <n v="0"/>
    <n v="9264.6299999999992"/>
    <n v="2021"/>
    <n v="11"/>
    <n v="21"/>
    <n v="1"/>
    <n v="0"/>
    <n v="0"/>
    <s v="Z-2"/>
    <x v="0"/>
    <n v="0"/>
    <n v="195"/>
    <n v="5.6867891513560807E-3"/>
  </r>
  <r>
    <d v="2021-11-22T00:00:00"/>
    <n v="1054180"/>
    <n v="552369"/>
    <n v="21443"/>
    <n v="601323"/>
    <n v="2229315"/>
    <n v="3.0889832485651563E-2"/>
    <n v="285.8184999999994"/>
    <n v="9264.6299999999992"/>
    <n v="2021"/>
    <n v="11"/>
    <n v="22"/>
    <n v="2"/>
    <n v="0"/>
    <n v="0"/>
    <s v="Z-1"/>
    <x v="0"/>
    <n v="0"/>
    <n v="193"/>
    <n v="6.6701226887852082E-3"/>
  </r>
  <r>
    <d v="2021-11-23T00:00:00"/>
    <n v="702560"/>
    <n v="766899"/>
    <n v="16976"/>
    <n v="221155"/>
    <n v="1707590"/>
    <n v="0"/>
    <n v="0"/>
    <n v="9550.4500000000007"/>
    <n v="2021"/>
    <n v="11"/>
    <n v="23"/>
    <n v="3"/>
    <n v="0"/>
    <n v="0"/>
    <s v="Z-2"/>
    <x v="0"/>
    <n v="0"/>
    <n v="208"/>
    <n v="7.0861581439716553E-3"/>
  </r>
  <r>
    <d v="2021-11-24T00:00:00"/>
    <n v="717740"/>
    <n v="480576"/>
    <n v="5993"/>
    <n v="887731"/>
    <n v="2092040"/>
    <n v="5.7746797628208127E-2"/>
    <n v="976.61850000000049"/>
    <n v="9550.4500000000007"/>
    <n v="2021"/>
    <n v="11"/>
    <n v="24"/>
    <n v="4"/>
    <n v="0"/>
    <n v="0"/>
    <s v="Z-1"/>
    <x v="0"/>
    <n v="0"/>
    <n v="175"/>
    <n v="6.1870249248718399E-3"/>
  </r>
  <r>
    <d v="2021-11-25T00:00:00"/>
    <n v="812760"/>
    <n v="394028"/>
    <n v="23169"/>
    <n v="300069"/>
    <n v="1530026"/>
    <n v="3.7232601108602041E-2"/>
    <n v="0"/>
    <n v="10527.07"/>
    <n v="2021"/>
    <n v="11"/>
    <n v="25"/>
    <n v="5"/>
    <n v="0"/>
    <n v="0"/>
    <s v="Z"/>
    <x v="0"/>
    <n v="0"/>
    <n v="222"/>
    <n v="7.4901312459934545E-3"/>
  </r>
  <r>
    <d v="2021-11-26T00:00:00"/>
    <n v="940180"/>
    <n v="288352"/>
    <n v="7980"/>
    <n v="223134"/>
    <n v="1459646"/>
    <n v="0"/>
    <n v="0"/>
    <n v="10527.07"/>
    <n v="2021"/>
    <n v="11"/>
    <n v="26"/>
    <n v="6"/>
    <n v="0"/>
    <n v="0"/>
    <s v="Z+1"/>
    <x v="0"/>
    <n v="0"/>
    <n v="201"/>
    <n v="7.9318101100982596E-3"/>
  </r>
  <r>
    <d v="2021-11-27T00:00:00"/>
    <n v="405780"/>
    <n v="91074"/>
    <n v="3199"/>
    <n v="286748"/>
    <n v="2497513"/>
    <n v="0"/>
    <n v="0"/>
    <n v="10527.07"/>
    <n v="2021"/>
    <n v="11"/>
    <n v="27"/>
    <n v="7"/>
    <n v="0"/>
    <n v="0"/>
    <n v="0"/>
    <x v="0"/>
    <n v="0"/>
    <n v="192"/>
    <n v="7.6484882284985857E-3"/>
  </r>
  <r>
    <d v="2021-11-28T00:00:00"/>
    <n v="535040"/>
    <n v="0"/>
    <n v="0"/>
    <n v="156687"/>
    <n v="691727"/>
    <n v="0"/>
    <n v="0"/>
    <n v="10527.07"/>
    <n v="2021"/>
    <n v="11"/>
    <n v="28"/>
    <n v="1"/>
    <n v="0"/>
    <n v="0"/>
    <n v="0"/>
    <x v="0"/>
    <n v="0"/>
    <n v="213"/>
    <n v="1.064627380416854E-2"/>
  </r>
  <r>
    <d v="2021-11-29T00:00:00"/>
    <n v="595560"/>
    <n v="254092"/>
    <n v="8410"/>
    <n v="384796"/>
    <n v="1242858"/>
    <n v="0"/>
    <n v="0"/>
    <n v="10527.07"/>
    <n v="2021"/>
    <n v="11"/>
    <n v="29"/>
    <n v="2"/>
    <n v="0"/>
    <n v="0"/>
    <n v="0"/>
    <x v="0"/>
    <n v="0"/>
    <n v="189"/>
    <n v="8.1209985820478673E-3"/>
  </r>
  <r>
    <d v="2021-11-30T00:00:00"/>
    <n v="484300"/>
    <n v="292823"/>
    <n v="121599"/>
    <n v="260860"/>
    <n v="1159582"/>
    <n v="0"/>
    <n v="0"/>
    <n v="10527.07"/>
    <n v="2021"/>
    <n v="11"/>
    <n v="30"/>
    <n v="3"/>
    <n v="0"/>
    <s v="A-1"/>
    <n v="0"/>
    <x v="0"/>
    <n v="0"/>
    <n v="207"/>
    <n v="8.4496693607641442E-3"/>
  </r>
  <r>
    <d v="2021-12-01T00:00:00"/>
    <n v="639700"/>
    <n v="127043"/>
    <n v="14459"/>
    <n v="125736"/>
    <n v="906938"/>
    <n v="0"/>
    <n v="0"/>
    <n v="10527.07"/>
    <n v="2021"/>
    <n v="12"/>
    <n v="1"/>
    <n v="4"/>
    <n v="0"/>
    <s v="A0"/>
    <n v="0"/>
    <x v="0"/>
    <n v="0"/>
    <n v="196"/>
    <n v="8.1283954713225227E-3"/>
  </r>
  <r>
    <d v="2021-12-02T00:00:00"/>
    <n v="735040"/>
    <n v="152061"/>
    <n v="29407"/>
    <n v="363885"/>
    <n v="1280393"/>
    <n v="0"/>
    <n v="0"/>
    <n v="10527.07"/>
    <n v="2021"/>
    <n v="12"/>
    <n v="2"/>
    <n v="5"/>
    <n v="0"/>
    <s v="A+1"/>
    <n v="0"/>
    <x v="0"/>
    <n v="0"/>
    <n v="192"/>
    <n v="8.6160473882606354E-3"/>
  </r>
  <r>
    <d v="2021-12-03T00:00:00"/>
    <n v="958840"/>
    <n v="364375"/>
    <n v="9250"/>
    <n v="347273"/>
    <n v="3879517"/>
    <n v="0"/>
    <n v="0"/>
    <n v="10527.07"/>
    <n v="2021"/>
    <n v="12"/>
    <n v="3"/>
    <n v="6"/>
    <n v="0"/>
    <n v="0"/>
    <n v="0"/>
    <x v="0"/>
    <n v="0"/>
    <n v="187"/>
    <n v="9.2606348734710041E-3"/>
  </r>
  <r>
    <d v="2021-12-04T00:00:00"/>
    <n v="621220"/>
    <n v="102634"/>
    <n v="0"/>
    <n v="412047"/>
    <n v="1135901"/>
    <n v="0"/>
    <n v="0"/>
    <n v="10527.07"/>
    <n v="2021"/>
    <n v="12"/>
    <n v="4"/>
    <n v="7"/>
    <n v="0"/>
    <n v="0"/>
    <n v="0"/>
    <x v="0"/>
    <n v="0"/>
    <n v="228"/>
    <n v="1.1714535272054669E-2"/>
  </r>
  <r>
    <d v="2021-12-05T00:00:00"/>
    <n v="542300"/>
    <n v="0"/>
    <n v="0"/>
    <n v="343669"/>
    <n v="885969"/>
    <n v="0"/>
    <n v="0"/>
    <n v="10527.07"/>
    <n v="2021"/>
    <n v="12"/>
    <n v="5"/>
    <n v="1"/>
    <n v="0"/>
    <n v="0"/>
    <n v="0"/>
    <x v="0"/>
    <n v="0"/>
    <n v="185"/>
    <n v="7.6200675508690998E-3"/>
  </r>
  <r>
    <d v="2021-12-06T00:00:00"/>
    <n v="755380"/>
    <n v="405439"/>
    <n v="15861"/>
    <n v="363258"/>
    <n v="1539938"/>
    <n v="0"/>
    <n v="0"/>
    <n v="10527.07"/>
    <n v="2021"/>
    <n v="12"/>
    <n v="6"/>
    <n v="2"/>
    <n v="0"/>
    <n v="0"/>
    <n v="0"/>
    <x v="0"/>
    <n v="0"/>
    <n v="187"/>
    <n v="7.3015501151848811E-3"/>
  </r>
  <r>
    <d v="2021-12-07T00:00:00"/>
    <n v="752060"/>
    <n v="358538"/>
    <n v="33512"/>
    <n v="339907"/>
    <n v="1484017"/>
    <n v="0"/>
    <n v="0"/>
    <n v="10527.07"/>
    <n v="2021"/>
    <n v="12"/>
    <n v="7"/>
    <n v="3"/>
    <n v="0"/>
    <n v="0"/>
    <n v="0"/>
    <x v="0"/>
    <n v="0"/>
    <n v="198"/>
    <n v="8.1260773208569319E-3"/>
  </r>
  <r>
    <d v="2021-12-08T00:00:00"/>
    <n v="780920"/>
    <n v="374664"/>
    <n v="13024"/>
    <n v="299611"/>
    <n v="1468219"/>
    <n v="0"/>
    <n v="0"/>
    <n v="10527.07"/>
    <n v="2021"/>
    <n v="12"/>
    <n v="8"/>
    <n v="4"/>
    <n v="0"/>
    <n v="0"/>
    <n v="0"/>
    <x v="0"/>
    <n v="0"/>
    <n v="192"/>
    <n v="6.425057725127999E-3"/>
  </r>
  <r>
    <d v="2021-12-09T00:00:00"/>
    <n v="1036220"/>
    <n v="327309"/>
    <n v="14031"/>
    <n v="484699"/>
    <n v="1862259"/>
    <n v="0"/>
    <n v="0"/>
    <n v="10527.07"/>
    <n v="2021"/>
    <n v="12"/>
    <n v="9"/>
    <n v="5"/>
    <n v="0"/>
    <n v="0"/>
    <n v="0"/>
    <x v="0"/>
    <n v="0"/>
    <n v="195"/>
    <n v="7.1525510765506365E-3"/>
  </r>
  <r>
    <d v="2021-12-10T00:00:00"/>
    <n v="1634660"/>
    <n v="440004"/>
    <n v="1001"/>
    <n v="396097"/>
    <n v="4672890"/>
    <n v="0"/>
    <n v="0"/>
    <n v="10527.07"/>
    <n v="2021"/>
    <n v="12"/>
    <n v="10"/>
    <n v="6"/>
    <n v="0"/>
    <n v="0"/>
    <n v="0"/>
    <x v="0"/>
    <n v="0"/>
    <n v="176"/>
    <n v="7.0038600819769987E-3"/>
  </r>
  <r>
    <d v="2021-12-11T00:00:00"/>
    <n v="827780"/>
    <n v="125131"/>
    <n v="9506"/>
    <n v="387570"/>
    <n v="1349987"/>
    <n v="0"/>
    <n v="0"/>
    <n v="10527.07"/>
    <n v="2021"/>
    <n v="12"/>
    <n v="11"/>
    <n v="7"/>
    <n v="0"/>
    <n v="0"/>
    <n v="0"/>
    <x v="0"/>
    <n v="0"/>
    <n v="191"/>
    <n v="8.2398619499568591E-3"/>
  </r>
  <r>
    <d v="2021-12-12T00:00:00"/>
    <n v="680720"/>
    <n v="0"/>
    <n v="0"/>
    <n v="223913"/>
    <n v="904633"/>
    <n v="0"/>
    <n v="0"/>
    <n v="10527.07"/>
    <n v="2021"/>
    <n v="12"/>
    <n v="12"/>
    <n v="1"/>
    <n v="0"/>
    <n v="0"/>
    <n v="0"/>
    <x v="0"/>
    <n v="0"/>
    <n v="182"/>
    <n v="8.0360296714941711E-3"/>
  </r>
  <r>
    <d v="2021-12-13T00:00:00"/>
    <n v="909180"/>
    <n v="485740"/>
    <n v="4961"/>
    <n v="407069"/>
    <n v="1806950"/>
    <n v="0"/>
    <n v="0"/>
    <n v="10527.07"/>
    <n v="2021"/>
    <n v="12"/>
    <n v="13"/>
    <n v="2"/>
    <n v="0"/>
    <n v="0"/>
    <n v="0"/>
    <x v="0"/>
    <n v="0"/>
    <n v="171"/>
    <n v="7.3573702779450995E-3"/>
  </r>
  <r>
    <d v="2021-12-14T00:00:00"/>
    <n v="852280"/>
    <n v="392354"/>
    <n v="6027"/>
    <n v="430384"/>
    <n v="1681045"/>
    <n v="0"/>
    <n v="0"/>
    <n v="10527.07"/>
    <n v="2021"/>
    <n v="12"/>
    <n v="14"/>
    <n v="3"/>
    <n v="0"/>
    <n v="0"/>
    <n v="0"/>
    <x v="0"/>
    <n v="0"/>
    <n v="181"/>
    <n v="7.5284918060061559E-3"/>
  </r>
  <r>
    <d v="2021-12-15T00:00:00"/>
    <n v="1173000"/>
    <n v="380953"/>
    <n v="4001"/>
    <n v="344799"/>
    <n v="1902753"/>
    <n v="0"/>
    <n v="0"/>
    <n v="10527.07"/>
    <n v="2021"/>
    <n v="12"/>
    <n v="15"/>
    <n v="4"/>
    <n v="0"/>
    <n v="0"/>
    <n v="0"/>
    <x v="0"/>
    <n v="0"/>
    <n v="193"/>
    <n v="7.6468956773247752E-3"/>
  </r>
  <r>
    <d v="2021-12-16T00:00:00"/>
    <n v="616020"/>
    <n v="423251"/>
    <n v="14424"/>
    <n v="378725"/>
    <n v="1432420"/>
    <n v="0"/>
    <n v="0"/>
    <n v="10527.07"/>
    <n v="2021"/>
    <n v="12"/>
    <n v="16"/>
    <n v="5"/>
    <n v="0"/>
    <n v="0"/>
    <s v="Z-2"/>
    <x v="0"/>
    <n v="0"/>
    <n v="167"/>
    <n v="6.5071695760598501E-3"/>
  </r>
  <r>
    <d v="2021-12-17T00:00:00"/>
    <n v="1108000"/>
    <n v="978184"/>
    <n v="35116"/>
    <n v="779110"/>
    <n v="2900410"/>
    <n v="4.3441573606577126E-2"/>
    <n v="1058.9011499999997"/>
    <n v="10527.07"/>
    <n v="2021"/>
    <n v="12"/>
    <n v="17"/>
    <n v="6"/>
    <n v="0"/>
    <n v="0"/>
    <s v="Z-1"/>
    <x v="0"/>
    <n v="0"/>
    <n v="190"/>
    <n v="7.836667354093628E-3"/>
  </r>
  <r>
    <d v="2021-12-18T00:00:00"/>
    <n v="1195080"/>
    <n v="333398"/>
    <n v="6035"/>
    <n v="210722"/>
    <n v="1745235"/>
    <n v="0"/>
    <n v="0"/>
    <n v="11585.97"/>
    <n v="2021"/>
    <n v="12"/>
    <n v="18"/>
    <n v="7"/>
    <n v="0"/>
    <n v="0"/>
    <s v="Z"/>
    <x v="0"/>
    <n v="0"/>
    <n v="191"/>
    <n v="7.4702753441802253E-3"/>
  </r>
  <r>
    <d v="2021-12-19T00:00:00"/>
    <n v="751960"/>
    <n v="1216"/>
    <n v="6687"/>
    <n v="332679"/>
    <n v="1092542"/>
    <n v="0"/>
    <n v="0"/>
    <n v="11585.97"/>
    <n v="2021"/>
    <n v="12"/>
    <n v="19"/>
    <n v="1"/>
    <n v="0"/>
    <n v="0"/>
    <s v="Z+1"/>
    <x v="0"/>
    <n v="0"/>
    <n v="171"/>
    <n v="7.4809694636451133E-3"/>
  </r>
  <r>
    <d v="2021-12-20T00:00:00"/>
    <n v="1198420"/>
    <n v="475412"/>
    <n v="10233"/>
    <n v="645450"/>
    <n v="2329515"/>
    <n v="7.388839309150104E-2"/>
    <n v="0"/>
    <n v="11585.97"/>
    <n v="2021"/>
    <n v="12"/>
    <n v="20"/>
    <n v="2"/>
    <n v="0"/>
    <n v="0"/>
    <n v="0"/>
    <x v="0"/>
    <n v="0"/>
    <n v="176"/>
    <n v="7.1845532105972157E-3"/>
  </r>
  <r>
    <d v="2021-12-21T00:00:00"/>
    <n v="856120"/>
    <n v="189595"/>
    <n v="17328"/>
    <n v="85586"/>
    <n v="3350974"/>
    <n v="0.11127224526221864"/>
    <n v="0"/>
    <n v="11585.97"/>
    <n v="2021"/>
    <n v="12"/>
    <n v="21"/>
    <n v="3"/>
    <n v="0"/>
    <n v="0"/>
    <n v="0"/>
    <x v="0"/>
    <n v="0"/>
    <n v="187"/>
    <n v="7.3241422528591569E-3"/>
  </r>
  <r>
    <d v="2021-12-22T00:00:00"/>
    <n v="5865638"/>
    <n v="126569"/>
    <n v="19464"/>
    <n v="274487"/>
    <n v="6286158"/>
    <n v="0"/>
    <n v="0"/>
    <n v="11585.97"/>
    <n v="2021"/>
    <n v="12"/>
    <n v="22"/>
    <n v="4"/>
    <n v="0"/>
    <n v="0"/>
    <n v="0"/>
    <x v="0"/>
    <n v="0"/>
    <n v="179"/>
    <n v="7.8453716690042082E-3"/>
  </r>
  <r>
    <d v="2021-12-23T00:00:00"/>
    <n v="581460"/>
    <n v="217829"/>
    <n v="10698"/>
    <n v="208422"/>
    <n v="1018409"/>
    <n v="0"/>
    <n v="0"/>
    <n v="11585.97"/>
    <n v="2021"/>
    <n v="12"/>
    <n v="23"/>
    <n v="5"/>
    <n v="0"/>
    <n v="0"/>
    <n v="0"/>
    <x v="1"/>
    <n v="0"/>
    <n v="168"/>
    <n v="7.7759777829206206E-3"/>
  </r>
  <r>
    <d v="2021-12-24T00:00:00"/>
    <n v="846440"/>
    <n v="156439"/>
    <n v="29122"/>
    <n v="157575"/>
    <n v="1189576"/>
    <n v="-6.998661347052329E-2"/>
    <n v="-2861.6440999999995"/>
    <n v="11585.97"/>
    <n v="2021"/>
    <n v="12"/>
    <n v="24"/>
    <n v="6"/>
    <n v="0"/>
    <n v="0"/>
    <n v="0"/>
    <x v="2"/>
    <n v="0"/>
    <n v="133"/>
    <n v="6.535305390398506E-3"/>
  </r>
  <r>
    <d v="2021-12-25T00:00:00"/>
    <n v="804220"/>
    <n v="57603"/>
    <n v="3841"/>
    <n v="544170"/>
    <n v="1409834"/>
    <n v="0"/>
    <n v="0"/>
    <n v="10502.33"/>
    <n v="2021"/>
    <n v="12"/>
    <n v="25"/>
    <n v="7"/>
    <n v="0"/>
    <n v="0"/>
    <n v="0"/>
    <x v="3"/>
    <n v="0"/>
    <n v="145"/>
    <n v="6.5584151250621921E-3"/>
  </r>
  <r>
    <d v="2021-12-26T00:00:00"/>
    <n v="812520"/>
    <n v="816"/>
    <n v="1527"/>
    <n v="155249"/>
    <n v="970112"/>
    <n v="0"/>
    <n v="0"/>
    <n v="10502.33"/>
    <n v="2021"/>
    <n v="12"/>
    <n v="26"/>
    <n v="1"/>
    <n v="0"/>
    <n v="0"/>
    <n v="0"/>
    <x v="4"/>
    <n v="0"/>
    <n v="173"/>
    <n v="8.1549919864240591E-3"/>
  </r>
  <r>
    <d v="2021-12-27T00:00:00"/>
    <n v="806320"/>
    <n v="297584"/>
    <n v="13248"/>
    <n v="363974"/>
    <n v="1481126"/>
    <n v="0"/>
    <n v="0"/>
    <n v="10502.33"/>
    <n v="2021"/>
    <n v="12"/>
    <n v="27"/>
    <n v="2"/>
    <n v="0"/>
    <n v="0"/>
    <n v="0"/>
    <x v="0"/>
    <n v="0"/>
    <n v="157"/>
    <n v="7.128586996004359E-3"/>
  </r>
  <r>
    <d v="2021-12-28T00:00:00"/>
    <n v="696700"/>
    <n v="284213"/>
    <n v="17669"/>
    <n v="326740"/>
    <n v="1325322"/>
    <n v="0"/>
    <n v="0"/>
    <n v="10502.33"/>
    <n v="2021"/>
    <n v="12"/>
    <n v="28"/>
    <n v="3"/>
    <n v="0"/>
    <n v="0"/>
    <n v="0"/>
    <x v="0"/>
    <n v="0"/>
    <n v="184"/>
    <n v="7.9639889196675903E-3"/>
  </r>
  <r>
    <d v="2021-12-29T00:00:00"/>
    <n v="723840"/>
    <n v="281892"/>
    <n v="7215"/>
    <n v="404557"/>
    <n v="1417504"/>
    <n v="0"/>
    <n v="0"/>
    <n v="10502.33"/>
    <n v="2021"/>
    <n v="12"/>
    <n v="29"/>
    <n v="4"/>
    <n v="0"/>
    <n v="0"/>
    <n v="0"/>
    <x v="0"/>
    <n v="0"/>
    <n v="142"/>
    <n v="5.5386535611202121E-3"/>
  </r>
  <r>
    <d v="2021-12-30T00:00:00"/>
    <n v="730240"/>
    <n v="305015"/>
    <n v="19445"/>
    <n v="473964"/>
    <n v="1528664"/>
    <n v="0"/>
    <n v="0"/>
    <n v="10502.33"/>
    <n v="2021"/>
    <n v="12"/>
    <n v="30"/>
    <n v="5"/>
    <n v="0"/>
    <n v="0"/>
    <s v="Z-2"/>
    <x v="0"/>
    <n v="0"/>
    <n v="139"/>
    <n v="5.592661141063813E-3"/>
  </r>
  <r>
    <d v="2021-12-31T00:00:00"/>
    <n v="939320"/>
    <n v="766497"/>
    <n v="256534"/>
    <n v="770467"/>
    <n v="4932970"/>
    <n v="5.0836300870322627E-2"/>
    <n v="1174.6561500000007"/>
    <n v="10502.33"/>
    <n v="2021"/>
    <n v="12"/>
    <n v="31"/>
    <n v="6"/>
    <n v="0"/>
    <s v="A-1"/>
    <s v="Z-1"/>
    <x v="0"/>
    <n v="0"/>
    <n v="163"/>
    <n v="6.8007343124165554E-3"/>
  </r>
  <r>
    <d v="2022-01-01T00:00:00"/>
    <n v="761180"/>
    <n v="3328"/>
    <n v="2736"/>
    <n v="162655"/>
    <n v="929899"/>
    <n v="0"/>
    <n v="0"/>
    <n v="11681.18"/>
    <n v="2022"/>
    <n v="1"/>
    <n v="1"/>
    <n v="7"/>
    <s v="Y"/>
    <s v="A0"/>
    <s v="Z"/>
    <x v="0"/>
    <n v="0"/>
    <n v="145"/>
    <n v="6.2165058949624867E-3"/>
  </r>
  <r>
    <d v="2022-01-02T00:00:00"/>
    <n v="698060"/>
    <n v="3231"/>
    <n v="0"/>
    <n v="253093"/>
    <n v="954384"/>
    <n v="0"/>
    <n v="0"/>
    <n v="11681.18"/>
    <n v="2022"/>
    <n v="1"/>
    <n v="2"/>
    <n v="1"/>
    <n v="0"/>
    <s v="A+1"/>
    <s v="Z+1"/>
    <x v="0"/>
    <n v="0"/>
    <n v="129"/>
    <n v="5.8210369568160282E-3"/>
  </r>
  <r>
    <d v="2022-01-03T00:00:00"/>
    <n v="747080"/>
    <n v="230438"/>
    <n v="12601"/>
    <n v="352115"/>
    <n v="1342234"/>
    <n v="0"/>
    <n v="0"/>
    <n v="11681.18"/>
    <n v="2022"/>
    <n v="1"/>
    <n v="3"/>
    <n v="2"/>
    <n v="0"/>
    <n v="0"/>
    <n v="0"/>
    <x v="0"/>
    <n v="0"/>
    <n v="160"/>
    <n v="5.819874872690237E-3"/>
  </r>
  <r>
    <d v="2022-01-04T00:00:00"/>
    <n v="675800"/>
    <n v="255785"/>
    <n v="19175"/>
    <n v="358087"/>
    <n v="1308847"/>
    <n v="0"/>
    <n v="0"/>
    <n v="11681.18"/>
    <n v="2022"/>
    <n v="1"/>
    <n v="4"/>
    <n v="3"/>
    <n v="0"/>
    <n v="0"/>
    <n v="0"/>
    <x v="0"/>
    <n v="0"/>
    <n v="137"/>
    <n v="5.1579383306351416E-3"/>
  </r>
  <r>
    <d v="2022-01-05T00:00:00"/>
    <n v="821320"/>
    <n v="234766"/>
    <n v="9064"/>
    <n v="239373"/>
    <n v="1304523"/>
    <n v="0"/>
    <n v="0"/>
    <n v="11681.18"/>
    <n v="2022"/>
    <n v="1"/>
    <n v="5"/>
    <n v="4"/>
    <n v="0"/>
    <n v="0"/>
    <n v="0"/>
    <x v="0"/>
    <n v="0"/>
    <n v="143"/>
    <n v="4.8778823850457089E-3"/>
  </r>
  <r>
    <d v="2022-01-06T00:00:00"/>
    <n v="704840"/>
    <n v="268288"/>
    <n v="13983"/>
    <n v="365679"/>
    <n v="1352790"/>
    <n v="0"/>
    <n v="0"/>
    <n v="11681.18"/>
    <n v="2022"/>
    <n v="1"/>
    <n v="6"/>
    <n v="5"/>
    <n v="0"/>
    <n v="0"/>
    <n v="0"/>
    <x v="0"/>
    <n v="0"/>
    <n v="156"/>
    <n v="6.1171672809975687E-3"/>
  </r>
  <r>
    <d v="2022-01-07T00:00:00"/>
    <n v="665540"/>
    <n v="517221"/>
    <n v="15865"/>
    <n v="436051"/>
    <n v="1634677"/>
    <n v="0"/>
    <n v="0"/>
    <n v="11681.18"/>
    <n v="2022"/>
    <n v="1"/>
    <n v="7"/>
    <n v="6"/>
    <n v="0"/>
    <n v="0"/>
    <n v="0"/>
    <x v="0"/>
    <n v="0"/>
    <n v="157"/>
    <n v="5.3772647874781657E-3"/>
  </r>
  <r>
    <d v="2022-01-08T00:00:00"/>
    <n v="974020"/>
    <n v="133840"/>
    <n v="13007"/>
    <n v="436684"/>
    <n v="1557551"/>
    <n v="0"/>
    <n v="0"/>
    <n v="11681.18"/>
    <n v="2022"/>
    <n v="1"/>
    <n v="8"/>
    <n v="7"/>
    <n v="0"/>
    <n v="0"/>
    <n v="0"/>
    <x v="0"/>
    <n v="0"/>
    <n v="141"/>
    <n v="4.076086956521739E-3"/>
  </r>
  <r>
    <d v="2022-01-09T00:00:00"/>
    <n v="722600"/>
    <n v="406"/>
    <n v="0"/>
    <n v="330665"/>
    <n v="1053671"/>
    <n v="0"/>
    <n v="0"/>
    <n v="11681.18"/>
    <n v="2022"/>
    <n v="1"/>
    <n v="9"/>
    <n v="1"/>
    <n v="0"/>
    <n v="0"/>
    <n v="0"/>
    <x v="0"/>
    <n v="0"/>
    <n v="173"/>
    <n v="4.9199442595910473E-3"/>
  </r>
  <r>
    <d v="2022-01-10T00:00:00"/>
    <n v="0"/>
    <n v="0"/>
    <n v="0"/>
    <n v="0"/>
    <n v="0"/>
    <n v="0"/>
    <n v="0"/>
    <n v="11681.18"/>
    <n v="2022"/>
    <n v="1"/>
    <n v="10"/>
    <n v="2"/>
    <n v="0"/>
    <n v="0"/>
    <s v="Z-2"/>
    <x v="0"/>
    <n v="0"/>
    <n v="173"/>
    <n v="4.9199442595910473E-3"/>
  </r>
  <r>
    <d v="2022-01-11T00:00:00"/>
    <n v="0"/>
    <n v="0"/>
    <n v="0"/>
    <n v="0"/>
    <n v="0"/>
    <n v="3.0676665488930027E-2"/>
    <n v="453.45554999999877"/>
    <n v="11681.18"/>
    <n v="2022"/>
    <n v="1"/>
    <n v="11"/>
    <n v="3"/>
    <n v="0"/>
    <n v="0"/>
    <s v="Z-1"/>
    <x v="0"/>
    <n v="0"/>
    <n v="173"/>
    <n v="4.9199442595910473E-3"/>
  </r>
  <r>
    <d v="2022-01-12T00:00:00"/>
    <n v="0"/>
    <n v="0"/>
    <n v="0"/>
    <n v="0"/>
    <n v="0"/>
    <n v="0"/>
    <n v="0"/>
    <n v="12135.18"/>
    <n v="2022"/>
    <n v="1"/>
    <n v="12"/>
    <n v="4"/>
    <n v="0"/>
    <n v="0"/>
    <s v="Z"/>
    <x v="0"/>
    <n v="0"/>
    <n v="173"/>
    <n v="4.9199442595910473E-3"/>
  </r>
  <r>
    <d v="2022-01-13T00:00:00"/>
    <n v="0"/>
    <n v="0"/>
    <n v="0"/>
    <n v="0"/>
    <n v="0"/>
    <n v="0"/>
    <n v="0"/>
    <n v="12135.18"/>
    <n v="2022"/>
    <n v="1"/>
    <n v="13"/>
    <n v="5"/>
    <n v="0"/>
    <n v="0"/>
    <s v="Z+1"/>
    <x v="0"/>
    <n v="0"/>
    <n v="173"/>
    <n v="4.9199442595910473E-3"/>
  </r>
  <r>
    <d v="2022-01-14T00:00:00"/>
    <n v="0"/>
    <n v="0"/>
    <n v="0"/>
    <n v="0"/>
    <n v="0"/>
    <n v="0"/>
    <n v="0"/>
    <n v="12135.18"/>
    <n v="2022"/>
    <n v="1"/>
    <n v="14"/>
    <n v="6"/>
    <n v="0"/>
    <n v="0"/>
    <n v="0"/>
    <x v="0"/>
    <n v="0"/>
    <n v="173"/>
    <n v="4.9199442595910473E-3"/>
  </r>
  <r>
    <m/>
    <m/>
    <m/>
    <m/>
    <m/>
    <m/>
    <m/>
    <m/>
    <m/>
    <m/>
    <m/>
    <m/>
    <m/>
    <m/>
    <m/>
    <m/>
    <x v="5"/>
    <m/>
    <m/>
    <m/>
  </r>
  <r>
    <m/>
    <m/>
    <m/>
    <m/>
    <m/>
    <m/>
    <m/>
    <m/>
    <m/>
    <m/>
    <m/>
    <m/>
    <m/>
    <m/>
    <m/>
    <m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1F3F0-C276-4747-A822-63F5506181B2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20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4"/>
        <item x="2"/>
        <item x="1"/>
        <item x="5"/>
        <item t="default"/>
      </items>
    </pivotField>
    <pivotField showAll="0"/>
    <pivotField showAll="0"/>
    <pivotField showAll="0"/>
  </pivotFields>
  <rowFields count="1"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Otogaz Satis Miktar" fld="4" subtotal="average" baseField="16" baseItem="2"/>
  </dataFields>
  <formats count="1">
    <format dxfId="7">
      <pivotArea collapsedLevelsAreSubtotals="1" fieldPosition="0">
        <references count="1">
          <reference field="16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42" dT="2021-12-23T09:54:02.90" personId="{FA05C5F3-A8E2-4352-9639-8AB9AB3F79A8}" id="{D49AA7D5-B908-4B7C-85A7-2AB3F8DF51F1}">
    <text>Fİyatlar güncellenecek</text>
  </threadedComment>
  <threadedComment ref="B942" dT="2021-12-27T07:06:19.25" personId="{E09F8560-7A6E-4FDC-BC23-09AA686DF78B}" id="{C083030A-D5DE-4AEB-8677-3BA81B3A6E48}" parentId="{D49AA7D5-B908-4B7C-85A7-2AB3F8DF51F1}">
    <text>25 Aralık güncellendi.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B912-9DBF-45A7-AC76-2005A7357A38}">
  <dimension ref="A3:B10"/>
  <sheetViews>
    <sheetView workbookViewId="0">
      <selection activeCell="B5" sqref="B5"/>
    </sheetView>
  </sheetViews>
  <sheetFormatPr defaultRowHeight="14.4" x14ac:dyDescent="0.55000000000000004"/>
  <cols>
    <col min="1" max="1" width="12.1015625" bestFit="1" customWidth="1"/>
    <col min="2" max="2" width="25.89453125" bestFit="1" customWidth="1"/>
  </cols>
  <sheetData>
    <row r="3" spans="1:2" x14ac:dyDescent="0.55000000000000004">
      <c r="A3" s="146" t="s">
        <v>173</v>
      </c>
      <c r="B3" t="s">
        <v>180</v>
      </c>
    </row>
    <row r="4" spans="1:2" x14ac:dyDescent="0.55000000000000004">
      <c r="A4" s="147">
        <v>0</v>
      </c>
      <c r="B4" s="140">
        <v>465888.32688927941</v>
      </c>
    </row>
    <row r="5" spans="1:2" x14ac:dyDescent="0.55000000000000004">
      <c r="A5" s="147" t="s">
        <v>174</v>
      </c>
      <c r="B5" s="140">
        <v>408485</v>
      </c>
    </row>
    <row r="6" spans="1:2" x14ac:dyDescent="0.55000000000000004">
      <c r="A6" s="147" t="s">
        <v>175</v>
      </c>
      <c r="B6" s="140">
        <v>305621.66666666669</v>
      </c>
    </row>
    <row r="7" spans="1:2" x14ac:dyDescent="0.55000000000000004">
      <c r="A7" s="147" t="s">
        <v>176</v>
      </c>
      <c r="B7" s="140">
        <v>390317.5</v>
      </c>
    </row>
    <row r="8" spans="1:2" x14ac:dyDescent="0.55000000000000004">
      <c r="A8" s="147" t="s">
        <v>177</v>
      </c>
      <c r="B8" s="140">
        <v>371615.66666666669</v>
      </c>
    </row>
    <row r="9" spans="1:2" x14ac:dyDescent="0.55000000000000004">
      <c r="A9" s="147" t="s">
        <v>178</v>
      </c>
      <c r="B9" s="14"/>
    </row>
    <row r="10" spans="1:2" x14ac:dyDescent="0.55000000000000004">
      <c r="A10" s="147" t="s">
        <v>179</v>
      </c>
      <c r="B10" s="14">
        <v>461967.44856661046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BB49-A9C5-4837-9D56-0E6EE17A31E1}">
  <sheetPr>
    <tabColor rgb="FFFF0000"/>
  </sheetPr>
  <dimension ref="A1:T602"/>
  <sheetViews>
    <sheetView tabSelected="1" zoomScale="85" zoomScaleNormal="85" workbookViewId="0">
      <pane ySplit="1" topLeftCell="A578" activePane="bottomLeft" state="frozen"/>
      <selection pane="bottomLeft" activeCell="A602" sqref="A602"/>
    </sheetView>
  </sheetViews>
  <sheetFormatPr defaultRowHeight="14.4" x14ac:dyDescent="0.55000000000000004"/>
  <cols>
    <col min="1" max="1" width="22.89453125" style="158" bestFit="1" customWidth="1"/>
    <col min="2" max="2" width="10.89453125" style="12" customWidth="1"/>
    <col min="3" max="3" width="10.1015625" style="12" customWidth="1"/>
    <col min="4" max="4" width="10.62890625" style="12" customWidth="1"/>
    <col min="5" max="5" width="10.89453125" style="12" customWidth="1"/>
    <col min="6" max="6" width="11.47265625" style="12" customWidth="1"/>
    <col min="7" max="7" width="13.3671875" bestFit="1" customWidth="1"/>
    <col min="8" max="8" width="9.62890625" customWidth="1"/>
    <col min="9" max="9" width="21.26171875" style="109" bestFit="1" customWidth="1"/>
    <col min="10" max="10" width="5.15625" bestFit="1" customWidth="1"/>
    <col min="11" max="11" width="6.5234375" bestFit="1" customWidth="1"/>
    <col min="12" max="12" width="4.15625" bestFit="1" customWidth="1"/>
    <col min="13" max="13" width="8.62890625" bestFit="1" customWidth="1"/>
    <col min="14" max="14" width="12.1015625" customWidth="1"/>
    <col min="15" max="15" width="15.26171875" customWidth="1"/>
    <col min="17" max="17" width="11.47265625" customWidth="1"/>
    <col min="18" max="18" width="10.5234375" customWidth="1"/>
    <col min="19" max="19" width="11.26171875" customWidth="1"/>
    <col min="20" max="20" width="9.3671875" customWidth="1"/>
  </cols>
  <sheetData>
    <row r="1" spans="1:20" s="115" customFormat="1" ht="42.9" customHeight="1" x14ac:dyDescent="0.55000000000000004">
      <c r="A1" s="152" t="s">
        <v>35</v>
      </c>
      <c r="B1" s="152" t="s">
        <v>208</v>
      </c>
      <c r="C1" s="116" t="s">
        <v>209</v>
      </c>
      <c r="D1" s="116" t="s">
        <v>210</v>
      </c>
      <c r="E1" s="116" t="s">
        <v>211</v>
      </c>
      <c r="F1" s="116" t="s">
        <v>212</v>
      </c>
      <c r="G1" s="116" t="s">
        <v>84</v>
      </c>
      <c r="H1" s="116" t="s">
        <v>213</v>
      </c>
      <c r="I1" s="116" t="s">
        <v>214</v>
      </c>
      <c r="J1" s="116" t="s">
        <v>149</v>
      </c>
      <c r="K1" s="116" t="s">
        <v>150</v>
      </c>
      <c r="L1" s="116" t="s">
        <v>151</v>
      </c>
      <c r="M1" s="116" t="s">
        <v>29</v>
      </c>
      <c r="N1" s="116" t="s">
        <v>75</v>
      </c>
      <c r="O1" s="116" t="s">
        <v>76</v>
      </c>
      <c r="P1" s="116" t="s">
        <v>215</v>
      </c>
      <c r="Q1" s="116" t="s">
        <v>216</v>
      </c>
      <c r="R1" s="116" t="s">
        <v>217</v>
      </c>
      <c r="S1" s="116" t="s">
        <v>218</v>
      </c>
      <c r="T1" s="116" t="s">
        <v>219</v>
      </c>
    </row>
    <row r="2" spans="1:20" x14ac:dyDescent="0.55000000000000004">
      <c r="A2" s="157">
        <v>43983</v>
      </c>
      <c r="B2" s="13">
        <v>216800</v>
      </c>
      <c r="C2" s="13">
        <v>729273</v>
      </c>
      <c r="D2" s="13">
        <v>5961</v>
      </c>
      <c r="E2" s="13">
        <v>171280</v>
      </c>
      <c r="F2" s="13">
        <v>1123314</v>
      </c>
      <c r="G2">
        <f>IF(OR(_xlfn.XLOOKUP(A2,'LPG Fup'!D:D,'LPG Fup'!L:L,"",0)&gt;0.03,_xlfn.XLOOKUP(A2,'LPG Fup'!D:D,'LPG Fup'!L:L,"",0)&lt;-0.03),_xlfn.XLOOKUP(A2,'LPG Fup'!D:D,'LPG Fup'!L:L,0,0),0)</f>
        <v>0</v>
      </c>
      <c r="H2">
        <f>IF(_xlfn.XLOOKUP(A2,'LPG Fup'!D:D,'LPG Fup'!M:M,0,0)="",0,_xlfn.XLOOKUP(A2,'LPG Fup'!D:D,'LPG Fup'!M:M,0,0))</f>
        <v>0</v>
      </c>
      <c r="I2" s="109">
        <f>_xlfn.XLOOKUP(A2,'Rafineri Fiyatları'!A:A,'Rafineri Fiyatları'!B:B,"",0)</f>
        <v>3461.61</v>
      </c>
      <c r="J2">
        <f t="shared" ref="J2:J65" si="0">YEAR(A2)</f>
        <v>2020</v>
      </c>
      <c r="K2">
        <f t="shared" ref="K2:K65" si="1">MONTH(A2)</f>
        <v>6</v>
      </c>
      <c r="L2">
        <f t="shared" ref="L2:L65" si="2">DAY(A2)</f>
        <v>1</v>
      </c>
      <c r="M2">
        <f t="shared" ref="M2:M65" si="3">WEEKDAY(A2)</f>
        <v>2</v>
      </c>
      <c r="N2">
        <f>_xlfn.XLOOKUP(A2,tatiller!H:H,tatiller!I:I,0,0)</f>
        <v>0</v>
      </c>
      <c r="O2" t="str" cm="1">
        <f t="array" ref="O2">_xlfn.IFNA(_xlfn.IFS(L2=1,"A0",A2=EOMONTH(A2,0),"A-1",L2=2,"A+1"),0)</f>
        <v>A0</v>
      </c>
      <c r="P2" t="str" cm="1">
        <f t="array" ref="P2">_xlfn.IFNA(_xlfn.IFS(AND(_xlfn.XLOOKUP(A2,'LPG Fup'!D:D,'LPG Fup'!M:M,"",0)&lt;&gt;"",_xlfn.XLOOKUP(A2,'LPG Fup'!D:D,'LPG Fup'!M:M,"",0)&gt;0),"Z-1", AND(_xlfn.XLOOKUP(A2+1,'LPG Fup'!D:D,'LPG Fup'!M:M,"",0)&lt;&gt;"",_xlfn.XLOOKUP(A2+1,'LPG Fup'!D:D,'LPG Fup'!M:M,"",0)&gt;0),"Z-2", AND(_xlfn.XLOOKUP(A2-1,'LPG Fup'!D:D,'LPG Fup'!M:M,"",0)&lt;&gt;"",_xlfn.XLOOKUP(A2-1,'LPG Fup'!D:D,'LPG Fup'!M:M,"",0)&gt;0),"Z", AND(_xlfn.XLOOKUP(A2-2,'LPG Fup'!D:D,'LPG Fup'!M:M,"",0)&lt;&gt;"",_xlfn.XLOOKUP(A2-2,'LPG Fup'!D:D,'LPG Fup'!M:M,"",0)&gt;0),"Z+1"),0)</f>
        <v>Z-2</v>
      </c>
      <c r="Q2" cm="1">
        <f t="array" ref="Q2">_xlfn.IFNA(_xlfn.IFS(AND(_xlfn.XLOOKUP(A2,'LPG Fup'!D:D,'LPG Fup'!M:M,"",0)&lt;&gt;"",_xlfn.XLOOKUP(A2,'LPG Fup'!D:D,'LPG Fup'!M:M,"",0)&lt;0),"I-1", AND(_xlfn.XLOOKUP(A2+1,'LPG Fup'!D:D,'LPG Fup'!M:M,"",0)&lt;&gt;"",_xlfn.XLOOKUP(A2+1,'LPG Fup'!D:D,'LPG Fup'!M:M,"",0)&lt;0),"I-2", AND(_xlfn.XLOOKUP(A2-1,'LPG Fup'!D:D,'LPG Fup'!M:M,"",0)&lt;&gt;"",_xlfn.XLOOKUP(A2-1,'LPG Fup'!D:D,'LPG Fup'!M:M,"",0)&lt;0),"I", AND(_xlfn.XLOOKUP(A2-2,'LPG Fup'!D:D,'LPG Fup'!M:M,"",0)&lt;&gt;"",_xlfn.XLOOKUP(A2-2,'LPG Fup'!D:D,'LPG Fup'!M:M,"",0)&lt;0),"I+1"),0)</f>
        <v>0</v>
      </c>
      <c r="R2">
        <f>_xlfn.XLOOKUP(A2,Covid!A:A,Covid!I:I,0,0)</f>
        <v>827</v>
      </c>
      <c r="S2">
        <f>_xlfn.XLOOKUP(A2,Covid!A:A,Covid!K:K,0,0)</f>
        <v>23</v>
      </c>
      <c r="T2" s="145">
        <f>_xlfn.XLOOKUP(A2,Covid!A:A,Covid!K:K,0,0)/_xlfn.XLOOKUP(A2,Covid!A:A,Covid!L:L,0,0)</f>
        <v>2.3613963039014373E-2</v>
      </c>
    </row>
    <row r="3" spans="1:20" x14ac:dyDescent="0.55000000000000004">
      <c r="A3" s="157">
        <v>43984</v>
      </c>
      <c r="B3" s="13">
        <v>336380</v>
      </c>
      <c r="C3" s="13">
        <v>712024</v>
      </c>
      <c r="D3" s="13">
        <v>7134</v>
      </c>
      <c r="E3" s="13">
        <v>657056</v>
      </c>
      <c r="F3" s="13">
        <v>1712594</v>
      </c>
      <c r="G3">
        <f>IF(OR(_xlfn.XLOOKUP(A3,'LPG Fup'!D:D,'LPG Fup'!L:L,"",0)&gt;0.03,_xlfn.XLOOKUP(A3,'LPG Fup'!D:D,'LPG Fup'!L:L,"",0)&lt;-0.03),_xlfn.XLOOKUP(A3,'LPG Fup'!D:D,'LPG Fup'!L:L,0,0),0)</f>
        <v>5.4786007684181529E-2</v>
      </c>
      <c r="H3">
        <f>IF(_xlfn.XLOOKUP(A3,'LPG Fup'!D:D,'LPG Fup'!M:M,0,0)="",0,_xlfn.XLOOKUP(A3,'LPG Fup'!D:D,'LPG Fup'!M:M,0,0))</f>
        <v>293.10305000000017</v>
      </c>
      <c r="I3" s="109">
        <f>_xlfn.XLOOKUP(A3,'Rafineri Fiyatları'!A:A,'Rafineri Fiyatları'!B:B,"",0)</f>
        <v>3461.61</v>
      </c>
      <c r="J3">
        <f t="shared" si="0"/>
        <v>2020</v>
      </c>
      <c r="K3">
        <f t="shared" si="1"/>
        <v>6</v>
      </c>
      <c r="L3">
        <f t="shared" si="2"/>
        <v>2</v>
      </c>
      <c r="M3">
        <f t="shared" si="3"/>
        <v>3</v>
      </c>
      <c r="N3">
        <f>_xlfn.XLOOKUP(A3,tatiller!H:H,tatiller!I:I,0,0)</f>
        <v>0</v>
      </c>
      <c r="O3" t="str" cm="1">
        <f t="array" ref="O3">_xlfn.IFNA(_xlfn.IFS(L3=1,"A0",A3=EOMONTH(A3,0),"A-1",L3=2,"A+1"),0)</f>
        <v>A+1</v>
      </c>
      <c r="P3" t="str" cm="1">
        <f t="array" ref="P3">_xlfn.IFNA(_xlfn.IFS(AND(_xlfn.XLOOKUP(A3,'LPG Fup'!D:D,'LPG Fup'!M:M,"",0)&lt;&gt;"",_xlfn.XLOOKUP(A3,'LPG Fup'!D:D,'LPG Fup'!M:M,"",0)&gt;0),"Z-1", AND(_xlfn.XLOOKUP(A3+1,'LPG Fup'!D:D,'LPG Fup'!M:M,"",0)&lt;&gt;"",_xlfn.XLOOKUP(A3+1,'LPG Fup'!D:D,'LPG Fup'!M:M,"",0)&gt;0),"Z-2", AND(_xlfn.XLOOKUP(A3-1,'LPG Fup'!D:D,'LPG Fup'!M:M,"",0)&lt;&gt;"",_xlfn.XLOOKUP(A3-1,'LPG Fup'!D:D,'LPG Fup'!M:M,"",0)&gt;0),"Z", AND(_xlfn.XLOOKUP(A3-2,'LPG Fup'!D:D,'LPG Fup'!M:M,"",0)&lt;&gt;"",_xlfn.XLOOKUP(A3-2,'LPG Fup'!D:D,'LPG Fup'!M:M,"",0)&gt;0),"Z+1"),0)</f>
        <v>Z-1</v>
      </c>
      <c r="Q3" cm="1">
        <f t="array" ref="Q3">_xlfn.IFNA(_xlfn.IFS(AND(_xlfn.XLOOKUP(A3,'LPG Fup'!D:D,'LPG Fup'!M:M,"",0)&lt;&gt;"",_xlfn.XLOOKUP(A3,'LPG Fup'!D:D,'LPG Fup'!M:M,"",0)&lt;0),"I-1", AND(_xlfn.XLOOKUP(A3+1,'LPG Fup'!D:D,'LPG Fup'!M:M,"",0)&lt;&gt;"",_xlfn.XLOOKUP(A3+1,'LPG Fup'!D:D,'LPG Fup'!M:M,"",0)&lt;0),"I-2", AND(_xlfn.XLOOKUP(A3-1,'LPG Fup'!D:D,'LPG Fup'!M:M,"",0)&lt;&gt;"",_xlfn.XLOOKUP(A3-1,'LPG Fup'!D:D,'LPG Fup'!M:M,"",0)&lt;0),"I", AND(_xlfn.XLOOKUP(A3-2,'LPG Fup'!D:D,'LPG Fup'!M:M,"",0)&lt;&gt;"",_xlfn.XLOOKUP(A3-2,'LPG Fup'!D:D,'LPG Fup'!M:M,"",0)&lt;0),"I+1"),0)</f>
        <v>0</v>
      </c>
      <c r="R3">
        <f>_xlfn.XLOOKUP(A3,Covid!A:A,Covid!I:I,0,0)</f>
        <v>786</v>
      </c>
      <c r="S3">
        <f>_xlfn.XLOOKUP(A3,Covid!A:A,Covid!K:K,0,0)</f>
        <v>22</v>
      </c>
      <c r="T3" s="145">
        <f>_xlfn.XLOOKUP(A3,Covid!A:A,Covid!K:K,0,0)/_xlfn.XLOOKUP(A3,Covid!A:A,Covid!L:L,0,0)</f>
        <v>2.2587268993839837E-2</v>
      </c>
    </row>
    <row r="4" spans="1:20" x14ac:dyDescent="0.55000000000000004">
      <c r="A4" s="157">
        <v>43985</v>
      </c>
      <c r="B4" s="13">
        <v>202420</v>
      </c>
      <c r="C4" s="13">
        <v>187235</v>
      </c>
      <c r="D4" s="13">
        <v>10074</v>
      </c>
      <c r="E4" s="13">
        <v>375137</v>
      </c>
      <c r="F4" s="13">
        <v>774866</v>
      </c>
      <c r="G4">
        <f>IF(OR(_xlfn.XLOOKUP(A4,'LPG Fup'!D:D,'LPG Fup'!L:L,"",0)&gt;0.03,_xlfn.XLOOKUP(A4,'LPG Fup'!D:D,'LPG Fup'!L:L,"",0)&lt;-0.03),_xlfn.XLOOKUP(A4,'LPG Fup'!D:D,'LPG Fup'!L:L,0,0),0)</f>
        <v>0</v>
      </c>
      <c r="H4">
        <f>IF(_xlfn.XLOOKUP(A4,'LPG Fup'!D:D,'LPG Fup'!M:M,0,0)="",0,_xlfn.XLOOKUP(A4,'LPG Fup'!D:D,'LPG Fup'!M:M,0,0))</f>
        <v>0</v>
      </c>
      <c r="I4" s="109">
        <f>_xlfn.XLOOKUP(A4,'Rafineri Fiyatları'!A:A,'Rafineri Fiyatları'!B:B,"",0)</f>
        <v>3752.43</v>
      </c>
      <c r="J4">
        <f t="shared" si="0"/>
        <v>2020</v>
      </c>
      <c r="K4">
        <f t="shared" si="1"/>
        <v>6</v>
      </c>
      <c r="L4">
        <f t="shared" si="2"/>
        <v>3</v>
      </c>
      <c r="M4">
        <f t="shared" si="3"/>
        <v>4</v>
      </c>
      <c r="N4">
        <f>_xlfn.XLOOKUP(A4,tatiller!H:H,tatiller!I:I,0,0)</f>
        <v>0</v>
      </c>
      <c r="O4" cm="1">
        <f t="array" ref="O4">_xlfn.IFNA(_xlfn.IFS(L4=1,"A0",A4=EOMONTH(A4,0),"A-1",L4=2,"A+1"),0)</f>
        <v>0</v>
      </c>
      <c r="P4" t="str" cm="1">
        <f t="array" ref="P4">_xlfn.IFNA(_xlfn.IFS(AND(_xlfn.XLOOKUP(A4,'LPG Fup'!D:D,'LPG Fup'!M:M,"",0)&lt;&gt;"",_xlfn.XLOOKUP(A4,'LPG Fup'!D:D,'LPG Fup'!M:M,"",0)&gt;0),"Z-1", AND(_xlfn.XLOOKUP(A4+1,'LPG Fup'!D:D,'LPG Fup'!M:M,"",0)&lt;&gt;"",_xlfn.XLOOKUP(A4+1,'LPG Fup'!D:D,'LPG Fup'!M:M,"",0)&gt;0),"Z-2", AND(_xlfn.XLOOKUP(A4-1,'LPG Fup'!D:D,'LPG Fup'!M:M,"",0)&lt;&gt;"",_xlfn.XLOOKUP(A4-1,'LPG Fup'!D:D,'LPG Fup'!M:M,"",0)&gt;0),"Z", AND(_xlfn.XLOOKUP(A4-2,'LPG Fup'!D:D,'LPG Fup'!M:M,"",0)&lt;&gt;"",_xlfn.XLOOKUP(A4-2,'LPG Fup'!D:D,'LPG Fup'!M:M,"",0)&gt;0),"Z+1"),0)</f>
        <v>Z</v>
      </c>
      <c r="Q4" cm="1">
        <f t="array" ref="Q4">_xlfn.IFNA(_xlfn.IFS(AND(_xlfn.XLOOKUP(A4,'LPG Fup'!D:D,'LPG Fup'!M:M,"",0)&lt;&gt;"",_xlfn.XLOOKUP(A4,'LPG Fup'!D:D,'LPG Fup'!M:M,"",0)&lt;0),"I-1", AND(_xlfn.XLOOKUP(A4+1,'LPG Fup'!D:D,'LPG Fup'!M:M,"",0)&lt;&gt;"",_xlfn.XLOOKUP(A4+1,'LPG Fup'!D:D,'LPG Fup'!M:M,"",0)&lt;0),"I-2", AND(_xlfn.XLOOKUP(A4-1,'LPG Fup'!D:D,'LPG Fup'!M:M,"",0)&lt;&gt;"",_xlfn.XLOOKUP(A4-1,'LPG Fup'!D:D,'LPG Fup'!M:M,"",0)&lt;0),"I", AND(_xlfn.XLOOKUP(A4-2,'LPG Fup'!D:D,'LPG Fup'!M:M,"",0)&lt;&gt;"",_xlfn.XLOOKUP(A4-2,'LPG Fup'!D:D,'LPG Fup'!M:M,"",0)&lt;0),"I+1"),0)</f>
        <v>0</v>
      </c>
      <c r="R4">
        <f>_xlfn.XLOOKUP(A4,Covid!A:A,Covid!I:I,0,0)</f>
        <v>867</v>
      </c>
      <c r="S4">
        <f>_xlfn.XLOOKUP(A4,Covid!A:A,Covid!K:K,0,0)</f>
        <v>24</v>
      </c>
      <c r="T4" s="145">
        <f>_xlfn.XLOOKUP(A4,Covid!A:A,Covid!K:K,0,0)/_xlfn.XLOOKUP(A4,Covid!A:A,Covid!L:L,0,0)</f>
        <v>2.577873254564984E-2</v>
      </c>
    </row>
    <row r="5" spans="1:20" x14ac:dyDescent="0.55000000000000004">
      <c r="A5" s="157">
        <v>43986</v>
      </c>
      <c r="B5" s="13">
        <v>244140</v>
      </c>
      <c r="C5" s="13">
        <v>303234</v>
      </c>
      <c r="D5" s="13">
        <v>3724</v>
      </c>
      <c r="E5" s="13">
        <v>422513</v>
      </c>
      <c r="F5" s="13">
        <v>973611</v>
      </c>
      <c r="G5">
        <f>IF(OR(_xlfn.XLOOKUP(A5,'LPG Fup'!D:D,'LPG Fup'!L:L,"",0)&gt;0.03,_xlfn.XLOOKUP(A5,'LPG Fup'!D:D,'LPG Fup'!L:L,"",0)&lt;-0.03),_xlfn.XLOOKUP(A5,'LPG Fup'!D:D,'LPG Fup'!L:L,0,0),0)</f>
        <v>0</v>
      </c>
      <c r="H5">
        <f>IF(_xlfn.XLOOKUP(A5,'LPG Fup'!D:D,'LPG Fup'!M:M,0,0)="",0,_xlfn.XLOOKUP(A5,'LPG Fup'!D:D,'LPG Fup'!M:M,0,0))</f>
        <v>0</v>
      </c>
      <c r="I5" s="109">
        <f>_xlfn.XLOOKUP(A5,'Rafineri Fiyatları'!A:A,'Rafineri Fiyatları'!B:B,"",0)</f>
        <v>3752.43</v>
      </c>
      <c r="J5">
        <f t="shared" si="0"/>
        <v>2020</v>
      </c>
      <c r="K5">
        <f t="shared" si="1"/>
        <v>6</v>
      </c>
      <c r="L5">
        <f t="shared" si="2"/>
        <v>4</v>
      </c>
      <c r="M5">
        <f t="shared" si="3"/>
        <v>5</v>
      </c>
      <c r="N5">
        <f>_xlfn.XLOOKUP(A5,tatiller!H:H,tatiller!I:I,0,0)</f>
        <v>0</v>
      </c>
      <c r="O5" cm="1">
        <f t="array" ref="O5">_xlfn.IFNA(_xlfn.IFS(L5=1,"A0",A5=EOMONTH(A5,0),"A-1",L5=2,"A+1"),0)</f>
        <v>0</v>
      </c>
      <c r="P5" t="str" cm="1">
        <f t="array" ref="P5">_xlfn.IFNA(_xlfn.IFS(AND(_xlfn.XLOOKUP(A5,'LPG Fup'!D:D,'LPG Fup'!M:M,"",0)&lt;&gt;"",_xlfn.XLOOKUP(A5,'LPG Fup'!D:D,'LPG Fup'!M:M,"",0)&gt;0),"Z-1", AND(_xlfn.XLOOKUP(A5+1,'LPG Fup'!D:D,'LPG Fup'!M:M,"",0)&lt;&gt;"",_xlfn.XLOOKUP(A5+1,'LPG Fup'!D:D,'LPG Fup'!M:M,"",0)&gt;0),"Z-2", AND(_xlfn.XLOOKUP(A5-1,'LPG Fup'!D:D,'LPG Fup'!M:M,"",0)&lt;&gt;"",_xlfn.XLOOKUP(A5-1,'LPG Fup'!D:D,'LPG Fup'!M:M,"",0)&gt;0),"Z", AND(_xlfn.XLOOKUP(A5-2,'LPG Fup'!D:D,'LPG Fup'!M:M,"",0)&lt;&gt;"",_xlfn.XLOOKUP(A5-2,'LPG Fup'!D:D,'LPG Fup'!M:M,"",0)&gt;0),"Z+1"),0)</f>
        <v>Z+1</v>
      </c>
      <c r="Q5" cm="1">
        <f t="array" ref="Q5">_xlfn.IFNA(_xlfn.IFS(AND(_xlfn.XLOOKUP(A5,'LPG Fup'!D:D,'LPG Fup'!M:M,"",0)&lt;&gt;"",_xlfn.XLOOKUP(A5,'LPG Fup'!D:D,'LPG Fup'!M:M,"",0)&lt;0),"I-1", AND(_xlfn.XLOOKUP(A5+1,'LPG Fup'!D:D,'LPG Fup'!M:M,"",0)&lt;&gt;"",_xlfn.XLOOKUP(A5+1,'LPG Fup'!D:D,'LPG Fup'!M:M,"",0)&lt;0),"I-2", AND(_xlfn.XLOOKUP(A5-1,'LPG Fup'!D:D,'LPG Fup'!M:M,"",0)&lt;&gt;"",_xlfn.XLOOKUP(A5-1,'LPG Fup'!D:D,'LPG Fup'!M:M,"",0)&lt;0),"I", AND(_xlfn.XLOOKUP(A5-2,'LPG Fup'!D:D,'LPG Fup'!M:M,"",0)&lt;&gt;"",_xlfn.XLOOKUP(A5-2,'LPG Fup'!D:D,'LPG Fup'!M:M,"",0)&lt;0),"I+1"),0)</f>
        <v>0</v>
      </c>
      <c r="R5">
        <f>_xlfn.XLOOKUP(A5,Covid!A:A,Covid!I:I,0,0)</f>
        <v>988</v>
      </c>
      <c r="S5">
        <f>_xlfn.XLOOKUP(A5,Covid!A:A,Covid!K:K,0,0)</f>
        <v>21</v>
      </c>
      <c r="T5" s="145">
        <f>_xlfn.XLOOKUP(A5,Covid!A:A,Covid!K:K,0,0)/_xlfn.XLOOKUP(A5,Covid!A:A,Covid!L:L,0,0)</f>
        <v>2.267818574514039E-2</v>
      </c>
    </row>
    <row r="6" spans="1:20" x14ac:dyDescent="0.55000000000000004">
      <c r="A6" s="157">
        <v>43987</v>
      </c>
      <c r="B6" s="13">
        <v>367680</v>
      </c>
      <c r="C6" s="13">
        <v>288031</v>
      </c>
      <c r="D6" s="13">
        <v>2225</v>
      </c>
      <c r="E6" s="13">
        <v>578255</v>
      </c>
      <c r="F6" s="13">
        <v>1236191</v>
      </c>
      <c r="G6">
        <f>IF(OR(_xlfn.XLOOKUP(A6,'LPG Fup'!D:D,'LPG Fup'!L:L,"",0)&gt;0.03,_xlfn.XLOOKUP(A6,'LPG Fup'!D:D,'LPG Fup'!L:L,"",0)&lt;-0.03),_xlfn.XLOOKUP(A6,'LPG Fup'!D:D,'LPG Fup'!L:L,0,0),0)</f>
        <v>0</v>
      </c>
      <c r="H6">
        <f>IF(_xlfn.XLOOKUP(A6,'LPG Fup'!D:D,'LPG Fup'!M:M,0,0)="",0,_xlfn.XLOOKUP(A6,'LPG Fup'!D:D,'LPG Fup'!M:M,0,0))</f>
        <v>0</v>
      </c>
      <c r="I6" s="109">
        <f>_xlfn.XLOOKUP(A6,'Rafineri Fiyatları'!A:A,'Rafineri Fiyatları'!B:B,"",0)</f>
        <v>3752.43</v>
      </c>
      <c r="J6">
        <f t="shared" si="0"/>
        <v>2020</v>
      </c>
      <c r="K6">
        <f t="shared" si="1"/>
        <v>6</v>
      </c>
      <c r="L6">
        <f t="shared" si="2"/>
        <v>5</v>
      </c>
      <c r="M6">
        <f t="shared" si="3"/>
        <v>6</v>
      </c>
      <c r="N6">
        <f>_xlfn.XLOOKUP(A6,tatiller!H:H,tatiller!I:I,0,0)</f>
        <v>0</v>
      </c>
      <c r="O6" cm="1">
        <f t="array" ref="O6">_xlfn.IFNA(_xlfn.IFS(L6=1,"A0",A6=EOMONTH(A6,0),"A-1",L6=2,"A+1"),0)</f>
        <v>0</v>
      </c>
      <c r="P6" cm="1">
        <f t="array" ref="P6">_xlfn.IFNA(_xlfn.IFS(AND(_xlfn.XLOOKUP(A6,'LPG Fup'!D:D,'LPG Fup'!M:M,"",0)&lt;&gt;"",_xlfn.XLOOKUP(A6,'LPG Fup'!D:D,'LPG Fup'!M:M,"",0)&gt;0),"Z-1", AND(_xlfn.XLOOKUP(A6+1,'LPG Fup'!D:D,'LPG Fup'!M:M,"",0)&lt;&gt;"",_xlfn.XLOOKUP(A6+1,'LPG Fup'!D:D,'LPG Fup'!M:M,"",0)&gt;0),"Z-2", AND(_xlfn.XLOOKUP(A6-1,'LPG Fup'!D:D,'LPG Fup'!M:M,"",0)&lt;&gt;"",_xlfn.XLOOKUP(A6-1,'LPG Fup'!D:D,'LPG Fup'!M:M,"",0)&gt;0),"Z", AND(_xlfn.XLOOKUP(A6-2,'LPG Fup'!D:D,'LPG Fup'!M:M,"",0)&lt;&gt;"",_xlfn.XLOOKUP(A6-2,'LPG Fup'!D:D,'LPG Fup'!M:M,"",0)&gt;0),"Z+1"),0)</f>
        <v>0</v>
      </c>
      <c r="Q6" cm="1">
        <f t="array" ref="Q6">_xlfn.IFNA(_xlfn.IFS(AND(_xlfn.XLOOKUP(A6,'LPG Fup'!D:D,'LPG Fup'!M:M,"",0)&lt;&gt;"",_xlfn.XLOOKUP(A6,'LPG Fup'!D:D,'LPG Fup'!M:M,"",0)&lt;0),"I-1", AND(_xlfn.XLOOKUP(A6+1,'LPG Fup'!D:D,'LPG Fup'!M:M,"",0)&lt;&gt;"",_xlfn.XLOOKUP(A6+1,'LPG Fup'!D:D,'LPG Fup'!M:M,"",0)&lt;0),"I-2", AND(_xlfn.XLOOKUP(A6-1,'LPG Fup'!D:D,'LPG Fup'!M:M,"",0)&lt;&gt;"",_xlfn.XLOOKUP(A6-1,'LPG Fup'!D:D,'LPG Fup'!M:M,"",0)&lt;0),"I", AND(_xlfn.XLOOKUP(A6-2,'LPG Fup'!D:D,'LPG Fup'!M:M,"",0)&lt;&gt;"",_xlfn.XLOOKUP(A6-2,'LPG Fup'!D:D,'LPG Fup'!M:M,"",0)&lt;0),"I+1"),0)</f>
        <v>0</v>
      </c>
      <c r="R6">
        <f>_xlfn.XLOOKUP(A6,Covid!A:A,Covid!I:I,0,0)</f>
        <v>930</v>
      </c>
      <c r="S6">
        <f>_xlfn.XLOOKUP(A6,Covid!A:A,Covid!K:K,0,0)</f>
        <v>18</v>
      </c>
      <c r="T6" s="145">
        <f>_xlfn.XLOOKUP(A6,Covid!A:A,Covid!K:K,0,0)/_xlfn.XLOOKUP(A6,Covid!A:A,Covid!L:L,0,0)</f>
        <v>1.1097410604192354E-2</v>
      </c>
    </row>
    <row r="7" spans="1:20" x14ac:dyDescent="0.55000000000000004">
      <c r="A7" s="157">
        <v>43988</v>
      </c>
      <c r="B7" s="13">
        <v>481300</v>
      </c>
      <c r="C7" s="13">
        <v>291250</v>
      </c>
      <c r="D7" s="13">
        <v>4993</v>
      </c>
      <c r="E7" s="13">
        <v>754352</v>
      </c>
      <c r="F7" s="13">
        <v>1531895</v>
      </c>
      <c r="G7">
        <f>IF(OR(_xlfn.XLOOKUP(A7,'LPG Fup'!D:D,'LPG Fup'!L:L,"",0)&gt;0.03,_xlfn.XLOOKUP(A7,'LPG Fup'!D:D,'LPG Fup'!L:L,"",0)&lt;-0.03),_xlfn.XLOOKUP(A7,'LPG Fup'!D:D,'LPG Fup'!L:L,0,0),0)</f>
        <v>0</v>
      </c>
      <c r="H7">
        <f>IF(_xlfn.XLOOKUP(A7,'LPG Fup'!D:D,'LPG Fup'!M:M,0,0)="",0,_xlfn.XLOOKUP(A7,'LPG Fup'!D:D,'LPG Fup'!M:M,0,0))</f>
        <v>0</v>
      </c>
      <c r="I7" s="109">
        <f>_xlfn.XLOOKUP(A7,'Rafineri Fiyatları'!A:A,'Rafineri Fiyatları'!B:B,"",0)</f>
        <v>3752.43</v>
      </c>
      <c r="J7">
        <f t="shared" si="0"/>
        <v>2020</v>
      </c>
      <c r="K7">
        <f t="shared" si="1"/>
        <v>6</v>
      </c>
      <c r="L7">
        <f t="shared" si="2"/>
        <v>6</v>
      </c>
      <c r="M7">
        <f t="shared" si="3"/>
        <v>7</v>
      </c>
      <c r="N7">
        <f>_xlfn.XLOOKUP(A7,tatiller!H:H,tatiller!I:I,0,0)</f>
        <v>0</v>
      </c>
      <c r="O7" cm="1">
        <f t="array" ref="O7">_xlfn.IFNA(_xlfn.IFS(L7=1,"A0",A7=EOMONTH(A7,0),"A-1",L7=2,"A+1"),0)</f>
        <v>0</v>
      </c>
      <c r="P7" cm="1">
        <f t="array" ref="P7">_xlfn.IFNA(_xlfn.IFS(AND(_xlfn.XLOOKUP(A7,'LPG Fup'!D:D,'LPG Fup'!M:M,"",0)&lt;&gt;"",_xlfn.XLOOKUP(A7,'LPG Fup'!D:D,'LPG Fup'!M:M,"",0)&gt;0),"Z-1", AND(_xlfn.XLOOKUP(A7+1,'LPG Fup'!D:D,'LPG Fup'!M:M,"",0)&lt;&gt;"",_xlfn.XLOOKUP(A7+1,'LPG Fup'!D:D,'LPG Fup'!M:M,"",0)&gt;0),"Z-2", AND(_xlfn.XLOOKUP(A7-1,'LPG Fup'!D:D,'LPG Fup'!M:M,"",0)&lt;&gt;"",_xlfn.XLOOKUP(A7-1,'LPG Fup'!D:D,'LPG Fup'!M:M,"",0)&gt;0),"Z", AND(_xlfn.XLOOKUP(A7-2,'LPG Fup'!D:D,'LPG Fup'!M:M,"",0)&lt;&gt;"",_xlfn.XLOOKUP(A7-2,'LPG Fup'!D:D,'LPG Fup'!M:M,"",0)&gt;0),"Z+1"),0)</f>
        <v>0</v>
      </c>
      <c r="Q7" cm="1">
        <f t="array" ref="Q7">_xlfn.IFNA(_xlfn.IFS(AND(_xlfn.XLOOKUP(A7,'LPG Fup'!D:D,'LPG Fup'!M:M,"",0)&lt;&gt;"",_xlfn.XLOOKUP(A7,'LPG Fup'!D:D,'LPG Fup'!M:M,"",0)&lt;0),"I-1", AND(_xlfn.XLOOKUP(A7+1,'LPG Fup'!D:D,'LPG Fup'!M:M,"",0)&lt;&gt;"",_xlfn.XLOOKUP(A7+1,'LPG Fup'!D:D,'LPG Fup'!M:M,"",0)&lt;0),"I-2", AND(_xlfn.XLOOKUP(A7-1,'LPG Fup'!D:D,'LPG Fup'!M:M,"",0)&lt;&gt;"",_xlfn.XLOOKUP(A7-1,'LPG Fup'!D:D,'LPG Fup'!M:M,"",0)&lt;0),"I", AND(_xlfn.XLOOKUP(A7-2,'LPG Fup'!D:D,'LPG Fup'!M:M,"",0)&lt;&gt;"",_xlfn.XLOOKUP(A7-2,'LPG Fup'!D:D,'LPG Fup'!M:M,"",0)&lt;0),"I+1"),0)</f>
        <v>0</v>
      </c>
      <c r="R7">
        <f>_xlfn.XLOOKUP(A7,Covid!A:A,Covid!I:I,0,0)</f>
        <v>878</v>
      </c>
      <c r="S7">
        <f>_xlfn.XLOOKUP(A7,Covid!A:A,Covid!K:K,0,0)</f>
        <v>21</v>
      </c>
      <c r="T7" s="145">
        <f>_xlfn.XLOOKUP(A7,Covid!A:A,Covid!K:K,0,0)/_xlfn.XLOOKUP(A7,Covid!A:A,Covid!L:L,0,0)</f>
        <v>1.0926118626430802E-2</v>
      </c>
    </row>
    <row r="8" spans="1:20" x14ac:dyDescent="0.55000000000000004">
      <c r="A8" s="157">
        <v>43989</v>
      </c>
      <c r="B8" s="13">
        <v>360440</v>
      </c>
      <c r="C8" s="13">
        <v>780</v>
      </c>
      <c r="D8" s="13">
        <v>0</v>
      </c>
      <c r="E8" s="13">
        <v>485740</v>
      </c>
      <c r="F8" s="13">
        <v>846960</v>
      </c>
      <c r="G8">
        <f>IF(OR(_xlfn.XLOOKUP(A8,'LPG Fup'!D:D,'LPG Fup'!L:L,"",0)&gt;0.03,_xlfn.XLOOKUP(A8,'LPG Fup'!D:D,'LPG Fup'!L:L,"",0)&lt;-0.03),_xlfn.XLOOKUP(A8,'LPG Fup'!D:D,'LPG Fup'!L:L,0,0),0)</f>
        <v>0</v>
      </c>
      <c r="H8">
        <f>IF(_xlfn.XLOOKUP(A8,'LPG Fup'!D:D,'LPG Fup'!M:M,0,0)="",0,_xlfn.XLOOKUP(A8,'LPG Fup'!D:D,'LPG Fup'!M:M,0,0))</f>
        <v>0</v>
      </c>
      <c r="I8" s="109">
        <f>_xlfn.XLOOKUP(A8,'Rafineri Fiyatları'!A:A,'Rafineri Fiyatları'!B:B,"",0)</f>
        <v>3752.43</v>
      </c>
      <c r="J8">
        <f t="shared" si="0"/>
        <v>2020</v>
      </c>
      <c r="K8">
        <f t="shared" si="1"/>
        <v>6</v>
      </c>
      <c r="L8">
        <f t="shared" si="2"/>
        <v>7</v>
      </c>
      <c r="M8">
        <f t="shared" si="3"/>
        <v>1</v>
      </c>
      <c r="N8">
        <f>_xlfn.XLOOKUP(A8,tatiller!H:H,tatiller!I:I,0,0)</f>
        <v>0</v>
      </c>
      <c r="O8" cm="1">
        <f t="array" ref="O8">_xlfn.IFNA(_xlfn.IFS(L8=1,"A0",A8=EOMONTH(A8,0),"A-1",L8=2,"A+1"),0)</f>
        <v>0</v>
      </c>
      <c r="P8" cm="1">
        <f t="array" ref="P8">_xlfn.IFNA(_xlfn.IFS(AND(_xlfn.XLOOKUP(A8,'LPG Fup'!D:D,'LPG Fup'!M:M,"",0)&lt;&gt;"",_xlfn.XLOOKUP(A8,'LPG Fup'!D:D,'LPG Fup'!M:M,"",0)&gt;0),"Z-1", AND(_xlfn.XLOOKUP(A8+1,'LPG Fup'!D:D,'LPG Fup'!M:M,"",0)&lt;&gt;"",_xlfn.XLOOKUP(A8+1,'LPG Fup'!D:D,'LPG Fup'!M:M,"",0)&gt;0),"Z-2", AND(_xlfn.XLOOKUP(A8-1,'LPG Fup'!D:D,'LPG Fup'!M:M,"",0)&lt;&gt;"",_xlfn.XLOOKUP(A8-1,'LPG Fup'!D:D,'LPG Fup'!M:M,"",0)&gt;0),"Z", AND(_xlfn.XLOOKUP(A8-2,'LPG Fup'!D:D,'LPG Fup'!M:M,"",0)&lt;&gt;"",_xlfn.XLOOKUP(A8-2,'LPG Fup'!D:D,'LPG Fup'!M:M,"",0)&gt;0),"Z+1"),0)</f>
        <v>0</v>
      </c>
      <c r="Q8" cm="1">
        <f t="array" ref="Q8">_xlfn.IFNA(_xlfn.IFS(AND(_xlfn.XLOOKUP(A8,'LPG Fup'!D:D,'LPG Fup'!M:M,"",0)&lt;&gt;"",_xlfn.XLOOKUP(A8,'LPG Fup'!D:D,'LPG Fup'!M:M,"",0)&lt;0),"I-1", AND(_xlfn.XLOOKUP(A8+1,'LPG Fup'!D:D,'LPG Fup'!M:M,"",0)&lt;&gt;"",_xlfn.XLOOKUP(A8+1,'LPG Fup'!D:D,'LPG Fup'!M:M,"",0)&lt;0),"I-2", AND(_xlfn.XLOOKUP(A8-1,'LPG Fup'!D:D,'LPG Fup'!M:M,"",0)&lt;&gt;"",_xlfn.XLOOKUP(A8-1,'LPG Fup'!D:D,'LPG Fup'!M:M,"",0)&lt;0),"I", AND(_xlfn.XLOOKUP(A8-2,'LPG Fup'!D:D,'LPG Fup'!M:M,"",0)&lt;&gt;"",_xlfn.XLOOKUP(A8-2,'LPG Fup'!D:D,'LPG Fup'!M:M,"",0)&lt;0),"I+1"),0)</f>
        <v>0</v>
      </c>
      <c r="R8">
        <f>_xlfn.XLOOKUP(A8,Covid!A:A,Covid!I:I,0,0)</f>
        <v>914</v>
      </c>
      <c r="S8">
        <f>_xlfn.XLOOKUP(A8,Covid!A:A,Covid!K:K,0,0)</f>
        <v>23</v>
      </c>
      <c r="T8" s="145">
        <f>_xlfn.XLOOKUP(A8,Covid!A:A,Covid!K:K,0,0)/_xlfn.XLOOKUP(A8,Covid!A:A,Covid!L:L,0,0)</f>
        <v>8.6890819795995469E-3</v>
      </c>
    </row>
    <row r="9" spans="1:20" x14ac:dyDescent="0.55000000000000004">
      <c r="A9" s="157">
        <v>43990</v>
      </c>
      <c r="B9" s="13">
        <v>407460</v>
      </c>
      <c r="C9" s="13">
        <v>404246</v>
      </c>
      <c r="D9" s="13">
        <v>5650</v>
      </c>
      <c r="E9" s="13">
        <v>533995</v>
      </c>
      <c r="F9" s="13">
        <v>1351351</v>
      </c>
      <c r="G9">
        <f>IF(OR(_xlfn.XLOOKUP(A9,'LPG Fup'!D:D,'LPG Fup'!L:L,"",0)&gt;0.03,_xlfn.XLOOKUP(A9,'LPG Fup'!D:D,'LPG Fup'!L:L,"",0)&lt;-0.03),_xlfn.XLOOKUP(A9,'LPG Fup'!D:D,'LPG Fup'!L:L,0,0),0)</f>
        <v>0</v>
      </c>
      <c r="H9">
        <f>IF(_xlfn.XLOOKUP(A9,'LPG Fup'!D:D,'LPG Fup'!M:M,0,0)="",0,_xlfn.XLOOKUP(A9,'LPG Fup'!D:D,'LPG Fup'!M:M,0,0))</f>
        <v>0</v>
      </c>
      <c r="I9" s="109">
        <f>_xlfn.XLOOKUP(A9,'Rafineri Fiyatları'!A:A,'Rafineri Fiyatları'!B:B,"",0)</f>
        <v>3752.43</v>
      </c>
      <c r="J9">
        <f>YEAR(A9)</f>
        <v>2020</v>
      </c>
      <c r="K9">
        <f t="shared" si="1"/>
        <v>6</v>
      </c>
      <c r="L9">
        <f t="shared" si="2"/>
        <v>8</v>
      </c>
      <c r="M9">
        <f t="shared" si="3"/>
        <v>2</v>
      </c>
      <c r="N9">
        <f>_xlfn.XLOOKUP(A9,tatiller!H:H,tatiller!I:I,0,0)</f>
        <v>0</v>
      </c>
      <c r="O9" cm="1">
        <f t="array" ref="O9">_xlfn.IFNA(_xlfn.IFS(L9=1,"A0",A9=EOMONTH(A9,0),"A-1",L9=2,"A+1"),0)</f>
        <v>0</v>
      </c>
      <c r="P9" cm="1">
        <f t="array" ref="P9">_xlfn.IFNA(_xlfn.IFS(AND(_xlfn.XLOOKUP(A9,'LPG Fup'!D:D,'LPG Fup'!M:M,"",0)&lt;&gt;"",_xlfn.XLOOKUP(A9,'LPG Fup'!D:D,'LPG Fup'!M:M,"",0)&gt;0),"Z-1", AND(_xlfn.XLOOKUP(A9+1,'LPG Fup'!D:D,'LPG Fup'!M:M,"",0)&lt;&gt;"",_xlfn.XLOOKUP(A9+1,'LPG Fup'!D:D,'LPG Fup'!M:M,"",0)&gt;0),"Z-2", AND(_xlfn.XLOOKUP(A9-1,'LPG Fup'!D:D,'LPG Fup'!M:M,"",0)&lt;&gt;"",_xlfn.XLOOKUP(A9-1,'LPG Fup'!D:D,'LPG Fup'!M:M,"",0)&gt;0),"Z", AND(_xlfn.XLOOKUP(A9-2,'LPG Fup'!D:D,'LPG Fup'!M:M,"",0)&lt;&gt;"",_xlfn.XLOOKUP(A9-2,'LPG Fup'!D:D,'LPG Fup'!M:M,"",0)&gt;0),"Z+1"),0)</f>
        <v>0</v>
      </c>
      <c r="Q9" cm="1">
        <f t="array" ref="Q9">_xlfn.IFNA(_xlfn.IFS(AND(_xlfn.XLOOKUP(A9,'LPG Fup'!D:D,'LPG Fup'!M:M,"",0)&lt;&gt;"",_xlfn.XLOOKUP(A9,'LPG Fup'!D:D,'LPG Fup'!M:M,"",0)&lt;0),"I-1", AND(_xlfn.XLOOKUP(A9+1,'LPG Fup'!D:D,'LPG Fup'!M:M,"",0)&lt;&gt;"",_xlfn.XLOOKUP(A9+1,'LPG Fup'!D:D,'LPG Fup'!M:M,"",0)&lt;0),"I-2", AND(_xlfn.XLOOKUP(A9-1,'LPG Fup'!D:D,'LPG Fup'!M:M,"",0)&lt;&gt;"",_xlfn.XLOOKUP(A9-1,'LPG Fup'!D:D,'LPG Fup'!M:M,"",0)&lt;0),"I", AND(_xlfn.XLOOKUP(A9-2,'LPG Fup'!D:D,'LPG Fup'!M:M,"",0)&lt;&gt;"",_xlfn.XLOOKUP(A9-2,'LPG Fup'!D:D,'LPG Fup'!M:M,"",0)&lt;0),"I+1"),0)</f>
        <v>0</v>
      </c>
      <c r="R9">
        <f>_xlfn.XLOOKUP(A9,Covid!A:A,Covid!I:I,0,0)</f>
        <v>989</v>
      </c>
      <c r="S9">
        <f>_xlfn.XLOOKUP(A9,Covid!A:A,Covid!K:K,0,0)</f>
        <v>19</v>
      </c>
      <c r="T9" s="145">
        <f>_xlfn.XLOOKUP(A9,Covid!A:A,Covid!K:K,0,0)/_xlfn.XLOOKUP(A9,Covid!A:A,Covid!L:L,0,0)</f>
        <v>5.5702140134857815E-3</v>
      </c>
    </row>
    <row r="10" spans="1:20" x14ac:dyDescent="0.55000000000000004">
      <c r="A10" s="157">
        <v>43991</v>
      </c>
      <c r="B10" s="13">
        <v>396180</v>
      </c>
      <c r="C10" s="13">
        <v>378589</v>
      </c>
      <c r="D10" s="13">
        <v>6695</v>
      </c>
      <c r="E10" s="13">
        <v>515611</v>
      </c>
      <c r="F10" s="13">
        <v>1297075</v>
      </c>
      <c r="G10">
        <f>IF(OR(_xlfn.XLOOKUP(A10,'LPG Fup'!D:D,'LPG Fup'!L:L,"",0)&gt;0.03,_xlfn.XLOOKUP(A10,'LPG Fup'!D:D,'LPG Fup'!L:L,"",0)&lt;-0.03),_xlfn.XLOOKUP(A10,'LPG Fup'!D:D,'LPG Fup'!L:L,0,0),0)</f>
        <v>0</v>
      </c>
      <c r="H10">
        <f>IF(_xlfn.XLOOKUP(A10,'LPG Fup'!D:D,'LPG Fup'!M:M,0,0)="",0,_xlfn.XLOOKUP(A10,'LPG Fup'!D:D,'LPG Fup'!M:M,0,0))</f>
        <v>0</v>
      </c>
      <c r="I10" s="109">
        <f>_xlfn.XLOOKUP(A10,'Rafineri Fiyatları'!A:A,'Rafineri Fiyatları'!B:B,"",0)</f>
        <v>3752.43</v>
      </c>
      <c r="J10">
        <f t="shared" si="0"/>
        <v>2020</v>
      </c>
      <c r="K10">
        <f t="shared" si="1"/>
        <v>6</v>
      </c>
      <c r="L10">
        <f t="shared" si="2"/>
        <v>9</v>
      </c>
      <c r="M10">
        <f t="shared" si="3"/>
        <v>3</v>
      </c>
      <c r="N10">
        <f>_xlfn.XLOOKUP(A10,tatiller!H:H,tatiller!I:I,0,0)</f>
        <v>0</v>
      </c>
      <c r="O10" cm="1">
        <f t="array" ref="O10">_xlfn.IFNA(_xlfn.IFS(L10=1,"A0",A10=EOMONTH(A10,0),"A-1",L10=2,"A+1"),0)</f>
        <v>0</v>
      </c>
      <c r="P10" cm="1">
        <f t="array" ref="P10">_xlfn.IFNA(_xlfn.IFS(AND(_xlfn.XLOOKUP(A10,'LPG Fup'!D:D,'LPG Fup'!M:M,"",0)&lt;&gt;"",_xlfn.XLOOKUP(A10,'LPG Fup'!D:D,'LPG Fup'!M:M,"",0)&gt;0),"Z-1", AND(_xlfn.XLOOKUP(A10+1,'LPG Fup'!D:D,'LPG Fup'!M:M,"",0)&lt;&gt;"",_xlfn.XLOOKUP(A10+1,'LPG Fup'!D:D,'LPG Fup'!M:M,"",0)&gt;0),"Z-2", AND(_xlfn.XLOOKUP(A10-1,'LPG Fup'!D:D,'LPG Fup'!M:M,"",0)&lt;&gt;"",_xlfn.XLOOKUP(A10-1,'LPG Fup'!D:D,'LPG Fup'!M:M,"",0)&gt;0),"Z", AND(_xlfn.XLOOKUP(A10-2,'LPG Fup'!D:D,'LPG Fup'!M:M,"",0)&lt;&gt;"",_xlfn.XLOOKUP(A10-2,'LPG Fup'!D:D,'LPG Fup'!M:M,"",0)&gt;0),"Z+1"),0)</f>
        <v>0</v>
      </c>
      <c r="Q10" cm="1">
        <f t="array" ref="Q10">_xlfn.IFNA(_xlfn.IFS(AND(_xlfn.XLOOKUP(A10,'LPG Fup'!D:D,'LPG Fup'!M:M,"",0)&lt;&gt;"",_xlfn.XLOOKUP(A10,'LPG Fup'!D:D,'LPG Fup'!M:M,"",0)&lt;0),"I-1", AND(_xlfn.XLOOKUP(A10+1,'LPG Fup'!D:D,'LPG Fup'!M:M,"",0)&lt;&gt;"",_xlfn.XLOOKUP(A10+1,'LPG Fup'!D:D,'LPG Fup'!M:M,"",0)&lt;0),"I-2", AND(_xlfn.XLOOKUP(A10-1,'LPG Fup'!D:D,'LPG Fup'!M:M,"",0)&lt;&gt;"",_xlfn.XLOOKUP(A10-1,'LPG Fup'!D:D,'LPG Fup'!M:M,"",0)&lt;0),"I", AND(_xlfn.XLOOKUP(A10-2,'LPG Fup'!D:D,'LPG Fup'!M:M,"",0)&lt;&gt;"",_xlfn.XLOOKUP(A10-2,'LPG Fup'!D:D,'LPG Fup'!M:M,"",0)&lt;0),"I+1"),0)</f>
        <v>0</v>
      </c>
      <c r="R10">
        <f>_xlfn.XLOOKUP(A10,Covid!A:A,Covid!I:I,0,0)</f>
        <v>993</v>
      </c>
      <c r="S10">
        <f>_xlfn.XLOOKUP(A10,Covid!A:A,Covid!K:K,0,0)</f>
        <v>18</v>
      </c>
      <c r="T10" s="145">
        <f>_xlfn.XLOOKUP(A10,Covid!A:A,Covid!K:K,0,0)/_xlfn.XLOOKUP(A10,Covid!A:A,Covid!L:L,0,0)</f>
        <v>5.5935363579863269E-3</v>
      </c>
    </row>
    <row r="11" spans="1:20" x14ac:dyDescent="0.55000000000000004">
      <c r="A11" s="157">
        <v>43992</v>
      </c>
      <c r="B11" s="13">
        <v>304340</v>
      </c>
      <c r="C11" s="13">
        <v>380192</v>
      </c>
      <c r="D11" s="13">
        <v>4372</v>
      </c>
      <c r="E11" s="13">
        <v>575367</v>
      </c>
      <c r="F11" s="13">
        <v>1264271</v>
      </c>
      <c r="G11">
        <f>IF(OR(_xlfn.XLOOKUP(A11,'LPG Fup'!D:D,'LPG Fup'!L:L,"",0)&gt;0.03,_xlfn.XLOOKUP(A11,'LPG Fup'!D:D,'LPG Fup'!L:L,"",0)&lt;-0.03),_xlfn.XLOOKUP(A11,'LPG Fup'!D:D,'LPG Fup'!L:L,0,0),0)</f>
        <v>0</v>
      </c>
      <c r="H11">
        <f>IF(_xlfn.XLOOKUP(A11,'LPG Fup'!D:D,'LPG Fup'!M:M,0,0)="",0,_xlfn.XLOOKUP(A11,'LPG Fup'!D:D,'LPG Fup'!M:M,0,0))</f>
        <v>0</v>
      </c>
      <c r="I11" s="109">
        <f>_xlfn.XLOOKUP(A11,'Rafineri Fiyatları'!A:A,'Rafineri Fiyatları'!B:B,"",0)</f>
        <v>3752.43</v>
      </c>
      <c r="J11">
        <f t="shared" si="0"/>
        <v>2020</v>
      </c>
      <c r="K11">
        <f t="shared" si="1"/>
        <v>6</v>
      </c>
      <c r="L11">
        <f t="shared" si="2"/>
        <v>10</v>
      </c>
      <c r="M11">
        <f t="shared" si="3"/>
        <v>4</v>
      </c>
      <c r="N11">
        <f>_xlfn.XLOOKUP(A11,tatiller!H:H,tatiller!I:I,0,0)</f>
        <v>0</v>
      </c>
      <c r="O11" cm="1">
        <f t="array" ref="O11">_xlfn.IFNA(_xlfn.IFS(L11=1,"A0",A11=EOMONTH(A11,0),"A-1",L11=2,"A+1"),0)</f>
        <v>0</v>
      </c>
      <c r="P11" cm="1">
        <f t="array" ref="P11">_xlfn.IFNA(_xlfn.IFS(AND(_xlfn.XLOOKUP(A11,'LPG Fup'!D:D,'LPG Fup'!M:M,"",0)&lt;&gt;"",_xlfn.XLOOKUP(A11,'LPG Fup'!D:D,'LPG Fup'!M:M,"",0)&gt;0),"Z-1", AND(_xlfn.XLOOKUP(A11+1,'LPG Fup'!D:D,'LPG Fup'!M:M,"",0)&lt;&gt;"",_xlfn.XLOOKUP(A11+1,'LPG Fup'!D:D,'LPG Fup'!M:M,"",0)&gt;0),"Z-2", AND(_xlfn.XLOOKUP(A11-1,'LPG Fup'!D:D,'LPG Fup'!M:M,"",0)&lt;&gt;"",_xlfn.XLOOKUP(A11-1,'LPG Fup'!D:D,'LPG Fup'!M:M,"",0)&gt;0),"Z", AND(_xlfn.XLOOKUP(A11-2,'LPG Fup'!D:D,'LPG Fup'!M:M,"",0)&lt;&gt;"",_xlfn.XLOOKUP(A11-2,'LPG Fup'!D:D,'LPG Fup'!M:M,"",0)&gt;0),"Z+1"),0)</f>
        <v>0</v>
      </c>
      <c r="Q11" cm="1">
        <f t="array" ref="Q11">_xlfn.IFNA(_xlfn.IFS(AND(_xlfn.XLOOKUP(A11,'LPG Fup'!D:D,'LPG Fup'!M:M,"",0)&lt;&gt;"",_xlfn.XLOOKUP(A11,'LPG Fup'!D:D,'LPG Fup'!M:M,"",0)&lt;0),"I-1", AND(_xlfn.XLOOKUP(A11+1,'LPG Fup'!D:D,'LPG Fup'!M:M,"",0)&lt;&gt;"",_xlfn.XLOOKUP(A11+1,'LPG Fup'!D:D,'LPG Fup'!M:M,"",0)&lt;0),"I-2", AND(_xlfn.XLOOKUP(A11-1,'LPG Fup'!D:D,'LPG Fup'!M:M,"",0)&lt;&gt;"",_xlfn.XLOOKUP(A11-1,'LPG Fup'!D:D,'LPG Fup'!M:M,"",0)&lt;0),"I", AND(_xlfn.XLOOKUP(A11-2,'LPG Fup'!D:D,'LPG Fup'!M:M,"",0)&lt;&gt;"",_xlfn.XLOOKUP(A11-2,'LPG Fup'!D:D,'LPG Fup'!M:M,"",0)&lt;0),"I+1"),0)</f>
        <v>0</v>
      </c>
      <c r="R11">
        <f>_xlfn.XLOOKUP(A11,Covid!A:A,Covid!I:I,0,0)</f>
        <v>922</v>
      </c>
      <c r="S11">
        <f>_xlfn.XLOOKUP(A11,Covid!A:A,Covid!K:K,0,0)</f>
        <v>17</v>
      </c>
      <c r="T11" s="145">
        <f>_xlfn.XLOOKUP(A11,Covid!A:A,Covid!K:K,0,0)/_xlfn.XLOOKUP(A11,Covid!A:A,Covid!L:L,0,0)</f>
        <v>7.5858991521642128E-3</v>
      </c>
    </row>
    <row r="12" spans="1:20" x14ac:dyDescent="0.55000000000000004">
      <c r="A12" s="157">
        <v>43993</v>
      </c>
      <c r="B12" s="13">
        <v>456160</v>
      </c>
      <c r="C12" s="13">
        <v>376201</v>
      </c>
      <c r="D12" s="13">
        <v>5037</v>
      </c>
      <c r="E12" s="13">
        <v>538706</v>
      </c>
      <c r="F12" s="13">
        <v>1376104</v>
      </c>
      <c r="G12">
        <f>IF(OR(_xlfn.XLOOKUP(A12,'LPG Fup'!D:D,'LPG Fup'!L:L,"",0)&gt;0.03,_xlfn.XLOOKUP(A12,'LPG Fup'!D:D,'LPG Fup'!L:L,"",0)&lt;-0.03),_xlfn.XLOOKUP(A12,'LPG Fup'!D:D,'LPG Fup'!L:L,0,0),0)</f>
        <v>0</v>
      </c>
      <c r="H12">
        <f>IF(_xlfn.XLOOKUP(A12,'LPG Fup'!D:D,'LPG Fup'!M:M,0,0)="",0,_xlfn.XLOOKUP(A12,'LPG Fup'!D:D,'LPG Fup'!M:M,0,0))</f>
        <v>0</v>
      </c>
      <c r="I12" s="109">
        <f>_xlfn.XLOOKUP(A12,'Rafineri Fiyatları'!A:A,'Rafineri Fiyatları'!B:B,"",0)</f>
        <v>3752.43</v>
      </c>
      <c r="J12">
        <f t="shared" si="0"/>
        <v>2020</v>
      </c>
      <c r="K12">
        <f t="shared" si="1"/>
        <v>6</v>
      </c>
      <c r="L12">
        <f t="shared" si="2"/>
        <v>11</v>
      </c>
      <c r="M12">
        <f t="shared" si="3"/>
        <v>5</v>
      </c>
      <c r="N12">
        <f>_xlfn.XLOOKUP(A12,tatiller!H:H,tatiller!I:I,0,0)</f>
        <v>0</v>
      </c>
      <c r="O12" cm="1">
        <f t="array" ref="O12">_xlfn.IFNA(_xlfn.IFS(L12=1,"A0",A12=EOMONTH(A12,0),"A-1",L12=2,"A+1"),0)</f>
        <v>0</v>
      </c>
      <c r="P12" cm="1">
        <f t="array" ref="P12">_xlfn.IFNA(_xlfn.IFS(AND(_xlfn.XLOOKUP(A12,'LPG Fup'!D:D,'LPG Fup'!M:M,"",0)&lt;&gt;"",_xlfn.XLOOKUP(A12,'LPG Fup'!D:D,'LPG Fup'!M:M,"",0)&gt;0),"Z-1", AND(_xlfn.XLOOKUP(A12+1,'LPG Fup'!D:D,'LPG Fup'!M:M,"",0)&lt;&gt;"",_xlfn.XLOOKUP(A12+1,'LPG Fup'!D:D,'LPG Fup'!M:M,"",0)&gt;0),"Z-2", AND(_xlfn.XLOOKUP(A12-1,'LPG Fup'!D:D,'LPG Fup'!M:M,"",0)&lt;&gt;"",_xlfn.XLOOKUP(A12-1,'LPG Fup'!D:D,'LPG Fup'!M:M,"",0)&gt;0),"Z", AND(_xlfn.XLOOKUP(A12-2,'LPG Fup'!D:D,'LPG Fup'!M:M,"",0)&lt;&gt;"",_xlfn.XLOOKUP(A12-2,'LPG Fup'!D:D,'LPG Fup'!M:M,"",0)&gt;0),"Z+1"),0)</f>
        <v>0</v>
      </c>
      <c r="Q12" cm="1">
        <f t="array" ref="Q12">_xlfn.IFNA(_xlfn.IFS(AND(_xlfn.XLOOKUP(A12,'LPG Fup'!D:D,'LPG Fup'!M:M,"",0)&lt;&gt;"",_xlfn.XLOOKUP(A12,'LPG Fup'!D:D,'LPG Fup'!M:M,"",0)&lt;0),"I-1", AND(_xlfn.XLOOKUP(A12+1,'LPG Fup'!D:D,'LPG Fup'!M:M,"",0)&lt;&gt;"",_xlfn.XLOOKUP(A12+1,'LPG Fup'!D:D,'LPG Fup'!M:M,"",0)&lt;0),"I-2", AND(_xlfn.XLOOKUP(A12-1,'LPG Fup'!D:D,'LPG Fup'!M:M,"",0)&lt;&gt;"",_xlfn.XLOOKUP(A12-1,'LPG Fup'!D:D,'LPG Fup'!M:M,"",0)&lt;0),"I", AND(_xlfn.XLOOKUP(A12-2,'LPG Fup'!D:D,'LPG Fup'!M:M,"",0)&lt;&gt;"",_xlfn.XLOOKUP(A12-2,'LPG Fup'!D:D,'LPG Fup'!M:M,"",0)&lt;0),"I+1"),0)</f>
        <v>0</v>
      </c>
      <c r="R12">
        <f>_xlfn.XLOOKUP(A12,Covid!A:A,Covid!I:I,0,0)</f>
        <v>987</v>
      </c>
      <c r="S12">
        <f>_xlfn.XLOOKUP(A12,Covid!A:A,Covid!K:K,0,0)</f>
        <v>17</v>
      </c>
      <c r="T12" s="145">
        <f>_xlfn.XLOOKUP(A12,Covid!A:A,Covid!K:K,0,0)/_xlfn.XLOOKUP(A12,Covid!A:A,Covid!L:L,0,0)</f>
        <v>1.6650342801175319E-2</v>
      </c>
    </row>
    <row r="13" spans="1:20" x14ac:dyDescent="0.55000000000000004">
      <c r="A13" s="157">
        <v>43994</v>
      </c>
      <c r="B13" s="13">
        <v>464620</v>
      </c>
      <c r="C13" s="13">
        <v>407578</v>
      </c>
      <c r="D13" s="13">
        <v>1001</v>
      </c>
      <c r="E13" s="13">
        <v>604258</v>
      </c>
      <c r="F13" s="13">
        <v>1477457</v>
      </c>
      <c r="G13">
        <f>IF(OR(_xlfn.XLOOKUP(A13,'LPG Fup'!D:D,'LPG Fup'!L:L,"",0)&gt;0.03,_xlfn.XLOOKUP(A13,'LPG Fup'!D:D,'LPG Fup'!L:L,"",0)&lt;-0.03),_xlfn.XLOOKUP(A13,'LPG Fup'!D:D,'LPG Fup'!L:L,0,0),0)</f>
        <v>0</v>
      </c>
      <c r="H13">
        <f>IF(_xlfn.XLOOKUP(A13,'LPG Fup'!D:D,'LPG Fup'!M:M,0,0)="",0,_xlfn.XLOOKUP(A13,'LPG Fup'!D:D,'LPG Fup'!M:M,0,0))</f>
        <v>0</v>
      </c>
      <c r="I13" s="109">
        <f>_xlfn.XLOOKUP(A13,'Rafineri Fiyatları'!A:A,'Rafineri Fiyatları'!B:B,"",0)</f>
        <v>3752.43</v>
      </c>
      <c r="J13">
        <f t="shared" si="0"/>
        <v>2020</v>
      </c>
      <c r="K13">
        <f t="shared" si="1"/>
        <v>6</v>
      </c>
      <c r="L13">
        <f t="shared" si="2"/>
        <v>12</v>
      </c>
      <c r="M13">
        <f t="shared" si="3"/>
        <v>6</v>
      </c>
      <c r="N13">
        <f>_xlfn.XLOOKUP(A13,tatiller!H:H,tatiller!I:I,0,0)</f>
        <v>0</v>
      </c>
      <c r="O13" cm="1">
        <f t="array" ref="O13">_xlfn.IFNA(_xlfn.IFS(L13=1,"A0",A13=EOMONTH(A13,0),"A-1",L13=2,"A+1"),0)</f>
        <v>0</v>
      </c>
      <c r="P13" cm="1">
        <f t="array" ref="P13">_xlfn.IFNA(_xlfn.IFS(AND(_xlfn.XLOOKUP(A13,'LPG Fup'!D:D,'LPG Fup'!M:M,"",0)&lt;&gt;"",_xlfn.XLOOKUP(A13,'LPG Fup'!D:D,'LPG Fup'!M:M,"",0)&gt;0),"Z-1", AND(_xlfn.XLOOKUP(A13+1,'LPG Fup'!D:D,'LPG Fup'!M:M,"",0)&lt;&gt;"",_xlfn.XLOOKUP(A13+1,'LPG Fup'!D:D,'LPG Fup'!M:M,"",0)&gt;0),"Z-2", AND(_xlfn.XLOOKUP(A13-1,'LPG Fup'!D:D,'LPG Fup'!M:M,"",0)&lt;&gt;"",_xlfn.XLOOKUP(A13-1,'LPG Fup'!D:D,'LPG Fup'!M:M,"",0)&gt;0),"Z", AND(_xlfn.XLOOKUP(A13-2,'LPG Fup'!D:D,'LPG Fup'!M:M,"",0)&lt;&gt;"",_xlfn.XLOOKUP(A13-2,'LPG Fup'!D:D,'LPG Fup'!M:M,"",0)&gt;0),"Z+1"),0)</f>
        <v>0</v>
      </c>
      <c r="Q13" cm="1">
        <f t="array" ref="Q13">_xlfn.IFNA(_xlfn.IFS(AND(_xlfn.XLOOKUP(A13,'LPG Fup'!D:D,'LPG Fup'!M:M,"",0)&lt;&gt;"",_xlfn.XLOOKUP(A13,'LPG Fup'!D:D,'LPG Fup'!M:M,"",0)&lt;0),"I-1", AND(_xlfn.XLOOKUP(A13+1,'LPG Fup'!D:D,'LPG Fup'!M:M,"",0)&lt;&gt;"",_xlfn.XLOOKUP(A13+1,'LPG Fup'!D:D,'LPG Fup'!M:M,"",0)&lt;0),"I-2", AND(_xlfn.XLOOKUP(A13-1,'LPG Fup'!D:D,'LPG Fup'!M:M,"",0)&lt;&gt;"",_xlfn.XLOOKUP(A13-1,'LPG Fup'!D:D,'LPG Fup'!M:M,"",0)&lt;0),"I", AND(_xlfn.XLOOKUP(A13-2,'LPG Fup'!D:D,'LPG Fup'!M:M,"",0)&lt;&gt;"",_xlfn.XLOOKUP(A13-2,'LPG Fup'!D:D,'LPG Fup'!M:M,"",0)&lt;0),"I+1"),0)</f>
        <v>0</v>
      </c>
      <c r="R13">
        <f>_xlfn.XLOOKUP(A13,Covid!A:A,Covid!I:I,0,0)</f>
        <v>1195</v>
      </c>
      <c r="S13">
        <f>_xlfn.XLOOKUP(A13,Covid!A:A,Covid!K:K,0,0)</f>
        <v>15</v>
      </c>
      <c r="T13" s="145">
        <f>_xlfn.XLOOKUP(A13,Covid!A:A,Covid!K:K,0,0)/_xlfn.XLOOKUP(A13,Covid!A:A,Covid!L:L,0,0)</f>
        <v>1.2077294685990338E-2</v>
      </c>
    </row>
    <row r="14" spans="1:20" x14ac:dyDescent="0.55000000000000004">
      <c r="A14" s="157">
        <v>43995</v>
      </c>
      <c r="B14" s="13">
        <v>580800</v>
      </c>
      <c r="C14" s="13">
        <v>336679</v>
      </c>
      <c r="D14" s="13">
        <v>4852</v>
      </c>
      <c r="E14" s="13">
        <v>603169</v>
      </c>
      <c r="F14" s="13">
        <v>1525500</v>
      </c>
      <c r="G14">
        <f>IF(OR(_xlfn.XLOOKUP(A14,'LPG Fup'!D:D,'LPG Fup'!L:L,"",0)&gt;0.03,_xlfn.XLOOKUP(A14,'LPG Fup'!D:D,'LPG Fup'!L:L,"",0)&lt;-0.03),_xlfn.XLOOKUP(A14,'LPG Fup'!D:D,'LPG Fup'!L:L,0,0),0)</f>
        <v>0</v>
      </c>
      <c r="H14">
        <f>IF(_xlfn.XLOOKUP(A14,'LPG Fup'!D:D,'LPG Fup'!M:M,0,0)="",0,_xlfn.XLOOKUP(A14,'LPG Fup'!D:D,'LPG Fup'!M:M,0,0))</f>
        <v>0</v>
      </c>
      <c r="I14" s="109">
        <f>_xlfn.XLOOKUP(A14,'Rafineri Fiyatları'!A:A,'Rafineri Fiyatları'!B:B,"",0)</f>
        <v>3752.43</v>
      </c>
      <c r="J14">
        <f t="shared" si="0"/>
        <v>2020</v>
      </c>
      <c r="K14">
        <f t="shared" si="1"/>
        <v>6</v>
      </c>
      <c r="L14">
        <f t="shared" si="2"/>
        <v>13</v>
      </c>
      <c r="M14">
        <f t="shared" si="3"/>
        <v>7</v>
      </c>
      <c r="N14">
        <f>_xlfn.XLOOKUP(A14,tatiller!H:H,tatiller!I:I,0,0)</f>
        <v>0</v>
      </c>
      <c r="O14" cm="1">
        <f t="array" ref="O14">_xlfn.IFNA(_xlfn.IFS(L14=1,"A0",A14=EOMONTH(A14,0),"A-1",L14=2,"A+1"),0)</f>
        <v>0</v>
      </c>
      <c r="P14" cm="1">
        <f t="array" ref="P14">_xlfn.IFNA(_xlfn.IFS(AND(_xlfn.XLOOKUP(A14,'LPG Fup'!D:D,'LPG Fup'!M:M,"",0)&lt;&gt;"",_xlfn.XLOOKUP(A14,'LPG Fup'!D:D,'LPG Fup'!M:M,"",0)&gt;0),"Z-1", AND(_xlfn.XLOOKUP(A14+1,'LPG Fup'!D:D,'LPG Fup'!M:M,"",0)&lt;&gt;"",_xlfn.XLOOKUP(A14+1,'LPG Fup'!D:D,'LPG Fup'!M:M,"",0)&gt;0),"Z-2", AND(_xlfn.XLOOKUP(A14-1,'LPG Fup'!D:D,'LPG Fup'!M:M,"",0)&lt;&gt;"",_xlfn.XLOOKUP(A14-1,'LPG Fup'!D:D,'LPG Fup'!M:M,"",0)&gt;0),"Z", AND(_xlfn.XLOOKUP(A14-2,'LPG Fup'!D:D,'LPG Fup'!M:M,"",0)&lt;&gt;"",_xlfn.XLOOKUP(A14-2,'LPG Fup'!D:D,'LPG Fup'!M:M,"",0)&gt;0),"Z+1"),0)</f>
        <v>0</v>
      </c>
      <c r="Q14" cm="1">
        <f t="array" ref="Q14">_xlfn.IFNA(_xlfn.IFS(AND(_xlfn.XLOOKUP(A14,'LPG Fup'!D:D,'LPG Fup'!M:M,"",0)&lt;&gt;"",_xlfn.XLOOKUP(A14,'LPG Fup'!D:D,'LPG Fup'!M:M,"",0)&lt;0),"I-1", AND(_xlfn.XLOOKUP(A14+1,'LPG Fup'!D:D,'LPG Fup'!M:M,"",0)&lt;&gt;"",_xlfn.XLOOKUP(A14+1,'LPG Fup'!D:D,'LPG Fup'!M:M,"",0)&lt;0),"I-2", AND(_xlfn.XLOOKUP(A14-1,'LPG Fup'!D:D,'LPG Fup'!M:M,"",0)&lt;&gt;"",_xlfn.XLOOKUP(A14-1,'LPG Fup'!D:D,'LPG Fup'!M:M,"",0)&lt;0),"I", AND(_xlfn.XLOOKUP(A14-2,'LPG Fup'!D:D,'LPG Fup'!M:M,"",0)&lt;&gt;"",_xlfn.XLOOKUP(A14-2,'LPG Fup'!D:D,'LPG Fup'!M:M,"",0)&lt;0),"I+1"),0)</f>
        <v>0</v>
      </c>
      <c r="R14">
        <f>_xlfn.XLOOKUP(A14,Covid!A:A,Covid!I:I,0,0)</f>
        <v>1459</v>
      </c>
      <c r="S14">
        <f>_xlfn.XLOOKUP(A14,Covid!A:A,Covid!K:K,0,0)</f>
        <v>14</v>
      </c>
      <c r="T14" s="145">
        <f>_xlfn.XLOOKUP(A14,Covid!A:A,Covid!K:K,0,0)/_xlfn.XLOOKUP(A14,Covid!A:A,Covid!L:L,0,0)</f>
        <v>1.4213197969543147E-2</v>
      </c>
    </row>
    <row r="15" spans="1:20" x14ac:dyDescent="0.55000000000000004">
      <c r="A15" s="157">
        <v>43996</v>
      </c>
      <c r="B15" s="13">
        <v>539540</v>
      </c>
      <c r="C15" s="13">
        <v>1276</v>
      </c>
      <c r="D15" s="13">
        <v>0</v>
      </c>
      <c r="E15" s="13">
        <v>449132</v>
      </c>
      <c r="F15" s="13">
        <v>989948</v>
      </c>
      <c r="G15">
        <f>IF(OR(_xlfn.XLOOKUP(A15,'LPG Fup'!D:D,'LPG Fup'!L:L,"",0)&gt;0.03,_xlfn.XLOOKUP(A15,'LPG Fup'!D:D,'LPG Fup'!L:L,"",0)&lt;-0.03),_xlfn.XLOOKUP(A15,'LPG Fup'!D:D,'LPG Fup'!L:L,0,0),0)</f>
        <v>0</v>
      </c>
      <c r="H15">
        <f>IF(_xlfn.XLOOKUP(A15,'LPG Fup'!D:D,'LPG Fup'!M:M,0,0)="",0,_xlfn.XLOOKUP(A15,'LPG Fup'!D:D,'LPG Fup'!M:M,0,0))</f>
        <v>0</v>
      </c>
      <c r="I15" s="109">
        <f>_xlfn.XLOOKUP(A15,'Rafineri Fiyatları'!A:A,'Rafineri Fiyatları'!B:B,"",0)</f>
        <v>3752.43</v>
      </c>
      <c r="J15">
        <f t="shared" si="0"/>
        <v>2020</v>
      </c>
      <c r="K15">
        <f t="shared" si="1"/>
        <v>6</v>
      </c>
      <c r="L15">
        <f t="shared" si="2"/>
        <v>14</v>
      </c>
      <c r="M15">
        <f t="shared" si="3"/>
        <v>1</v>
      </c>
      <c r="N15">
        <f>_xlfn.XLOOKUP(A15,tatiller!H:H,tatiller!I:I,0,0)</f>
        <v>0</v>
      </c>
      <c r="O15" cm="1">
        <f t="array" ref="O15">_xlfn.IFNA(_xlfn.IFS(L15=1,"A0",A15=EOMONTH(A15,0),"A-1",L15=2,"A+1"),0)</f>
        <v>0</v>
      </c>
      <c r="P15" cm="1">
        <f t="array" ref="P15">_xlfn.IFNA(_xlfn.IFS(AND(_xlfn.XLOOKUP(A15,'LPG Fup'!D:D,'LPG Fup'!M:M,"",0)&lt;&gt;"",_xlfn.XLOOKUP(A15,'LPG Fup'!D:D,'LPG Fup'!M:M,"",0)&gt;0),"Z-1", AND(_xlfn.XLOOKUP(A15+1,'LPG Fup'!D:D,'LPG Fup'!M:M,"",0)&lt;&gt;"",_xlfn.XLOOKUP(A15+1,'LPG Fup'!D:D,'LPG Fup'!M:M,"",0)&gt;0),"Z-2", AND(_xlfn.XLOOKUP(A15-1,'LPG Fup'!D:D,'LPG Fup'!M:M,"",0)&lt;&gt;"",_xlfn.XLOOKUP(A15-1,'LPG Fup'!D:D,'LPG Fup'!M:M,"",0)&gt;0),"Z", AND(_xlfn.XLOOKUP(A15-2,'LPG Fup'!D:D,'LPG Fup'!M:M,"",0)&lt;&gt;"",_xlfn.XLOOKUP(A15-2,'LPG Fup'!D:D,'LPG Fup'!M:M,"",0)&gt;0),"Z+1"),0)</f>
        <v>0</v>
      </c>
      <c r="Q15" cm="1">
        <f t="array" ref="Q15">_xlfn.IFNA(_xlfn.IFS(AND(_xlfn.XLOOKUP(A15,'LPG Fup'!D:D,'LPG Fup'!M:M,"",0)&lt;&gt;"",_xlfn.XLOOKUP(A15,'LPG Fup'!D:D,'LPG Fup'!M:M,"",0)&lt;0),"I-1", AND(_xlfn.XLOOKUP(A15+1,'LPG Fup'!D:D,'LPG Fup'!M:M,"",0)&lt;&gt;"",_xlfn.XLOOKUP(A15+1,'LPG Fup'!D:D,'LPG Fup'!M:M,"",0)&lt;0),"I-2", AND(_xlfn.XLOOKUP(A15-1,'LPG Fup'!D:D,'LPG Fup'!M:M,"",0)&lt;&gt;"",_xlfn.XLOOKUP(A15-1,'LPG Fup'!D:D,'LPG Fup'!M:M,"",0)&lt;0),"I", AND(_xlfn.XLOOKUP(A15-2,'LPG Fup'!D:D,'LPG Fup'!M:M,"",0)&lt;&gt;"",_xlfn.XLOOKUP(A15-2,'LPG Fup'!D:D,'LPG Fup'!M:M,"",0)&lt;0),"I+1"),0)</f>
        <v>0</v>
      </c>
      <c r="R15">
        <f>_xlfn.XLOOKUP(A15,Covid!A:A,Covid!I:I,0,0)</f>
        <v>1562</v>
      </c>
      <c r="S15">
        <f>_xlfn.XLOOKUP(A15,Covid!A:A,Covid!K:K,0,0)</f>
        <v>15</v>
      </c>
      <c r="T15" s="145">
        <f>_xlfn.XLOOKUP(A15,Covid!A:A,Covid!K:K,0,0)/_xlfn.XLOOKUP(A15,Covid!A:A,Covid!L:L,0,0)</f>
        <v>1.1278195488721804E-2</v>
      </c>
    </row>
    <row r="16" spans="1:20" x14ac:dyDescent="0.55000000000000004">
      <c r="A16" s="157">
        <v>43997</v>
      </c>
      <c r="B16" s="13">
        <v>446800</v>
      </c>
      <c r="C16" s="13">
        <v>503235</v>
      </c>
      <c r="D16" s="13">
        <v>5098</v>
      </c>
      <c r="E16" s="13">
        <v>631647</v>
      </c>
      <c r="F16" s="13">
        <v>1586780</v>
      </c>
      <c r="G16">
        <f>IF(OR(_xlfn.XLOOKUP(A16,'LPG Fup'!D:D,'LPG Fup'!L:L,"",0)&gt;0.03,_xlfn.XLOOKUP(A16,'LPG Fup'!D:D,'LPG Fup'!L:L,"",0)&lt;-0.03),_xlfn.XLOOKUP(A16,'LPG Fup'!D:D,'LPG Fup'!L:L,0,0),0)</f>
        <v>0</v>
      </c>
      <c r="H16">
        <f>IF(_xlfn.XLOOKUP(A16,'LPG Fup'!D:D,'LPG Fup'!M:M,0,0)="",0,_xlfn.XLOOKUP(A16,'LPG Fup'!D:D,'LPG Fup'!M:M,0,0))</f>
        <v>0</v>
      </c>
      <c r="I16" s="109">
        <f>_xlfn.XLOOKUP(A16,'Rafineri Fiyatları'!A:A,'Rafineri Fiyatları'!B:B,"",0)</f>
        <v>3752.43</v>
      </c>
      <c r="J16">
        <f t="shared" si="0"/>
        <v>2020</v>
      </c>
      <c r="K16">
        <f t="shared" si="1"/>
        <v>6</v>
      </c>
      <c r="L16">
        <f t="shared" si="2"/>
        <v>15</v>
      </c>
      <c r="M16">
        <f t="shared" si="3"/>
        <v>2</v>
      </c>
      <c r="N16">
        <f>_xlfn.XLOOKUP(A16,tatiller!H:H,tatiller!I:I,0,0)</f>
        <v>0</v>
      </c>
      <c r="O16" cm="1">
        <f t="array" ref="O16">_xlfn.IFNA(_xlfn.IFS(L16=1,"A0",A16=EOMONTH(A16,0),"A-1",L16=2,"A+1"),0)</f>
        <v>0</v>
      </c>
      <c r="P16" cm="1">
        <f t="array" ref="P16">_xlfn.IFNA(_xlfn.IFS(AND(_xlfn.XLOOKUP(A16,'LPG Fup'!D:D,'LPG Fup'!M:M,"",0)&lt;&gt;"",_xlfn.XLOOKUP(A16,'LPG Fup'!D:D,'LPG Fup'!M:M,"",0)&gt;0),"Z-1", AND(_xlfn.XLOOKUP(A16+1,'LPG Fup'!D:D,'LPG Fup'!M:M,"",0)&lt;&gt;"",_xlfn.XLOOKUP(A16+1,'LPG Fup'!D:D,'LPG Fup'!M:M,"",0)&gt;0),"Z-2", AND(_xlfn.XLOOKUP(A16-1,'LPG Fup'!D:D,'LPG Fup'!M:M,"",0)&lt;&gt;"",_xlfn.XLOOKUP(A16-1,'LPG Fup'!D:D,'LPG Fup'!M:M,"",0)&gt;0),"Z", AND(_xlfn.XLOOKUP(A16-2,'LPG Fup'!D:D,'LPG Fup'!M:M,"",0)&lt;&gt;"",_xlfn.XLOOKUP(A16-2,'LPG Fup'!D:D,'LPG Fup'!M:M,"",0)&gt;0),"Z+1"),0)</f>
        <v>0</v>
      </c>
      <c r="Q16" cm="1">
        <f t="array" ref="Q16">_xlfn.IFNA(_xlfn.IFS(AND(_xlfn.XLOOKUP(A16,'LPG Fup'!D:D,'LPG Fup'!M:M,"",0)&lt;&gt;"",_xlfn.XLOOKUP(A16,'LPG Fup'!D:D,'LPG Fup'!M:M,"",0)&lt;0),"I-1", AND(_xlfn.XLOOKUP(A16+1,'LPG Fup'!D:D,'LPG Fup'!M:M,"",0)&lt;&gt;"",_xlfn.XLOOKUP(A16+1,'LPG Fup'!D:D,'LPG Fup'!M:M,"",0)&lt;0),"I-2", AND(_xlfn.XLOOKUP(A16-1,'LPG Fup'!D:D,'LPG Fup'!M:M,"",0)&lt;&gt;"",_xlfn.XLOOKUP(A16-1,'LPG Fup'!D:D,'LPG Fup'!M:M,"",0)&lt;0),"I", AND(_xlfn.XLOOKUP(A16-2,'LPG Fup'!D:D,'LPG Fup'!M:M,"",0)&lt;&gt;"",_xlfn.XLOOKUP(A16-2,'LPG Fup'!D:D,'LPG Fup'!M:M,"",0)&lt;0),"I+1"),0)</f>
        <v>0</v>
      </c>
      <c r="R16">
        <f>_xlfn.XLOOKUP(A16,Covid!A:A,Covid!I:I,0,0)</f>
        <v>1592</v>
      </c>
      <c r="S16">
        <f>_xlfn.XLOOKUP(A16,Covid!A:A,Covid!K:K,0,0)</f>
        <v>18</v>
      </c>
      <c r="T16" s="145">
        <f>_xlfn.XLOOKUP(A16,Covid!A:A,Covid!K:K,0,0)/_xlfn.XLOOKUP(A16,Covid!A:A,Covid!L:L,0,0)</f>
        <v>1.9007391763463569E-2</v>
      </c>
    </row>
    <row r="17" spans="1:20" x14ac:dyDescent="0.55000000000000004">
      <c r="A17" s="157">
        <v>43998</v>
      </c>
      <c r="B17" s="13">
        <v>526980</v>
      </c>
      <c r="C17" s="13">
        <v>490738</v>
      </c>
      <c r="D17" s="13">
        <v>3450</v>
      </c>
      <c r="E17" s="13">
        <v>621022</v>
      </c>
      <c r="F17" s="13">
        <v>1642190</v>
      </c>
      <c r="G17">
        <f>IF(OR(_xlfn.XLOOKUP(A17,'LPG Fup'!D:D,'LPG Fup'!L:L,"",0)&gt;0.03,_xlfn.XLOOKUP(A17,'LPG Fup'!D:D,'LPG Fup'!L:L,"",0)&lt;-0.03),_xlfn.XLOOKUP(A17,'LPG Fup'!D:D,'LPG Fup'!L:L,0,0),0)</f>
        <v>0</v>
      </c>
      <c r="H17">
        <f>IF(_xlfn.XLOOKUP(A17,'LPG Fup'!D:D,'LPG Fup'!M:M,0,0)="",0,_xlfn.XLOOKUP(A17,'LPG Fup'!D:D,'LPG Fup'!M:M,0,0))</f>
        <v>0</v>
      </c>
      <c r="I17" s="109">
        <f>_xlfn.XLOOKUP(A17,'Rafineri Fiyatları'!A:A,'Rafineri Fiyatları'!B:B,"",0)</f>
        <v>3752.43</v>
      </c>
      <c r="J17">
        <f t="shared" si="0"/>
        <v>2020</v>
      </c>
      <c r="K17">
        <f t="shared" si="1"/>
        <v>6</v>
      </c>
      <c r="L17">
        <f t="shared" si="2"/>
        <v>16</v>
      </c>
      <c r="M17">
        <f t="shared" si="3"/>
        <v>3</v>
      </c>
      <c r="N17">
        <f>_xlfn.XLOOKUP(A17,tatiller!H:H,tatiller!I:I,0,0)</f>
        <v>0</v>
      </c>
      <c r="O17" cm="1">
        <f t="array" ref="O17">_xlfn.IFNA(_xlfn.IFS(L17=1,"A0",A17=EOMONTH(A17,0),"A-1",L17=2,"A+1"),0)</f>
        <v>0</v>
      </c>
      <c r="P17" cm="1">
        <f t="array" ref="P17">_xlfn.IFNA(_xlfn.IFS(AND(_xlfn.XLOOKUP(A17,'LPG Fup'!D:D,'LPG Fup'!M:M,"",0)&lt;&gt;"",_xlfn.XLOOKUP(A17,'LPG Fup'!D:D,'LPG Fup'!M:M,"",0)&gt;0),"Z-1", AND(_xlfn.XLOOKUP(A17+1,'LPG Fup'!D:D,'LPG Fup'!M:M,"",0)&lt;&gt;"",_xlfn.XLOOKUP(A17+1,'LPG Fup'!D:D,'LPG Fup'!M:M,"",0)&gt;0),"Z-2", AND(_xlfn.XLOOKUP(A17-1,'LPG Fup'!D:D,'LPG Fup'!M:M,"",0)&lt;&gt;"",_xlfn.XLOOKUP(A17-1,'LPG Fup'!D:D,'LPG Fup'!M:M,"",0)&gt;0),"Z", AND(_xlfn.XLOOKUP(A17-2,'LPG Fup'!D:D,'LPG Fup'!M:M,"",0)&lt;&gt;"",_xlfn.XLOOKUP(A17-2,'LPG Fup'!D:D,'LPG Fup'!M:M,"",0)&gt;0),"Z+1"),0)</f>
        <v>0</v>
      </c>
      <c r="Q17" cm="1">
        <f t="array" ref="Q17">_xlfn.IFNA(_xlfn.IFS(AND(_xlfn.XLOOKUP(A17,'LPG Fup'!D:D,'LPG Fup'!M:M,"",0)&lt;&gt;"",_xlfn.XLOOKUP(A17,'LPG Fup'!D:D,'LPG Fup'!M:M,"",0)&lt;0),"I-1", AND(_xlfn.XLOOKUP(A17+1,'LPG Fup'!D:D,'LPG Fup'!M:M,"",0)&lt;&gt;"",_xlfn.XLOOKUP(A17+1,'LPG Fup'!D:D,'LPG Fup'!M:M,"",0)&lt;0),"I-2", AND(_xlfn.XLOOKUP(A17-1,'LPG Fup'!D:D,'LPG Fup'!M:M,"",0)&lt;&gt;"",_xlfn.XLOOKUP(A17-1,'LPG Fup'!D:D,'LPG Fup'!M:M,"",0)&lt;0),"I", AND(_xlfn.XLOOKUP(A17-2,'LPG Fup'!D:D,'LPG Fup'!M:M,"",0)&lt;&gt;"",_xlfn.XLOOKUP(A17-2,'LPG Fup'!D:D,'LPG Fup'!M:M,"",0)&lt;0),"I+1"),0)</f>
        <v>0</v>
      </c>
      <c r="R17">
        <f>_xlfn.XLOOKUP(A17,Covid!A:A,Covid!I:I,0,0)</f>
        <v>1467</v>
      </c>
      <c r="S17">
        <f>_xlfn.XLOOKUP(A17,Covid!A:A,Covid!K:K,0,0)</f>
        <v>17</v>
      </c>
      <c r="T17" s="145">
        <f>_xlfn.XLOOKUP(A17,Covid!A:A,Covid!K:K,0,0)/_xlfn.XLOOKUP(A17,Covid!A:A,Covid!L:L,0,0)</f>
        <v>1.6748768472906402E-2</v>
      </c>
    </row>
    <row r="18" spans="1:20" x14ac:dyDescent="0.55000000000000004">
      <c r="A18" s="157">
        <v>43999</v>
      </c>
      <c r="B18" s="13">
        <v>510480</v>
      </c>
      <c r="C18" s="13">
        <v>402837</v>
      </c>
      <c r="D18" s="13">
        <v>2500</v>
      </c>
      <c r="E18" s="13">
        <v>534608</v>
      </c>
      <c r="F18" s="13">
        <v>1450425</v>
      </c>
      <c r="G18">
        <f>IF(OR(_xlfn.XLOOKUP(A18,'LPG Fup'!D:D,'LPG Fup'!L:L,"",0)&gt;0.03,_xlfn.XLOOKUP(A18,'LPG Fup'!D:D,'LPG Fup'!L:L,"",0)&lt;-0.03),_xlfn.XLOOKUP(A18,'LPG Fup'!D:D,'LPG Fup'!L:L,0,0),0)</f>
        <v>0</v>
      </c>
      <c r="H18">
        <f>IF(_xlfn.XLOOKUP(A18,'LPG Fup'!D:D,'LPG Fup'!M:M,0,0)="",0,_xlfn.XLOOKUP(A18,'LPG Fup'!D:D,'LPG Fup'!M:M,0,0))</f>
        <v>0</v>
      </c>
      <c r="I18" s="109">
        <f>_xlfn.XLOOKUP(A18,'Rafineri Fiyatları'!A:A,'Rafineri Fiyatları'!B:B,"",0)</f>
        <v>3752.43</v>
      </c>
      <c r="J18">
        <f t="shared" si="0"/>
        <v>2020</v>
      </c>
      <c r="K18">
        <f t="shared" si="1"/>
        <v>6</v>
      </c>
      <c r="L18">
        <f t="shared" si="2"/>
        <v>17</v>
      </c>
      <c r="M18">
        <f t="shared" si="3"/>
        <v>4</v>
      </c>
      <c r="N18">
        <f>_xlfn.XLOOKUP(A18,tatiller!H:H,tatiller!I:I,0,0)</f>
        <v>0</v>
      </c>
      <c r="O18" cm="1">
        <f t="array" ref="O18">_xlfn.IFNA(_xlfn.IFS(L18=1,"A0",A18=EOMONTH(A18,0),"A-1",L18=2,"A+1"),0)</f>
        <v>0</v>
      </c>
      <c r="P18" cm="1">
        <f t="array" ref="P18">_xlfn.IFNA(_xlfn.IFS(AND(_xlfn.XLOOKUP(A18,'LPG Fup'!D:D,'LPG Fup'!M:M,"",0)&lt;&gt;"",_xlfn.XLOOKUP(A18,'LPG Fup'!D:D,'LPG Fup'!M:M,"",0)&gt;0),"Z-1", AND(_xlfn.XLOOKUP(A18+1,'LPG Fup'!D:D,'LPG Fup'!M:M,"",0)&lt;&gt;"",_xlfn.XLOOKUP(A18+1,'LPG Fup'!D:D,'LPG Fup'!M:M,"",0)&gt;0),"Z-2", AND(_xlfn.XLOOKUP(A18-1,'LPG Fup'!D:D,'LPG Fup'!M:M,"",0)&lt;&gt;"",_xlfn.XLOOKUP(A18-1,'LPG Fup'!D:D,'LPG Fup'!M:M,"",0)&gt;0),"Z", AND(_xlfn.XLOOKUP(A18-2,'LPG Fup'!D:D,'LPG Fup'!M:M,"",0)&lt;&gt;"",_xlfn.XLOOKUP(A18-2,'LPG Fup'!D:D,'LPG Fup'!M:M,"",0)&gt;0),"Z+1"),0)</f>
        <v>0</v>
      </c>
      <c r="Q18" cm="1">
        <f t="array" ref="Q18">_xlfn.IFNA(_xlfn.IFS(AND(_xlfn.XLOOKUP(A18,'LPG Fup'!D:D,'LPG Fup'!M:M,"",0)&lt;&gt;"",_xlfn.XLOOKUP(A18,'LPG Fup'!D:D,'LPG Fup'!M:M,"",0)&lt;0),"I-1", AND(_xlfn.XLOOKUP(A18+1,'LPG Fup'!D:D,'LPG Fup'!M:M,"",0)&lt;&gt;"",_xlfn.XLOOKUP(A18+1,'LPG Fup'!D:D,'LPG Fup'!M:M,"",0)&lt;0),"I-2", AND(_xlfn.XLOOKUP(A18-1,'LPG Fup'!D:D,'LPG Fup'!M:M,"",0)&lt;&gt;"",_xlfn.XLOOKUP(A18-1,'LPG Fup'!D:D,'LPG Fup'!M:M,"",0)&lt;0),"I", AND(_xlfn.XLOOKUP(A18-2,'LPG Fup'!D:D,'LPG Fup'!M:M,"",0)&lt;&gt;"",_xlfn.XLOOKUP(A18-2,'LPG Fup'!D:D,'LPG Fup'!M:M,"",0)&lt;0),"I+1"),0)</f>
        <v>0</v>
      </c>
      <c r="R18">
        <f>_xlfn.XLOOKUP(A18,Covid!A:A,Covid!I:I,0,0)</f>
        <v>1429</v>
      </c>
      <c r="S18">
        <f>_xlfn.XLOOKUP(A18,Covid!A:A,Covid!K:K,0,0)</f>
        <v>19</v>
      </c>
      <c r="T18" s="145">
        <f>_xlfn.XLOOKUP(A18,Covid!A:A,Covid!K:K,0,0)/_xlfn.XLOOKUP(A18,Covid!A:A,Covid!L:L,0,0)</f>
        <v>1.506740681998414E-2</v>
      </c>
    </row>
    <row r="19" spans="1:20" x14ac:dyDescent="0.55000000000000004">
      <c r="A19" s="157">
        <v>44000</v>
      </c>
      <c r="B19" s="13">
        <v>376220</v>
      </c>
      <c r="C19" s="13">
        <v>389970</v>
      </c>
      <c r="D19" s="13">
        <v>11991</v>
      </c>
      <c r="E19" s="13">
        <v>561722</v>
      </c>
      <c r="F19" s="13">
        <v>1339903</v>
      </c>
      <c r="G19">
        <f>IF(OR(_xlfn.XLOOKUP(A19,'LPG Fup'!D:D,'LPG Fup'!L:L,"",0)&gt;0.03,_xlfn.XLOOKUP(A19,'LPG Fup'!D:D,'LPG Fup'!L:L,"",0)&lt;-0.03),_xlfn.XLOOKUP(A19,'LPG Fup'!D:D,'LPG Fup'!L:L,0,0),0)</f>
        <v>0</v>
      </c>
      <c r="H19">
        <f>IF(_xlfn.XLOOKUP(A19,'LPG Fup'!D:D,'LPG Fup'!M:M,0,0)="",0,_xlfn.XLOOKUP(A19,'LPG Fup'!D:D,'LPG Fup'!M:M,0,0))</f>
        <v>0</v>
      </c>
      <c r="I19" s="109">
        <f>_xlfn.XLOOKUP(A19,'Rafineri Fiyatları'!A:A,'Rafineri Fiyatları'!B:B,"",0)</f>
        <v>3752.43</v>
      </c>
      <c r="J19">
        <f t="shared" si="0"/>
        <v>2020</v>
      </c>
      <c r="K19">
        <f t="shared" si="1"/>
        <v>6</v>
      </c>
      <c r="L19">
        <f t="shared" si="2"/>
        <v>18</v>
      </c>
      <c r="M19">
        <f t="shared" si="3"/>
        <v>5</v>
      </c>
      <c r="N19">
        <f>_xlfn.XLOOKUP(A19,tatiller!H:H,tatiller!I:I,0,0)</f>
        <v>0</v>
      </c>
      <c r="O19" cm="1">
        <f t="array" ref="O19">_xlfn.IFNA(_xlfn.IFS(L19=1,"A0",A19=EOMONTH(A19,0),"A-1",L19=2,"A+1"),0)</f>
        <v>0</v>
      </c>
      <c r="P19" cm="1">
        <f t="array" ref="P19">_xlfn.IFNA(_xlfn.IFS(AND(_xlfn.XLOOKUP(A19,'LPG Fup'!D:D,'LPG Fup'!M:M,"",0)&lt;&gt;"",_xlfn.XLOOKUP(A19,'LPG Fup'!D:D,'LPG Fup'!M:M,"",0)&gt;0),"Z-1", AND(_xlfn.XLOOKUP(A19+1,'LPG Fup'!D:D,'LPG Fup'!M:M,"",0)&lt;&gt;"",_xlfn.XLOOKUP(A19+1,'LPG Fup'!D:D,'LPG Fup'!M:M,"",0)&gt;0),"Z-2", AND(_xlfn.XLOOKUP(A19-1,'LPG Fup'!D:D,'LPG Fup'!M:M,"",0)&lt;&gt;"",_xlfn.XLOOKUP(A19-1,'LPG Fup'!D:D,'LPG Fup'!M:M,"",0)&gt;0),"Z", AND(_xlfn.XLOOKUP(A19-2,'LPG Fup'!D:D,'LPG Fup'!M:M,"",0)&lt;&gt;"",_xlfn.XLOOKUP(A19-2,'LPG Fup'!D:D,'LPG Fup'!M:M,"",0)&gt;0),"Z+1"),0)</f>
        <v>0</v>
      </c>
      <c r="Q19" cm="1">
        <f t="array" ref="Q19">_xlfn.IFNA(_xlfn.IFS(AND(_xlfn.XLOOKUP(A19,'LPG Fup'!D:D,'LPG Fup'!M:M,"",0)&lt;&gt;"",_xlfn.XLOOKUP(A19,'LPG Fup'!D:D,'LPG Fup'!M:M,"",0)&lt;0),"I-1", AND(_xlfn.XLOOKUP(A19+1,'LPG Fup'!D:D,'LPG Fup'!M:M,"",0)&lt;&gt;"",_xlfn.XLOOKUP(A19+1,'LPG Fup'!D:D,'LPG Fup'!M:M,"",0)&lt;0),"I-2", AND(_xlfn.XLOOKUP(A19-1,'LPG Fup'!D:D,'LPG Fup'!M:M,"",0)&lt;&gt;"",_xlfn.XLOOKUP(A19-1,'LPG Fup'!D:D,'LPG Fup'!M:M,"",0)&lt;0),"I", AND(_xlfn.XLOOKUP(A19-2,'LPG Fup'!D:D,'LPG Fup'!M:M,"",0)&lt;&gt;"",_xlfn.XLOOKUP(A19-2,'LPG Fup'!D:D,'LPG Fup'!M:M,"",0)&lt;0),"I+1"),0)</f>
        <v>0</v>
      </c>
      <c r="R19">
        <f>_xlfn.XLOOKUP(A19,Covid!A:A,Covid!I:I,0,0)</f>
        <v>1304</v>
      </c>
      <c r="S19">
        <f>_xlfn.XLOOKUP(A19,Covid!A:A,Covid!K:K,0,0)</f>
        <v>21</v>
      </c>
      <c r="T19" s="145">
        <f>_xlfn.XLOOKUP(A19,Covid!A:A,Covid!K:K,0,0)/_xlfn.XLOOKUP(A19,Covid!A:A,Covid!L:L,0,0)</f>
        <v>1.5195369030390739E-2</v>
      </c>
    </row>
    <row r="20" spans="1:20" x14ac:dyDescent="0.55000000000000004">
      <c r="A20" s="157">
        <v>44001</v>
      </c>
      <c r="B20" s="13">
        <v>475160</v>
      </c>
      <c r="C20" s="13">
        <v>435161</v>
      </c>
      <c r="D20" s="13">
        <v>15499</v>
      </c>
      <c r="E20" s="13">
        <v>539183</v>
      </c>
      <c r="F20" s="13">
        <v>1465003</v>
      </c>
      <c r="G20">
        <f>IF(OR(_xlfn.XLOOKUP(A20,'LPG Fup'!D:D,'LPG Fup'!L:L,"",0)&gt;0.03,_xlfn.XLOOKUP(A20,'LPG Fup'!D:D,'LPG Fup'!L:L,"",0)&lt;-0.03),_xlfn.XLOOKUP(A20,'LPG Fup'!D:D,'LPG Fup'!L:L,0,0),0)</f>
        <v>0</v>
      </c>
      <c r="H20">
        <f>IF(_xlfn.XLOOKUP(A20,'LPG Fup'!D:D,'LPG Fup'!M:M,0,0)="",0,_xlfn.XLOOKUP(A20,'LPG Fup'!D:D,'LPG Fup'!M:M,0,0))</f>
        <v>0</v>
      </c>
      <c r="I20" s="109">
        <f>_xlfn.XLOOKUP(A20,'Rafineri Fiyatları'!A:A,'Rafineri Fiyatları'!B:B,"",0)</f>
        <v>3752.43</v>
      </c>
      <c r="J20">
        <f t="shared" si="0"/>
        <v>2020</v>
      </c>
      <c r="K20">
        <f t="shared" si="1"/>
        <v>6</v>
      </c>
      <c r="L20">
        <f t="shared" si="2"/>
        <v>19</v>
      </c>
      <c r="M20">
        <f t="shared" si="3"/>
        <v>6</v>
      </c>
      <c r="N20">
        <f>_xlfn.XLOOKUP(A20,tatiller!H:H,tatiller!I:I,0,0)</f>
        <v>0</v>
      </c>
      <c r="O20" cm="1">
        <f t="array" ref="O20">_xlfn.IFNA(_xlfn.IFS(L20=1,"A0",A20=EOMONTH(A20,0),"A-1",L20=2,"A+1"),0)</f>
        <v>0</v>
      </c>
      <c r="P20" cm="1">
        <f t="array" ref="P20">_xlfn.IFNA(_xlfn.IFS(AND(_xlfn.XLOOKUP(A20,'LPG Fup'!D:D,'LPG Fup'!M:M,"",0)&lt;&gt;"",_xlfn.XLOOKUP(A20,'LPG Fup'!D:D,'LPG Fup'!M:M,"",0)&gt;0),"Z-1", AND(_xlfn.XLOOKUP(A20+1,'LPG Fup'!D:D,'LPG Fup'!M:M,"",0)&lt;&gt;"",_xlfn.XLOOKUP(A20+1,'LPG Fup'!D:D,'LPG Fup'!M:M,"",0)&gt;0),"Z-2", AND(_xlfn.XLOOKUP(A20-1,'LPG Fup'!D:D,'LPG Fup'!M:M,"",0)&lt;&gt;"",_xlfn.XLOOKUP(A20-1,'LPG Fup'!D:D,'LPG Fup'!M:M,"",0)&gt;0),"Z", AND(_xlfn.XLOOKUP(A20-2,'LPG Fup'!D:D,'LPG Fup'!M:M,"",0)&lt;&gt;"",_xlfn.XLOOKUP(A20-2,'LPG Fup'!D:D,'LPG Fup'!M:M,"",0)&gt;0),"Z+1"),0)</f>
        <v>0</v>
      </c>
      <c r="Q20" cm="1">
        <f t="array" ref="Q20">_xlfn.IFNA(_xlfn.IFS(AND(_xlfn.XLOOKUP(A20,'LPG Fup'!D:D,'LPG Fup'!M:M,"",0)&lt;&gt;"",_xlfn.XLOOKUP(A20,'LPG Fup'!D:D,'LPG Fup'!M:M,"",0)&lt;0),"I-1", AND(_xlfn.XLOOKUP(A20+1,'LPG Fup'!D:D,'LPG Fup'!M:M,"",0)&lt;&gt;"",_xlfn.XLOOKUP(A20+1,'LPG Fup'!D:D,'LPG Fup'!M:M,"",0)&lt;0),"I-2", AND(_xlfn.XLOOKUP(A20-1,'LPG Fup'!D:D,'LPG Fup'!M:M,"",0)&lt;&gt;"",_xlfn.XLOOKUP(A20-1,'LPG Fup'!D:D,'LPG Fup'!M:M,"",0)&lt;0),"I", AND(_xlfn.XLOOKUP(A20-2,'LPG Fup'!D:D,'LPG Fup'!M:M,"",0)&lt;&gt;"",_xlfn.XLOOKUP(A20-2,'LPG Fup'!D:D,'LPG Fup'!M:M,"",0)&lt;0),"I+1"),0)</f>
        <v>0</v>
      </c>
      <c r="R20">
        <f>_xlfn.XLOOKUP(A20,Covid!A:A,Covid!I:I,0,0)</f>
        <v>1214</v>
      </c>
      <c r="S20">
        <f>_xlfn.XLOOKUP(A20,Covid!A:A,Covid!K:K,0,0)</f>
        <v>23</v>
      </c>
      <c r="T20" s="145">
        <f>_xlfn.XLOOKUP(A20,Covid!A:A,Covid!K:K,0,0)/_xlfn.XLOOKUP(A20,Covid!A:A,Covid!L:L,0,0)</f>
        <v>1.5394912985274432E-2</v>
      </c>
    </row>
    <row r="21" spans="1:20" x14ac:dyDescent="0.55000000000000004">
      <c r="A21" s="157">
        <v>44002</v>
      </c>
      <c r="B21" s="13">
        <v>491440</v>
      </c>
      <c r="C21" s="13">
        <v>312214</v>
      </c>
      <c r="D21" s="13">
        <v>7886</v>
      </c>
      <c r="E21" s="13">
        <v>646913</v>
      </c>
      <c r="F21" s="13">
        <v>1458453</v>
      </c>
      <c r="G21">
        <f>IF(OR(_xlfn.XLOOKUP(A21,'LPG Fup'!D:D,'LPG Fup'!L:L,"",0)&gt;0.03,_xlfn.XLOOKUP(A21,'LPG Fup'!D:D,'LPG Fup'!L:L,"",0)&lt;-0.03),_xlfn.XLOOKUP(A21,'LPG Fup'!D:D,'LPG Fup'!L:L,0,0),0)</f>
        <v>0</v>
      </c>
      <c r="H21">
        <f>IF(_xlfn.XLOOKUP(A21,'LPG Fup'!D:D,'LPG Fup'!M:M,0,0)="",0,_xlfn.XLOOKUP(A21,'LPG Fup'!D:D,'LPG Fup'!M:M,0,0))</f>
        <v>0</v>
      </c>
      <c r="I21" s="109">
        <f>_xlfn.XLOOKUP(A21,'Rafineri Fiyatları'!A:A,'Rafineri Fiyatları'!B:B,"",0)</f>
        <v>3752.43</v>
      </c>
      <c r="J21">
        <f t="shared" si="0"/>
        <v>2020</v>
      </c>
      <c r="K21">
        <f t="shared" si="1"/>
        <v>6</v>
      </c>
      <c r="L21">
        <f t="shared" si="2"/>
        <v>20</v>
      </c>
      <c r="M21">
        <f t="shared" si="3"/>
        <v>7</v>
      </c>
      <c r="N21">
        <f>_xlfn.XLOOKUP(A21,tatiller!H:H,tatiller!I:I,0,0)</f>
        <v>0</v>
      </c>
      <c r="O21" cm="1">
        <f t="array" ref="O21">_xlfn.IFNA(_xlfn.IFS(L21=1,"A0",A21=EOMONTH(A21,0),"A-1",L21=2,"A+1"),0)</f>
        <v>0</v>
      </c>
      <c r="P21" cm="1">
        <f t="array" ref="P21">_xlfn.IFNA(_xlfn.IFS(AND(_xlfn.XLOOKUP(A21,'LPG Fup'!D:D,'LPG Fup'!M:M,"",0)&lt;&gt;"",_xlfn.XLOOKUP(A21,'LPG Fup'!D:D,'LPG Fup'!M:M,"",0)&gt;0),"Z-1", AND(_xlfn.XLOOKUP(A21+1,'LPG Fup'!D:D,'LPG Fup'!M:M,"",0)&lt;&gt;"",_xlfn.XLOOKUP(A21+1,'LPG Fup'!D:D,'LPG Fup'!M:M,"",0)&gt;0),"Z-2", AND(_xlfn.XLOOKUP(A21-1,'LPG Fup'!D:D,'LPG Fup'!M:M,"",0)&lt;&gt;"",_xlfn.XLOOKUP(A21-1,'LPG Fup'!D:D,'LPG Fup'!M:M,"",0)&gt;0),"Z", AND(_xlfn.XLOOKUP(A21-2,'LPG Fup'!D:D,'LPG Fup'!M:M,"",0)&lt;&gt;"",_xlfn.XLOOKUP(A21-2,'LPG Fup'!D:D,'LPG Fup'!M:M,"",0)&gt;0),"Z+1"),0)</f>
        <v>0</v>
      </c>
      <c r="Q21" cm="1">
        <f t="array" ref="Q21">_xlfn.IFNA(_xlfn.IFS(AND(_xlfn.XLOOKUP(A21,'LPG Fup'!D:D,'LPG Fup'!M:M,"",0)&lt;&gt;"",_xlfn.XLOOKUP(A21,'LPG Fup'!D:D,'LPG Fup'!M:M,"",0)&lt;0),"I-1", AND(_xlfn.XLOOKUP(A21+1,'LPG Fup'!D:D,'LPG Fup'!M:M,"",0)&lt;&gt;"",_xlfn.XLOOKUP(A21+1,'LPG Fup'!D:D,'LPG Fup'!M:M,"",0)&lt;0),"I-2", AND(_xlfn.XLOOKUP(A21-1,'LPG Fup'!D:D,'LPG Fup'!M:M,"",0)&lt;&gt;"",_xlfn.XLOOKUP(A21-1,'LPG Fup'!D:D,'LPG Fup'!M:M,"",0)&lt;0),"I", AND(_xlfn.XLOOKUP(A21-2,'LPG Fup'!D:D,'LPG Fup'!M:M,"",0)&lt;&gt;"",_xlfn.XLOOKUP(A21-2,'LPG Fup'!D:D,'LPG Fup'!M:M,"",0)&lt;0),"I+1"),0)</f>
        <v>0</v>
      </c>
      <c r="R21">
        <f>_xlfn.XLOOKUP(A21,Covid!A:A,Covid!I:I,0,0)</f>
        <v>1248</v>
      </c>
      <c r="S21">
        <f>_xlfn.XLOOKUP(A21,Covid!A:A,Covid!K:K,0,0)</f>
        <v>22</v>
      </c>
      <c r="T21" s="145">
        <f>_xlfn.XLOOKUP(A21,Covid!A:A,Covid!K:K,0,0)/_xlfn.XLOOKUP(A21,Covid!A:A,Covid!L:L,0,0)</f>
        <v>1.676829268292683E-2</v>
      </c>
    </row>
    <row r="22" spans="1:20" x14ac:dyDescent="0.55000000000000004">
      <c r="A22" s="157">
        <v>44003</v>
      </c>
      <c r="B22" s="13">
        <v>474360</v>
      </c>
      <c r="C22" s="13">
        <v>664</v>
      </c>
      <c r="D22" s="13">
        <v>0</v>
      </c>
      <c r="E22" s="13">
        <v>439578</v>
      </c>
      <c r="F22" s="13">
        <v>914602</v>
      </c>
      <c r="G22">
        <f>IF(OR(_xlfn.XLOOKUP(A22,'LPG Fup'!D:D,'LPG Fup'!L:L,"",0)&gt;0.03,_xlfn.XLOOKUP(A22,'LPG Fup'!D:D,'LPG Fup'!L:L,"",0)&lt;-0.03),_xlfn.XLOOKUP(A22,'LPG Fup'!D:D,'LPG Fup'!L:L,0,0),0)</f>
        <v>0</v>
      </c>
      <c r="H22">
        <f>IF(_xlfn.XLOOKUP(A22,'LPG Fup'!D:D,'LPG Fup'!M:M,0,0)="",0,_xlfn.XLOOKUP(A22,'LPG Fup'!D:D,'LPG Fup'!M:M,0,0))</f>
        <v>0</v>
      </c>
      <c r="I22" s="109">
        <f>_xlfn.XLOOKUP(A22,'Rafineri Fiyatları'!A:A,'Rafineri Fiyatları'!B:B,"",0)</f>
        <v>3752.43</v>
      </c>
      <c r="J22">
        <f t="shared" si="0"/>
        <v>2020</v>
      </c>
      <c r="K22">
        <f t="shared" si="1"/>
        <v>6</v>
      </c>
      <c r="L22">
        <f t="shared" si="2"/>
        <v>21</v>
      </c>
      <c r="M22">
        <f t="shared" si="3"/>
        <v>1</v>
      </c>
      <c r="N22">
        <f>_xlfn.XLOOKUP(A22,tatiller!H:H,tatiller!I:I,0,0)</f>
        <v>0</v>
      </c>
      <c r="O22" cm="1">
        <f t="array" ref="O22">_xlfn.IFNA(_xlfn.IFS(L22=1,"A0",A22=EOMONTH(A22,0),"A-1",L22=2,"A+1"),0)</f>
        <v>0</v>
      </c>
      <c r="P22" cm="1">
        <f t="array" ref="P22">_xlfn.IFNA(_xlfn.IFS(AND(_xlfn.XLOOKUP(A22,'LPG Fup'!D:D,'LPG Fup'!M:M,"",0)&lt;&gt;"",_xlfn.XLOOKUP(A22,'LPG Fup'!D:D,'LPG Fup'!M:M,"",0)&gt;0),"Z-1", AND(_xlfn.XLOOKUP(A22+1,'LPG Fup'!D:D,'LPG Fup'!M:M,"",0)&lt;&gt;"",_xlfn.XLOOKUP(A22+1,'LPG Fup'!D:D,'LPG Fup'!M:M,"",0)&gt;0),"Z-2", AND(_xlfn.XLOOKUP(A22-1,'LPG Fup'!D:D,'LPG Fup'!M:M,"",0)&lt;&gt;"",_xlfn.XLOOKUP(A22-1,'LPG Fup'!D:D,'LPG Fup'!M:M,"",0)&gt;0),"Z", AND(_xlfn.XLOOKUP(A22-2,'LPG Fup'!D:D,'LPG Fup'!M:M,"",0)&lt;&gt;"",_xlfn.XLOOKUP(A22-2,'LPG Fup'!D:D,'LPG Fup'!M:M,"",0)&gt;0),"Z+1"),0)</f>
        <v>0</v>
      </c>
      <c r="Q22" cm="1">
        <f t="array" ref="Q22">_xlfn.IFNA(_xlfn.IFS(AND(_xlfn.XLOOKUP(A22,'LPG Fup'!D:D,'LPG Fup'!M:M,"",0)&lt;&gt;"",_xlfn.XLOOKUP(A22,'LPG Fup'!D:D,'LPG Fup'!M:M,"",0)&lt;0),"I-1", AND(_xlfn.XLOOKUP(A22+1,'LPG Fup'!D:D,'LPG Fup'!M:M,"",0)&lt;&gt;"",_xlfn.XLOOKUP(A22+1,'LPG Fup'!D:D,'LPG Fup'!M:M,"",0)&lt;0),"I-2", AND(_xlfn.XLOOKUP(A22-1,'LPG Fup'!D:D,'LPG Fup'!M:M,"",0)&lt;&gt;"",_xlfn.XLOOKUP(A22-1,'LPG Fup'!D:D,'LPG Fup'!M:M,"",0)&lt;0),"I", AND(_xlfn.XLOOKUP(A22-2,'LPG Fup'!D:D,'LPG Fup'!M:M,"",0)&lt;&gt;"",_xlfn.XLOOKUP(A22-2,'LPG Fup'!D:D,'LPG Fup'!M:M,"",0)&lt;0),"I+1"),0)</f>
        <v>0</v>
      </c>
      <c r="R22">
        <f>_xlfn.XLOOKUP(A22,Covid!A:A,Covid!I:I,0,0)</f>
        <v>1192</v>
      </c>
      <c r="S22">
        <f>_xlfn.XLOOKUP(A22,Covid!A:A,Covid!K:K,0,0)</f>
        <v>23</v>
      </c>
      <c r="T22" s="145">
        <f>_xlfn.XLOOKUP(A22,Covid!A:A,Covid!K:K,0,0)/_xlfn.XLOOKUP(A22,Covid!A:A,Covid!L:L,0,0)</f>
        <v>1.6288951841359773E-2</v>
      </c>
    </row>
    <row r="23" spans="1:20" x14ac:dyDescent="0.55000000000000004">
      <c r="A23" s="157">
        <v>44004</v>
      </c>
      <c r="B23" s="13">
        <v>791817</v>
      </c>
      <c r="C23" s="13">
        <v>425175</v>
      </c>
      <c r="D23" s="13">
        <v>4201</v>
      </c>
      <c r="E23" s="13">
        <v>639943</v>
      </c>
      <c r="F23" s="13">
        <v>1861136</v>
      </c>
      <c r="G23">
        <f>IF(OR(_xlfn.XLOOKUP(A23,'LPG Fup'!D:D,'LPG Fup'!L:L,"",0)&gt;0.03,_xlfn.XLOOKUP(A23,'LPG Fup'!D:D,'LPG Fup'!L:L,"",0)&lt;-0.03),_xlfn.XLOOKUP(A23,'LPG Fup'!D:D,'LPG Fup'!L:L,0,0),0)</f>
        <v>0</v>
      </c>
      <c r="H23">
        <f>IF(_xlfn.XLOOKUP(A23,'LPG Fup'!D:D,'LPG Fup'!M:M,0,0)="",0,_xlfn.XLOOKUP(A23,'LPG Fup'!D:D,'LPG Fup'!M:M,0,0))</f>
        <v>0</v>
      </c>
      <c r="I23" s="109">
        <f>_xlfn.XLOOKUP(A23,'Rafineri Fiyatları'!A:A,'Rafineri Fiyatları'!B:B,"",0)</f>
        <v>3752.43</v>
      </c>
      <c r="J23">
        <f t="shared" si="0"/>
        <v>2020</v>
      </c>
      <c r="K23">
        <f t="shared" si="1"/>
        <v>6</v>
      </c>
      <c r="L23">
        <f t="shared" si="2"/>
        <v>22</v>
      </c>
      <c r="M23">
        <f t="shared" si="3"/>
        <v>2</v>
      </c>
      <c r="N23">
        <f>_xlfn.XLOOKUP(A23,tatiller!H:H,tatiller!I:I,0,0)</f>
        <v>0</v>
      </c>
      <c r="O23" cm="1">
        <f t="array" ref="O23">_xlfn.IFNA(_xlfn.IFS(L23=1,"A0",A23=EOMONTH(A23,0),"A-1",L23=2,"A+1"),0)</f>
        <v>0</v>
      </c>
      <c r="P23" cm="1">
        <f t="array" ref="P23">_xlfn.IFNA(_xlfn.IFS(AND(_xlfn.XLOOKUP(A23,'LPG Fup'!D:D,'LPG Fup'!M:M,"",0)&lt;&gt;"",_xlfn.XLOOKUP(A23,'LPG Fup'!D:D,'LPG Fup'!M:M,"",0)&gt;0),"Z-1", AND(_xlfn.XLOOKUP(A23+1,'LPG Fup'!D:D,'LPG Fup'!M:M,"",0)&lt;&gt;"",_xlfn.XLOOKUP(A23+1,'LPG Fup'!D:D,'LPG Fup'!M:M,"",0)&gt;0),"Z-2", AND(_xlfn.XLOOKUP(A23-1,'LPG Fup'!D:D,'LPG Fup'!M:M,"",0)&lt;&gt;"",_xlfn.XLOOKUP(A23-1,'LPG Fup'!D:D,'LPG Fup'!M:M,"",0)&gt;0),"Z", AND(_xlfn.XLOOKUP(A23-2,'LPG Fup'!D:D,'LPG Fup'!M:M,"",0)&lt;&gt;"",_xlfn.XLOOKUP(A23-2,'LPG Fup'!D:D,'LPG Fup'!M:M,"",0)&gt;0),"Z+1"),0)</f>
        <v>0</v>
      </c>
      <c r="Q23" cm="1">
        <f t="array" ref="Q23">_xlfn.IFNA(_xlfn.IFS(AND(_xlfn.XLOOKUP(A23,'LPG Fup'!D:D,'LPG Fup'!M:M,"",0)&lt;&gt;"",_xlfn.XLOOKUP(A23,'LPG Fup'!D:D,'LPG Fup'!M:M,"",0)&lt;0),"I-1", AND(_xlfn.XLOOKUP(A23+1,'LPG Fup'!D:D,'LPG Fup'!M:M,"",0)&lt;&gt;"",_xlfn.XLOOKUP(A23+1,'LPG Fup'!D:D,'LPG Fup'!M:M,"",0)&lt;0),"I-2", AND(_xlfn.XLOOKUP(A23-1,'LPG Fup'!D:D,'LPG Fup'!M:M,"",0)&lt;&gt;"",_xlfn.XLOOKUP(A23-1,'LPG Fup'!D:D,'LPG Fup'!M:M,"",0)&lt;0),"I", AND(_xlfn.XLOOKUP(A23-2,'LPG Fup'!D:D,'LPG Fup'!M:M,"",0)&lt;&gt;"",_xlfn.XLOOKUP(A23-2,'LPG Fup'!D:D,'LPG Fup'!M:M,"",0)&lt;0),"I+1"),0)</f>
        <v>0</v>
      </c>
      <c r="R23">
        <f>_xlfn.XLOOKUP(A23,Covid!A:A,Covid!I:I,0,0)</f>
        <v>1212</v>
      </c>
      <c r="S23">
        <f>_xlfn.XLOOKUP(A23,Covid!A:A,Covid!K:K,0,0)</f>
        <v>24</v>
      </c>
      <c r="T23" s="145">
        <f>_xlfn.XLOOKUP(A23,Covid!A:A,Covid!K:K,0,0)/_xlfn.XLOOKUP(A23,Covid!A:A,Covid!L:L,0,0)</f>
        <v>1.8561484918793503E-2</v>
      </c>
    </row>
    <row r="24" spans="1:20" x14ac:dyDescent="0.55000000000000004">
      <c r="A24" s="157">
        <v>44005</v>
      </c>
      <c r="B24" s="13">
        <v>733780</v>
      </c>
      <c r="C24" s="13">
        <v>532857</v>
      </c>
      <c r="D24" s="13">
        <v>6117</v>
      </c>
      <c r="E24" s="13">
        <v>591885</v>
      </c>
      <c r="F24" s="13">
        <v>1864639</v>
      </c>
      <c r="G24">
        <f>IF(OR(_xlfn.XLOOKUP(A24,'LPG Fup'!D:D,'LPG Fup'!L:L,"",0)&gt;0.03,_xlfn.XLOOKUP(A24,'LPG Fup'!D:D,'LPG Fup'!L:L,"",0)&lt;-0.03),_xlfn.XLOOKUP(A24,'LPG Fup'!D:D,'LPG Fup'!L:L,0,0),0)</f>
        <v>0</v>
      </c>
      <c r="H24">
        <f>IF(_xlfn.XLOOKUP(A24,'LPG Fup'!D:D,'LPG Fup'!M:M,0,0)="",0,_xlfn.XLOOKUP(A24,'LPG Fup'!D:D,'LPG Fup'!M:M,0,0))</f>
        <v>0</v>
      </c>
      <c r="I24" s="109">
        <f>_xlfn.XLOOKUP(A24,'Rafineri Fiyatları'!A:A,'Rafineri Fiyatları'!B:B,"",0)</f>
        <v>3752.43</v>
      </c>
      <c r="J24">
        <f t="shared" si="0"/>
        <v>2020</v>
      </c>
      <c r="K24">
        <f t="shared" si="1"/>
        <v>6</v>
      </c>
      <c r="L24">
        <f t="shared" si="2"/>
        <v>23</v>
      </c>
      <c r="M24">
        <f t="shared" si="3"/>
        <v>3</v>
      </c>
      <c r="N24">
        <f>_xlfn.XLOOKUP(A24,tatiller!H:H,tatiller!I:I,0,0)</f>
        <v>0</v>
      </c>
      <c r="O24" cm="1">
        <f t="array" ref="O24">_xlfn.IFNA(_xlfn.IFS(L24=1,"A0",A24=EOMONTH(A24,0),"A-1",L24=2,"A+1"),0)</f>
        <v>0</v>
      </c>
      <c r="P24" cm="1">
        <f t="array" ref="P24">_xlfn.IFNA(_xlfn.IFS(AND(_xlfn.XLOOKUP(A24,'LPG Fup'!D:D,'LPG Fup'!M:M,"",0)&lt;&gt;"",_xlfn.XLOOKUP(A24,'LPG Fup'!D:D,'LPG Fup'!M:M,"",0)&gt;0),"Z-1", AND(_xlfn.XLOOKUP(A24+1,'LPG Fup'!D:D,'LPG Fup'!M:M,"",0)&lt;&gt;"",_xlfn.XLOOKUP(A24+1,'LPG Fup'!D:D,'LPG Fup'!M:M,"",0)&gt;0),"Z-2", AND(_xlfn.XLOOKUP(A24-1,'LPG Fup'!D:D,'LPG Fup'!M:M,"",0)&lt;&gt;"",_xlfn.XLOOKUP(A24-1,'LPG Fup'!D:D,'LPG Fup'!M:M,"",0)&gt;0),"Z", AND(_xlfn.XLOOKUP(A24-2,'LPG Fup'!D:D,'LPG Fup'!M:M,"",0)&lt;&gt;"",_xlfn.XLOOKUP(A24-2,'LPG Fup'!D:D,'LPG Fup'!M:M,"",0)&gt;0),"Z+1"),0)</f>
        <v>0</v>
      </c>
      <c r="Q24" cm="1">
        <f t="array" ref="Q24">_xlfn.IFNA(_xlfn.IFS(AND(_xlfn.XLOOKUP(A24,'LPG Fup'!D:D,'LPG Fup'!M:M,"",0)&lt;&gt;"",_xlfn.XLOOKUP(A24,'LPG Fup'!D:D,'LPG Fup'!M:M,"",0)&lt;0),"I-1", AND(_xlfn.XLOOKUP(A24+1,'LPG Fup'!D:D,'LPG Fup'!M:M,"",0)&lt;&gt;"",_xlfn.XLOOKUP(A24+1,'LPG Fup'!D:D,'LPG Fup'!M:M,"",0)&lt;0),"I-2", AND(_xlfn.XLOOKUP(A24-1,'LPG Fup'!D:D,'LPG Fup'!M:M,"",0)&lt;&gt;"",_xlfn.XLOOKUP(A24-1,'LPG Fup'!D:D,'LPG Fup'!M:M,"",0)&lt;0),"I", AND(_xlfn.XLOOKUP(A24-2,'LPG Fup'!D:D,'LPG Fup'!M:M,"",0)&lt;&gt;"",_xlfn.XLOOKUP(A24-2,'LPG Fup'!D:D,'LPG Fup'!M:M,"",0)&lt;0),"I+1"),0)</f>
        <v>0</v>
      </c>
      <c r="R24">
        <f>_xlfn.XLOOKUP(A24,Covid!A:A,Covid!I:I,0,0)</f>
        <v>1268</v>
      </c>
      <c r="S24">
        <f>_xlfn.XLOOKUP(A24,Covid!A:A,Covid!K:K,0,0)</f>
        <v>27</v>
      </c>
      <c r="T24" s="145">
        <f>_xlfn.XLOOKUP(A24,Covid!A:A,Covid!K:K,0,0)/_xlfn.XLOOKUP(A24,Covid!A:A,Covid!L:L,0,0)</f>
        <v>2.0532319391634982E-2</v>
      </c>
    </row>
    <row r="25" spans="1:20" x14ac:dyDescent="0.55000000000000004">
      <c r="A25" s="157">
        <v>44006</v>
      </c>
      <c r="B25" s="13">
        <v>456660</v>
      </c>
      <c r="C25" s="13">
        <v>420761</v>
      </c>
      <c r="D25" s="13">
        <v>2239</v>
      </c>
      <c r="E25" s="13">
        <v>513672</v>
      </c>
      <c r="F25" s="13">
        <v>1393332</v>
      </c>
      <c r="G25">
        <f>IF(OR(_xlfn.XLOOKUP(A25,'LPG Fup'!D:D,'LPG Fup'!L:L,"",0)&gt;0.03,_xlfn.XLOOKUP(A25,'LPG Fup'!D:D,'LPG Fup'!L:L,"",0)&lt;-0.03),_xlfn.XLOOKUP(A25,'LPG Fup'!D:D,'LPG Fup'!L:L,0,0),0)</f>
        <v>0</v>
      </c>
      <c r="H25">
        <f>IF(_xlfn.XLOOKUP(A25,'LPG Fup'!D:D,'LPG Fup'!M:M,0,0)="",0,_xlfn.XLOOKUP(A25,'LPG Fup'!D:D,'LPG Fup'!M:M,0,0))</f>
        <v>0</v>
      </c>
      <c r="I25" s="109">
        <f>_xlfn.XLOOKUP(A25,'Rafineri Fiyatları'!A:A,'Rafineri Fiyatları'!B:B,"",0)</f>
        <v>3752.43</v>
      </c>
      <c r="J25">
        <f t="shared" si="0"/>
        <v>2020</v>
      </c>
      <c r="K25">
        <f t="shared" si="1"/>
        <v>6</v>
      </c>
      <c r="L25">
        <f t="shared" si="2"/>
        <v>24</v>
      </c>
      <c r="M25">
        <f t="shared" si="3"/>
        <v>4</v>
      </c>
      <c r="N25">
        <f>_xlfn.XLOOKUP(A25,tatiller!H:H,tatiller!I:I,0,0)</f>
        <v>0</v>
      </c>
      <c r="O25" cm="1">
        <f t="array" ref="O25">_xlfn.IFNA(_xlfn.IFS(L25=1,"A0",A25=EOMONTH(A25,0),"A-1",L25=2,"A+1"),0)</f>
        <v>0</v>
      </c>
      <c r="P25" cm="1">
        <f t="array" ref="P25">_xlfn.IFNA(_xlfn.IFS(AND(_xlfn.XLOOKUP(A25,'LPG Fup'!D:D,'LPG Fup'!M:M,"",0)&lt;&gt;"",_xlfn.XLOOKUP(A25,'LPG Fup'!D:D,'LPG Fup'!M:M,"",0)&gt;0),"Z-1", AND(_xlfn.XLOOKUP(A25+1,'LPG Fup'!D:D,'LPG Fup'!M:M,"",0)&lt;&gt;"",_xlfn.XLOOKUP(A25+1,'LPG Fup'!D:D,'LPG Fup'!M:M,"",0)&gt;0),"Z-2", AND(_xlfn.XLOOKUP(A25-1,'LPG Fup'!D:D,'LPG Fup'!M:M,"",0)&lt;&gt;"",_xlfn.XLOOKUP(A25-1,'LPG Fup'!D:D,'LPG Fup'!M:M,"",0)&gt;0),"Z", AND(_xlfn.XLOOKUP(A25-2,'LPG Fup'!D:D,'LPG Fup'!M:M,"",0)&lt;&gt;"",_xlfn.XLOOKUP(A25-2,'LPG Fup'!D:D,'LPG Fup'!M:M,"",0)&gt;0),"Z+1"),0)</f>
        <v>0</v>
      </c>
      <c r="Q25" cm="1">
        <f t="array" ref="Q25">_xlfn.IFNA(_xlfn.IFS(AND(_xlfn.XLOOKUP(A25,'LPG Fup'!D:D,'LPG Fup'!M:M,"",0)&lt;&gt;"",_xlfn.XLOOKUP(A25,'LPG Fup'!D:D,'LPG Fup'!M:M,"",0)&lt;0),"I-1", AND(_xlfn.XLOOKUP(A25+1,'LPG Fup'!D:D,'LPG Fup'!M:M,"",0)&lt;&gt;"",_xlfn.XLOOKUP(A25+1,'LPG Fup'!D:D,'LPG Fup'!M:M,"",0)&lt;0),"I-2", AND(_xlfn.XLOOKUP(A25-1,'LPG Fup'!D:D,'LPG Fup'!M:M,"",0)&lt;&gt;"",_xlfn.XLOOKUP(A25-1,'LPG Fup'!D:D,'LPG Fup'!M:M,"",0)&lt;0),"I", AND(_xlfn.XLOOKUP(A25-2,'LPG Fup'!D:D,'LPG Fup'!M:M,"",0)&lt;&gt;"",_xlfn.XLOOKUP(A25-2,'LPG Fup'!D:D,'LPG Fup'!M:M,"",0)&lt;0),"I+1"),0)</f>
        <v>0</v>
      </c>
      <c r="R25">
        <f>_xlfn.XLOOKUP(A25,Covid!A:A,Covid!I:I,0,0)</f>
        <v>1492</v>
      </c>
      <c r="S25">
        <f>_xlfn.XLOOKUP(A25,Covid!A:A,Covid!K:K,0,0)</f>
        <v>24</v>
      </c>
      <c r="T25" s="145">
        <f>_xlfn.XLOOKUP(A25,Covid!A:A,Covid!K:K,0,0)/_xlfn.XLOOKUP(A25,Covid!A:A,Covid!L:L,0,0)</f>
        <v>1.7316017316017316E-2</v>
      </c>
    </row>
    <row r="26" spans="1:20" x14ac:dyDescent="0.55000000000000004">
      <c r="A26" s="157">
        <v>44007</v>
      </c>
      <c r="B26" s="13">
        <v>1450340</v>
      </c>
      <c r="C26" s="13">
        <v>507295</v>
      </c>
      <c r="D26" s="13">
        <v>7200</v>
      </c>
      <c r="E26" s="13">
        <v>563111</v>
      </c>
      <c r="F26" s="13">
        <v>2527946</v>
      </c>
      <c r="G26">
        <f>IF(OR(_xlfn.XLOOKUP(A26,'LPG Fup'!D:D,'LPG Fup'!L:L,"",0)&gt;0.03,_xlfn.XLOOKUP(A26,'LPG Fup'!D:D,'LPG Fup'!L:L,"",0)&lt;-0.03),_xlfn.XLOOKUP(A26,'LPG Fup'!D:D,'LPG Fup'!L:L,0,0),0)</f>
        <v>0</v>
      </c>
      <c r="H26">
        <f>IF(_xlfn.XLOOKUP(A26,'LPG Fup'!D:D,'LPG Fup'!M:M,0,0)="",0,_xlfn.XLOOKUP(A26,'LPG Fup'!D:D,'LPG Fup'!M:M,0,0))</f>
        <v>0</v>
      </c>
      <c r="I26" s="109">
        <f>_xlfn.XLOOKUP(A26,'Rafineri Fiyatları'!A:A,'Rafineri Fiyatları'!B:B,"",0)</f>
        <v>3752.43</v>
      </c>
      <c r="J26">
        <f t="shared" si="0"/>
        <v>2020</v>
      </c>
      <c r="K26">
        <f t="shared" si="1"/>
        <v>6</v>
      </c>
      <c r="L26">
        <f t="shared" si="2"/>
        <v>25</v>
      </c>
      <c r="M26">
        <f t="shared" si="3"/>
        <v>5</v>
      </c>
      <c r="N26">
        <f>_xlfn.XLOOKUP(A26,tatiller!H:H,tatiller!I:I,0,0)</f>
        <v>0</v>
      </c>
      <c r="O26" cm="1">
        <f t="array" ref="O26">_xlfn.IFNA(_xlfn.IFS(L26=1,"A0",A26=EOMONTH(A26,0),"A-1",L26=2,"A+1"),0)</f>
        <v>0</v>
      </c>
      <c r="P26" cm="1">
        <f t="array" ref="P26">_xlfn.IFNA(_xlfn.IFS(AND(_xlfn.XLOOKUP(A26,'LPG Fup'!D:D,'LPG Fup'!M:M,"",0)&lt;&gt;"",_xlfn.XLOOKUP(A26,'LPG Fup'!D:D,'LPG Fup'!M:M,"",0)&gt;0),"Z-1", AND(_xlfn.XLOOKUP(A26+1,'LPG Fup'!D:D,'LPG Fup'!M:M,"",0)&lt;&gt;"",_xlfn.XLOOKUP(A26+1,'LPG Fup'!D:D,'LPG Fup'!M:M,"",0)&gt;0),"Z-2", AND(_xlfn.XLOOKUP(A26-1,'LPG Fup'!D:D,'LPG Fup'!M:M,"",0)&lt;&gt;"",_xlfn.XLOOKUP(A26-1,'LPG Fup'!D:D,'LPG Fup'!M:M,"",0)&gt;0),"Z", AND(_xlfn.XLOOKUP(A26-2,'LPG Fup'!D:D,'LPG Fup'!M:M,"",0)&lt;&gt;"",_xlfn.XLOOKUP(A26-2,'LPG Fup'!D:D,'LPG Fup'!M:M,"",0)&gt;0),"Z+1"),0)</f>
        <v>0</v>
      </c>
      <c r="Q26" cm="1">
        <f t="array" ref="Q26">_xlfn.IFNA(_xlfn.IFS(AND(_xlfn.XLOOKUP(A26,'LPG Fup'!D:D,'LPG Fup'!M:M,"",0)&lt;&gt;"",_xlfn.XLOOKUP(A26,'LPG Fup'!D:D,'LPG Fup'!M:M,"",0)&lt;0),"I-1", AND(_xlfn.XLOOKUP(A26+1,'LPG Fup'!D:D,'LPG Fup'!M:M,"",0)&lt;&gt;"",_xlfn.XLOOKUP(A26+1,'LPG Fup'!D:D,'LPG Fup'!M:M,"",0)&lt;0),"I-2", AND(_xlfn.XLOOKUP(A26-1,'LPG Fup'!D:D,'LPG Fup'!M:M,"",0)&lt;&gt;"",_xlfn.XLOOKUP(A26-1,'LPG Fup'!D:D,'LPG Fup'!M:M,"",0)&lt;0),"I", AND(_xlfn.XLOOKUP(A26-2,'LPG Fup'!D:D,'LPG Fup'!M:M,"",0)&lt;&gt;"",_xlfn.XLOOKUP(A26-2,'LPG Fup'!D:D,'LPG Fup'!M:M,"",0)&lt;0),"I+1"),0)</f>
        <v>0</v>
      </c>
      <c r="R26">
        <f>_xlfn.XLOOKUP(A26,Covid!A:A,Covid!I:I,0,0)</f>
        <v>1458</v>
      </c>
      <c r="S26">
        <f>_xlfn.XLOOKUP(A26,Covid!A:A,Covid!K:K,0,0)</f>
        <v>21</v>
      </c>
      <c r="T26" s="145">
        <f>_xlfn.XLOOKUP(A26,Covid!A:A,Covid!K:K,0,0)/_xlfn.XLOOKUP(A26,Covid!A:A,Covid!L:L,0,0)</f>
        <v>1.4266304347826086E-2</v>
      </c>
    </row>
    <row r="27" spans="1:20" x14ac:dyDescent="0.55000000000000004">
      <c r="A27" s="157">
        <v>44008</v>
      </c>
      <c r="B27" s="13">
        <v>560980</v>
      </c>
      <c r="C27" s="13">
        <v>492067</v>
      </c>
      <c r="D27" s="13">
        <v>11558</v>
      </c>
      <c r="E27" s="13">
        <v>674334</v>
      </c>
      <c r="F27" s="13">
        <v>1738939</v>
      </c>
      <c r="G27">
        <f>IF(OR(_xlfn.XLOOKUP(A27,'LPG Fup'!D:D,'LPG Fup'!L:L,"",0)&gt;0.03,_xlfn.XLOOKUP(A27,'LPG Fup'!D:D,'LPG Fup'!L:L,"",0)&lt;-0.03),_xlfn.XLOOKUP(A27,'LPG Fup'!D:D,'LPG Fup'!L:L,0,0),0)</f>
        <v>0</v>
      </c>
      <c r="H27">
        <f>IF(_xlfn.XLOOKUP(A27,'LPG Fup'!D:D,'LPG Fup'!M:M,0,0)="",0,_xlfn.XLOOKUP(A27,'LPG Fup'!D:D,'LPG Fup'!M:M,0,0))</f>
        <v>0</v>
      </c>
      <c r="I27" s="109">
        <f>_xlfn.XLOOKUP(A27,'Rafineri Fiyatları'!A:A,'Rafineri Fiyatları'!B:B,"",0)</f>
        <v>3752.43</v>
      </c>
      <c r="J27">
        <f t="shared" si="0"/>
        <v>2020</v>
      </c>
      <c r="K27">
        <f t="shared" si="1"/>
        <v>6</v>
      </c>
      <c r="L27">
        <f t="shared" si="2"/>
        <v>26</v>
      </c>
      <c r="M27">
        <f t="shared" si="3"/>
        <v>6</v>
      </c>
      <c r="N27">
        <f>_xlfn.XLOOKUP(A27,tatiller!H:H,tatiller!I:I,0,0)</f>
        <v>0</v>
      </c>
      <c r="O27" cm="1">
        <f t="array" ref="O27">_xlfn.IFNA(_xlfn.IFS(L27=1,"A0",A27=EOMONTH(A27,0),"A-1",L27=2,"A+1"),0)</f>
        <v>0</v>
      </c>
      <c r="P27" cm="1">
        <f t="array" ref="P27">_xlfn.IFNA(_xlfn.IFS(AND(_xlfn.XLOOKUP(A27,'LPG Fup'!D:D,'LPG Fup'!M:M,"",0)&lt;&gt;"",_xlfn.XLOOKUP(A27,'LPG Fup'!D:D,'LPG Fup'!M:M,"",0)&gt;0),"Z-1", AND(_xlfn.XLOOKUP(A27+1,'LPG Fup'!D:D,'LPG Fup'!M:M,"",0)&lt;&gt;"",_xlfn.XLOOKUP(A27+1,'LPG Fup'!D:D,'LPG Fup'!M:M,"",0)&gt;0),"Z-2", AND(_xlfn.XLOOKUP(A27-1,'LPG Fup'!D:D,'LPG Fup'!M:M,"",0)&lt;&gt;"",_xlfn.XLOOKUP(A27-1,'LPG Fup'!D:D,'LPG Fup'!M:M,"",0)&gt;0),"Z", AND(_xlfn.XLOOKUP(A27-2,'LPG Fup'!D:D,'LPG Fup'!M:M,"",0)&lt;&gt;"",_xlfn.XLOOKUP(A27-2,'LPG Fup'!D:D,'LPG Fup'!M:M,"",0)&gt;0),"Z+1"),0)</f>
        <v>0</v>
      </c>
      <c r="Q27" cm="1">
        <f t="array" ref="Q27">_xlfn.IFNA(_xlfn.IFS(AND(_xlfn.XLOOKUP(A27,'LPG Fup'!D:D,'LPG Fup'!M:M,"",0)&lt;&gt;"",_xlfn.XLOOKUP(A27,'LPG Fup'!D:D,'LPG Fup'!M:M,"",0)&lt;0),"I-1", AND(_xlfn.XLOOKUP(A27+1,'LPG Fup'!D:D,'LPG Fup'!M:M,"",0)&lt;&gt;"",_xlfn.XLOOKUP(A27+1,'LPG Fup'!D:D,'LPG Fup'!M:M,"",0)&lt;0),"I-2", AND(_xlfn.XLOOKUP(A27-1,'LPG Fup'!D:D,'LPG Fup'!M:M,"",0)&lt;&gt;"",_xlfn.XLOOKUP(A27-1,'LPG Fup'!D:D,'LPG Fup'!M:M,"",0)&lt;0),"I", AND(_xlfn.XLOOKUP(A27-2,'LPG Fup'!D:D,'LPG Fup'!M:M,"",0)&lt;&gt;"",_xlfn.XLOOKUP(A27-2,'LPG Fup'!D:D,'LPG Fup'!M:M,"",0)&lt;0),"I+1"),0)</f>
        <v>0</v>
      </c>
      <c r="R27">
        <f>_xlfn.XLOOKUP(A27,Covid!A:A,Covid!I:I,0,0)</f>
        <v>1396</v>
      </c>
      <c r="S27">
        <f>_xlfn.XLOOKUP(A27,Covid!A:A,Covid!K:K,0,0)</f>
        <v>19</v>
      </c>
      <c r="T27" s="145">
        <f>_xlfn.XLOOKUP(A27,Covid!A:A,Covid!K:K,0,0)/_xlfn.XLOOKUP(A27,Covid!A:A,Covid!L:L,0,0)</f>
        <v>1.2734584450402145E-2</v>
      </c>
    </row>
    <row r="28" spans="1:20" x14ac:dyDescent="0.55000000000000004">
      <c r="A28" s="157">
        <v>44009</v>
      </c>
      <c r="B28" s="13">
        <v>630820</v>
      </c>
      <c r="C28" s="13">
        <v>424738</v>
      </c>
      <c r="D28" s="13">
        <v>1933</v>
      </c>
      <c r="E28" s="13">
        <v>638173</v>
      </c>
      <c r="F28" s="13">
        <v>1695664</v>
      </c>
      <c r="G28">
        <f>IF(OR(_xlfn.XLOOKUP(A28,'LPG Fup'!D:D,'LPG Fup'!L:L,"",0)&gt;0.03,_xlfn.XLOOKUP(A28,'LPG Fup'!D:D,'LPG Fup'!L:L,"",0)&lt;-0.03),_xlfn.XLOOKUP(A28,'LPG Fup'!D:D,'LPG Fup'!L:L,0,0),0)</f>
        <v>0</v>
      </c>
      <c r="H28">
        <f>IF(_xlfn.XLOOKUP(A28,'LPG Fup'!D:D,'LPG Fup'!M:M,0,0)="",0,_xlfn.XLOOKUP(A28,'LPG Fup'!D:D,'LPG Fup'!M:M,0,0))</f>
        <v>0</v>
      </c>
      <c r="I28" s="109">
        <f>_xlfn.XLOOKUP(A28,'Rafineri Fiyatları'!A:A,'Rafineri Fiyatları'!B:B,"",0)</f>
        <v>3752.43</v>
      </c>
      <c r="J28">
        <f t="shared" si="0"/>
        <v>2020</v>
      </c>
      <c r="K28">
        <f t="shared" si="1"/>
        <v>6</v>
      </c>
      <c r="L28">
        <f t="shared" si="2"/>
        <v>27</v>
      </c>
      <c r="M28">
        <f t="shared" si="3"/>
        <v>7</v>
      </c>
      <c r="N28">
        <f>_xlfn.XLOOKUP(A28,tatiller!H:H,tatiller!I:I,0,0)</f>
        <v>0</v>
      </c>
      <c r="O28" cm="1">
        <f t="array" ref="O28">_xlfn.IFNA(_xlfn.IFS(L28=1,"A0",A28=EOMONTH(A28,0),"A-1",L28=2,"A+1"),0)</f>
        <v>0</v>
      </c>
      <c r="P28" cm="1">
        <f t="array" ref="P28">_xlfn.IFNA(_xlfn.IFS(AND(_xlfn.XLOOKUP(A28,'LPG Fup'!D:D,'LPG Fup'!M:M,"",0)&lt;&gt;"",_xlfn.XLOOKUP(A28,'LPG Fup'!D:D,'LPG Fup'!M:M,"",0)&gt;0),"Z-1", AND(_xlfn.XLOOKUP(A28+1,'LPG Fup'!D:D,'LPG Fup'!M:M,"",0)&lt;&gt;"",_xlfn.XLOOKUP(A28+1,'LPG Fup'!D:D,'LPG Fup'!M:M,"",0)&gt;0),"Z-2", AND(_xlfn.XLOOKUP(A28-1,'LPG Fup'!D:D,'LPG Fup'!M:M,"",0)&lt;&gt;"",_xlfn.XLOOKUP(A28-1,'LPG Fup'!D:D,'LPG Fup'!M:M,"",0)&gt;0),"Z", AND(_xlfn.XLOOKUP(A28-2,'LPG Fup'!D:D,'LPG Fup'!M:M,"",0)&lt;&gt;"",_xlfn.XLOOKUP(A28-2,'LPG Fup'!D:D,'LPG Fup'!M:M,"",0)&gt;0),"Z+1"),0)</f>
        <v>0</v>
      </c>
      <c r="Q28" cm="1">
        <f t="array" ref="Q28">_xlfn.IFNA(_xlfn.IFS(AND(_xlfn.XLOOKUP(A28,'LPG Fup'!D:D,'LPG Fup'!M:M,"",0)&lt;&gt;"",_xlfn.XLOOKUP(A28,'LPG Fup'!D:D,'LPG Fup'!M:M,"",0)&lt;0),"I-1", AND(_xlfn.XLOOKUP(A28+1,'LPG Fup'!D:D,'LPG Fup'!M:M,"",0)&lt;&gt;"",_xlfn.XLOOKUP(A28+1,'LPG Fup'!D:D,'LPG Fup'!M:M,"",0)&lt;0),"I-2", AND(_xlfn.XLOOKUP(A28-1,'LPG Fup'!D:D,'LPG Fup'!M:M,"",0)&lt;&gt;"",_xlfn.XLOOKUP(A28-1,'LPG Fup'!D:D,'LPG Fup'!M:M,"",0)&lt;0),"I", AND(_xlfn.XLOOKUP(A28-2,'LPG Fup'!D:D,'LPG Fup'!M:M,"",0)&lt;&gt;"",_xlfn.XLOOKUP(A28-2,'LPG Fup'!D:D,'LPG Fup'!M:M,"",0)&lt;0),"I+1"),0)</f>
        <v>0</v>
      </c>
      <c r="R28">
        <f>_xlfn.XLOOKUP(A28,Covid!A:A,Covid!I:I,0,0)</f>
        <v>1372</v>
      </c>
      <c r="S28">
        <f>_xlfn.XLOOKUP(A28,Covid!A:A,Covid!K:K,0,0)</f>
        <v>17</v>
      </c>
      <c r="T28" s="145">
        <f>_xlfn.XLOOKUP(A28,Covid!A:A,Covid!K:K,0,0)/_xlfn.XLOOKUP(A28,Covid!A:A,Covid!L:L,0,0)</f>
        <v>8.5685483870967735E-3</v>
      </c>
    </row>
    <row r="29" spans="1:20" x14ac:dyDescent="0.55000000000000004">
      <c r="A29" s="157">
        <v>44010</v>
      </c>
      <c r="B29" s="13">
        <v>541260</v>
      </c>
      <c r="C29" s="13">
        <v>678</v>
      </c>
      <c r="D29" s="13">
        <v>2956</v>
      </c>
      <c r="E29" s="13">
        <v>402130</v>
      </c>
      <c r="F29" s="13">
        <v>947024</v>
      </c>
      <c r="G29">
        <f>IF(OR(_xlfn.XLOOKUP(A29,'LPG Fup'!D:D,'LPG Fup'!L:L,"",0)&gt;0.03,_xlfn.XLOOKUP(A29,'LPG Fup'!D:D,'LPG Fup'!L:L,"",0)&lt;-0.03),_xlfn.XLOOKUP(A29,'LPG Fup'!D:D,'LPG Fup'!L:L,0,0),0)</f>
        <v>0</v>
      </c>
      <c r="H29">
        <f>IF(_xlfn.XLOOKUP(A29,'LPG Fup'!D:D,'LPG Fup'!M:M,0,0)="",0,_xlfn.XLOOKUP(A29,'LPG Fup'!D:D,'LPG Fup'!M:M,0,0))</f>
        <v>0</v>
      </c>
      <c r="I29" s="109">
        <f>_xlfn.XLOOKUP(A29,'Rafineri Fiyatları'!A:A,'Rafineri Fiyatları'!B:B,"",0)</f>
        <v>3752.43</v>
      </c>
      <c r="J29">
        <f t="shared" si="0"/>
        <v>2020</v>
      </c>
      <c r="K29">
        <f t="shared" si="1"/>
        <v>6</v>
      </c>
      <c r="L29">
        <f t="shared" si="2"/>
        <v>28</v>
      </c>
      <c r="M29">
        <f t="shared" si="3"/>
        <v>1</v>
      </c>
      <c r="N29">
        <f>_xlfn.XLOOKUP(A29,tatiller!H:H,tatiller!I:I,0,0)</f>
        <v>0</v>
      </c>
      <c r="O29" cm="1">
        <f t="array" ref="O29">_xlfn.IFNA(_xlfn.IFS(L29=1,"A0",A29=EOMONTH(A29,0),"A-1",L29=2,"A+1"),0)</f>
        <v>0</v>
      </c>
      <c r="P29" cm="1">
        <f t="array" ref="P29">_xlfn.IFNA(_xlfn.IFS(AND(_xlfn.XLOOKUP(A29,'LPG Fup'!D:D,'LPG Fup'!M:M,"",0)&lt;&gt;"",_xlfn.XLOOKUP(A29,'LPG Fup'!D:D,'LPG Fup'!M:M,"",0)&gt;0),"Z-1", AND(_xlfn.XLOOKUP(A29+1,'LPG Fup'!D:D,'LPG Fup'!M:M,"",0)&lt;&gt;"",_xlfn.XLOOKUP(A29+1,'LPG Fup'!D:D,'LPG Fup'!M:M,"",0)&gt;0),"Z-2", AND(_xlfn.XLOOKUP(A29-1,'LPG Fup'!D:D,'LPG Fup'!M:M,"",0)&lt;&gt;"",_xlfn.XLOOKUP(A29-1,'LPG Fup'!D:D,'LPG Fup'!M:M,"",0)&gt;0),"Z", AND(_xlfn.XLOOKUP(A29-2,'LPG Fup'!D:D,'LPG Fup'!M:M,"",0)&lt;&gt;"",_xlfn.XLOOKUP(A29-2,'LPG Fup'!D:D,'LPG Fup'!M:M,"",0)&gt;0),"Z+1"),0)</f>
        <v>0</v>
      </c>
      <c r="Q29" cm="1">
        <f t="array" ref="Q29">_xlfn.IFNA(_xlfn.IFS(AND(_xlfn.XLOOKUP(A29,'LPG Fup'!D:D,'LPG Fup'!M:M,"",0)&lt;&gt;"",_xlfn.XLOOKUP(A29,'LPG Fup'!D:D,'LPG Fup'!M:M,"",0)&lt;0),"I-1", AND(_xlfn.XLOOKUP(A29+1,'LPG Fup'!D:D,'LPG Fup'!M:M,"",0)&lt;&gt;"",_xlfn.XLOOKUP(A29+1,'LPG Fup'!D:D,'LPG Fup'!M:M,"",0)&lt;0),"I-2", AND(_xlfn.XLOOKUP(A29-1,'LPG Fup'!D:D,'LPG Fup'!M:M,"",0)&lt;&gt;"",_xlfn.XLOOKUP(A29-1,'LPG Fup'!D:D,'LPG Fup'!M:M,"",0)&lt;0),"I", AND(_xlfn.XLOOKUP(A29-2,'LPG Fup'!D:D,'LPG Fup'!M:M,"",0)&lt;&gt;"",_xlfn.XLOOKUP(A29-2,'LPG Fup'!D:D,'LPG Fup'!M:M,"",0)&lt;0),"I+1"),0)</f>
        <v>0</v>
      </c>
      <c r="R29">
        <f>_xlfn.XLOOKUP(A29,Covid!A:A,Covid!I:I,0,0)</f>
        <v>1356</v>
      </c>
      <c r="S29">
        <f>_xlfn.XLOOKUP(A29,Covid!A:A,Covid!K:K,0,0)</f>
        <v>15</v>
      </c>
      <c r="T29" s="145">
        <f>_xlfn.XLOOKUP(A29,Covid!A:A,Covid!K:K,0,0)/_xlfn.XLOOKUP(A29,Covid!A:A,Covid!L:L,0,0)</f>
        <v>1.0615711252653927E-2</v>
      </c>
    </row>
    <row r="30" spans="1:20" x14ac:dyDescent="0.55000000000000004">
      <c r="A30" s="157">
        <v>44011</v>
      </c>
      <c r="B30" s="13">
        <v>448500</v>
      </c>
      <c r="C30" s="13">
        <v>599064</v>
      </c>
      <c r="D30" s="13">
        <v>15820</v>
      </c>
      <c r="E30" s="13">
        <v>536650</v>
      </c>
      <c r="F30" s="13">
        <v>1600034</v>
      </c>
      <c r="G30">
        <f>IF(OR(_xlfn.XLOOKUP(A30,'LPG Fup'!D:D,'LPG Fup'!L:L,"",0)&gt;0.03,_xlfn.XLOOKUP(A30,'LPG Fup'!D:D,'LPG Fup'!L:L,"",0)&lt;-0.03),_xlfn.XLOOKUP(A30,'LPG Fup'!D:D,'LPG Fup'!L:L,0,0),0)</f>
        <v>0</v>
      </c>
      <c r="H30">
        <f>IF(_xlfn.XLOOKUP(A30,'LPG Fup'!D:D,'LPG Fup'!M:M,0,0)="",0,_xlfn.XLOOKUP(A30,'LPG Fup'!D:D,'LPG Fup'!M:M,0,0))</f>
        <v>0</v>
      </c>
      <c r="I30" s="109">
        <f>_xlfn.XLOOKUP(A30,'Rafineri Fiyatları'!A:A,'Rafineri Fiyatları'!B:B,"",0)</f>
        <v>3752.43</v>
      </c>
      <c r="J30">
        <f t="shared" si="0"/>
        <v>2020</v>
      </c>
      <c r="K30">
        <f t="shared" si="1"/>
        <v>6</v>
      </c>
      <c r="L30">
        <f t="shared" si="2"/>
        <v>29</v>
      </c>
      <c r="M30">
        <f t="shared" si="3"/>
        <v>2</v>
      </c>
      <c r="N30">
        <f>_xlfn.XLOOKUP(A30,tatiller!H:H,tatiller!I:I,0,0)</f>
        <v>0</v>
      </c>
      <c r="O30" cm="1">
        <f t="array" ref="O30">_xlfn.IFNA(_xlfn.IFS(L30=1,"A0",A30=EOMONTH(A30,0),"A-1",L30=2,"A+1"),0)</f>
        <v>0</v>
      </c>
      <c r="P30" cm="1">
        <f t="array" ref="P30">_xlfn.IFNA(_xlfn.IFS(AND(_xlfn.XLOOKUP(A30,'LPG Fup'!D:D,'LPG Fup'!M:M,"",0)&lt;&gt;"",_xlfn.XLOOKUP(A30,'LPG Fup'!D:D,'LPG Fup'!M:M,"",0)&gt;0),"Z-1", AND(_xlfn.XLOOKUP(A30+1,'LPG Fup'!D:D,'LPG Fup'!M:M,"",0)&lt;&gt;"",_xlfn.XLOOKUP(A30+1,'LPG Fup'!D:D,'LPG Fup'!M:M,"",0)&gt;0),"Z-2", AND(_xlfn.XLOOKUP(A30-1,'LPG Fup'!D:D,'LPG Fup'!M:M,"",0)&lt;&gt;"",_xlfn.XLOOKUP(A30-1,'LPG Fup'!D:D,'LPG Fup'!M:M,"",0)&gt;0),"Z", AND(_xlfn.XLOOKUP(A30-2,'LPG Fup'!D:D,'LPG Fup'!M:M,"",0)&lt;&gt;"",_xlfn.XLOOKUP(A30-2,'LPG Fup'!D:D,'LPG Fup'!M:M,"",0)&gt;0),"Z+1"),0)</f>
        <v>0</v>
      </c>
      <c r="Q30" cm="1">
        <f t="array" ref="Q30">_xlfn.IFNA(_xlfn.IFS(AND(_xlfn.XLOOKUP(A30,'LPG Fup'!D:D,'LPG Fup'!M:M,"",0)&lt;&gt;"",_xlfn.XLOOKUP(A30,'LPG Fup'!D:D,'LPG Fup'!M:M,"",0)&lt;0),"I-1", AND(_xlfn.XLOOKUP(A30+1,'LPG Fup'!D:D,'LPG Fup'!M:M,"",0)&lt;&gt;"",_xlfn.XLOOKUP(A30+1,'LPG Fup'!D:D,'LPG Fup'!M:M,"",0)&lt;0),"I-2", AND(_xlfn.XLOOKUP(A30-1,'LPG Fup'!D:D,'LPG Fup'!M:M,"",0)&lt;&gt;"",_xlfn.XLOOKUP(A30-1,'LPG Fup'!D:D,'LPG Fup'!M:M,"",0)&lt;0),"I", AND(_xlfn.XLOOKUP(A30-2,'LPG Fup'!D:D,'LPG Fup'!M:M,"",0)&lt;&gt;"",_xlfn.XLOOKUP(A30-2,'LPG Fup'!D:D,'LPG Fup'!M:M,"",0)&lt;0),"I+1"),0)</f>
        <v>0</v>
      </c>
      <c r="R30">
        <f>_xlfn.XLOOKUP(A30,Covid!A:A,Covid!I:I,0,0)</f>
        <v>1374</v>
      </c>
      <c r="S30">
        <f>_xlfn.XLOOKUP(A30,Covid!A:A,Covid!K:K,0,0)</f>
        <v>18</v>
      </c>
      <c r="T30" s="145">
        <f>_xlfn.XLOOKUP(A30,Covid!A:A,Covid!K:K,0,0)/_xlfn.XLOOKUP(A30,Covid!A:A,Covid!L:L,0,0)</f>
        <v>1.4827018121911038E-2</v>
      </c>
    </row>
    <row r="31" spans="1:20" x14ac:dyDescent="0.55000000000000004">
      <c r="A31" s="157">
        <v>44012</v>
      </c>
      <c r="B31" s="13">
        <v>1304580</v>
      </c>
      <c r="C31" s="13">
        <v>864756</v>
      </c>
      <c r="D31" s="13">
        <v>48981</v>
      </c>
      <c r="E31" s="13">
        <v>853968</v>
      </c>
      <c r="F31" s="13">
        <v>3072285</v>
      </c>
      <c r="G31">
        <f>IF(OR(_xlfn.XLOOKUP(A31,'LPG Fup'!D:D,'LPG Fup'!L:L,"",0)&gt;0.03,_xlfn.XLOOKUP(A31,'LPG Fup'!D:D,'LPG Fup'!L:L,"",0)&lt;-0.03),_xlfn.XLOOKUP(A31,'LPG Fup'!D:D,'LPG Fup'!L:L,0,0),0)</f>
        <v>0</v>
      </c>
      <c r="H31">
        <f>IF(_xlfn.XLOOKUP(A31,'LPG Fup'!D:D,'LPG Fup'!M:M,0,0)="",0,_xlfn.XLOOKUP(A31,'LPG Fup'!D:D,'LPG Fup'!M:M,0,0))</f>
        <v>0</v>
      </c>
      <c r="I31" s="109">
        <f>_xlfn.XLOOKUP(A31,'Rafineri Fiyatları'!A:A,'Rafineri Fiyatları'!B:B,"",0)</f>
        <v>3752.43</v>
      </c>
      <c r="J31">
        <f t="shared" si="0"/>
        <v>2020</v>
      </c>
      <c r="K31">
        <f t="shared" si="1"/>
        <v>6</v>
      </c>
      <c r="L31">
        <f t="shared" si="2"/>
        <v>30</v>
      </c>
      <c r="M31">
        <f t="shared" si="3"/>
        <v>3</v>
      </c>
      <c r="N31">
        <f>_xlfn.XLOOKUP(A31,tatiller!H:H,tatiller!I:I,0,0)</f>
        <v>0</v>
      </c>
      <c r="O31" t="str" cm="1">
        <f t="array" ref="O31">_xlfn.IFNA(_xlfn.IFS(L31=1,"A0",A31=EOMONTH(A31,0),"A-1",L31=2,"A+1"),0)</f>
        <v>A-1</v>
      </c>
      <c r="P31" t="str" cm="1">
        <f t="array" ref="P31">_xlfn.IFNA(_xlfn.IFS(AND(_xlfn.XLOOKUP(A31,'LPG Fup'!D:D,'LPG Fup'!M:M,"",0)&lt;&gt;"",_xlfn.XLOOKUP(A31,'LPG Fup'!D:D,'LPG Fup'!M:M,"",0)&gt;0),"Z-1", AND(_xlfn.XLOOKUP(A31+1,'LPG Fup'!D:D,'LPG Fup'!M:M,"",0)&lt;&gt;"",_xlfn.XLOOKUP(A31+1,'LPG Fup'!D:D,'LPG Fup'!M:M,"",0)&gt;0),"Z-2", AND(_xlfn.XLOOKUP(A31-1,'LPG Fup'!D:D,'LPG Fup'!M:M,"",0)&lt;&gt;"",_xlfn.XLOOKUP(A31-1,'LPG Fup'!D:D,'LPG Fup'!M:M,"",0)&gt;0),"Z", AND(_xlfn.XLOOKUP(A31-2,'LPG Fup'!D:D,'LPG Fup'!M:M,"",0)&lt;&gt;"",_xlfn.XLOOKUP(A31-2,'LPG Fup'!D:D,'LPG Fup'!M:M,"",0)&gt;0),"Z+1"),0)</f>
        <v>Z-2</v>
      </c>
      <c r="Q31" cm="1">
        <f t="array" ref="Q31">_xlfn.IFNA(_xlfn.IFS(AND(_xlfn.XLOOKUP(A31,'LPG Fup'!D:D,'LPG Fup'!M:M,"",0)&lt;&gt;"",_xlfn.XLOOKUP(A31,'LPG Fup'!D:D,'LPG Fup'!M:M,"",0)&lt;0),"I-1", AND(_xlfn.XLOOKUP(A31+1,'LPG Fup'!D:D,'LPG Fup'!M:M,"",0)&lt;&gt;"",_xlfn.XLOOKUP(A31+1,'LPG Fup'!D:D,'LPG Fup'!M:M,"",0)&lt;0),"I-2", AND(_xlfn.XLOOKUP(A31-1,'LPG Fup'!D:D,'LPG Fup'!M:M,"",0)&lt;&gt;"",_xlfn.XLOOKUP(A31-1,'LPG Fup'!D:D,'LPG Fup'!M:M,"",0)&lt;0),"I", AND(_xlfn.XLOOKUP(A31-2,'LPG Fup'!D:D,'LPG Fup'!M:M,"",0)&lt;&gt;"",_xlfn.XLOOKUP(A31-2,'LPG Fup'!D:D,'LPG Fup'!M:M,"",0)&lt;0),"I+1"),0)</f>
        <v>0</v>
      </c>
      <c r="R31">
        <f>_xlfn.XLOOKUP(A31,Covid!A:A,Covid!I:I,0,0)</f>
        <v>1293</v>
      </c>
      <c r="S31">
        <f>_xlfn.XLOOKUP(A31,Covid!A:A,Covid!K:K,0,0)</f>
        <v>16</v>
      </c>
      <c r="T31" s="145">
        <f>_xlfn.XLOOKUP(A31,Covid!A:A,Covid!K:K,0,0)/_xlfn.XLOOKUP(A31,Covid!A:A,Covid!L:L,0,0)</f>
        <v>1.2288786482334869E-2</v>
      </c>
    </row>
    <row r="32" spans="1:20" x14ac:dyDescent="0.55000000000000004">
      <c r="A32" s="157">
        <v>44013</v>
      </c>
      <c r="B32" s="13">
        <v>506880</v>
      </c>
      <c r="C32" s="13">
        <v>874079</v>
      </c>
      <c r="D32" s="13">
        <v>1440</v>
      </c>
      <c r="E32" s="13">
        <v>773753</v>
      </c>
      <c r="F32" s="13">
        <v>2156152</v>
      </c>
      <c r="G32">
        <f>IF(OR(_xlfn.XLOOKUP(A32,'LPG Fup'!D:D,'LPG Fup'!L:L,"",0)&gt;0.03,_xlfn.XLOOKUP(A32,'LPG Fup'!D:D,'LPG Fup'!L:L,"",0)&lt;-0.03),_xlfn.XLOOKUP(A32,'LPG Fup'!D:D,'LPG Fup'!L:L,0,0),0)</f>
        <v>5.2960787381300459E-2</v>
      </c>
      <c r="H32">
        <f>IF(_xlfn.XLOOKUP(A32,'LPG Fup'!D:D,'LPG Fup'!M:M,0,0)="",0,_xlfn.XLOOKUP(A32,'LPG Fup'!D:D,'LPG Fup'!M:M,0,0))</f>
        <v>476.94519999999989</v>
      </c>
      <c r="I32" s="109">
        <f>_xlfn.XLOOKUP(A32,'Rafineri Fiyatları'!A:A,'Rafineri Fiyatları'!B:B,"",0)</f>
        <v>3752.43</v>
      </c>
      <c r="J32">
        <f t="shared" si="0"/>
        <v>2020</v>
      </c>
      <c r="K32">
        <f t="shared" si="1"/>
        <v>7</v>
      </c>
      <c r="L32">
        <f t="shared" si="2"/>
        <v>1</v>
      </c>
      <c r="M32">
        <f t="shared" si="3"/>
        <v>4</v>
      </c>
      <c r="N32">
        <f>_xlfn.XLOOKUP(A32,tatiller!H:H,tatiller!I:I,0,0)</f>
        <v>0</v>
      </c>
      <c r="O32" t="str" cm="1">
        <f t="array" ref="O32">_xlfn.IFNA(_xlfn.IFS(L32=1,"A0",A32=EOMONTH(A32,0),"A-1",L32=2,"A+1"),0)</f>
        <v>A0</v>
      </c>
      <c r="P32" t="str" cm="1">
        <f t="array" ref="P32">_xlfn.IFNA(_xlfn.IFS(AND(_xlfn.XLOOKUP(A32,'LPG Fup'!D:D,'LPG Fup'!M:M,"",0)&lt;&gt;"",_xlfn.XLOOKUP(A32,'LPG Fup'!D:D,'LPG Fup'!M:M,"",0)&gt;0),"Z-1", AND(_xlfn.XLOOKUP(A32+1,'LPG Fup'!D:D,'LPG Fup'!M:M,"",0)&lt;&gt;"",_xlfn.XLOOKUP(A32+1,'LPG Fup'!D:D,'LPG Fup'!M:M,"",0)&gt;0),"Z-2", AND(_xlfn.XLOOKUP(A32-1,'LPG Fup'!D:D,'LPG Fup'!M:M,"",0)&lt;&gt;"",_xlfn.XLOOKUP(A32-1,'LPG Fup'!D:D,'LPG Fup'!M:M,"",0)&gt;0),"Z", AND(_xlfn.XLOOKUP(A32-2,'LPG Fup'!D:D,'LPG Fup'!M:M,"",0)&lt;&gt;"",_xlfn.XLOOKUP(A32-2,'LPG Fup'!D:D,'LPG Fup'!M:M,"",0)&gt;0),"Z+1"),0)</f>
        <v>Z-1</v>
      </c>
      <c r="Q32" cm="1">
        <f t="array" ref="Q32">_xlfn.IFNA(_xlfn.IFS(AND(_xlfn.XLOOKUP(A32,'LPG Fup'!D:D,'LPG Fup'!M:M,"",0)&lt;&gt;"",_xlfn.XLOOKUP(A32,'LPG Fup'!D:D,'LPG Fup'!M:M,"",0)&lt;0),"I-1", AND(_xlfn.XLOOKUP(A32+1,'LPG Fup'!D:D,'LPG Fup'!M:M,"",0)&lt;&gt;"",_xlfn.XLOOKUP(A32+1,'LPG Fup'!D:D,'LPG Fup'!M:M,"",0)&lt;0),"I-2", AND(_xlfn.XLOOKUP(A32-1,'LPG Fup'!D:D,'LPG Fup'!M:M,"",0)&lt;&gt;"",_xlfn.XLOOKUP(A32-1,'LPG Fup'!D:D,'LPG Fup'!M:M,"",0)&lt;0),"I", AND(_xlfn.XLOOKUP(A32-2,'LPG Fup'!D:D,'LPG Fup'!M:M,"",0)&lt;&gt;"",_xlfn.XLOOKUP(A32-2,'LPG Fup'!D:D,'LPG Fup'!M:M,"",0)&lt;0),"I+1"),0)</f>
        <v>0</v>
      </c>
      <c r="R32">
        <f>_xlfn.XLOOKUP(A32,Covid!A:A,Covid!I:I,0,0)</f>
        <v>1192</v>
      </c>
      <c r="S32">
        <f>_xlfn.XLOOKUP(A32,Covid!A:A,Covid!K:K,0,0)</f>
        <v>19</v>
      </c>
      <c r="T32" s="145">
        <f>_xlfn.XLOOKUP(A32,Covid!A:A,Covid!K:K,0,0)/_xlfn.XLOOKUP(A32,Covid!A:A,Covid!L:L,0,0)</f>
        <v>8.2215491129381223E-3</v>
      </c>
    </row>
    <row r="33" spans="1:20" x14ac:dyDescent="0.55000000000000004">
      <c r="A33" s="157">
        <v>44014</v>
      </c>
      <c r="B33" s="13">
        <v>366040</v>
      </c>
      <c r="C33" s="13">
        <v>195193</v>
      </c>
      <c r="D33" s="13">
        <v>11983</v>
      </c>
      <c r="E33" s="13">
        <v>413394</v>
      </c>
      <c r="F33" s="13">
        <v>986610</v>
      </c>
      <c r="G33">
        <f>IF(OR(_xlfn.XLOOKUP(A33,'LPG Fup'!D:D,'LPG Fup'!L:L,"",0)&gt;0.03,_xlfn.XLOOKUP(A33,'LPG Fup'!D:D,'LPG Fup'!L:L,"",0)&lt;-0.03),_xlfn.XLOOKUP(A33,'LPG Fup'!D:D,'LPG Fup'!L:L,0,0),0)</f>
        <v>0</v>
      </c>
      <c r="H33">
        <f>IF(_xlfn.XLOOKUP(A33,'LPG Fup'!D:D,'LPG Fup'!M:M,0,0)="",0,_xlfn.XLOOKUP(A33,'LPG Fup'!D:D,'LPG Fup'!M:M,0,0))</f>
        <v>0</v>
      </c>
      <c r="I33" s="109">
        <f>_xlfn.XLOOKUP(A33,'Rafineri Fiyatları'!A:A,'Rafineri Fiyatları'!B:B,"",0)</f>
        <v>4229.38</v>
      </c>
      <c r="J33">
        <f t="shared" si="0"/>
        <v>2020</v>
      </c>
      <c r="K33">
        <f t="shared" si="1"/>
        <v>7</v>
      </c>
      <c r="L33">
        <f t="shared" si="2"/>
        <v>2</v>
      </c>
      <c r="M33">
        <f t="shared" si="3"/>
        <v>5</v>
      </c>
      <c r="N33">
        <f>_xlfn.XLOOKUP(A33,tatiller!H:H,tatiller!I:I,0,0)</f>
        <v>0</v>
      </c>
      <c r="O33" t="str" cm="1">
        <f t="array" ref="O33">_xlfn.IFNA(_xlfn.IFS(L33=1,"A0",A33=EOMONTH(A33,0),"A-1",L33=2,"A+1"),0)</f>
        <v>A+1</v>
      </c>
      <c r="P33" t="str" cm="1">
        <f t="array" ref="P33">_xlfn.IFNA(_xlfn.IFS(AND(_xlfn.XLOOKUP(A33,'LPG Fup'!D:D,'LPG Fup'!M:M,"",0)&lt;&gt;"",_xlfn.XLOOKUP(A33,'LPG Fup'!D:D,'LPG Fup'!M:M,"",0)&gt;0),"Z-1", AND(_xlfn.XLOOKUP(A33+1,'LPG Fup'!D:D,'LPG Fup'!M:M,"",0)&lt;&gt;"",_xlfn.XLOOKUP(A33+1,'LPG Fup'!D:D,'LPG Fup'!M:M,"",0)&gt;0),"Z-2", AND(_xlfn.XLOOKUP(A33-1,'LPG Fup'!D:D,'LPG Fup'!M:M,"",0)&lt;&gt;"",_xlfn.XLOOKUP(A33-1,'LPG Fup'!D:D,'LPG Fup'!M:M,"",0)&gt;0),"Z", AND(_xlfn.XLOOKUP(A33-2,'LPG Fup'!D:D,'LPG Fup'!M:M,"",0)&lt;&gt;"",_xlfn.XLOOKUP(A33-2,'LPG Fup'!D:D,'LPG Fup'!M:M,"",0)&gt;0),"Z+1"),0)</f>
        <v>Z</v>
      </c>
      <c r="Q33" cm="1">
        <f t="array" ref="Q33">_xlfn.IFNA(_xlfn.IFS(AND(_xlfn.XLOOKUP(A33,'LPG Fup'!D:D,'LPG Fup'!M:M,"",0)&lt;&gt;"",_xlfn.XLOOKUP(A33,'LPG Fup'!D:D,'LPG Fup'!M:M,"",0)&lt;0),"I-1", AND(_xlfn.XLOOKUP(A33+1,'LPG Fup'!D:D,'LPG Fup'!M:M,"",0)&lt;&gt;"",_xlfn.XLOOKUP(A33+1,'LPG Fup'!D:D,'LPG Fup'!M:M,"",0)&lt;0),"I-2", AND(_xlfn.XLOOKUP(A33-1,'LPG Fup'!D:D,'LPG Fup'!M:M,"",0)&lt;&gt;"",_xlfn.XLOOKUP(A33-1,'LPG Fup'!D:D,'LPG Fup'!M:M,"",0)&lt;0),"I", AND(_xlfn.XLOOKUP(A33-2,'LPG Fup'!D:D,'LPG Fup'!M:M,"",0)&lt;&gt;"",_xlfn.XLOOKUP(A33-2,'LPG Fup'!D:D,'LPG Fup'!M:M,"",0)&lt;0),"I+1"),0)</f>
        <v>0</v>
      </c>
      <c r="R33">
        <f>_xlfn.XLOOKUP(A33,Covid!A:A,Covid!I:I,0,0)</f>
        <v>1186</v>
      </c>
      <c r="S33">
        <f>_xlfn.XLOOKUP(A33,Covid!A:A,Covid!K:K,0,0)</f>
        <v>17</v>
      </c>
      <c r="T33" s="145">
        <f>_xlfn.XLOOKUP(A33,Covid!A:A,Covid!K:K,0,0)/_xlfn.XLOOKUP(A33,Covid!A:A,Covid!L:L,0,0)</f>
        <v>1.1017498379779649E-2</v>
      </c>
    </row>
    <row r="34" spans="1:20" x14ac:dyDescent="0.55000000000000004">
      <c r="A34" s="157">
        <v>44015</v>
      </c>
      <c r="B34" s="13">
        <v>341500</v>
      </c>
      <c r="C34" s="13">
        <v>258664</v>
      </c>
      <c r="D34" s="13">
        <v>3371</v>
      </c>
      <c r="E34" s="13">
        <v>504178</v>
      </c>
      <c r="F34" s="13">
        <v>1107713</v>
      </c>
      <c r="G34">
        <f>IF(OR(_xlfn.XLOOKUP(A34,'LPG Fup'!D:D,'LPG Fup'!L:L,"",0)&gt;0.03,_xlfn.XLOOKUP(A34,'LPG Fup'!D:D,'LPG Fup'!L:L,"",0)&lt;-0.03),_xlfn.XLOOKUP(A34,'LPG Fup'!D:D,'LPG Fup'!L:L,0,0),0)</f>
        <v>0</v>
      </c>
      <c r="H34">
        <f>IF(_xlfn.XLOOKUP(A34,'LPG Fup'!D:D,'LPG Fup'!M:M,0,0)="",0,_xlfn.XLOOKUP(A34,'LPG Fup'!D:D,'LPG Fup'!M:M,0,0))</f>
        <v>0</v>
      </c>
      <c r="I34" s="109">
        <f>_xlfn.XLOOKUP(A34,'Rafineri Fiyatları'!A:A,'Rafineri Fiyatları'!B:B,"",0)</f>
        <v>4229.38</v>
      </c>
      <c r="J34">
        <f t="shared" si="0"/>
        <v>2020</v>
      </c>
      <c r="K34">
        <f t="shared" si="1"/>
        <v>7</v>
      </c>
      <c r="L34">
        <f t="shared" si="2"/>
        <v>3</v>
      </c>
      <c r="M34">
        <f t="shared" si="3"/>
        <v>6</v>
      </c>
      <c r="N34">
        <f>_xlfn.XLOOKUP(A34,tatiller!H:H,tatiller!I:I,0,0)</f>
        <v>0</v>
      </c>
      <c r="O34" cm="1">
        <f t="array" ref="O34">_xlfn.IFNA(_xlfn.IFS(L34=1,"A0",A34=EOMONTH(A34,0),"A-1",L34=2,"A+1"),0)</f>
        <v>0</v>
      </c>
      <c r="P34" t="str" cm="1">
        <f t="array" ref="P34">_xlfn.IFNA(_xlfn.IFS(AND(_xlfn.XLOOKUP(A34,'LPG Fup'!D:D,'LPG Fup'!M:M,"",0)&lt;&gt;"",_xlfn.XLOOKUP(A34,'LPG Fup'!D:D,'LPG Fup'!M:M,"",0)&gt;0),"Z-1", AND(_xlfn.XLOOKUP(A34+1,'LPG Fup'!D:D,'LPG Fup'!M:M,"",0)&lt;&gt;"",_xlfn.XLOOKUP(A34+1,'LPG Fup'!D:D,'LPG Fup'!M:M,"",0)&gt;0),"Z-2", AND(_xlfn.XLOOKUP(A34-1,'LPG Fup'!D:D,'LPG Fup'!M:M,"",0)&lt;&gt;"",_xlfn.XLOOKUP(A34-1,'LPG Fup'!D:D,'LPG Fup'!M:M,"",0)&gt;0),"Z", AND(_xlfn.XLOOKUP(A34-2,'LPG Fup'!D:D,'LPG Fup'!M:M,"",0)&lt;&gt;"",_xlfn.XLOOKUP(A34-2,'LPG Fup'!D:D,'LPG Fup'!M:M,"",0)&gt;0),"Z+1"),0)</f>
        <v>Z+1</v>
      </c>
      <c r="Q34" cm="1">
        <f t="array" ref="Q34">_xlfn.IFNA(_xlfn.IFS(AND(_xlfn.XLOOKUP(A34,'LPG Fup'!D:D,'LPG Fup'!M:M,"",0)&lt;&gt;"",_xlfn.XLOOKUP(A34,'LPG Fup'!D:D,'LPG Fup'!M:M,"",0)&lt;0),"I-1", AND(_xlfn.XLOOKUP(A34+1,'LPG Fup'!D:D,'LPG Fup'!M:M,"",0)&lt;&gt;"",_xlfn.XLOOKUP(A34+1,'LPG Fup'!D:D,'LPG Fup'!M:M,"",0)&lt;0),"I-2", AND(_xlfn.XLOOKUP(A34-1,'LPG Fup'!D:D,'LPG Fup'!M:M,"",0)&lt;&gt;"",_xlfn.XLOOKUP(A34-1,'LPG Fup'!D:D,'LPG Fup'!M:M,"",0)&lt;0),"I", AND(_xlfn.XLOOKUP(A34-2,'LPG Fup'!D:D,'LPG Fup'!M:M,"",0)&lt;&gt;"",_xlfn.XLOOKUP(A34-2,'LPG Fup'!D:D,'LPG Fup'!M:M,"",0)&lt;0),"I+1"),0)</f>
        <v>0</v>
      </c>
      <c r="R34">
        <f>_xlfn.XLOOKUP(A34,Covid!A:A,Covid!I:I,0,0)</f>
        <v>1172</v>
      </c>
      <c r="S34">
        <f>_xlfn.XLOOKUP(A34,Covid!A:A,Covid!K:K,0,0)</f>
        <v>19</v>
      </c>
      <c r="T34" s="145">
        <f>_xlfn.XLOOKUP(A34,Covid!A:A,Covid!K:K,0,0)/_xlfn.XLOOKUP(A34,Covid!A:A,Covid!L:L,0,0)</f>
        <v>1.4470677837014471E-2</v>
      </c>
    </row>
    <row r="35" spans="1:20" x14ac:dyDescent="0.55000000000000004">
      <c r="A35" s="157">
        <v>44016</v>
      </c>
      <c r="B35" s="13">
        <v>407880</v>
      </c>
      <c r="C35" s="13">
        <v>275959</v>
      </c>
      <c r="D35" s="13">
        <v>4098</v>
      </c>
      <c r="E35" s="13">
        <v>641523</v>
      </c>
      <c r="F35" s="13">
        <v>1329460</v>
      </c>
      <c r="G35">
        <f>IF(OR(_xlfn.XLOOKUP(A35,'LPG Fup'!D:D,'LPG Fup'!L:L,"",0)&gt;0.03,_xlfn.XLOOKUP(A35,'LPG Fup'!D:D,'LPG Fup'!L:L,"",0)&lt;-0.03),_xlfn.XLOOKUP(A35,'LPG Fup'!D:D,'LPG Fup'!L:L,0,0),0)</f>
        <v>0</v>
      </c>
      <c r="H35">
        <f>IF(_xlfn.XLOOKUP(A35,'LPG Fup'!D:D,'LPG Fup'!M:M,0,0)="",0,_xlfn.XLOOKUP(A35,'LPG Fup'!D:D,'LPG Fup'!M:M,0,0))</f>
        <v>0</v>
      </c>
      <c r="I35" s="109">
        <f>_xlfn.XLOOKUP(A35,'Rafineri Fiyatları'!A:A,'Rafineri Fiyatları'!B:B,"",0)</f>
        <v>4229.38</v>
      </c>
      <c r="J35">
        <f t="shared" si="0"/>
        <v>2020</v>
      </c>
      <c r="K35">
        <f t="shared" si="1"/>
        <v>7</v>
      </c>
      <c r="L35">
        <f t="shared" si="2"/>
        <v>4</v>
      </c>
      <c r="M35">
        <f t="shared" si="3"/>
        <v>7</v>
      </c>
      <c r="N35">
        <f>_xlfn.XLOOKUP(A35,tatiller!H:H,tatiller!I:I,0,0)</f>
        <v>0</v>
      </c>
      <c r="O35" cm="1">
        <f t="array" ref="O35">_xlfn.IFNA(_xlfn.IFS(L35=1,"A0",A35=EOMONTH(A35,0),"A-1",L35=2,"A+1"),0)</f>
        <v>0</v>
      </c>
      <c r="P35" cm="1">
        <f t="array" ref="P35">_xlfn.IFNA(_xlfn.IFS(AND(_xlfn.XLOOKUP(A35,'LPG Fup'!D:D,'LPG Fup'!M:M,"",0)&lt;&gt;"",_xlfn.XLOOKUP(A35,'LPG Fup'!D:D,'LPG Fup'!M:M,"",0)&gt;0),"Z-1", AND(_xlfn.XLOOKUP(A35+1,'LPG Fup'!D:D,'LPG Fup'!M:M,"",0)&lt;&gt;"",_xlfn.XLOOKUP(A35+1,'LPG Fup'!D:D,'LPG Fup'!M:M,"",0)&gt;0),"Z-2", AND(_xlfn.XLOOKUP(A35-1,'LPG Fup'!D:D,'LPG Fup'!M:M,"",0)&lt;&gt;"",_xlfn.XLOOKUP(A35-1,'LPG Fup'!D:D,'LPG Fup'!M:M,"",0)&gt;0),"Z", AND(_xlfn.XLOOKUP(A35-2,'LPG Fup'!D:D,'LPG Fup'!M:M,"",0)&lt;&gt;"",_xlfn.XLOOKUP(A35-2,'LPG Fup'!D:D,'LPG Fup'!M:M,"",0)&gt;0),"Z+1"),0)</f>
        <v>0</v>
      </c>
      <c r="Q35" cm="1">
        <f t="array" ref="Q35">_xlfn.IFNA(_xlfn.IFS(AND(_xlfn.XLOOKUP(A35,'LPG Fup'!D:D,'LPG Fup'!M:M,"",0)&lt;&gt;"",_xlfn.XLOOKUP(A35,'LPG Fup'!D:D,'LPG Fup'!M:M,"",0)&lt;0),"I-1", AND(_xlfn.XLOOKUP(A35+1,'LPG Fup'!D:D,'LPG Fup'!M:M,"",0)&lt;&gt;"",_xlfn.XLOOKUP(A35+1,'LPG Fup'!D:D,'LPG Fup'!M:M,"",0)&lt;0),"I-2", AND(_xlfn.XLOOKUP(A35-1,'LPG Fup'!D:D,'LPG Fup'!M:M,"",0)&lt;&gt;"",_xlfn.XLOOKUP(A35-1,'LPG Fup'!D:D,'LPG Fup'!M:M,"",0)&lt;0),"I", AND(_xlfn.XLOOKUP(A35-2,'LPG Fup'!D:D,'LPG Fup'!M:M,"",0)&lt;&gt;"",_xlfn.XLOOKUP(A35-2,'LPG Fup'!D:D,'LPG Fup'!M:M,"",0)&lt;0),"I+1"),0)</f>
        <v>0</v>
      </c>
      <c r="R35">
        <f>_xlfn.XLOOKUP(A35,Covid!A:A,Covid!I:I,0,0)</f>
        <v>1154</v>
      </c>
      <c r="S35">
        <f>_xlfn.XLOOKUP(A35,Covid!A:A,Covid!K:K,0,0)</f>
        <v>20</v>
      </c>
      <c r="T35" s="145">
        <f>_xlfn.XLOOKUP(A35,Covid!A:A,Covid!K:K,0,0)/_xlfn.XLOOKUP(A35,Covid!A:A,Covid!L:L,0,0)</f>
        <v>1.6474464579901153E-2</v>
      </c>
    </row>
    <row r="36" spans="1:20" x14ac:dyDescent="0.55000000000000004">
      <c r="A36" s="157">
        <v>44017</v>
      </c>
      <c r="B36" s="13">
        <v>462920</v>
      </c>
      <c r="C36" s="13">
        <v>618</v>
      </c>
      <c r="D36" s="13">
        <v>0</v>
      </c>
      <c r="E36" s="13">
        <v>499316</v>
      </c>
      <c r="F36" s="13">
        <v>962854</v>
      </c>
      <c r="G36">
        <f>IF(OR(_xlfn.XLOOKUP(A36,'LPG Fup'!D:D,'LPG Fup'!L:L,"",0)&gt;0.03,_xlfn.XLOOKUP(A36,'LPG Fup'!D:D,'LPG Fup'!L:L,"",0)&lt;-0.03),_xlfn.XLOOKUP(A36,'LPG Fup'!D:D,'LPG Fup'!L:L,0,0),0)</f>
        <v>0</v>
      </c>
      <c r="H36">
        <f>IF(_xlfn.XLOOKUP(A36,'LPG Fup'!D:D,'LPG Fup'!M:M,0,0)="",0,_xlfn.XLOOKUP(A36,'LPG Fup'!D:D,'LPG Fup'!M:M,0,0))</f>
        <v>0</v>
      </c>
      <c r="I36" s="109">
        <f>_xlfn.XLOOKUP(A36,'Rafineri Fiyatları'!A:A,'Rafineri Fiyatları'!B:B,"",0)</f>
        <v>4229.38</v>
      </c>
      <c r="J36">
        <f t="shared" si="0"/>
        <v>2020</v>
      </c>
      <c r="K36">
        <f t="shared" si="1"/>
        <v>7</v>
      </c>
      <c r="L36">
        <f t="shared" si="2"/>
        <v>5</v>
      </c>
      <c r="M36">
        <f t="shared" si="3"/>
        <v>1</v>
      </c>
      <c r="N36">
        <f>_xlfn.XLOOKUP(A36,tatiller!H:H,tatiller!I:I,0,0)</f>
        <v>0</v>
      </c>
      <c r="O36" cm="1">
        <f t="array" ref="O36">_xlfn.IFNA(_xlfn.IFS(L36=1,"A0",A36=EOMONTH(A36,0),"A-1",L36=2,"A+1"),0)</f>
        <v>0</v>
      </c>
      <c r="P36" cm="1">
        <f t="array" ref="P36">_xlfn.IFNA(_xlfn.IFS(AND(_xlfn.XLOOKUP(A36,'LPG Fup'!D:D,'LPG Fup'!M:M,"",0)&lt;&gt;"",_xlfn.XLOOKUP(A36,'LPG Fup'!D:D,'LPG Fup'!M:M,"",0)&gt;0),"Z-1", AND(_xlfn.XLOOKUP(A36+1,'LPG Fup'!D:D,'LPG Fup'!M:M,"",0)&lt;&gt;"",_xlfn.XLOOKUP(A36+1,'LPG Fup'!D:D,'LPG Fup'!M:M,"",0)&gt;0),"Z-2", AND(_xlfn.XLOOKUP(A36-1,'LPG Fup'!D:D,'LPG Fup'!M:M,"",0)&lt;&gt;"",_xlfn.XLOOKUP(A36-1,'LPG Fup'!D:D,'LPG Fup'!M:M,"",0)&gt;0),"Z", AND(_xlfn.XLOOKUP(A36-2,'LPG Fup'!D:D,'LPG Fup'!M:M,"",0)&lt;&gt;"",_xlfn.XLOOKUP(A36-2,'LPG Fup'!D:D,'LPG Fup'!M:M,"",0)&gt;0),"Z+1"),0)</f>
        <v>0</v>
      </c>
      <c r="Q36" cm="1">
        <f t="array" ref="Q36">_xlfn.IFNA(_xlfn.IFS(AND(_xlfn.XLOOKUP(A36,'LPG Fup'!D:D,'LPG Fup'!M:M,"",0)&lt;&gt;"",_xlfn.XLOOKUP(A36,'LPG Fup'!D:D,'LPG Fup'!M:M,"",0)&lt;0),"I-1", AND(_xlfn.XLOOKUP(A36+1,'LPG Fup'!D:D,'LPG Fup'!M:M,"",0)&lt;&gt;"",_xlfn.XLOOKUP(A36+1,'LPG Fup'!D:D,'LPG Fup'!M:M,"",0)&lt;0),"I-2", AND(_xlfn.XLOOKUP(A36-1,'LPG Fup'!D:D,'LPG Fup'!M:M,"",0)&lt;&gt;"",_xlfn.XLOOKUP(A36-1,'LPG Fup'!D:D,'LPG Fup'!M:M,"",0)&lt;0),"I", AND(_xlfn.XLOOKUP(A36-2,'LPG Fup'!D:D,'LPG Fup'!M:M,"",0)&lt;&gt;"",_xlfn.XLOOKUP(A36-2,'LPG Fup'!D:D,'LPG Fup'!M:M,"",0)&lt;0),"I+1"),0)</f>
        <v>0</v>
      </c>
      <c r="R36">
        <f>_xlfn.XLOOKUP(A36,Covid!A:A,Covid!I:I,0,0)</f>
        <v>1148</v>
      </c>
      <c r="S36">
        <f>_xlfn.XLOOKUP(A36,Covid!A:A,Covid!K:K,0,0)</f>
        <v>19</v>
      </c>
      <c r="T36" s="145">
        <f>_xlfn.XLOOKUP(A36,Covid!A:A,Covid!K:K,0,0)/_xlfn.XLOOKUP(A36,Covid!A:A,Covid!L:L,0,0)</f>
        <v>1.5993265993265993E-2</v>
      </c>
    </row>
    <row r="37" spans="1:20" x14ac:dyDescent="0.55000000000000004">
      <c r="A37" s="157">
        <v>44018</v>
      </c>
      <c r="B37" s="13">
        <v>526320</v>
      </c>
      <c r="C37" s="13">
        <v>417471</v>
      </c>
      <c r="D37" s="13">
        <v>2459</v>
      </c>
      <c r="E37" s="13">
        <v>617726</v>
      </c>
      <c r="F37" s="13">
        <v>1563976</v>
      </c>
      <c r="G37">
        <f>IF(OR(_xlfn.XLOOKUP(A37,'LPG Fup'!D:D,'LPG Fup'!L:L,"",0)&gt;0.03,_xlfn.XLOOKUP(A37,'LPG Fup'!D:D,'LPG Fup'!L:L,"",0)&lt;-0.03),_xlfn.XLOOKUP(A37,'LPG Fup'!D:D,'LPG Fup'!L:L,0,0),0)</f>
        <v>0</v>
      </c>
      <c r="H37">
        <f>IF(_xlfn.XLOOKUP(A37,'LPG Fup'!D:D,'LPG Fup'!M:M,0,0)="",0,_xlfn.XLOOKUP(A37,'LPG Fup'!D:D,'LPG Fup'!M:M,0,0))</f>
        <v>0</v>
      </c>
      <c r="I37" s="109">
        <f>_xlfn.XLOOKUP(A37,'Rafineri Fiyatları'!A:A,'Rafineri Fiyatları'!B:B,"",0)</f>
        <v>4229.38</v>
      </c>
      <c r="J37">
        <f t="shared" si="0"/>
        <v>2020</v>
      </c>
      <c r="K37">
        <f t="shared" si="1"/>
        <v>7</v>
      </c>
      <c r="L37">
        <f t="shared" si="2"/>
        <v>6</v>
      </c>
      <c r="M37">
        <f t="shared" si="3"/>
        <v>2</v>
      </c>
      <c r="N37">
        <f>_xlfn.XLOOKUP(A37,tatiller!H:H,tatiller!I:I,0,0)</f>
        <v>0</v>
      </c>
      <c r="O37" cm="1">
        <f t="array" ref="O37">_xlfn.IFNA(_xlfn.IFS(L37=1,"A0",A37=EOMONTH(A37,0),"A-1",L37=2,"A+1"),0)</f>
        <v>0</v>
      </c>
      <c r="P37" cm="1">
        <f t="array" ref="P37">_xlfn.IFNA(_xlfn.IFS(AND(_xlfn.XLOOKUP(A37,'LPG Fup'!D:D,'LPG Fup'!M:M,"",0)&lt;&gt;"",_xlfn.XLOOKUP(A37,'LPG Fup'!D:D,'LPG Fup'!M:M,"",0)&gt;0),"Z-1", AND(_xlfn.XLOOKUP(A37+1,'LPG Fup'!D:D,'LPG Fup'!M:M,"",0)&lt;&gt;"",_xlfn.XLOOKUP(A37+1,'LPG Fup'!D:D,'LPG Fup'!M:M,"",0)&gt;0),"Z-2", AND(_xlfn.XLOOKUP(A37-1,'LPG Fup'!D:D,'LPG Fup'!M:M,"",0)&lt;&gt;"",_xlfn.XLOOKUP(A37-1,'LPG Fup'!D:D,'LPG Fup'!M:M,"",0)&gt;0),"Z", AND(_xlfn.XLOOKUP(A37-2,'LPG Fup'!D:D,'LPG Fup'!M:M,"",0)&lt;&gt;"",_xlfn.XLOOKUP(A37-2,'LPG Fup'!D:D,'LPG Fup'!M:M,"",0)&gt;0),"Z+1"),0)</f>
        <v>0</v>
      </c>
      <c r="Q37" cm="1">
        <f t="array" ref="Q37">_xlfn.IFNA(_xlfn.IFS(AND(_xlfn.XLOOKUP(A37,'LPG Fup'!D:D,'LPG Fup'!M:M,"",0)&lt;&gt;"",_xlfn.XLOOKUP(A37,'LPG Fup'!D:D,'LPG Fup'!M:M,"",0)&lt;0),"I-1", AND(_xlfn.XLOOKUP(A37+1,'LPG Fup'!D:D,'LPG Fup'!M:M,"",0)&lt;&gt;"",_xlfn.XLOOKUP(A37+1,'LPG Fup'!D:D,'LPG Fup'!M:M,"",0)&lt;0),"I-2", AND(_xlfn.XLOOKUP(A37-1,'LPG Fup'!D:D,'LPG Fup'!M:M,"",0)&lt;&gt;"",_xlfn.XLOOKUP(A37-1,'LPG Fup'!D:D,'LPG Fup'!M:M,"",0)&lt;0),"I", AND(_xlfn.XLOOKUP(A37-2,'LPG Fup'!D:D,'LPG Fup'!M:M,"",0)&lt;&gt;"",_xlfn.XLOOKUP(A37-2,'LPG Fup'!D:D,'LPG Fup'!M:M,"",0)&lt;0),"I+1"),0)</f>
        <v>0</v>
      </c>
      <c r="R37">
        <f>_xlfn.XLOOKUP(A37,Covid!A:A,Covid!I:I,0,0)</f>
        <v>1086</v>
      </c>
      <c r="S37">
        <f>_xlfn.XLOOKUP(A37,Covid!A:A,Covid!K:K,0,0)</f>
        <v>16</v>
      </c>
      <c r="T37" s="145">
        <f>_xlfn.XLOOKUP(A37,Covid!A:A,Covid!K:K,0,0)/_xlfn.XLOOKUP(A37,Covid!A:A,Covid!L:L,0,0)</f>
        <v>6.9114470842332612E-3</v>
      </c>
    </row>
    <row r="38" spans="1:20" x14ac:dyDescent="0.55000000000000004">
      <c r="A38" s="157">
        <v>44019</v>
      </c>
      <c r="B38" s="13">
        <v>433060</v>
      </c>
      <c r="C38" s="13">
        <v>372158</v>
      </c>
      <c r="D38" s="13">
        <v>10504</v>
      </c>
      <c r="E38" s="13">
        <v>626272</v>
      </c>
      <c r="F38" s="13">
        <v>1441994</v>
      </c>
      <c r="G38">
        <f>IF(OR(_xlfn.XLOOKUP(A38,'LPG Fup'!D:D,'LPG Fup'!L:L,"",0)&gt;0.03,_xlfn.XLOOKUP(A38,'LPG Fup'!D:D,'LPG Fup'!L:L,"",0)&lt;-0.03),_xlfn.XLOOKUP(A38,'LPG Fup'!D:D,'LPG Fup'!L:L,0,0),0)</f>
        <v>0</v>
      </c>
      <c r="H38">
        <f>IF(_xlfn.XLOOKUP(A38,'LPG Fup'!D:D,'LPG Fup'!M:M,0,0)="",0,_xlfn.XLOOKUP(A38,'LPG Fup'!D:D,'LPG Fup'!M:M,0,0))</f>
        <v>0</v>
      </c>
      <c r="I38" s="109">
        <f>_xlfn.XLOOKUP(A38,'Rafineri Fiyatları'!A:A,'Rafineri Fiyatları'!B:B,"",0)</f>
        <v>4229.38</v>
      </c>
      <c r="J38">
        <f t="shared" si="0"/>
        <v>2020</v>
      </c>
      <c r="K38">
        <f t="shared" si="1"/>
        <v>7</v>
      </c>
      <c r="L38">
        <f t="shared" si="2"/>
        <v>7</v>
      </c>
      <c r="M38">
        <f t="shared" si="3"/>
        <v>3</v>
      </c>
      <c r="N38">
        <f>_xlfn.XLOOKUP(A38,tatiller!H:H,tatiller!I:I,0,0)</f>
        <v>0</v>
      </c>
      <c r="O38" cm="1">
        <f t="array" ref="O38">_xlfn.IFNA(_xlfn.IFS(L38=1,"A0",A38=EOMONTH(A38,0),"A-1",L38=2,"A+1"),0)</f>
        <v>0</v>
      </c>
      <c r="P38" cm="1">
        <f t="array" ref="P38">_xlfn.IFNA(_xlfn.IFS(AND(_xlfn.XLOOKUP(A38,'LPG Fup'!D:D,'LPG Fup'!M:M,"",0)&lt;&gt;"",_xlfn.XLOOKUP(A38,'LPG Fup'!D:D,'LPG Fup'!M:M,"",0)&gt;0),"Z-1", AND(_xlfn.XLOOKUP(A38+1,'LPG Fup'!D:D,'LPG Fup'!M:M,"",0)&lt;&gt;"",_xlfn.XLOOKUP(A38+1,'LPG Fup'!D:D,'LPG Fup'!M:M,"",0)&gt;0),"Z-2", AND(_xlfn.XLOOKUP(A38-1,'LPG Fup'!D:D,'LPG Fup'!M:M,"",0)&lt;&gt;"",_xlfn.XLOOKUP(A38-1,'LPG Fup'!D:D,'LPG Fup'!M:M,"",0)&gt;0),"Z", AND(_xlfn.XLOOKUP(A38-2,'LPG Fup'!D:D,'LPG Fup'!M:M,"",0)&lt;&gt;"",_xlfn.XLOOKUP(A38-2,'LPG Fup'!D:D,'LPG Fup'!M:M,"",0)&gt;0),"Z+1"),0)</f>
        <v>0</v>
      </c>
      <c r="Q38" cm="1">
        <f t="array" ref="Q38">_xlfn.IFNA(_xlfn.IFS(AND(_xlfn.XLOOKUP(A38,'LPG Fup'!D:D,'LPG Fup'!M:M,"",0)&lt;&gt;"",_xlfn.XLOOKUP(A38,'LPG Fup'!D:D,'LPG Fup'!M:M,"",0)&lt;0),"I-1", AND(_xlfn.XLOOKUP(A38+1,'LPG Fup'!D:D,'LPG Fup'!M:M,"",0)&lt;&gt;"",_xlfn.XLOOKUP(A38+1,'LPG Fup'!D:D,'LPG Fup'!M:M,"",0)&lt;0),"I-2", AND(_xlfn.XLOOKUP(A38-1,'LPG Fup'!D:D,'LPG Fup'!M:M,"",0)&lt;&gt;"",_xlfn.XLOOKUP(A38-1,'LPG Fup'!D:D,'LPG Fup'!M:M,"",0)&lt;0),"I", AND(_xlfn.XLOOKUP(A38-2,'LPG Fup'!D:D,'LPG Fup'!M:M,"",0)&lt;&gt;"",_xlfn.XLOOKUP(A38-2,'LPG Fup'!D:D,'LPG Fup'!M:M,"",0)&lt;0),"I+1"),0)</f>
        <v>0</v>
      </c>
      <c r="R38">
        <f>_xlfn.XLOOKUP(A38,Covid!A:A,Covid!I:I,0,0)</f>
        <v>1053</v>
      </c>
      <c r="S38">
        <f>_xlfn.XLOOKUP(A38,Covid!A:A,Covid!K:K,0,0)</f>
        <v>19</v>
      </c>
      <c r="T38" s="145">
        <f>_xlfn.XLOOKUP(A38,Covid!A:A,Covid!K:K,0,0)/_xlfn.XLOOKUP(A38,Covid!A:A,Covid!L:L,0,0)</f>
        <v>8.2716586852416198E-3</v>
      </c>
    </row>
    <row r="39" spans="1:20" x14ac:dyDescent="0.55000000000000004">
      <c r="A39" s="157">
        <v>44020</v>
      </c>
      <c r="B39" s="13">
        <v>416020</v>
      </c>
      <c r="C39" s="13">
        <v>396865</v>
      </c>
      <c r="D39" s="13">
        <v>15211</v>
      </c>
      <c r="E39" s="13">
        <v>634320</v>
      </c>
      <c r="F39" s="13">
        <v>1462416</v>
      </c>
      <c r="G39">
        <f>IF(OR(_xlfn.XLOOKUP(A39,'LPG Fup'!D:D,'LPG Fup'!L:L,"",0)&gt;0.03,_xlfn.XLOOKUP(A39,'LPG Fup'!D:D,'LPG Fup'!L:L,"",0)&lt;-0.03),_xlfn.XLOOKUP(A39,'LPG Fup'!D:D,'LPG Fup'!L:L,0,0),0)</f>
        <v>0</v>
      </c>
      <c r="H39">
        <f>IF(_xlfn.XLOOKUP(A39,'LPG Fup'!D:D,'LPG Fup'!M:M,0,0)="",0,_xlfn.XLOOKUP(A39,'LPG Fup'!D:D,'LPG Fup'!M:M,0,0))</f>
        <v>0</v>
      </c>
      <c r="I39" s="109">
        <f>_xlfn.XLOOKUP(A39,'Rafineri Fiyatları'!A:A,'Rafineri Fiyatları'!B:B,"",0)</f>
        <v>4229.38</v>
      </c>
      <c r="J39">
        <f t="shared" si="0"/>
        <v>2020</v>
      </c>
      <c r="K39">
        <f t="shared" si="1"/>
        <v>7</v>
      </c>
      <c r="L39">
        <f t="shared" si="2"/>
        <v>8</v>
      </c>
      <c r="M39">
        <f t="shared" si="3"/>
        <v>4</v>
      </c>
      <c r="N39">
        <f>_xlfn.XLOOKUP(A39,tatiller!H:H,tatiller!I:I,0,0)</f>
        <v>0</v>
      </c>
      <c r="O39" cm="1">
        <f t="array" ref="O39">_xlfn.IFNA(_xlfn.IFS(L39=1,"A0",A39=EOMONTH(A39,0),"A-1",L39=2,"A+1"),0)</f>
        <v>0</v>
      </c>
      <c r="P39" cm="1">
        <f t="array" ref="P39">_xlfn.IFNA(_xlfn.IFS(AND(_xlfn.XLOOKUP(A39,'LPG Fup'!D:D,'LPG Fup'!M:M,"",0)&lt;&gt;"",_xlfn.XLOOKUP(A39,'LPG Fup'!D:D,'LPG Fup'!M:M,"",0)&gt;0),"Z-1", AND(_xlfn.XLOOKUP(A39+1,'LPG Fup'!D:D,'LPG Fup'!M:M,"",0)&lt;&gt;"",_xlfn.XLOOKUP(A39+1,'LPG Fup'!D:D,'LPG Fup'!M:M,"",0)&gt;0),"Z-2", AND(_xlfn.XLOOKUP(A39-1,'LPG Fup'!D:D,'LPG Fup'!M:M,"",0)&lt;&gt;"",_xlfn.XLOOKUP(A39-1,'LPG Fup'!D:D,'LPG Fup'!M:M,"",0)&gt;0),"Z", AND(_xlfn.XLOOKUP(A39-2,'LPG Fup'!D:D,'LPG Fup'!M:M,"",0)&lt;&gt;"",_xlfn.XLOOKUP(A39-2,'LPG Fup'!D:D,'LPG Fup'!M:M,"",0)&gt;0),"Z+1"),0)</f>
        <v>0</v>
      </c>
      <c r="Q39" cm="1">
        <f t="array" ref="Q39">_xlfn.IFNA(_xlfn.IFS(AND(_xlfn.XLOOKUP(A39,'LPG Fup'!D:D,'LPG Fup'!M:M,"",0)&lt;&gt;"",_xlfn.XLOOKUP(A39,'LPG Fup'!D:D,'LPG Fup'!M:M,"",0)&lt;0),"I-1", AND(_xlfn.XLOOKUP(A39+1,'LPG Fup'!D:D,'LPG Fup'!M:M,"",0)&lt;&gt;"",_xlfn.XLOOKUP(A39+1,'LPG Fup'!D:D,'LPG Fup'!M:M,"",0)&lt;0),"I-2", AND(_xlfn.XLOOKUP(A39-1,'LPG Fup'!D:D,'LPG Fup'!M:M,"",0)&lt;&gt;"",_xlfn.XLOOKUP(A39-1,'LPG Fup'!D:D,'LPG Fup'!M:M,"",0)&lt;0),"I", AND(_xlfn.XLOOKUP(A39-2,'LPG Fup'!D:D,'LPG Fup'!M:M,"",0)&lt;&gt;"",_xlfn.XLOOKUP(A39-2,'LPG Fup'!D:D,'LPG Fup'!M:M,"",0)&lt;0),"I+1"),0)</f>
        <v>0</v>
      </c>
      <c r="R39">
        <f>_xlfn.XLOOKUP(A39,Covid!A:A,Covid!I:I,0,0)</f>
        <v>1041</v>
      </c>
      <c r="S39">
        <f>_xlfn.XLOOKUP(A39,Covid!A:A,Covid!K:K,0,0)</f>
        <v>22</v>
      </c>
      <c r="T39" s="145">
        <f>_xlfn.XLOOKUP(A39,Covid!A:A,Covid!K:K,0,0)/_xlfn.XLOOKUP(A39,Covid!A:A,Covid!L:L,0,0)</f>
        <v>9.9143758449752144E-3</v>
      </c>
    </row>
    <row r="40" spans="1:20" x14ac:dyDescent="0.55000000000000004">
      <c r="A40" s="157">
        <v>44021</v>
      </c>
      <c r="B40" s="13">
        <v>420740</v>
      </c>
      <c r="C40" s="13">
        <v>343940</v>
      </c>
      <c r="D40" s="13">
        <v>14648</v>
      </c>
      <c r="E40" s="13">
        <v>497966</v>
      </c>
      <c r="F40" s="13">
        <v>1277294</v>
      </c>
      <c r="G40">
        <f>IF(OR(_xlfn.XLOOKUP(A40,'LPG Fup'!D:D,'LPG Fup'!L:L,"",0)&gt;0.03,_xlfn.XLOOKUP(A40,'LPG Fup'!D:D,'LPG Fup'!L:L,"",0)&lt;-0.03),_xlfn.XLOOKUP(A40,'LPG Fup'!D:D,'LPG Fup'!L:L,0,0),0)</f>
        <v>0</v>
      </c>
      <c r="H40">
        <f>IF(_xlfn.XLOOKUP(A40,'LPG Fup'!D:D,'LPG Fup'!M:M,0,0)="",0,_xlfn.XLOOKUP(A40,'LPG Fup'!D:D,'LPG Fup'!M:M,0,0))</f>
        <v>0</v>
      </c>
      <c r="I40" s="109">
        <f>_xlfn.XLOOKUP(A40,'Rafineri Fiyatları'!A:A,'Rafineri Fiyatları'!B:B,"",0)</f>
        <v>4229.38</v>
      </c>
      <c r="J40">
        <f t="shared" si="0"/>
        <v>2020</v>
      </c>
      <c r="K40">
        <f t="shared" si="1"/>
        <v>7</v>
      </c>
      <c r="L40">
        <f t="shared" si="2"/>
        <v>9</v>
      </c>
      <c r="M40">
        <f t="shared" si="3"/>
        <v>5</v>
      </c>
      <c r="N40">
        <f>_xlfn.XLOOKUP(A40,tatiller!H:H,tatiller!I:I,0,0)</f>
        <v>0</v>
      </c>
      <c r="O40" cm="1">
        <f t="array" ref="O40">_xlfn.IFNA(_xlfn.IFS(L40=1,"A0",A40=EOMONTH(A40,0),"A-1",L40=2,"A+1"),0)</f>
        <v>0</v>
      </c>
      <c r="P40" cm="1">
        <f t="array" ref="P40">_xlfn.IFNA(_xlfn.IFS(AND(_xlfn.XLOOKUP(A40,'LPG Fup'!D:D,'LPG Fup'!M:M,"",0)&lt;&gt;"",_xlfn.XLOOKUP(A40,'LPG Fup'!D:D,'LPG Fup'!M:M,"",0)&gt;0),"Z-1", AND(_xlfn.XLOOKUP(A40+1,'LPG Fup'!D:D,'LPG Fup'!M:M,"",0)&lt;&gt;"",_xlfn.XLOOKUP(A40+1,'LPG Fup'!D:D,'LPG Fup'!M:M,"",0)&gt;0),"Z-2", AND(_xlfn.XLOOKUP(A40-1,'LPG Fup'!D:D,'LPG Fup'!M:M,"",0)&lt;&gt;"",_xlfn.XLOOKUP(A40-1,'LPG Fup'!D:D,'LPG Fup'!M:M,"",0)&gt;0),"Z", AND(_xlfn.XLOOKUP(A40-2,'LPG Fup'!D:D,'LPG Fup'!M:M,"",0)&lt;&gt;"",_xlfn.XLOOKUP(A40-2,'LPG Fup'!D:D,'LPG Fup'!M:M,"",0)&gt;0),"Z+1"),0)</f>
        <v>0</v>
      </c>
      <c r="Q40" cm="1">
        <f t="array" ref="Q40">_xlfn.IFNA(_xlfn.IFS(AND(_xlfn.XLOOKUP(A40,'LPG Fup'!D:D,'LPG Fup'!M:M,"",0)&lt;&gt;"",_xlfn.XLOOKUP(A40,'LPG Fup'!D:D,'LPG Fup'!M:M,"",0)&lt;0),"I-1", AND(_xlfn.XLOOKUP(A40+1,'LPG Fup'!D:D,'LPG Fup'!M:M,"",0)&lt;&gt;"",_xlfn.XLOOKUP(A40+1,'LPG Fup'!D:D,'LPG Fup'!M:M,"",0)&lt;0),"I-2", AND(_xlfn.XLOOKUP(A40-1,'LPG Fup'!D:D,'LPG Fup'!M:M,"",0)&lt;&gt;"",_xlfn.XLOOKUP(A40-1,'LPG Fup'!D:D,'LPG Fup'!M:M,"",0)&lt;0),"I", AND(_xlfn.XLOOKUP(A40-2,'LPG Fup'!D:D,'LPG Fup'!M:M,"",0)&lt;&gt;"",_xlfn.XLOOKUP(A40-2,'LPG Fup'!D:D,'LPG Fup'!M:M,"",0)&lt;0),"I+1"),0)</f>
        <v>0</v>
      </c>
      <c r="R40">
        <f>_xlfn.XLOOKUP(A40,Covid!A:A,Covid!I:I,0,0)</f>
        <v>1024</v>
      </c>
      <c r="S40">
        <f>_xlfn.XLOOKUP(A40,Covid!A:A,Covid!K:K,0,0)</f>
        <v>18</v>
      </c>
      <c r="T40" s="145">
        <f>_xlfn.XLOOKUP(A40,Covid!A:A,Covid!K:K,0,0)/_xlfn.XLOOKUP(A40,Covid!A:A,Covid!L:L,0,0)</f>
        <v>6.252170892671066E-3</v>
      </c>
    </row>
    <row r="41" spans="1:20" x14ac:dyDescent="0.55000000000000004">
      <c r="A41" s="157">
        <v>44022</v>
      </c>
      <c r="B41" s="13">
        <v>435920</v>
      </c>
      <c r="C41" s="13">
        <v>413013</v>
      </c>
      <c r="D41" s="13">
        <v>0</v>
      </c>
      <c r="E41" s="13">
        <v>657681</v>
      </c>
      <c r="F41" s="13">
        <v>1506614</v>
      </c>
      <c r="G41">
        <f>IF(OR(_xlfn.XLOOKUP(A41,'LPG Fup'!D:D,'LPG Fup'!L:L,"",0)&gt;0.03,_xlfn.XLOOKUP(A41,'LPG Fup'!D:D,'LPG Fup'!L:L,"",0)&lt;-0.03),_xlfn.XLOOKUP(A41,'LPG Fup'!D:D,'LPG Fup'!L:L,0,0),0)</f>
        <v>0</v>
      </c>
      <c r="H41">
        <f>IF(_xlfn.XLOOKUP(A41,'LPG Fup'!D:D,'LPG Fup'!M:M,0,0)="",0,_xlfn.XLOOKUP(A41,'LPG Fup'!D:D,'LPG Fup'!M:M,0,0))</f>
        <v>0</v>
      </c>
      <c r="I41" s="109">
        <f>_xlfn.XLOOKUP(A41,'Rafineri Fiyatları'!A:A,'Rafineri Fiyatları'!B:B,"",0)</f>
        <v>4229.38</v>
      </c>
      <c r="J41">
        <f t="shared" si="0"/>
        <v>2020</v>
      </c>
      <c r="K41">
        <f t="shared" si="1"/>
        <v>7</v>
      </c>
      <c r="L41">
        <f t="shared" si="2"/>
        <v>10</v>
      </c>
      <c r="M41">
        <f t="shared" si="3"/>
        <v>6</v>
      </c>
      <c r="N41">
        <f>_xlfn.XLOOKUP(A41,tatiller!H:H,tatiller!I:I,0,0)</f>
        <v>0</v>
      </c>
      <c r="O41" cm="1">
        <f t="array" ref="O41">_xlfn.IFNA(_xlfn.IFS(L41=1,"A0",A41=EOMONTH(A41,0),"A-1",L41=2,"A+1"),0)</f>
        <v>0</v>
      </c>
      <c r="P41" cm="1">
        <f t="array" ref="P41">_xlfn.IFNA(_xlfn.IFS(AND(_xlfn.XLOOKUP(A41,'LPG Fup'!D:D,'LPG Fup'!M:M,"",0)&lt;&gt;"",_xlfn.XLOOKUP(A41,'LPG Fup'!D:D,'LPG Fup'!M:M,"",0)&gt;0),"Z-1", AND(_xlfn.XLOOKUP(A41+1,'LPG Fup'!D:D,'LPG Fup'!M:M,"",0)&lt;&gt;"",_xlfn.XLOOKUP(A41+1,'LPG Fup'!D:D,'LPG Fup'!M:M,"",0)&gt;0),"Z-2", AND(_xlfn.XLOOKUP(A41-1,'LPG Fup'!D:D,'LPG Fup'!M:M,"",0)&lt;&gt;"",_xlfn.XLOOKUP(A41-1,'LPG Fup'!D:D,'LPG Fup'!M:M,"",0)&gt;0),"Z", AND(_xlfn.XLOOKUP(A41-2,'LPG Fup'!D:D,'LPG Fup'!M:M,"",0)&lt;&gt;"",_xlfn.XLOOKUP(A41-2,'LPG Fup'!D:D,'LPG Fup'!M:M,"",0)&gt;0),"Z+1"),0)</f>
        <v>0</v>
      </c>
      <c r="Q41" cm="1">
        <f t="array" ref="Q41">_xlfn.IFNA(_xlfn.IFS(AND(_xlfn.XLOOKUP(A41,'LPG Fup'!D:D,'LPG Fup'!M:M,"",0)&lt;&gt;"",_xlfn.XLOOKUP(A41,'LPG Fup'!D:D,'LPG Fup'!M:M,"",0)&lt;0),"I-1", AND(_xlfn.XLOOKUP(A41+1,'LPG Fup'!D:D,'LPG Fup'!M:M,"",0)&lt;&gt;"",_xlfn.XLOOKUP(A41+1,'LPG Fup'!D:D,'LPG Fup'!M:M,"",0)&lt;0),"I-2", AND(_xlfn.XLOOKUP(A41-1,'LPG Fup'!D:D,'LPG Fup'!M:M,"",0)&lt;&gt;"",_xlfn.XLOOKUP(A41-1,'LPG Fup'!D:D,'LPG Fup'!M:M,"",0)&lt;0),"I", AND(_xlfn.XLOOKUP(A41-2,'LPG Fup'!D:D,'LPG Fup'!M:M,"",0)&lt;&gt;"",_xlfn.XLOOKUP(A41-2,'LPG Fup'!D:D,'LPG Fup'!M:M,"",0)&lt;0),"I+1"),0)</f>
        <v>0</v>
      </c>
      <c r="R41">
        <f>_xlfn.XLOOKUP(A41,Covid!A:A,Covid!I:I,0,0)</f>
        <v>1003</v>
      </c>
      <c r="S41">
        <f>_xlfn.XLOOKUP(A41,Covid!A:A,Covid!K:K,0,0)</f>
        <v>23</v>
      </c>
      <c r="T41" s="145">
        <f>_xlfn.XLOOKUP(A41,Covid!A:A,Covid!K:K,0,0)/_xlfn.XLOOKUP(A41,Covid!A:A,Covid!L:L,0,0)</f>
        <v>1.5405224380442064E-2</v>
      </c>
    </row>
    <row r="42" spans="1:20" x14ac:dyDescent="0.55000000000000004">
      <c r="A42" s="157">
        <v>44023</v>
      </c>
      <c r="B42" s="13">
        <v>503080</v>
      </c>
      <c r="C42" s="13">
        <v>378582</v>
      </c>
      <c r="D42" s="13">
        <v>3500</v>
      </c>
      <c r="E42" s="13">
        <v>695630</v>
      </c>
      <c r="F42" s="13">
        <v>1580792</v>
      </c>
      <c r="G42">
        <f>IF(OR(_xlfn.XLOOKUP(A42,'LPG Fup'!D:D,'LPG Fup'!L:L,"",0)&gt;0.03,_xlfn.XLOOKUP(A42,'LPG Fup'!D:D,'LPG Fup'!L:L,"",0)&lt;-0.03),_xlfn.XLOOKUP(A42,'LPG Fup'!D:D,'LPG Fup'!L:L,0,0),0)</f>
        <v>0</v>
      </c>
      <c r="H42">
        <f>IF(_xlfn.XLOOKUP(A42,'LPG Fup'!D:D,'LPG Fup'!M:M,0,0)="",0,_xlfn.XLOOKUP(A42,'LPG Fup'!D:D,'LPG Fup'!M:M,0,0))</f>
        <v>0</v>
      </c>
      <c r="I42" s="109">
        <f>_xlfn.XLOOKUP(A42,'Rafineri Fiyatları'!A:A,'Rafineri Fiyatları'!B:B,"",0)</f>
        <v>4229.38</v>
      </c>
      <c r="J42">
        <f t="shared" si="0"/>
        <v>2020</v>
      </c>
      <c r="K42">
        <f t="shared" si="1"/>
        <v>7</v>
      </c>
      <c r="L42">
        <f t="shared" si="2"/>
        <v>11</v>
      </c>
      <c r="M42">
        <f t="shared" si="3"/>
        <v>7</v>
      </c>
      <c r="N42">
        <f>_xlfn.XLOOKUP(A42,tatiller!H:H,tatiller!I:I,0,0)</f>
        <v>0</v>
      </c>
      <c r="O42" cm="1">
        <f t="array" ref="O42">_xlfn.IFNA(_xlfn.IFS(L42=1,"A0",A42=EOMONTH(A42,0),"A-1",L42=2,"A+1"),0)</f>
        <v>0</v>
      </c>
      <c r="P42" cm="1">
        <f t="array" ref="P42">_xlfn.IFNA(_xlfn.IFS(AND(_xlfn.XLOOKUP(A42,'LPG Fup'!D:D,'LPG Fup'!M:M,"",0)&lt;&gt;"",_xlfn.XLOOKUP(A42,'LPG Fup'!D:D,'LPG Fup'!M:M,"",0)&gt;0),"Z-1", AND(_xlfn.XLOOKUP(A42+1,'LPG Fup'!D:D,'LPG Fup'!M:M,"",0)&lt;&gt;"",_xlfn.XLOOKUP(A42+1,'LPG Fup'!D:D,'LPG Fup'!M:M,"",0)&gt;0),"Z-2", AND(_xlfn.XLOOKUP(A42-1,'LPG Fup'!D:D,'LPG Fup'!M:M,"",0)&lt;&gt;"",_xlfn.XLOOKUP(A42-1,'LPG Fup'!D:D,'LPG Fup'!M:M,"",0)&gt;0),"Z", AND(_xlfn.XLOOKUP(A42-2,'LPG Fup'!D:D,'LPG Fup'!M:M,"",0)&lt;&gt;"",_xlfn.XLOOKUP(A42-2,'LPG Fup'!D:D,'LPG Fup'!M:M,"",0)&gt;0),"Z+1"),0)</f>
        <v>0</v>
      </c>
      <c r="Q42" cm="1">
        <f t="array" ref="Q42">_xlfn.IFNA(_xlfn.IFS(AND(_xlfn.XLOOKUP(A42,'LPG Fup'!D:D,'LPG Fup'!M:M,"",0)&lt;&gt;"",_xlfn.XLOOKUP(A42,'LPG Fup'!D:D,'LPG Fup'!M:M,"",0)&lt;0),"I-1", AND(_xlfn.XLOOKUP(A42+1,'LPG Fup'!D:D,'LPG Fup'!M:M,"",0)&lt;&gt;"",_xlfn.XLOOKUP(A42+1,'LPG Fup'!D:D,'LPG Fup'!M:M,"",0)&lt;0),"I-2", AND(_xlfn.XLOOKUP(A42-1,'LPG Fup'!D:D,'LPG Fup'!M:M,"",0)&lt;&gt;"",_xlfn.XLOOKUP(A42-1,'LPG Fup'!D:D,'LPG Fup'!M:M,"",0)&lt;0),"I", AND(_xlfn.XLOOKUP(A42-2,'LPG Fup'!D:D,'LPG Fup'!M:M,"",0)&lt;&gt;"",_xlfn.XLOOKUP(A42-2,'LPG Fup'!D:D,'LPG Fup'!M:M,"",0)&lt;0),"I+1"),0)</f>
        <v>0</v>
      </c>
      <c r="R42">
        <f>_xlfn.XLOOKUP(A42,Covid!A:A,Covid!I:I,0,0)</f>
        <v>1016</v>
      </c>
      <c r="S42">
        <f>_xlfn.XLOOKUP(A42,Covid!A:A,Covid!K:K,0,0)</f>
        <v>21</v>
      </c>
      <c r="T42" s="145">
        <f>_xlfn.XLOOKUP(A42,Covid!A:A,Covid!K:K,0,0)/_xlfn.XLOOKUP(A42,Covid!A:A,Covid!L:L,0,0)</f>
        <v>1.5742128935532233E-2</v>
      </c>
    </row>
    <row r="43" spans="1:20" x14ac:dyDescent="0.55000000000000004">
      <c r="A43" s="157">
        <v>44024</v>
      </c>
      <c r="B43" s="13">
        <v>493280</v>
      </c>
      <c r="C43" s="13">
        <v>892</v>
      </c>
      <c r="D43" s="13">
        <v>0</v>
      </c>
      <c r="E43" s="13">
        <v>492652</v>
      </c>
      <c r="F43" s="13">
        <v>986824</v>
      </c>
      <c r="G43">
        <f>IF(OR(_xlfn.XLOOKUP(A43,'LPG Fup'!D:D,'LPG Fup'!L:L,"",0)&gt;0.03,_xlfn.XLOOKUP(A43,'LPG Fup'!D:D,'LPG Fup'!L:L,"",0)&lt;-0.03),_xlfn.XLOOKUP(A43,'LPG Fup'!D:D,'LPG Fup'!L:L,0,0),0)</f>
        <v>0</v>
      </c>
      <c r="H43">
        <f>IF(_xlfn.XLOOKUP(A43,'LPG Fup'!D:D,'LPG Fup'!M:M,0,0)="",0,_xlfn.XLOOKUP(A43,'LPG Fup'!D:D,'LPG Fup'!M:M,0,0))</f>
        <v>0</v>
      </c>
      <c r="I43" s="109">
        <f>_xlfn.XLOOKUP(A43,'Rafineri Fiyatları'!A:A,'Rafineri Fiyatları'!B:B,"",0)</f>
        <v>4229.38</v>
      </c>
      <c r="J43">
        <f t="shared" si="0"/>
        <v>2020</v>
      </c>
      <c r="K43">
        <f t="shared" si="1"/>
        <v>7</v>
      </c>
      <c r="L43">
        <f t="shared" si="2"/>
        <v>12</v>
      </c>
      <c r="M43">
        <f t="shared" si="3"/>
        <v>1</v>
      </c>
      <c r="N43">
        <f>_xlfn.XLOOKUP(A43,tatiller!H:H,tatiller!I:I,0,0)</f>
        <v>0</v>
      </c>
      <c r="O43" cm="1">
        <f t="array" ref="O43">_xlfn.IFNA(_xlfn.IFS(L43=1,"A0",A43=EOMONTH(A43,0),"A-1",L43=2,"A+1"),0)</f>
        <v>0</v>
      </c>
      <c r="P43" cm="1">
        <f t="array" ref="P43">_xlfn.IFNA(_xlfn.IFS(AND(_xlfn.XLOOKUP(A43,'LPG Fup'!D:D,'LPG Fup'!M:M,"",0)&lt;&gt;"",_xlfn.XLOOKUP(A43,'LPG Fup'!D:D,'LPG Fup'!M:M,"",0)&gt;0),"Z-1", AND(_xlfn.XLOOKUP(A43+1,'LPG Fup'!D:D,'LPG Fup'!M:M,"",0)&lt;&gt;"",_xlfn.XLOOKUP(A43+1,'LPG Fup'!D:D,'LPG Fup'!M:M,"",0)&gt;0),"Z-2", AND(_xlfn.XLOOKUP(A43-1,'LPG Fup'!D:D,'LPG Fup'!M:M,"",0)&lt;&gt;"",_xlfn.XLOOKUP(A43-1,'LPG Fup'!D:D,'LPG Fup'!M:M,"",0)&gt;0),"Z", AND(_xlfn.XLOOKUP(A43-2,'LPG Fup'!D:D,'LPG Fup'!M:M,"",0)&lt;&gt;"",_xlfn.XLOOKUP(A43-2,'LPG Fup'!D:D,'LPG Fup'!M:M,"",0)&gt;0),"Z+1"),0)</f>
        <v>0</v>
      </c>
      <c r="Q43" cm="1">
        <f t="array" ref="Q43">_xlfn.IFNA(_xlfn.IFS(AND(_xlfn.XLOOKUP(A43,'LPG Fup'!D:D,'LPG Fup'!M:M,"",0)&lt;&gt;"",_xlfn.XLOOKUP(A43,'LPG Fup'!D:D,'LPG Fup'!M:M,"",0)&lt;0),"I-1", AND(_xlfn.XLOOKUP(A43+1,'LPG Fup'!D:D,'LPG Fup'!M:M,"",0)&lt;&gt;"",_xlfn.XLOOKUP(A43+1,'LPG Fup'!D:D,'LPG Fup'!M:M,"",0)&lt;0),"I-2", AND(_xlfn.XLOOKUP(A43-1,'LPG Fup'!D:D,'LPG Fup'!M:M,"",0)&lt;&gt;"",_xlfn.XLOOKUP(A43-1,'LPG Fup'!D:D,'LPG Fup'!M:M,"",0)&lt;0),"I", AND(_xlfn.XLOOKUP(A43-2,'LPG Fup'!D:D,'LPG Fup'!M:M,"",0)&lt;&gt;"",_xlfn.XLOOKUP(A43-2,'LPG Fup'!D:D,'LPG Fup'!M:M,"",0)&lt;0),"I+1"),0)</f>
        <v>0</v>
      </c>
      <c r="R43">
        <f>_xlfn.XLOOKUP(A43,Covid!A:A,Covid!I:I,0,0)</f>
        <v>1012</v>
      </c>
      <c r="S43">
        <f>_xlfn.XLOOKUP(A43,Covid!A:A,Covid!K:K,0,0)</f>
        <v>19</v>
      </c>
      <c r="T43" s="145">
        <f>_xlfn.XLOOKUP(A43,Covid!A:A,Covid!K:K,0,0)/_xlfn.XLOOKUP(A43,Covid!A:A,Covid!L:L,0,0)</f>
        <v>1.4637904468412942E-2</v>
      </c>
    </row>
    <row r="44" spans="1:20" x14ac:dyDescent="0.55000000000000004">
      <c r="A44" s="157">
        <v>44025</v>
      </c>
      <c r="B44" s="13">
        <v>438520</v>
      </c>
      <c r="C44" s="13">
        <v>490970</v>
      </c>
      <c r="D44" s="13">
        <v>2339</v>
      </c>
      <c r="E44" s="13">
        <v>689205</v>
      </c>
      <c r="F44" s="13">
        <v>1621034</v>
      </c>
      <c r="G44">
        <f>IF(OR(_xlfn.XLOOKUP(A44,'LPG Fup'!D:D,'LPG Fup'!L:L,"",0)&gt;0.03,_xlfn.XLOOKUP(A44,'LPG Fup'!D:D,'LPG Fup'!L:L,"",0)&lt;-0.03),_xlfn.XLOOKUP(A44,'LPG Fup'!D:D,'LPG Fup'!L:L,0,0),0)</f>
        <v>0</v>
      </c>
      <c r="H44">
        <f>IF(_xlfn.XLOOKUP(A44,'LPG Fup'!D:D,'LPG Fup'!M:M,0,0)="",0,_xlfn.XLOOKUP(A44,'LPG Fup'!D:D,'LPG Fup'!M:M,0,0))</f>
        <v>0</v>
      </c>
      <c r="I44" s="109">
        <f>_xlfn.XLOOKUP(A44,'Rafineri Fiyatları'!A:A,'Rafineri Fiyatları'!B:B,"",0)</f>
        <v>4229.38</v>
      </c>
      <c r="J44">
        <f t="shared" si="0"/>
        <v>2020</v>
      </c>
      <c r="K44">
        <f t="shared" si="1"/>
        <v>7</v>
      </c>
      <c r="L44">
        <f t="shared" si="2"/>
        <v>13</v>
      </c>
      <c r="M44">
        <f t="shared" si="3"/>
        <v>2</v>
      </c>
      <c r="N44">
        <f>_xlfn.XLOOKUP(A44,tatiller!H:H,tatiller!I:I,0,0)</f>
        <v>0</v>
      </c>
      <c r="O44" cm="1">
        <f t="array" ref="O44">_xlfn.IFNA(_xlfn.IFS(L44=1,"A0",A44=EOMONTH(A44,0),"A-1",L44=2,"A+1"),0)</f>
        <v>0</v>
      </c>
      <c r="P44" cm="1">
        <f t="array" ref="P44">_xlfn.IFNA(_xlfn.IFS(AND(_xlfn.XLOOKUP(A44,'LPG Fup'!D:D,'LPG Fup'!M:M,"",0)&lt;&gt;"",_xlfn.XLOOKUP(A44,'LPG Fup'!D:D,'LPG Fup'!M:M,"",0)&gt;0),"Z-1", AND(_xlfn.XLOOKUP(A44+1,'LPG Fup'!D:D,'LPG Fup'!M:M,"",0)&lt;&gt;"",_xlfn.XLOOKUP(A44+1,'LPG Fup'!D:D,'LPG Fup'!M:M,"",0)&gt;0),"Z-2", AND(_xlfn.XLOOKUP(A44-1,'LPG Fup'!D:D,'LPG Fup'!M:M,"",0)&lt;&gt;"",_xlfn.XLOOKUP(A44-1,'LPG Fup'!D:D,'LPG Fup'!M:M,"",0)&gt;0),"Z", AND(_xlfn.XLOOKUP(A44-2,'LPG Fup'!D:D,'LPG Fup'!M:M,"",0)&lt;&gt;"",_xlfn.XLOOKUP(A44-2,'LPG Fup'!D:D,'LPG Fup'!M:M,"",0)&gt;0),"Z+1"),0)</f>
        <v>0</v>
      </c>
      <c r="Q44" cm="1">
        <f t="array" ref="Q44">_xlfn.IFNA(_xlfn.IFS(AND(_xlfn.XLOOKUP(A44,'LPG Fup'!D:D,'LPG Fup'!M:M,"",0)&lt;&gt;"",_xlfn.XLOOKUP(A44,'LPG Fup'!D:D,'LPG Fup'!M:M,"",0)&lt;0),"I-1", AND(_xlfn.XLOOKUP(A44+1,'LPG Fup'!D:D,'LPG Fup'!M:M,"",0)&lt;&gt;"",_xlfn.XLOOKUP(A44+1,'LPG Fup'!D:D,'LPG Fup'!M:M,"",0)&lt;0),"I-2", AND(_xlfn.XLOOKUP(A44-1,'LPG Fup'!D:D,'LPG Fup'!M:M,"",0)&lt;&gt;"",_xlfn.XLOOKUP(A44-1,'LPG Fup'!D:D,'LPG Fup'!M:M,"",0)&lt;0),"I", AND(_xlfn.XLOOKUP(A44-2,'LPG Fup'!D:D,'LPG Fup'!M:M,"",0)&lt;&gt;"",_xlfn.XLOOKUP(A44-2,'LPG Fup'!D:D,'LPG Fup'!M:M,"",0)&lt;0),"I+1"),0)</f>
        <v>0</v>
      </c>
      <c r="R44">
        <f>_xlfn.XLOOKUP(A44,Covid!A:A,Covid!I:I,0,0)</f>
        <v>1008</v>
      </c>
      <c r="S44">
        <f>_xlfn.XLOOKUP(A44,Covid!A:A,Covid!K:K,0,0)</f>
        <v>19</v>
      </c>
      <c r="T44" s="145">
        <f>_xlfn.XLOOKUP(A44,Covid!A:A,Covid!K:K,0,0)/_xlfn.XLOOKUP(A44,Covid!A:A,Covid!L:L,0,0)</f>
        <v>1.6435986159169549E-2</v>
      </c>
    </row>
    <row r="45" spans="1:20" x14ac:dyDescent="0.55000000000000004">
      <c r="A45" s="157">
        <v>44026</v>
      </c>
      <c r="B45" s="13">
        <v>411500</v>
      </c>
      <c r="C45" s="13">
        <v>474957</v>
      </c>
      <c r="D45" s="13">
        <v>0</v>
      </c>
      <c r="E45" s="13">
        <v>614142</v>
      </c>
      <c r="F45" s="13">
        <v>1500599</v>
      </c>
      <c r="G45">
        <f>IF(OR(_xlfn.XLOOKUP(A45,'LPG Fup'!D:D,'LPG Fup'!L:L,"",0)&gt;0.03,_xlfn.XLOOKUP(A45,'LPG Fup'!D:D,'LPG Fup'!L:L,"",0)&lt;-0.03),_xlfn.XLOOKUP(A45,'LPG Fup'!D:D,'LPG Fup'!L:L,0,0),0)</f>
        <v>0</v>
      </c>
      <c r="H45">
        <f>IF(_xlfn.XLOOKUP(A45,'LPG Fup'!D:D,'LPG Fup'!M:M,0,0)="",0,_xlfn.XLOOKUP(A45,'LPG Fup'!D:D,'LPG Fup'!M:M,0,0))</f>
        <v>0</v>
      </c>
      <c r="I45" s="109">
        <f>_xlfn.XLOOKUP(A45,'Rafineri Fiyatları'!A:A,'Rafineri Fiyatları'!B:B,"",0)</f>
        <v>4229.38</v>
      </c>
      <c r="J45">
        <f t="shared" si="0"/>
        <v>2020</v>
      </c>
      <c r="K45">
        <f t="shared" si="1"/>
        <v>7</v>
      </c>
      <c r="L45">
        <f t="shared" si="2"/>
        <v>14</v>
      </c>
      <c r="M45">
        <f t="shared" si="3"/>
        <v>3</v>
      </c>
      <c r="N45">
        <f>_xlfn.XLOOKUP(A45,tatiller!H:H,tatiller!I:I,0,0)</f>
        <v>0</v>
      </c>
      <c r="O45" cm="1">
        <f t="array" ref="O45">_xlfn.IFNA(_xlfn.IFS(L45=1,"A0",A45=EOMONTH(A45,0),"A-1",L45=2,"A+1"),0)</f>
        <v>0</v>
      </c>
      <c r="P45" cm="1">
        <f t="array" ref="P45">_xlfn.IFNA(_xlfn.IFS(AND(_xlfn.XLOOKUP(A45,'LPG Fup'!D:D,'LPG Fup'!M:M,"",0)&lt;&gt;"",_xlfn.XLOOKUP(A45,'LPG Fup'!D:D,'LPG Fup'!M:M,"",0)&gt;0),"Z-1", AND(_xlfn.XLOOKUP(A45+1,'LPG Fup'!D:D,'LPG Fup'!M:M,"",0)&lt;&gt;"",_xlfn.XLOOKUP(A45+1,'LPG Fup'!D:D,'LPG Fup'!M:M,"",0)&gt;0),"Z-2", AND(_xlfn.XLOOKUP(A45-1,'LPG Fup'!D:D,'LPG Fup'!M:M,"",0)&lt;&gt;"",_xlfn.XLOOKUP(A45-1,'LPG Fup'!D:D,'LPG Fup'!M:M,"",0)&gt;0),"Z", AND(_xlfn.XLOOKUP(A45-2,'LPG Fup'!D:D,'LPG Fup'!M:M,"",0)&lt;&gt;"",_xlfn.XLOOKUP(A45-2,'LPG Fup'!D:D,'LPG Fup'!M:M,"",0)&gt;0),"Z+1"),0)</f>
        <v>0</v>
      </c>
      <c r="Q45" cm="1">
        <f t="array" ref="Q45">_xlfn.IFNA(_xlfn.IFS(AND(_xlfn.XLOOKUP(A45,'LPG Fup'!D:D,'LPG Fup'!M:M,"",0)&lt;&gt;"",_xlfn.XLOOKUP(A45,'LPG Fup'!D:D,'LPG Fup'!M:M,"",0)&lt;0),"I-1", AND(_xlfn.XLOOKUP(A45+1,'LPG Fup'!D:D,'LPG Fup'!M:M,"",0)&lt;&gt;"",_xlfn.XLOOKUP(A45+1,'LPG Fup'!D:D,'LPG Fup'!M:M,"",0)&lt;0),"I-2", AND(_xlfn.XLOOKUP(A45-1,'LPG Fup'!D:D,'LPG Fup'!M:M,"",0)&lt;&gt;"",_xlfn.XLOOKUP(A45-1,'LPG Fup'!D:D,'LPG Fup'!M:M,"",0)&lt;0),"I", AND(_xlfn.XLOOKUP(A45-2,'LPG Fup'!D:D,'LPG Fup'!M:M,"",0)&lt;&gt;"",_xlfn.XLOOKUP(A45-2,'LPG Fup'!D:D,'LPG Fup'!M:M,"",0)&lt;0),"I+1"),0)</f>
        <v>0</v>
      </c>
      <c r="R45">
        <f>_xlfn.XLOOKUP(A45,Covid!A:A,Covid!I:I,0,0)</f>
        <v>992</v>
      </c>
      <c r="S45">
        <f>_xlfn.XLOOKUP(A45,Covid!A:A,Covid!K:K,0,0)</f>
        <v>20</v>
      </c>
      <c r="T45" s="145">
        <f>_xlfn.XLOOKUP(A45,Covid!A:A,Covid!K:K,0,0)/_xlfn.XLOOKUP(A45,Covid!A:A,Covid!L:L,0,0)</f>
        <v>1.9065776930409915E-2</v>
      </c>
    </row>
    <row r="46" spans="1:20" x14ac:dyDescent="0.55000000000000004">
      <c r="A46" s="157">
        <v>44027</v>
      </c>
      <c r="B46" s="13">
        <v>492000</v>
      </c>
      <c r="C46" s="13">
        <v>426386</v>
      </c>
      <c r="D46" s="13">
        <v>7204</v>
      </c>
      <c r="E46" s="13">
        <v>658424</v>
      </c>
      <c r="F46" s="13">
        <v>1584014</v>
      </c>
      <c r="G46">
        <f>IF(OR(_xlfn.XLOOKUP(A46,'LPG Fup'!D:D,'LPG Fup'!L:L,"",0)&gt;0.03,_xlfn.XLOOKUP(A46,'LPG Fup'!D:D,'LPG Fup'!L:L,"",0)&lt;-0.03),_xlfn.XLOOKUP(A46,'LPG Fup'!D:D,'LPG Fup'!L:L,0,0),0)</f>
        <v>0</v>
      </c>
      <c r="H46">
        <f>IF(_xlfn.XLOOKUP(A46,'LPG Fup'!D:D,'LPG Fup'!M:M,0,0)="",0,_xlfn.XLOOKUP(A46,'LPG Fup'!D:D,'LPG Fup'!M:M,0,0))</f>
        <v>0</v>
      </c>
      <c r="I46" s="109">
        <f>_xlfn.XLOOKUP(A46,'Rafineri Fiyatları'!A:A,'Rafineri Fiyatları'!B:B,"",0)</f>
        <v>4229.38</v>
      </c>
      <c r="J46">
        <f t="shared" si="0"/>
        <v>2020</v>
      </c>
      <c r="K46">
        <f t="shared" si="1"/>
        <v>7</v>
      </c>
      <c r="L46">
        <f t="shared" si="2"/>
        <v>15</v>
      </c>
      <c r="M46">
        <f t="shared" si="3"/>
        <v>4</v>
      </c>
      <c r="N46" t="str">
        <f>_xlfn.XLOOKUP(A46,tatiller!H:H,tatiller!I:I,0,0)</f>
        <v>T</v>
      </c>
      <c r="O46" cm="1">
        <f t="array" ref="O46">_xlfn.IFNA(_xlfn.IFS(L46=1,"A0",A46=EOMONTH(A46,0),"A-1",L46=2,"A+1"),0)</f>
        <v>0</v>
      </c>
      <c r="P46" cm="1">
        <f t="array" ref="P46">_xlfn.IFNA(_xlfn.IFS(AND(_xlfn.XLOOKUP(A46,'LPG Fup'!D:D,'LPG Fup'!M:M,"",0)&lt;&gt;"",_xlfn.XLOOKUP(A46,'LPG Fup'!D:D,'LPG Fup'!M:M,"",0)&gt;0),"Z-1", AND(_xlfn.XLOOKUP(A46+1,'LPG Fup'!D:D,'LPG Fup'!M:M,"",0)&lt;&gt;"",_xlfn.XLOOKUP(A46+1,'LPG Fup'!D:D,'LPG Fup'!M:M,"",0)&gt;0),"Z-2", AND(_xlfn.XLOOKUP(A46-1,'LPG Fup'!D:D,'LPG Fup'!M:M,"",0)&lt;&gt;"",_xlfn.XLOOKUP(A46-1,'LPG Fup'!D:D,'LPG Fup'!M:M,"",0)&gt;0),"Z", AND(_xlfn.XLOOKUP(A46-2,'LPG Fup'!D:D,'LPG Fup'!M:M,"",0)&lt;&gt;"",_xlfn.XLOOKUP(A46-2,'LPG Fup'!D:D,'LPG Fup'!M:M,"",0)&gt;0),"Z+1"),0)</f>
        <v>0</v>
      </c>
      <c r="Q46" cm="1">
        <f t="array" ref="Q46">_xlfn.IFNA(_xlfn.IFS(AND(_xlfn.XLOOKUP(A46,'LPG Fup'!D:D,'LPG Fup'!M:M,"",0)&lt;&gt;"",_xlfn.XLOOKUP(A46,'LPG Fup'!D:D,'LPG Fup'!M:M,"",0)&lt;0),"I-1", AND(_xlfn.XLOOKUP(A46+1,'LPG Fup'!D:D,'LPG Fup'!M:M,"",0)&lt;&gt;"",_xlfn.XLOOKUP(A46+1,'LPG Fup'!D:D,'LPG Fup'!M:M,"",0)&lt;0),"I-2", AND(_xlfn.XLOOKUP(A46-1,'LPG Fup'!D:D,'LPG Fup'!M:M,"",0)&lt;&gt;"",_xlfn.XLOOKUP(A46-1,'LPG Fup'!D:D,'LPG Fup'!M:M,"",0)&lt;0),"I", AND(_xlfn.XLOOKUP(A46-2,'LPG Fup'!D:D,'LPG Fup'!M:M,"",0)&lt;&gt;"",_xlfn.XLOOKUP(A46-2,'LPG Fup'!D:D,'LPG Fup'!M:M,"",0)&lt;0),"I+1"),0)</f>
        <v>0</v>
      </c>
      <c r="R46">
        <f>_xlfn.XLOOKUP(A46,Covid!A:A,Covid!I:I,0,0)</f>
        <v>947</v>
      </c>
      <c r="S46">
        <f>_xlfn.XLOOKUP(A46,Covid!A:A,Covid!K:K,0,0)</f>
        <v>17</v>
      </c>
      <c r="T46" s="145">
        <f>_xlfn.XLOOKUP(A46,Covid!A:A,Covid!K:K,0,0)/_xlfn.XLOOKUP(A46,Covid!A:A,Covid!L:L,0,0)</f>
        <v>1.6781836130306021E-2</v>
      </c>
    </row>
    <row r="47" spans="1:20" x14ac:dyDescent="0.55000000000000004">
      <c r="A47" s="157">
        <v>44028</v>
      </c>
      <c r="B47" s="13">
        <v>1436340</v>
      </c>
      <c r="C47" s="13">
        <v>374402</v>
      </c>
      <c r="D47" s="13">
        <v>9492</v>
      </c>
      <c r="E47" s="13">
        <v>581062</v>
      </c>
      <c r="F47" s="13">
        <v>2401296</v>
      </c>
      <c r="G47">
        <f>IF(OR(_xlfn.XLOOKUP(A47,'LPG Fup'!D:D,'LPG Fup'!L:L,"",0)&gt;0.03,_xlfn.XLOOKUP(A47,'LPG Fup'!D:D,'LPG Fup'!L:L,"",0)&lt;-0.03),_xlfn.XLOOKUP(A47,'LPG Fup'!D:D,'LPG Fup'!L:L,0,0),0)</f>
        <v>0</v>
      </c>
      <c r="H47">
        <f>IF(_xlfn.XLOOKUP(A47,'LPG Fup'!D:D,'LPG Fup'!M:M,0,0)="",0,_xlfn.XLOOKUP(A47,'LPG Fup'!D:D,'LPG Fup'!M:M,0,0))</f>
        <v>0</v>
      </c>
      <c r="I47" s="109">
        <f>_xlfn.XLOOKUP(A47,'Rafineri Fiyatları'!A:A,'Rafineri Fiyatları'!B:B,"",0)</f>
        <v>4229.38</v>
      </c>
      <c r="J47">
        <f t="shared" si="0"/>
        <v>2020</v>
      </c>
      <c r="K47">
        <f t="shared" si="1"/>
        <v>7</v>
      </c>
      <c r="L47">
        <f t="shared" si="2"/>
        <v>16</v>
      </c>
      <c r="M47">
        <f t="shared" si="3"/>
        <v>5</v>
      </c>
      <c r="N47">
        <f>_xlfn.XLOOKUP(A47,tatiller!H:H,tatiller!I:I,0,0)</f>
        <v>0</v>
      </c>
      <c r="O47" cm="1">
        <f t="array" ref="O47">_xlfn.IFNA(_xlfn.IFS(L47=1,"A0",A47=EOMONTH(A47,0),"A-1",L47=2,"A+1"),0)</f>
        <v>0</v>
      </c>
      <c r="P47" cm="1">
        <f t="array" ref="P47">_xlfn.IFNA(_xlfn.IFS(AND(_xlfn.XLOOKUP(A47,'LPG Fup'!D:D,'LPG Fup'!M:M,"",0)&lt;&gt;"",_xlfn.XLOOKUP(A47,'LPG Fup'!D:D,'LPG Fup'!M:M,"",0)&gt;0),"Z-1", AND(_xlfn.XLOOKUP(A47+1,'LPG Fup'!D:D,'LPG Fup'!M:M,"",0)&lt;&gt;"",_xlfn.XLOOKUP(A47+1,'LPG Fup'!D:D,'LPG Fup'!M:M,"",0)&gt;0),"Z-2", AND(_xlfn.XLOOKUP(A47-1,'LPG Fup'!D:D,'LPG Fup'!M:M,"",0)&lt;&gt;"",_xlfn.XLOOKUP(A47-1,'LPG Fup'!D:D,'LPG Fup'!M:M,"",0)&gt;0),"Z", AND(_xlfn.XLOOKUP(A47-2,'LPG Fup'!D:D,'LPG Fup'!M:M,"",0)&lt;&gt;"",_xlfn.XLOOKUP(A47-2,'LPG Fup'!D:D,'LPG Fup'!M:M,"",0)&gt;0),"Z+1"),0)</f>
        <v>0</v>
      </c>
      <c r="Q47" cm="1">
        <f t="array" ref="Q47">_xlfn.IFNA(_xlfn.IFS(AND(_xlfn.XLOOKUP(A47,'LPG Fup'!D:D,'LPG Fup'!M:M,"",0)&lt;&gt;"",_xlfn.XLOOKUP(A47,'LPG Fup'!D:D,'LPG Fup'!M:M,"",0)&lt;0),"I-1", AND(_xlfn.XLOOKUP(A47+1,'LPG Fup'!D:D,'LPG Fup'!M:M,"",0)&lt;&gt;"",_xlfn.XLOOKUP(A47+1,'LPG Fup'!D:D,'LPG Fup'!M:M,"",0)&lt;0),"I-2", AND(_xlfn.XLOOKUP(A47-1,'LPG Fup'!D:D,'LPG Fup'!M:M,"",0)&lt;&gt;"",_xlfn.XLOOKUP(A47-1,'LPG Fup'!D:D,'LPG Fup'!M:M,"",0)&lt;0),"I", AND(_xlfn.XLOOKUP(A47-2,'LPG Fup'!D:D,'LPG Fup'!M:M,"",0)&lt;&gt;"",_xlfn.XLOOKUP(A47-2,'LPG Fup'!D:D,'LPG Fup'!M:M,"",0)&lt;0),"I+1"),0)</f>
        <v>0</v>
      </c>
      <c r="R47">
        <f>_xlfn.XLOOKUP(A47,Covid!A:A,Covid!I:I,0,0)</f>
        <v>933</v>
      </c>
      <c r="S47">
        <f>_xlfn.XLOOKUP(A47,Covid!A:A,Covid!K:K,0,0)</f>
        <v>21</v>
      </c>
      <c r="T47" s="145">
        <f>_xlfn.XLOOKUP(A47,Covid!A:A,Covid!K:K,0,0)/_xlfn.XLOOKUP(A47,Covid!A:A,Covid!L:L,0,0)</f>
        <v>1.9319227230910764E-2</v>
      </c>
    </row>
    <row r="48" spans="1:20" x14ac:dyDescent="0.55000000000000004">
      <c r="A48" s="157">
        <v>44029</v>
      </c>
      <c r="B48" s="13">
        <v>400180</v>
      </c>
      <c r="C48" s="13">
        <v>387740</v>
      </c>
      <c r="D48" s="13">
        <v>2380</v>
      </c>
      <c r="E48" s="13">
        <v>622987</v>
      </c>
      <c r="F48" s="13">
        <v>1413287</v>
      </c>
      <c r="G48">
        <f>IF(OR(_xlfn.XLOOKUP(A48,'LPG Fup'!D:D,'LPG Fup'!L:L,"",0)&gt;0.03,_xlfn.XLOOKUP(A48,'LPG Fup'!D:D,'LPG Fup'!L:L,"",0)&lt;-0.03),_xlfn.XLOOKUP(A48,'LPG Fup'!D:D,'LPG Fup'!L:L,0,0),0)</f>
        <v>0</v>
      </c>
      <c r="H48">
        <f>IF(_xlfn.XLOOKUP(A48,'LPG Fup'!D:D,'LPG Fup'!M:M,0,0)="",0,_xlfn.XLOOKUP(A48,'LPG Fup'!D:D,'LPG Fup'!M:M,0,0))</f>
        <v>0</v>
      </c>
      <c r="I48" s="109">
        <f>_xlfn.XLOOKUP(A48,'Rafineri Fiyatları'!A:A,'Rafineri Fiyatları'!B:B,"",0)</f>
        <v>4229.38</v>
      </c>
      <c r="J48">
        <f t="shared" si="0"/>
        <v>2020</v>
      </c>
      <c r="K48">
        <f t="shared" si="1"/>
        <v>7</v>
      </c>
      <c r="L48">
        <f t="shared" si="2"/>
        <v>17</v>
      </c>
      <c r="M48">
        <f t="shared" si="3"/>
        <v>6</v>
      </c>
      <c r="N48">
        <f>_xlfn.XLOOKUP(A48,tatiller!H:H,tatiller!I:I,0,0)</f>
        <v>0</v>
      </c>
      <c r="O48" cm="1">
        <f t="array" ref="O48">_xlfn.IFNA(_xlfn.IFS(L48=1,"A0",A48=EOMONTH(A48,0),"A-1",L48=2,"A+1"),0)</f>
        <v>0</v>
      </c>
      <c r="P48" cm="1">
        <f t="array" ref="P48">_xlfn.IFNA(_xlfn.IFS(AND(_xlfn.XLOOKUP(A48,'LPG Fup'!D:D,'LPG Fup'!M:M,"",0)&lt;&gt;"",_xlfn.XLOOKUP(A48,'LPG Fup'!D:D,'LPG Fup'!M:M,"",0)&gt;0),"Z-1", AND(_xlfn.XLOOKUP(A48+1,'LPG Fup'!D:D,'LPG Fup'!M:M,"",0)&lt;&gt;"",_xlfn.XLOOKUP(A48+1,'LPG Fup'!D:D,'LPG Fup'!M:M,"",0)&gt;0),"Z-2", AND(_xlfn.XLOOKUP(A48-1,'LPG Fup'!D:D,'LPG Fup'!M:M,"",0)&lt;&gt;"",_xlfn.XLOOKUP(A48-1,'LPG Fup'!D:D,'LPG Fup'!M:M,"",0)&gt;0),"Z", AND(_xlfn.XLOOKUP(A48-2,'LPG Fup'!D:D,'LPG Fup'!M:M,"",0)&lt;&gt;"",_xlfn.XLOOKUP(A48-2,'LPG Fup'!D:D,'LPG Fup'!M:M,"",0)&gt;0),"Z+1"),0)</f>
        <v>0</v>
      </c>
      <c r="Q48" cm="1">
        <f t="array" ref="Q48">_xlfn.IFNA(_xlfn.IFS(AND(_xlfn.XLOOKUP(A48,'LPG Fup'!D:D,'LPG Fup'!M:M,"",0)&lt;&gt;"",_xlfn.XLOOKUP(A48,'LPG Fup'!D:D,'LPG Fup'!M:M,"",0)&lt;0),"I-1", AND(_xlfn.XLOOKUP(A48+1,'LPG Fup'!D:D,'LPG Fup'!M:M,"",0)&lt;&gt;"",_xlfn.XLOOKUP(A48+1,'LPG Fup'!D:D,'LPG Fup'!M:M,"",0)&lt;0),"I-2", AND(_xlfn.XLOOKUP(A48-1,'LPG Fup'!D:D,'LPG Fup'!M:M,"",0)&lt;&gt;"",_xlfn.XLOOKUP(A48-1,'LPG Fup'!D:D,'LPG Fup'!M:M,"",0)&lt;0),"I", AND(_xlfn.XLOOKUP(A48-2,'LPG Fup'!D:D,'LPG Fup'!M:M,"",0)&lt;&gt;"",_xlfn.XLOOKUP(A48-2,'LPG Fup'!D:D,'LPG Fup'!M:M,"",0)&lt;0),"I+1"),0)</f>
        <v>0</v>
      </c>
      <c r="R48">
        <f>_xlfn.XLOOKUP(A48,Covid!A:A,Covid!I:I,0,0)</f>
        <v>926</v>
      </c>
      <c r="S48">
        <f>_xlfn.XLOOKUP(A48,Covid!A:A,Covid!K:K,0,0)</f>
        <v>18</v>
      </c>
      <c r="T48" s="145">
        <f>_xlfn.XLOOKUP(A48,Covid!A:A,Covid!K:K,0,0)/_xlfn.XLOOKUP(A48,Covid!A:A,Covid!L:L,0,0)</f>
        <v>1.7751479289940829E-2</v>
      </c>
    </row>
    <row r="49" spans="1:20" x14ac:dyDescent="0.55000000000000004">
      <c r="A49" s="157">
        <v>44030</v>
      </c>
      <c r="B49" s="13">
        <v>578820</v>
      </c>
      <c r="C49" s="13">
        <v>386712</v>
      </c>
      <c r="D49" s="13">
        <v>1000</v>
      </c>
      <c r="E49" s="13">
        <v>650358</v>
      </c>
      <c r="F49" s="13">
        <v>1616890</v>
      </c>
      <c r="G49">
        <f>IF(OR(_xlfn.XLOOKUP(A49,'LPG Fup'!D:D,'LPG Fup'!L:L,"",0)&gt;0.03,_xlfn.XLOOKUP(A49,'LPG Fup'!D:D,'LPG Fup'!L:L,"",0)&lt;-0.03),_xlfn.XLOOKUP(A49,'LPG Fup'!D:D,'LPG Fup'!L:L,0,0),0)</f>
        <v>0</v>
      </c>
      <c r="H49">
        <f>IF(_xlfn.XLOOKUP(A49,'LPG Fup'!D:D,'LPG Fup'!M:M,0,0)="",0,_xlfn.XLOOKUP(A49,'LPG Fup'!D:D,'LPG Fup'!M:M,0,0))</f>
        <v>0</v>
      </c>
      <c r="I49" s="109">
        <f>_xlfn.XLOOKUP(A49,'Rafineri Fiyatları'!A:A,'Rafineri Fiyatları'!B:B,"",0)</f>
        <v>4229.38</v>
      </c>
      <c r="J49">
        <f t="shared" si="0"/>
        <v>2020</v>
      </c>
      <c r="K49">
        <f t="shared" si="1"/>
        <v>7</v>
      </c>
      <c r="L49">
        <f t="shared" si="2"/>
        <v>18</v>
      </c>
      <c r="M49">
        <f t="shared" si="3"/>
        <v>7</v>
      </c>
      <c r="N49">
        <f>_xlfn.XLOOKUP(A49,tatiller!H:H,tatiller!I:I,0,0)</f>
        <v>0</v>
      </c>
      <c r="O49" cm="1">
        <f t="array" ref="O49">_xlfn.IFNA(_xlfn.IFS(L49=1,"A0",A49=EOMONTH(A49,0),"A-1",L49=2,"A+1"),0)</f>
        <v>0</v>
      </c>
      <c r="P49" cm="1">
        <f t="array" ref="P49">_xlfn.IFNA(_xlfn.IFS(AND(_xlfn.XLOOKUP(A49,'LPG Fup'!D:D,'LPG Fup'!M:M,"",0)&lt;&gt;"",_xlfn.XLOOKUP(A49,'LPG Fup'!D:D,'LPG Fup'!M:M,"",0)&gt;0),"Z-1", AND(_xlfn.XLOOKUP(A49+1,'LPG Fup'!D:D,'LPG Fup'!M:M,"",0)&lt;&gt;"",_xlfn.XLOOKUP(A49+1,'LPG Fup'!D:D,'LPG Fup'!M:M,"",0)&gt;0),"Z-2", AND(_xlfn.XLOOKUP(A49-1,'LPG Fup'!D:D,'LPG Fup'!M:M,"",0)&lt;&gt;"",_xlfn.XLOOKUP(A49-1,'LPG Fup'!D:D,'LPG Fup'!M:M,"",0)&gt;0),"Z", AND(_xlfn.XLOOKUP(A49-2,'LPG Fup'!D:D,'LPG Fup'!M:M,"",0)&lt;&gt;"",_xlfn.XLOOKUP(A49-2,'LPG Fup'!D:D,'LPG Fup'!M:M,"",0)&gt;0),"Z+1"),0)</f>
        <v>0</v>
      </c>
      <c r="Q49" cm="1">
        <f t="array" ref="Q49">_xlfn.IFNA(_xlfn.IFS(AND(_xlfn.XLOOKUP(A49,'LPG Fup'!D:D,'LPG Fup'!M:M,"",0)&lt;&gt;"",_xlfn.XLOOKUP(A49,'LPG Fup'!D:D,'LPG Fup'!M:M,"",0)&lt;0),"I-1", AND(_xlfn.XLOOKUP(A49+1,'LPG Fup'!D:D,'LPG Fup'!M:M,"",0)&lt;&gt;"",_xlfn.XLOOKUP(A49+1,'LPG Fup'!D:D,'LPG Fup'!M:M,"",0)&lt;0),"I-2", AND(_xlfn.XLOOKUP(A49-1,'LPG Fup'!D:D,'LPG Fup'!M:M,"",0)&lt;&gt;"",_xlfn.XLOOKUP(A49-1,'LPG Fup'!D:D,'LPG Fup'!M:M,"",0)&lt;0),"I", AND(_xlfn.XLOOKUP(A49-2,'LPG Fup'!D:D,'LPG Fup'!M:M,"",0)&lt;&gt;"",_xlfn.XLOOKUP(A49-2,'LPG Fup'!D:D,'LPG Fup'!M:M,"",0)&lt;0),"I+1"),0)</f>
        <v>0</v>
      </c>
      <c r="R49">
        <f>_xlfn.XLOOKUP(A49,Covid!A:A,Covid!I:I,0,0)</f>
        <v>918</v>
      </c>
      <c r="S49">
        <f>_xlfn.XLOOKUP(A49,Covid!A:A,Covid!K:K,0,0)</f>
        <v>17</v>
      </c>
      <c r="T49" s="145">
        <f>_xlfn.XLOOKUP(A49,Covid!A:A,Covid!K:K,0,0)/_xlfn.XLOOKUP(A49,Covid!A:A,Covid!L:L,0,0)</f>
        <v>1.441899915182358E-2</v>
      </c>
    </row>
    <row r="50" spans="1:20" x14ac:dyDescent="0.55000000000000004">
      <c r="A50" s="157">
        <v>44031</v>
      </c>
      <c r="B50" s="13">
        <v>389220</v>
      </c>
      <c r="C50" s="13">
        <v>738</v>
      </c>
      <c r="D50" s="13">
        <v>0</v>
      </c>
      <c r="E50" s="13">
        <v>560155</v>
      </c>
      <c r="F50" s="13">
        <v>950113</v>
      </c>
      <c r="G50">
        <f>IF(OR(_xlfn.XLOOKUP(A50,'LPG Fup'!D:D,'LPG Fup'!L:L,"",0)&gt;0.03,_xlfn.XLOOKUP(A50,'LPG Fup'!D:D,'LPG Fup'!L:L,"",0)&lt;-0.03),_xlfn.XLOOKUP(A50,'LPG Fup'!D:D,'LPG Fup'!L:L,0,0),0)</f>
        <v>0</v>
      </c>
      <c r="H50">
        <f>IF(_xlfn.XLOOKUP(A50,'LPG Fup'!D:D,'LPG Fup'!M:M,0,0)="",0,_xlfn.XLOOKUP(A50,'LPG Fup'!D:D,'LPG Fup'!M:M,0,0))</f>
        <v>0</v>
      </c>
      <c r="I50" s="109">
        <f>_xlfn.XLOOKUP(A50,'Rafineri Fiyatları'!A:A,'Rafineri Fiyatları'!B:B,"",0)</f>
        <v>4229.38</v>
      </c>
      <c r="J50">
        <f t="shared" si="0"/>
        <v>2020</v>
      </c>
      <c r="K50">
        <f t="shared" si="1"/>
        <v>7</v>
      </c>
      <c r="L50">
        <f t="shared" si="2"/>
        <v>19</v>
      </c>
      <c r="M50">
        <f t="shared" si="3"/>
        <v>1</v>
      </c>
      <c r="N50">
        <f>_xlfn.XLOOKUP(A50,tatiller!H:H,tatiller!I:I,0,0)</f>
        <v>0</v>
      </c>
      <c r="O50" cm="1">
        <f t="array" ref="O50">_xlfn.IFNA(_xlfn.IFS(L50=1,"A0",A50=EOMONTH(A50,0),"A-1",L50=2,"A+1"),0)</f>
        <v>0</v>
      </c>
      <c r="P50" cm="1">
        <f t="array" ref="P50">_xlfn.IFNA(_xlfn.IFS(AND(_xlfn.XLOOKUP(A50,'LPG Fup'!D:D,'LPG Fup'!M:M,"",0)&lt;&gt;"",_xlfn.XLOOKUP(A50,'LPG Fup'!D:D,'LPG Fup'!M:M,"",0)&gt;0),"Z-1", AND(_xlfn.XLOOKUP(A50+1,'LPG Fup'!D:D,'LPG Fup'!M:M,"",0)&lt;&gt;"",_xlfn.XLOOKUP(A50+1,'LPG Fup'!D:D,'LPG Fup'!M:M,"",0)&gt;0),"Z-2", AND(_xlfn.XLOOKUP(A50-1,'LPG Fup'!D:D,'LPG Fup'!M:M,"",0)&lt;&gt;"",_xlfn.XLOOKUP(A50-1,'LPG Fup'!D:D,'LPG Fup'!M:M,"",0)&gt;0),"Z", AND(_xlfn.XLOOKUP(A50-2,'LPG Fup'!D:D,'LPG Fup'!M:M,"",0)&lt;&gt;"",_xlfn.XLOOKUP(A50-2,'LPG Fup'!D:D,'LPG Fup'!M:M,"",0)&gt;0),"Z+1"),0)</f>
        <v>0</v>
      </c>
      <c r="Q50" cm="1">
        <f t="array" ref="Q50">_xlfn.IFNA(_xlfn.IFS(AND(_xlfn.XLOOKUP(A50,'LPG Fup'!D:D,'LPG Fup'!M:M,"",0)&lt;&gt;"",_xlfn.XLOOKUP(A50,'LPG Fup'!D:D,'LPG Fup'!M:M,"",0)&lt;0),"I-1", AND(_xlfn.XLOOKUP(A50+1,'LPG Fup'!D:D,'LPG Fup'!M:M,"",0)&lt;&gt;"",_xlfn.XLOOKUP(A50+1,'LPG Fup'!D:D,'LPG Fup'!M:M,"",0)&lt;0),"I-2", AND(_xlfn.XLOOKUP(A50-1,'LPG Fup'!D:D,'LPG Fup'!M:M,"",0)&lt;&gt;"",_xlfn.XLOOKUP(A50-1,'LPG Fup'!D:D,'LPG Fup'!M:M,"",0)&lt;0),"I", AND(_xlfn.XLOOKUP(A50-2,'LPG Fup'!D:D,'LPG Fup'!M:M,"",0)&lt;&gt;"",_xlfn.XLOOKUP(A50-2,'LPG Fup'!D:D,'LPG Fup'!M:M,"",0)&lt;0),"I+1"),0)</f>
        <v>0</v>
      </c>
      <c r="R50">
        <f>_xlfn.XLOOKUP(A50,Covid!A:A,Covid!I:I,0,0)</f>
        <v>924</v>
      </c>
      <c r="S50">
        <f>_xlfn.XLOOKUP(A50,Covid!A:A,Covid!K:K,0,0)</f>
        <v>16</v>
      </c>
      <c r="T50" s="145">
        <f>_xlfn.XLOOKUP(A50,Covid!A:A,Covid!K:K,0,0)/_xlfn.XLOOKUP(A50,Covid!A:A,Covid!L:L,0,0)</f>
        <v>1.60481444332999E-2</v>
      </c>
    </row>
    <row r="51" spans="1:20" x14ac:dyDescent="0.55000000000000004">
      <c r="A51" s="157">
        <v>44032</v>
      </c>
      <c r="B51" s="13">
        <v>825160</v>
      </c>
      <c r="C51" s="13">
        <v>493056</v>
      </c>
      <c r="D51" s="13">
        <v>4232</v>
      </c>
      <c r="E51" s="13">
        <v>624250</v>
      </c>
      <c r="F51" s="13">
        <v>1946698</v>
      </c>
      <c r="G51">
        <f>IF(OR(_xlfn.XLOOKUP(A51,'LPG Fup'!D:D,'LPG Fup'!L:L,"",0)&gt;0.03,_xlfn.XLOOKUP(A51,'LPG Fup'!D:D,'LPG Fup'!L:L,"",0)&lt;-0.03),_xlfn.XLOOKUP(A51,'LPG Fup'!D:D,'LPG Fup'!L:L,0,0),0)</f>
        <v>0</v>
      </c>
      <c r="H51">
        <f>IF(_xlfn.XLOOKUP(A51,'LPG Fup'!D:D,'LPG Fup'!M:M,0,0)="",0,_xlfn.XLOOKUP(A51,'LPG Fup'!D:D,'LPG Fup'!M:M,0,0))</f>
        <v>0</v>
      </c>
      <c r="I51" s="109">
        <f>_xlfn.XLOOKUP(A51,'Rafineri Fiyatları'!A:A,'Rafineri Fiyatları'!B:B,"",0)</f>
        <v>4229.38</v>
      </c>
      <c r="J51">
        <f t="shared" si="0"/>
        <v>2020</v>
      </c>
      <c r="K51">
        <f t="shared" si="1"/>
        <v>7</v>
      </c>
      <c r="L51">
        <f t="shared" si="2"/>
        <v>20</v>
      </c>
      <c r="M51">
        <f t="shared" si="3"/>
        <v>2</v>
      </c>
      <c r="N51">
        <f>_xlfn.XLOOKUP(A51,tatiller!H:H,tatiller!I:I,0,0)</f>
        <v>0</v>
      </c>
      <c r="O51" cm="1">
        <f t="array" ref="O51">_xlfn.IFNA(_xlfn.IFS(L51=1,"A0",A51=EOMONTH(A51,0),"A-1",L51=2,"A+1"),0)</f>
        <v>0</v>
      </c>
      <c r="P51" cm="1">
        <f t="array" ref="P51">_xlfn.IFNA(_xlfn.IFS(AND(_xlfn.XLOOKUP(A51,'LPG Fup'!D:D,'LPG Fup'!M:M,"",0)&lt;&gt;"",_xlfn.XLOOKUP(A51,'LPG Fup'!D:D,'LPG Fup'!M:M,"",0)&gt;0),"Z-1", AND(_xlfn.XLOOKUP(A51+1,'LPG Fup'!D:D,'LPG Fup'!M:M,"",0)&lt;&gt;"",_xlfn.XLOOKUP(A51+1,'LPG Fup'!D:D,'LPG Fup'!M:M,"",0)&gt;0),"Z-2", AND(_xlfn.XLOOKUP(A51-1,'LPG Fup'!D:D,'LPG Fup'!M:M,"",0)&lt;&gt;"",_xlfn.XLOOKUP(A51-1,'LPG Fup'!D:D,'LPG Fup'!M:M,"",0)&gt;0),"Z", AND(_xlfn.XLOOKUP(A51-2,'LPG Fup'!D:D,'LPG Fup'!M:M,"",0)&lt;&gt;"",_xlfn.XLOOKUP(A51-2,'LPG Fup'!D:D,'LPG Fup'!M:M,"",0)&gt;0),"Z+1"),0)</f>
        <v>0</v>
      </c>
      <c r="Q51" cm="1">
        <f t="array" ref="Q51">_xlfn.IFNA(_xlfn.IFS(AND(_xlfn.XLOOKUP(A51,'LPG Fup'!D:D,'LPG Fup'!M:M,"",0)&lt;&gt;"",_xlfn.XLOOKUP(A51,'LPG Fup'!D:D,'LPG Fup'!M:M,"",0)&lt;0),"I-1", AND(_xlfn.XLOOKUP(A51+1,'LPG Fup'!D:D,'LPG Fup'!M:M,"",0)&lt;&gt;"",_xlfn.XLOOKUP(A51+1,'LPG Fup'!D:D,'LPG Fup'!M:M,"",0)&lt;0),"I-2", AND(_xlfn.XLOOKUP(A51-1,'LPG Fup'!D:D,'LPG Fup'!M:M,"",0)&lt;&gt;"",_xlfn.XLOOKUP(A51-1,'LPG Fup'!D:D,'LPG Fup'!M:M,"",0)&lt;0),"I", AND(_xlfn.XLOOKUP(A51-2,'LPG Fup'!D:D,'LPG Fup'!M:M,"",0)&lt;&gt;"",_xlfn.XLOOKUP(A51-2,'LPG Fup'!D:D,'LPG Fup'!M:M,"",0)&lt;0),"I+1"),0)</f>
        <v>0</v>
      </c>
      <c r="R51">
        <f>_xlfn.XLOOKUP(A51,Covid!A:A,Covid!I:I,0,0)</f>
        <v>931</v>
      </c>
      <c r="S51">
        <f>_xlfn.XLOOKUP(A51,Covid!A:A,Covid!K:K,0,0)</f>
        <v>17</v>
      </c>
      <c r="T51" s="145">
        <f>_xlfn.XLOOKUP(A51,Covid!A:A,Covid!K:K,0,0)/_xlfn.XLOOKUP(A51,Covid!A:A,Covid!L:L,0,0)</f>
        <v>1.7137096774193547E-2</v>
      </c>
    </row>
    <row r="52" spans="1:20" x14ac:dyDescent="0.55000000000000004">
      <c r="A52" s="157">
        <v>44033</v>
      </c>
      <c r="B52" s="13">
        <v>493080</v>
      </c>
      <c r="C52" s="13">
        <v>483396</v>
      </c>
      <c r="D52" s="13">
        <v>13384</v>
      </c>
      <c r="E52" s="13">
        <v>565034</v>
      </c>
      <c r="F52" s="13">
        <v>1554894</v>
      </c>
      <c r="G52">
        <f>IF(OR(_xlfn.XLOOKUP(A52,'LPG Fup'!D:D,'LPG Fup'!L:L,"",0)&gt;0.03,_xlfn.XLOOKUP(A52,'LPG Fup'!D:D,'LPG Fup'!L:L,"",0)&lt;-0.03),_xlfn.XLOOKUP(A52,'LPG Fup'!D:D,'LPG Fup'!L:L,0,0),0)</f>
        <v>0</v>
      </c>
      <c r="H52">
        <f>IF(_xlfn.XLOOKUP(A52,'LPG Fup'!D:D,'LPG Fup'!M:M,0,0)="",0,_xlfn.XLOOKUP(A52,'LPG Fup'!D:D,'LPG Fup'!M:M,0,0))</f>
        <v>0</v>
      </c>
      <c r="I52" s="109">
        <f>_xlfn.XLOOKUP(A52,'Rafineri Fiyatları'!A:A,'Rafineri Fiyatları'!B:B,"",0)</f>
        <v>4229.38</v>
      </c>
      <c r="J52">
        <f t="shared" si="0"/>
        <v>2020</v>
      </c>
      <c r="K52">
        <f t="shared" si="1"/>
        <v>7</v>
      </c>
      <c r="L52">
        <f t="shared" si="2"/>
        <v>21</v>
      </c>
      <c r="M52">
        <f t="shared" si="3"/>
        <v>3</v>
      </c>
      <c r="N52">
        <f>_xlfn.XLOOKUP(A52,tatiller!H:H,tatiller!I:I,0,0)</f>
        <v>0</v>
      </c>
      <c r="O52" cm="1">
        <f t="array" ref="O52">_xlfn.IFNA(_xlfn.IFS(L52=1,"A0",A52=EOMONTH(A52,0),"A-1",L52=2,"A+1"),0)</f>
        <v>0</v>
      </c>
      <c r="P52" cm="1">
        <f t="array" ref="P52">_xlfn.IFNA(_xlfn.IFS(AND(_xlfn.XLOOKUP(A52,'LPG Fup'!D:D,'LPG Fup'!M:M,"",0)&lt;&gt;"",_xlfn.XLOOKUP(A52,'LPG Fup'!D:D,'LPG Fup'!M:M,"",0)&gt;0),"Z-1", AND(_xlfn.XLOOKUP(A52+1,'LPG Fup'!D:D,'LPG Fup'!M:M,"",0)&lt;&gt;"",_xlfn.XLOOKUP(A52+1,'LPG Fup'!D:D,'LPG Fup'!M:M,"",0)&gt;0),"Z-2", AND(_xlfn.XLOOKUP(A52-1,'LPG Fup'!D:D,'LPG Fup'!M:M,"",0)&lt;&gt;"",_xlfn.XLOOKUP(A52-1,'LPG Fup'!D:D,'LPG Fup'!M:M,"",0)&gt;0),"Z", AND(_xlfn.XLOOKUP(A52-2,'LPG Fup'!D:D,'LPG Fup'!M:M,"",0)&lt;&gt;"",_xlfn.XLOOKUP(A52-2,'LPG Fup'!D:D,'LPG Fup'!M:M,"",0)&gt;0),"Z+1"),0)</f>
        <v>0</v>
      </c>
      <c r="Q52" cm="1">
        <f t="array" ref="Q52">_xlfn.IFNA(_xlfn.IFS(AND(_xlfn.XLOOKUP(A52,'LPG Fup'!D:D,'LPG Fup'!M:M,"",0)&lt;&gt;"",_xlfn.XLOOKUP(A52,'LPG Fup'!D:D,'LPG Fup'!M:M,"",0)&lt;0),"I-1", AND(_xlfn.XLOOKUP(A52+1,'LPG Fup'!D:D,'LPG Fup'!M:M,"",0)&lt;&gt;"",_xlfn.XLOOKUP(A52+1,'LPG Fup'!D:D,'LPG Fup'!M:M,"",0)&lt;0),"I-2", AND(_xlfn.XLOOKUP(A52-1,'LPG Fup'!D:D,'LPG Fup'!M:M,"",0)&lt;&gt;"",_xlfn.XLOOKUP(A52-1,'LPG Fup'!D:D,'LPG Fup'!M:M,"",0)&lt;0),"I", AND(_xlfn.XLOOKUP(A52-2,'LPG Fup'!D:D,'LPG Fup'!M:M,"",0)&lt;&gt;"",_xlfn.XLOOKUP(A52-2,'LPG Fup'!D:D,'LPG Fup'!M:M,"",0)&lt;0),"I+1"),0)</f>
        <v>0</v>
      </c>
      <c r="R52">
        <f>_xlfn.XLOOKUP(A52,Covid!A:A,Covid!I:I,0,0)</f>
        <v>928</v>
      </c>
      <c r="S52">
        <f>_xlfn.XLOOKUP(A52,Covid!A:A,Covid!K:K,0,0)</f>
        <v>18</v>
      </c>
      <c r="T52" s="145">
        <f>_xlfn.XLOOKUP(A52,Covid!A:A,Covid!K:K,0,0)/_xlfn.XLOOKUP(A52,Covid!A:A,Covid!L:L,0,0)</f>
        <v>1.7839444995044598E-2</v>
      </c>
    </row>
    <row r="53" spans="1:20" x14ac:dyDescent="0.55000000000000004">
      <c r="A53" s="157">
        <v>44034</v>
      </c>
      <c r="B53" s="13">
        <v>683520</v>
      </c>
      <c r="C53" s="13">
        <v>411111</v>
      </c>
      <c r="D53" s="13">
        <v>8060</v>
      </c>
      <c r="E53" s="13">
        <v>660693</v>
      </c>
      <c r="F53" s="13">
        <v>1763384</v>
      </c>
      <c r="G53">
        <f>IF(OR(_xlfn.XLOOKUP(A53,'LPG Fup'!D:D,'LPG Fup'!L:L,"",0)&gt;0.03,_xlfn.XLOOKUP(A53,'LPG Fup'!D:D,'LPG Fup'!L:L,"",0)&lt;-0.03),_xlfn.XLOOKUP(A53,'LPG Fup'!D:D,'LPG Fup'!L:L,0,0),0)</f>
        <v>0</v>
      </c>
      <c r="H53">
        <f>IF(_xlfn.XLOOKUP(A53,'LPG Fup'!D:D,'LPG Fup'!M:M,0,0)="",0,_xlfn.XLOOKUP(A53,'LPG Fup'!D:D,'LPG Fup'!M:M,0,0))</f>
        <v>0</v>
      </c>
      <c r="I53" s="109">
        <f>_xlfn.XLOOKUP(A53,'Rafineri Fiyatları'!A:A,'Rafineri Fiyatları'!B:B,"",0)</f>
        <v>4229.38</v>
      </c>
      <c r="J53">
        <f t="shared" si="0"/>
        <v>2020</v>
      </c>
      <c r="K53">
        <f t="shared" si="1"/>
        <v>7</v>
      </c>
      <c r="L53">
        <f t="shared" si="2"/>
        <v>22</v>
      </c>
      <c r="M53">
        <f t="shared" si="3"/>
        <v>4</v>
      </c>
      <c r="N53">
        <f>_xlfn.XLOOKUP(A53,tatiller!H:H,tatiller!I:I,0,0)</f>
        <v>0</v>
      </c>
      <c r="O53" cm="1">
        <f t="array" ref="O53">_xlfn.IFNA(_xlfn.IFS(L53=1,"A0",A53=EOMONTH(A53,0),"A-1",L53=2,"A+1"),0)</f>
        <v>0</v>
      </c>
      <c r="P53" cm="1">
        <f t="array" ref="P53">_xlfn.IFNA(_xlfn.IFS(AND(_xlfn.XLOOKUP(A53,'LPG Fup'!D:D,'LPG Fup'!M:M,"",0)&lt;&gt;"",_xlfn.XLOOKUP(A53,'LPG Fup'!D:D,'LPG Fup'!M:M,"",0)&gt;0),"Z-1", AND(_xlfn.XLOOKUP(A53+1,'LPG Fup'!D:D,'LPG Fup'!M:M,"",0)&lt;&gt;"",_xlfn.XLOOKUP(A53+1,'LPG Fup'!D:D,'LPG Fup'!M:M,"",0)&gt;0),"Z-2", AND(_xlfn.XLOOKUP(A53-1,'LPG Fup'!D:D,'LPG Fup'!M:M,"",0)&lt;&gt;"",_xlfn.XLOOKUP(A53-1,'LPG Fup'!D:D,'LPG Fup'!M:M,"",0)&gt;0),"Z", AND(_xlfn.XLOOKUP(A53-2,'LPG Fup'!D:D,'LPG Fup'!M:M,"",0)&lt;&gt;"",_xlfn.XLOOKUP(A53-2,'LPG Fup'!D:D,'LPG Fup'!M:M,"",0)&gt;0),"Z+1"),0)</f>
        <v>0</v>
      </c>
      <c r="Q53" cm="1">
        <f t="array" ref="Q53">_xlfn.IFNA(_xlfn.IFS(AND(_xlfn.XLOOKUP(A53,'LPG Fup'!D:D,'LPG Fup'!M:M,"",0)&lt;&gt;"",_xlfn.XLOOKUP(A53,'LPG Fup'!D:D,'LPG Fup'!M:M,"",0)&lt;0),"I-1", AND(_xlfn.XLOOKUP(A53+1,'LPG Fup'!D:D,'LPG Fup'!M:M,"",0)&lt;&gt;"",_xlfn.XLOOKUP(A53+1,'LPG Fup'!D:D,'LPG Fup'!M:M,"",0)&lt;0),"I-2", AND(_xlfn.XLOOKUP(A53-1,'LPG Fup'!D:D,'LPG Fup'!M:M,"",0)&lt;&gt;"",_xlfn.XLOOKUP(A53-1,'LPG Fup'!D:D,'LPG Fup'!M:M,"",0)&lt;0),"I", AND(_xlfn.XLOOKUP(A53-2,'LPG Fup'!D:D,'LPG Fup'!M:M,"",0)&lt;&gt;"",_xlfn.XLOOKUP(A53-2,'LPG Fup'!D:D,'LPG Fup'!M:M,"",0)&lt;0),"I+1"),0)</f>
        <v>0</v>
      </c>
      <c r="R53">
        <f>_xlfn.XLOOKUP(A53,Covid!A:A,Covid!I:I,0,0)</f>
        <v>902</v>
      </c>
      <c r="S53">
        <f>_xlfn.XLOOKUP(A53,Covid!A:A,Covid!K:K,0,0)</f>
        <v>19</v>
      </c>
      <c r="T53" s="145">
        <f>_xlfn.XLOOKUP(A53,Covid!A:A,Covid!K:K,0,0)/_xlfn.XLOOKUP(A53,Covid!A:A,Covid!L:L,0,0)</f>
        <v>1.5793848711554447E-2</v>
      </c>
    </row>
    <row r="54" spans="1:20" x14ac:dyDescent="0.55000000000000004">
      <c r="A54" s="157">
        <v>44035</v>
      </c>
      <c r="B54" s="13">
        <v>526560</v>
      </c>
      <c r="C54" s="13">
        <v>505543</v>
      </c>
      <c r="D54" s="13">
        <v>4251</v>
      </c>
      <c r="E54" s="13">
        <v>515837</v>
      </c>
      <c r="F54" s="13">
        <v>1552191</v>
      </c>
      <c r="G54">
        <f>IF(OR(_xlfn.XLOOKUP(A54,'LPG Fup'!D:D,'LPG Fup'!L:L,"",0)&gt;0.03,_xlfn.XLOOKUP(A54,'LPG Fup'!D:D,'LPG Fup'!L:L,"",0)&lt;-0.03),_xlfn.XLOOKUP(A54,'LPG Fup'!D:D,'LPG Fup'!L:L,0,0),0)</f>
        <v>0</v>
      </c>
      <c r="H54">
        <f>IF(_xlfn.XLOOKUP(A54,'LPG Fup'!D:D,'LPG Fup'!M:M,0,0)="",0,_xlfn.XLOOKUP(A54,'LPG Fup'!D:D,'LPG Fup'!M:M,0,0))</f>
        <v>0</v>
      </c>
      <c r="I54" s="109">
        <f>_xlfn.XLOOKUP(A54,'Rafineri Fiyatları'!A:A,'Rafineri Fiyatları'!B:B,"",0)</f>
        <v>4229.38</v>
      </c>
      <c r="J54">
        <f t="shared" si="0"/>
        <v>2020</v>
      </c>
      <c r="K54">
        <f t="shared" si="1"/>
        <v>7</v>
      </c>
      <c r="L54">
        <f t="shared" si="2"/>
        <v>23</v>
      </c>
      <c r="M54">
        <f t="shared" si="3"/>
        <v>5</v>
      </c>
      <c r="N54">
        <f>_xlfn.XLOOKUP(A54,tatiller!H:H,tatiller!I:I,0,0)</f>
        <v>0</v>
      </c>
      <c r="O54" cm="1">
        <f t="array" ref="O54">_xlfn.IFNA(_xlfn.IFS(L54=1,"A0",A54=EOMONTH(A54,0),"A-1",L54=2,"A+1"),0)</f>
        <v>0</v>
      </c>
      <c r="P54" cm="1">
        <f t="array" ref="P54">_xlfn.IFNA(_xlfn.IFS(AND(_xlfn.XLOOKUP(A54,'LPG Fup'!D:D,'LPG Fup'!M:M,"",0)&lt;&gt;"",_xlfn.XLOOKUP(A54,'LPG Fup'!D:D,'LPG Fup'!M:M,"",0)&gt;0),"Z-1", AND(_xlfn.XLOOKUP(A54+1,'LPG Fup'!D:D,'LPG Fup'!M:M,"",0)&lt;&gt;"",_xlfn.XLOOKUP(A54+1,'LPG Fup'!D:D,'LPG Fup'!M:M,"",0)&gt;0),"Z-2", AND(_xlfn.XLOOKUP(A54-1,'LPG Fup'!D:D,'LPG Fup'!M:M,"",0)&lt;&gt;"",_xlfn.XLOOKUP(A54-1,'LPG Fup'!D:D,'LPG Fup'!M:M,"",0)&gt;0),"Z", AND(_xlfn.XLOOKUP(A54-2,'LPG Fup'!D:D,'LPG Fup'!M:M,"",0)&lt;&gt;"",_xlfn.XLOOKUP(A54-2,'LPG Fup'!D:D,'LPG Fup'!M:M,"",0)&gt;0),"Z+1"),0)</f>
        <v>0</v>
      </c>
      <c r="Q54" cm="1">
        <f t="array" ref="Q54">_xlfn.IFNA(_xlfn.IFS(AND(_xlfn.XLOOKUP(A54,'LPG Fup'!D:D,'LPG Fup'!M:M,"",0)&lt;&gt;"",_xlfn.XLOOKUP(A54,'LPG Fup'!D:D,'LPG Fup'!M:M,"",0)&lt;0),"I-1", AND(_xlfn.XLOOKUP(A54+1,'LPG Fup'!D:D,'LPG Fup'!M:M,"",0)&lt;&gt;"",_xlfn.XLOOKUP(A54+1,'LPG Fup'!D:D,'LPG Fup'!M:M,"",0)&lt;0),"I-2", AND(_xlfn.XLOOKUP(A54-1,'LPG Fup'!D:D,'LPG Fup'!M:M,"",0)&lt;&gt;"",_xlfn.XLOOKUP(A54-1,'LPG Fup'!D:D,'LPG Fup'!M:M,"",0)&lt;0),"I", AND(_xlfn.XLOOKUP(A54-2,'LPG Fup'!D:D,'LPG Fup'!M:M,"",0)&lt;&gt;"",_xlfn.XLOOKUP(A54-2,'LPG Fup'!D:D,'LPG Fup'!M:M,"",0)&lt;0),"I+1"),0)</f>
        <v>0</v>
      </c>
      <c r="R54">
        <f>_xlfn.XLOOKUP(A54,Covid!A:A,Covid!I:I,0,0)</f>
        <v>913</v>
      </c>
      <c r="S54">
        <f>_xlfn.XLOOKUP(A54,Covid!A:A,Covid!K:K,0,0)</f>
        <v>18</v>
      </c>
      <c r="T54" s="145">
        <f>_xlfn.XLOOKUP(A54,Covid!A:A,Covid!K:K,0,0)/_xlfn.XLOOKUP(A54,Covid!A:A,Covid!L:L,0,0)</f>
        <v>1.5638575152041704E-2</v>
      </c>
    </row>
    <row r="55" spans="1:20" x14ac:dyDescent="0.55000000000000004">
      <c r="A55" s="157">
        <v>44036</v>
      </c>
      <c r="B55" s="13">
        <v>1253100</v>
      </c>
      <c r="C55" s="13">
        <v>529136</v>
      </c>
      <c r="D55" s="13">
        <v>7498</v>
      </c>
      <c r="E55" s="13">
        <v>644372</v>
      </c>
      <c r="F55" s="13">
        <v>2434106</v>
      </c>
      <c r="G55">
        <f>IF(OR(_xlfn.XLOOKUP(A55,'LPG Fup'!D:D,'LPG Fup'!L:L,"",0)&gt;0.03,_xlfn.XLOOKUP(A55,'LPG Fup'!D:D,'LPG Fup'!L:L,"",0)&lt;-0.03),_xlfn.XLOOKUP(A55,'LPG Fup'!D:D,'LPG Fup'!L:L,0,0),0)</f>
        <v>0</v>
      </c>
      <c r="H55">
        <f>IF(_xlfn.XLOOKUP(A55,'LPG Fup'!D:D,'LPG Fup'!M:M,0,0)="",0,_xlfn.XLOOKUP(A55,'LPG Fup'!D:D,'LPG Fup'!M:M,0,0))</f>
        <v>0</v>
      </c>
      <c r="I55" s="109">
        <f>_xlfn.XLOOKUP(A55,'Rafineri Fiyatları'!A:A,'Rafineri Fiyatları'!B:B,"",0)</f>
        <v>4229.38</v>
      </c>
      <c r="J55">
        <f t="shared" si="0"/>
        <v>2020</v>
      </c>
      <c r="K55">
        <f t="shared" si="1"/>
        <v>7</v>
      </c>
      <c r="L55">
        <f t="shared" si="2"/>
        <v>24</v>
      </c>
      <c r="M55">
        <f t="shared" si="3"/>
        <v>6</v>
      </c>
      <c r="N55">
        <f>_xlfn.XLOOKUP(A55,tatiller!H:H,tatiller!I:I,0,0)</f>
        <v>0</v>
      </c>
      <c r="O55" cm="1">
        <f t="array" ref="O55">_xlfn.IFNA(_xlfn.IFS(L55=1,"A0",A55=EOMONTH(A55,0),"A-1",L55=2,"A+1"),0)</f>
        <v>0</v>
      </c>
      <c r="P55" cm="1">
        <f t="array" ref="P55">_xlfn.IFNA(_xlfn.IFS(AND(_xlfn.XLOOKUP(A55,'LPG Fup'!D:D,'LPG Fup'!M:M,"",0)&lt;&gt;"",_xlfn.XLOOKUP(A55,'LPG Fup'!D:D,'LPG Fup'!M:M,"",0)&gt;0),"Z-1", AND(_xlfn.XLOOKUP(A55+1,'LPG Fup'!D:D,'LPG Fup'!M:M,"",0)&lt;&gt;"",_xlfn.XLOOKUP(A55+1,'LPG Fup'!D:D,'LPG Fup'!M:M,"",0)&gt;0),"Z-2", AND(_xlfn.XLOOKUP(A55-1,'LPG Fup'!D:D,'LPG Fup'!M:M,"",0)&lt;&gt;"",_xlfn.XLOOKUP(A55-1,'LPG Fup'!D:D,'LPG Fup'!M:M,"",0)&gt;0),"Z", AND(_xlfn.XLOOKUP(A55-2,'LPG Fup'!D:D,'LPG Fup'!M:M,"",0)&lt;&gt;"",_xlfn.XLOOKUP(A55-2,'LPG Fup'!D:D,'LPG Fup'!M:M,"",0)&gt;0),"Z+1"),0)</f>
        <v>0</v>
      </c>
      <c r="Q55" cm="1">
        <f t="array" ref="Q55">_xlfn.IFNA(_xlfn.IFS(AND(_xlfn.XLOOKUP(A55,'LPG Fup'!D:D,'LPG Fup'!M:M,"",0)&lt;&gt;"",_xlfn.XLOOKUP(A55,'LPG Fup'!D:D,'LPG Fup'!M:M,"",0)&lt;0),"I-1", AND(_xlfn.XLOOKUP(A55+1,'LPG Fup'!D:D,'LPG Fup'!M:M,"",0)&lt;&gt;"",_xlfn.XLOOKUP(A55+1,'LPG Fup'!D:D,'LPG Fup'!M:M,"",0)&lt;0),"I-2", AND(_xlfn.XLOOKUP(A55-1,'LPG Fup'!D:D,'LPG Fup'!M:M,"",0)&lt;&gt;"",_xlfn.XLOOKUP(A55-1,'LPG Fup'!D:D,'LPG Fup'!M:M,"",0)&lt;0),"I", AND(_xlfn.XLOOKUP(A55-2,'LPG Fup'!D:D,'LPG Fup'!M:M,"",0)&lt;&gt;"",_xlfn.XLOOKUP(A55-2,'LPG Fup'!D:D,'LPG Fup'!M:M,"",0)&lt;0),"I+1"),0)</f>
        <v>0</v>
      </c>
      <c r="R55">
        <f>_xlfn.XLOOKUP(A55,Covid!A:A,Covid!I:I,0,0)</f>
        <v>937</v>
      </c>
      <c r="S55">
        <f>_xlfn.XLOOKUP(A55,Covid!A:A,Covid!K:K,0,0)</f>
        <v>17</v>
      </c>
      <c r="T55" s="145">
        <f>_xlfn.XLOOKUP(A55,Covid!A:A,Covid!K:K,0,0)/_xlfn.XLOOKUP(A55,Covid!A:A,Covid!L:L,0,0)</f>
        <v>1.6848364717542121E-2</v>
      </c>
    </row>
    <row r="56" spans="1:20" x14ac:dyDescent="0.55000000000000004">
      <c r="A56" s="157">
        <v>44037</v>
      </c>
      <c r="B56" s="13">
        <v>590500</v>
      </c>
      <c r="C56" s="13">
        <v>409387</v>
      </c>
      <c r="D56" s="13">
        <v>26614</v>
      </c>
      <c r="E56" s="13">
        <v>692151</v>
      </c>
      <c r="F56" s="13">
        <v>1718652</v>
      </c>
      <c r="G56">
        <f>IF(OR(_xlfn.XLOOKUP(A56,'LPG Fup'!D:D,'LPG Fup'!L:L,"",0)&gt;0.03,_xlfn.XLOOKUP(A56,'LPG Fup'!D:D,'LPG Fup'!L:L,"",0)&lt;-0.03),_xlfn.XLOOKUP(A56,'LPG Fup'!D:D,'LPG Fup'!L:L,0,0),0)</f>
        <v>0</v>
      </c>
      <c r="H56">
        <f>IF(_xlfn.XLOOKUP(A56,'LPG Fup'!D:D,'LPG Fup'!M:M,0,0)="",0,_xlfn.XLOOKUP(A56,'LPG Fup'!D:D,'LPG Fup'!M:M,0,0))</f>
        <v>0</v>
      </c>
      <c r="I56" s="109">
        <f>_xlfn.XLOOKUP(A56,'Rafineri Fiyatları'!A:A,'Rafineri Fiyatları'!B:B,"",0)</f>
        <v>4229.38</v>
      </c>
      <c r="J56">
        <f t="shared" si="0"/>
        <v>2020</v>
      </c>
      <c r="K56">
        <f t="shared" si="1"/>
        <v>7</v>
      </c>
      <c r="L56">
        <f t="shared" si="2"/>
        <v>25</v>
      </c>
      <c r="M56">
        <f t="shared" si="3"/>
        <v>7</v>
      </c>
      <c r="N56">
        <f>_xlfn.XLOOKUP(A56,tatiller!H:H,tatiller!I:I,0,0)</f>
        <v>0</v>
      </c>
      <c r="O56" cm="1">
        <f t="array" ref="O56">_xlfn.IFNA(_xlfn.IFS(L56=1,"A0",A56=EOMONTH(A56,0),"A-1",L56=2,"A+1"),0)</f>
        <v>0</v>
      </c>
      <c r="P56" cm="1">
        <f t="array" ref="P56">_xlfn.IFNA(_xlfn.IFS(AND(_xlfn.XLOOKUP(A56,'LPG Fup'!D:D,'LPG Fup'!M:M,"",0)&lt;&gt;"",_xlfn.XLOOKUP(A56,'LPG Fup'!D:D,'LPG Fup'!M:M,"",0)&gt;0),"Z-1", AND(_xlfn.XLOOKUP(A56+1,'LPG Fup'!D:D,'LPG Fup'!M:M,"",0)&lt;&gt;"",_xlfn.XLOOKUP(A56+1,'LPG Fup'!D:D,'LPG Fup'!M:M,"",0)&gt;0),"Z-2", AND(_xlfn.XLOOKUP(A56-1,'LPG Fup'!D:D,'LPG Fup'!M:M,"",0)&lt;&gt;"",_xlfn.XLOOKUP(A56-1,'LPG Fup'!D:D,'LPG Fup'!M:M,"",0)&gt;0),"Z", AND(_xlfn.XLOOKUP(A56-2,'LPG Fup'!D:D,'LPG Fup'!M:M,"",0)&lt;&gt;"",_xlfn.XLOOKUP(A56-2,'LPG Fup'!D:D,'LPG Fup'!M:M,"",0)&gt;0),"Z+1"),0)</f>
        <v>0</v>
      </c>
      <c r="Q56" cm="1">
        <f t="array" ref="Q56">_xlfn.IFNA(_xlfn.IFS(AND(_xlfn.XLOOKUP(A56,'LPG Fup'!D:D,'LPG Fup'!M:M,"",0)&lt;&gt;"",_xlfn.XLOOKUP(A56,'LPG Fup'!D:D,'LPG Fup'!M:M,"",0)&lt;0),"I-1", AND(_xlfn.XLOOKUP(A56+1,'LPG Fup'!D:D,'LPG Fup'!M:M,"",0)&lt;&gt;"",_xlfn.XLOOKUP(A56+1,'LPG Fup'!D:D,'LPG Fup'!M:M,"",0)&lt;0),"I-2", AND(_xlfn.XLOOKUP(A56-1,'LPG Fup'!D:D,'LPG Fup'!M:M,"",0)&lt;&gt;"",_xlfn.XLOOKUP(A56-1,'LPG Fup'!D:D,'LPG Fup'!M:M,"",0)&lt;0),"I", AND(_xlfn.XLOOKUP(A56-2,'LPG Fup'!D:D,'LPG Fup'!M:M,"",0)&lt;&gt;"",_xlfn.XLOOKUP(A56-2,'LPG Fup'!D:D,'LPG Fup'!M:M,"",0)&lt;0),"I+1"),0)</f>
        <v>0</v>
      </c>
      <c r="R56">
        <f>_xlfn.XLOOKUP(A56,Covid!A:A,Covid!I:I,0,0)</f>
        <v>921</v>
      </c>
      <c r="S56">
        <f>_xlfn.XLOOKUP(A56,Covid!A:A,Covid!K:K,0,0)</f>
        <v>16</v>
      </c>
      <c r="T56" s="145">
        <f>_xlfn.XLOOKUP(A56,Covid!A:A,Covid!K:K,0,0)/_xlfn.XLOOKUP(A56,Covid!A:A,Covid!L:L,0,0)</f>
        <v>1.4505893019038985E-2</v>
      </c>
    </row>
    <row r="57" spans="1:20" x14ac:dyDescent="0.55000000000000004">
      <c r="A57" s="157">
        <v>44038</v>
      </c>
      <c r="B57" s="13">
        <v>396020</v>
      </c>
      <c r="C57" s="13">
        <v>1402</v>
      </c>
      <c r="D57" s="13">
        <v>0</v>
      </c>
      <c r="E57" s="13">
        <v>549062</v>
      </c>
      <c r="F57" s="13">
        <v>946484</v>
      </c>
      <c r="G57">
        <f>IF(OR(_xlfn.XLOOKUP(A57,'LPG Fup'!D:D,'LPG Fup'!L:L,"",0)&gt;0.03,_xlfn.XLOOKUP(A57,'LPG Fup'!D:D,'LPG Fup'!L:L,"",0)&lt;-0.03),_xlfn.XLOOKUP(A57,'LPG Fup'!D:D,'LPG Fup'!L:L,0,0),0)</f>
        <v>0</v>
      </c>
      <c r="H57">
        <f>IF(_xlfn.XLOOKUP(A57,'LPG Fup'!D:D,'LPG Fup'!M:M,0,0)="",0,_xlfn.XLOOKUP(A57,'LPG Fup'!D:D,'LPG Fup'!M:M,0,0))</f>
        <v>0</v>
      </c>
      <c r="I57" s="109">
        <f>_xlfn.XLOOKUP(A57,'Rafineri Fiyatları'!A:A,'Rafineri Fiyatları'!B:B,"",0)</f>
        <v>4229.38</v>
      </c>
      <c r="J57">
        <f t="shared" si="0"/>
        <v>2020</v>
      </c>
      <c r="K57">
        <f t="shared" si="1"/>
        <v>7</v>
      </c>
      <c r="L57">
        <f t="shared" si="2"/>
        <v>26</v>
      </c>
      <c r="M57">
        <f t="shared" si="3"/>
        <v>1</v>
      </c>
      <c r="N57">
        <f>_xlfn.XLOOKUP(A57,tatiller!H:H,tatiller!I:I,0,0)</f>
        <v>0</v>
      </c>
      <c r="O57" cm="1">
        <f t="array" ref="O57">_xlfn.IFNA(_xlfn.IFS(L57=1,"A0",A57=EOMONTH(A57,0),"A-1",L57=2,"A+1"),0)</f>
        <v>0</v>
      </c>
      <c r="P57" cm="1">
        <f t="array" ref="P57">_xlfn.IFNA(_xlfn.IFS(AND(_xlfn.XLOOKUP(A57,'LPG Fup'!D:D,'LPG Fup'!M:M,"",0)&lt;&gt;"",_xlfn.XLOOKUP(A57,'LPG Fup'!D:D,'LPG Fup'!M:M,"",0)&gt;0),"Z-1", AND(_xlfn.XLOOKUP(A57+1,'LPG Fup'!D:D,'LPG Fup'!M:M,"",0)&lt;&gt;"",_xlfn.XLOOKUP(A57+1,'LPG Fup'!D:D,'LPG Fup'!M:M,"",0)&gt;0),"Z-2", AND(_xlfn.XLOOKUP(A57-1,'LPG Fup'!D:D,'LPG Fup'!M:M,"",0)&lt;&gt;"",_xlfn.XLOOKUP(A57-1,'LPG Fup'!D:D,'LPG Fup'!M:M,"",0)&gt;0),"Z", AND(_xlfn.XLOOKUP(A57-2,'LPG Fup'!D:D,'LPG Fup'!M:M,"",0)&lt;&gt;"",_xlfn.XLOOKUP(A57-2,'LPG Fup'!D:D,'LPG Fup'!M:M,"",0)&gt;0),"Z+1"),0)</f>
        <v>0</v>
      </c>
      <c r="Q57" cm="1">
        <f t="array" ref="Q57">_xlfn.IFNA(_xlfn.IFS(AND(_xlfn.XLOOKUP(A57,'LPG Fup'!D:D,'LPG Fup'!M:M,"",0)&lt;&gt;"",_xlfn.XLOOKUP(A57,'LPG Fup'!D:D,'LPG Fup'!M:M,"",0)&lt;0),"I-1", AND(_xlfn.XLOOKUP(A57+1,'LPG Fup'!D:D,'LPG Fup'!M:M,"",0)&lt;&gt;"",_xlfn.XLOOKUP(A57+1,'LPG Fup'!D:D,'LPG Fup'!M:M,"",0)&lt;0),"I-2", AND(_xlfn.XLOOKUP(A57-1,'LPG Fup'!D:D,'LPG Fup'!M:M,"",0)&lt;&gt;"",_xlfn.XLOOKUP(A57-1,'LPG Fup'!D:D,'LPG Fup'!M:M,"",0)&lt;0),"I", AND(_xlfn.XLOOKUP(A57-2,'LPG Fup'!D:D,'LPG Fup'!M:M,"",0)&lt;&gt;"",_xlfn.XLOOKUP(A57-2,'LPG Fup'!D:D,'LPG Fup'!M:M,"",0)&lt;0),"I+1"),0)</f>
        <v>0</v>
      </c>
      <c r="R57">
        <f>_xlfn.XLOOKUP(A57,Covid!A:A,Covid!I:I,0,0)</f>
        <v>927</v>
      </c>
      <c r="S57">
        <f>_xlfn.XLOOKUP(A57,Covid!A:A,Covid!K:K,0,0)</f>
        <v>17</v>
      </c>
      <c r="T57" s="145">
        <f>_xlfn.XLOOKUP(A57,Covid!A:A,Covid!K:K,0,0)/_xlfn.XLOOKUP(A57,Covid!A:A,Covid!L:L,0,0)</f>
        <v>1.6831683168316833E-2</v>
      </c>
    </row>
    <row r="58" spans="1:20" x14ac:dyDescent="0.55000000000000004">
      <c r="A58" s="157">
        <v>44039</v>
      </c>
      <c r="B58" s="13">
        <v>528040</v>
      </c>
      <c r="C58" s="13">
        <v>634273</v>
      </c>
      <c r="D58" s="13">
        <v>13285</v>
      </c>
      <c r="E58" s="13">
        <v>734245</v>
      </c>
      <c r="F58" s="13">
        <v>1909843</v>
      </c>
      <c r="G58">
        <f>IF(OR(_xlfn.XLOOKUP(A58,'LPG Fup'!D:D,'LPG Fup'!L:L,"",0)&gt;0.03,_xlfn.XLOOKUP(A58,'LPG Fup'!D:D,'LPG Fup'!L:L,"",0)&lt;-0.03),_xlfn.XLOOKUP(A58,'LPG Fup'!D:D,'LPG Fup'!L:L,0,0),0)</f>
        <v>0</v>
      </c>
      <c r="H58">
        <f>IF(_xlfn.XLOOKUP(A58,'LPG Fup'!D:D,'LPG Fup'!M:M,0,0)="",0,_xlfn.XLOOKUP(A58,'LPG Fup'!D:D,'LPG Fup'!M:M,0,0))</f>
        <v>0</v>
      </c>
      <c r="I58" s="109">
        <f>_xlfn.XLOOKUP(A58,'Rafineri Fiyatları'!A:A,'Rafineri Fiyatları'!B:B,"",0)</f>
        <v>4229.38</v>
      </c>
      <c r="J58">
        <f t="shared" si="0"/>
        <v>2020</v>
      </c>
      <c r="K58">
        <f t="shared" si="1"/>
        <v>7</v>
      </c>
      <c r="L58">
        <f t="shared" si="2"/>
        <v>27</v>
      </c>
      <c r="M58">
        <f t="shared" si="3"/>
        <v>2</v>
      </c>
      <c r="N58">
        <f>_xlfn.XLOOKUP(A58,tatiller!H:H,tatiller!I:I,0,0)</f>
        <v>0</v>
      </c>
      <c r="O58" cm="1">
        <f t="array" ref="O58">_xlfn.IFNA(_xlfn.IFS(L58=1,"A0",A58=EOMONTH(A58,0),"A-1",L58=2,"A+1"),0)</f>
        <v>0</v>
      </c>
      <c r="P58" cm="1">
        <f t="array" ref="P58">_xlfn.IFNA(_xlfn.IFS(AND(_xlfn.XLOOKUP(A58,'LPG Fup'!D:D,'LPG Fup'!M:M,"",0)&lt;&gt;"",_xlfn.XLOOKUP(A58,'LPG Fup'!D:D,'LPG Fup'!M:M,"",0)&gt;0),"Z-1", AND(_xlfn.XLOOKUP(A58+1,'LPG Fup'!D:D,'LPG Fup'!M:M,"",0)&lt;&gt;"",_xlfn.XLOOKUP(A58+1,'LPG Fup'!D:D,'LPG Fup'!M:M,"",0)&gt;0),"Z-2", AND(_xlfn.XLOOKUP(A58-1,'LPG Fup'!D:D,'LPG Fup'!M:M,"",0)&lt;&gt;"",_xlfn.XLOOKUP(A58-1,'LPG Fup'!D:D,'LPG Fup'!M:M,"",0)&gt;0),"Z", AND(_xlfn.XLOOKUP(A58-2,'LPG Fup'!D:D,'LPG Fup'!M:M,"",0)&lt;&gt;"",_xlfn.XLOOKUP(A58-2,'LPG Fup'!D:D,'LPG Fup'!M:M,"",0)&gt;0),"Z+1"),0)</f>
        <v>0</v>
      </c>
      <c r="Q58" cm="1">
        <f t="array" ref="Q58">_xlfn.IFNA(_xlfn.IFS(AND(_xlfn.XLOOKUP(A58,'LPG Fup'!D:D,'LPG Fup'!M:M,"",0)&lt;&gt;"",_xlfn.XLOOKUP(A58,'LPG Fup'!D:D,'LPG Fup'!M:M,"",0)&lt;0),"I-1", AND(_xlfn.XLOOKUP(A58+1,'LPG Fup'!D:D,'LPG Fup'!M:M,"",0)&lt;&gt;"",_xlfn.XLOOKUP(A58+1,'LPG Fup'!D:D,'LPG Fup'!M:M,"",0)&lt;0),"I-2", AND(_xlfn.XLOOKUP(A58-1,'LPG Fup'!D:D,'LPG Fup'!M:M,"",0)&lt;&gt;"",_xlfn.XLOOKUP(A58-1,'LPG Fup'!D:D,'LPG Fup'!M:M,"",0)&lt;0),"I", AND(_xlfn.XLOOKUP(A58-2,'LPG Fup'!D:D,'LPG Fup'!M:M,"",0)&lt;&gt;"",_xlfn.XLOOKUP(A58-2,'LPG Fup'!D:D,'LPG Fup'!M:M,"",0)&lt;0),"I+1"),0)</f>
        <v>0</v>
      </c>
      <c r="R58">
        <f>_xlfn.XLOOKUP(A58,Covid!A:A,Covid!I:I,0,0)</f>
        <v>919</v>
      </c>
      <c r="S58">
        <f>_xlfn.XLOOKUP(A58,Covid!A:A,Covid!K:K,0,0)</f>
        <v>17</v>
      </c>
      <c r="T58" s="145">
        <f>_xlfn.XLOOKUP(A58,Covid!A:A,Covid!K:K,0,0)/_xlfn.XLOOKUP(A58,Covid!A:A,Covid!L:L,0,0)</f>
        <v>1.7311608961303463E-2</v>
      </c>
    </row>
    <row r="59" spans="1:20" x14ac:dyDescent="0.55000000000000004">
      <c r="A59" s="157">
        <v>44040</v>
      </c>
      <c r="B59" s="13">
        <v>603500</v>
      </c>
      <c r="C59" s="13">
        <v>662582</v>
      </c>
      <c r="D59" s="13">
        <v>1001</v>
      </c>
      <c r="E59" s="13">
        <v>637175</v>
      </c>
      <c r="F59" s="13">
        <v>1904258</v>
      </c>
      <c r="G59">
        <f>IF(OR(_xlfn.XLOOKUP(A59,'LPG Fup'!D:D,'LPG Fup'!L:L,"",0)&gt;0.03,_xlfn.XLOOKUP(A59,'LPG Fup'!D:D,'LPG Fup'!L:L,"",0)&lt;-0.03),_xlfn.XLOOKUP(A59,'LPG Fup'!D:D,'LPG Fup'!L:L,0,0),0)</f>
        <v>0</v>
      </c>
      <c r="H59">
        <f>IF(_xlfn.XLOOKUP(A59,'LPG Fup'!D:D,'LPG Fup'!M:M,0,0)="",0,_xlfn.XLOOKUP(A59,'LPG Fup'!D:D,'LPG Fup'!M:M,0,0))</f>
        <v>0</v>
      </c>
      <c r="I59" s="109">
        <f>_xlfn.XLOOKUP(A59,'Rafineri Fiyatları'!A:A,'Rafineri Fiyatları'!B:B,"",0)</f>
        <v>4229.38</v>
      </c>
      <c r="J59">
        <f t="shared" si="0"/>
        <v>2020</v>
      </c>
      <c r="K59">
        <f t="shared" si="1"/>
        <v>7</v>
      </c>
      <c r="L59">
        <f t="shared" si="2"/>
        <v>28</v>
      </c>
      <c r="M59">
        <f t="shared" si="3"/>
        <v>3</v>
      </c>
      <c r="N59">
        <f>_xlfn.XLOOKUP(A59,tatiller!H:H,tatiller!I:I,0,0)</f>
        <v>0</v>
      </c>
      <c r="O59" cm="1">
        <f t="array" ref="O59">_xlfn.IFNA(_xlfn.IFS(L59=1,"A0",A59=EOMONTH(A59,0),"A-1",L59=2,"A+1"),0)</f>
        <v>0</v>
      </c>
      <c r="P59" cm="1">
        <f t="array" ref="P59">_xlfn.IFNA(_xlfn.IFS(AND(_xlfn.XLOOKUP(A59,'LPG Fup'!D:D,'LPG Fup'!M:M,"",0)&lt;&gt;"",_xlfn.XLOOKUP(A59,'LPG Fup'!D:D,'LPG Fup'!M:M,"",0)&gt;0),"Z-1", AND(_xlfn.XLOOKUP(A59+1,'LPG Fup'!D:D,'LPG Fup'!M:M,"",0)&lt;&gt;"",_xlfn.XLOOKUP(A59+1,'LPG Fup'!D:D,'LPG Fup'!M:M,"",0)&gt;0),"Z-2", AND(_xlfn.XLOOKUP(A59-1,'LPG Fup'!D:D,'LPG Fup'!M:M,"",0)&lt;&gt;"",_xlfn.XLOOKUP(A59-1,'LPG Fup'!D:D,'LPG Fup'!M:M,"",0)&gt;0),"Z", AND(_xlfn.XLOOKUP(A59-2,'LPG Fup'!D:D,'LPG Fup'!M:M,"",0)&lt;&gt;"",_xlfn.XLOOKUP(A59-2,'LPG Fup'!D:D,'LPG Fup'!M:M,"",0)&gt;0),"Z+1"),0)</f>
        <v>0</v>
      </c>
      <c r="Q59" cm="1">
        <f t="array" ref="Q59">_xlfn.IFNA(_xlfn.IFS(AND(_xlfn.XLOOKUP(A59,'LPG Fup'!D:D,'LPG Fup'!M:M,"",0)&lt;&gt;"",_xlfn.XLOOKUP(A59,'LPG Fup'!D:D,'LPG Fup'!M:M,"",0)&lt;0),"I-1", AND(_xlfn.XLOOKUP(A59+1,'LPG Fup'!D:D,'LPG Fup'!M:M,"",0)&lt;&gt;"",_xlfn.XLOOKUP(A59+1,'LPG Fup'!D:D,'LPG Fup'!M:M,"",0)&lt;0),"I-2", AND(_xlfn.XLOOKUP(A59-1,'LPG Fup'!D:D,'LPG Fup'!M:M,"",0)&lt;&gt;"",_xlfn.XLOOKUP(A59-1,'LPG Fup'!D:D,'LPG Fup'!M:M,"",0)&lt;0),"I", AND(_xlfn.XLOOKUP(A59-2,'LPG Fup'!D:D,'LPG Fup'!M:M,"",0)&lt;&gt;"",_xlfn.XLOOKUP(A59-2,'LPG Fup'!D:D,'LPG Fup'!M:M,"",0)&lt;0),"I+1"),0)</f>
        <v>0</v>
      </c>
      <c r="R59">
        <f>_xlfn.XLOOKUP(A59,Covid!A:A,Covid!I:I,0,0)</f>
        <v>963</v>
      </c>
      <c r="S59">
        <f>_xlfn.XLOOKUP(A59,Covid!A:A,Covid!K:K,0,0)</f>
        <v>15</v>
      </c>
      <c r="T59" s="145">
        <f>_xlfn.XLOOKUP(A59,Covid!A:A,Covid!K:K,0,0)/_xlfn.XLOOKUP(A59,Covid!A:A,Covid!L:L,0,0)</f>
        <v>1.3736263736263736E-2</v>
      </c>
    </row>
    <row r="60" spans="1:20" x14ac:dyDescent="0.55000000000000004">
      <c r="A60" s="157">
        <v>44041</v>
      </c>
      <c r="B60" s="13">
        <v>520940</v>
      </c>
      <c r="C60" s="13">
        <v>748094</v>
      </c>
      <c r="D60" s="13">
        <v>7890</v>
      </c>
      <c r="E60" s="13">
        <v>845963</v>
      </c>
      <c r="F60" s="13">
        <v>2122887</v>
      </c>
      <c r="G60">
        <f>IF(OR(_xlfn.XLOOKUP(A60,'LPG Fup'!D:D,'LPG Fup'!L:L,"",0)&gt;0.03,_xlfn.XLOOKUP(A60,'LPG Fup'!D:D,'LPG Fup'!L:L,"",0)&lt;-0.03),_xlfn.XLOOKUP(A60,'LPG Fup'!D:D,'LPG Fup'!L:L,0,0),0)</f>
        <v>0</v>
      </c>
      <c r="H60">
        <f>IF(_xlfn.XLOOKUP(A60,'LPG Fup'!D:D,'LPG Fup'!M:M,0,0)="",0,_xlfn.XLOOKUP(A60,'LPG Fup'!D:D,'LPG Fup'!M:M,0,0))</f>
        <v>0</v>
      </c>
      <c r="I60" s="109">
        <f>_xlfn.XLOOKUP(A60,'Rafineri Fiyatları'!A:A,'Rafineri Fiyatları'!B:B,"",0)</f>
        <v>4229.38</v>
      </c>
      <c r="J60">
        <f t="shared" si="0"/>
        <v>2020</v>
      </c>
      <c r="K60">
        <f t="shared" si="1"/>
        <v>7</v>
      </c>
      <c r="L60">
        <f t="shared" si="2"/>
        <v>29</v>
      </c>
      <c r="M60">
        <f t="shared" si="3"/>
        <v>4</v>
      </c>
      <c r="N60">
        <f>_xlfn.XLOOKUP(A60,tatiller!H:H,tatiller!I:I,0,0)</f>
        <v>0</v>
      </c>
      <c r="O60" cm="1">
        <f t="array" ref="O60">_xlfn.IFNA(_xlfn.IFS(L60=1,"A0",A60=EOMONTH(A60,0),"A-1",L60=2,"A+1"),0)</f>
        <v>0</v>
      </c>
      <c r="P60" cm="1">
        <f t="array" ref="P60">_xlfn.IFNA(_xlfn.IFS(AND(_xlfn.XLOOKUP(A60,'LPG Fup'!D:D,'LPG Fup'!M:M,"",0)&lt;&gt;"",_xlfn.XLOOKUP(A60,'LPG Fup'!D:D,'LPG Fup'!M:M,"",0)&gt;0),"Z-1", AND(_xlfn.XLOOKUP(A60+1,'LPG Fup'!D:D,'LPG Fup'!M:M,"",0)&lt;&gt;"",_xlfn.XLOOKUP(A60+1,'LPG Fup'!D:D,'LPG Fup'!M:M,"",0)&gt;0),"Z-2", AND(_xlfn.XLOOKUP(A60-1,'LPG Fup'!D:D,'LPG Fup'!M:M,"",0)&lt;&gt;"",_xlfn.XLOOKUP(A60-1,'LPG Fup'!D:D,'LPG Fup'!M:M,"",0)&gt;0),"Z", AND(_xlfn.XLOOKUP(A60-2,'LPG Fup'!D:D,'LPG Fup'!M:M,"",0)&lt;&gt;"",_xlfn.XLOOKUP(A60-2,'LPG Fup'!D:D,'LPG Fup'!M:M,"",0)&gt;0),"Z+1"),0)</f>
        <v>0</v>
      </c>
      <c r="Q60" cm="1">
        <f t="array" ref="Q60">_xlfn.IFNA(_xlfn.IFS(AND(_xlfn.XLOOKUP(A60,'LPG Fup'!D:D,'LPG Fup'!M:M,"",0)&lt;&gt;"",_xlfn.XLOOKUP(A60,'LPG Fup'!D:D,'LPG Fup'!M:M,"",0)&lt;0),"I-1", AND(_xlfn.XLOOKUP(A60+1,'LPG Fup'!D:D,'LPG Fup'!M:M,"",0)&lt;&gt;"",_xlfn.XLOOKUP(A60+1,'LPG Fup'!D:D,'LPG Fup'!M:M,"",0)&lt;0),"I-2", AND(_xlfn.XLOOKUP(A60-1,'LPG Fup'!D:D,'LPG Fup'!M:M,"",0)&lt;&gt;"",_xlfn.XLOOKUP(A60-1,'LPG Fup'!D:D,'LPG Fup'!M:M,"",0)&lt;0),"I", AND(_xlfn.XLOOKUP(A60-2,'LPG Fup'!D:D,'LPG Fup'!M:M,"",0)&lt;&gt;"",_xlfn.XLOOKUP(A60-2,'LPG Fup'!D:D,'LPG Fup'!M:M,"",0)&lt;0),"I+1"),0)</f>
        <v>0</v>
      </c>
      <c r="R60">
        <f>_xlfn.XLOOKUP(A60,Covid!A:A,Covid!I:I,0,0)</f>
        <v>942</v>
      </c>
      <c r="S60">
        <f>_xlfn.XLOOKUP(A60,Covid!A:A,Covid!K:K,0,0)</f>
        <v>14</v>
      </c>
      <c r="T60" s="145">
        <f>_xlfn.XLOOKUP(A60,Covid!A:A,Covid!K:K,0,0)/_xlfn.XLOOKUP(A60,Covid!A:A,Covid!L:L,0,0)</f>
        <v>1.4056224899598393E-2</v>
      </c>
    </row>
    <row r="61" spans="1:20" x14ac:dyDescent="0.55000000000000004">
      <c r="A61" s="157">
        <v>44042</v>
      </c>
      <c r="B61" s="13">
        <v>731500</v>
      </c>
      <c r="C61" s="13">
        <v>660348</v>
      </c>
      <c r="D61" s="13">
        <v>11277</v>
      </c>
      <c r="E61" s="13">
        <v>1102172</v>
      </c>
      <c r="F61" s="13">
        <v>2505297</v>
      </c>
      <c r="G61">
        <f>IF(OR(_xlfn.XLOOKUP(A61,'LPG Fup'!D:D,'LPG Fup'!L:L,"",0)&gt;0.03,_xlfn.XLOOKUP(A61,'LPG Fup'!D:D,'LPG Fup'!L:L,"",0)&lt;-0.03),_xlfn.XLOOKUP(A61,'LPG Fup'!D:D,'LPG Fup'!L:L,0,0),0)</f>
        <v>0</v>
      </c>
      <c r="H61">
        <f>IF(_xlfn.XLOOKUP(A61,'LPG Fup'!D:D,'LPG Fup'!M:M,0,0)="",0,_xlfn.XLOOKUP(A61,'LPG Fup'!D:D,'LPG Fup'!M:M,0,0))</f>
        <v>0</v>
      </c>
      <c r="I61" s="109">
        <f>_xlfn.XLOOKUP(A61,'Rafineri Fiyatları'!A:A,'Rafineri Fiyatları'!B:B,"",0)</f>
        <v>4229.38</v>
      </c>
      <c r="J61">
        <f t="shared" si="0"/>
        <v>2020</v>
      </c>
      <c r="K61">
        <f t="shared" si="1"/>
        <v>7</v>
      </c>
      <c r="L61">
        <f t="shared" si="2"/>
        <v>30</v>
      </c>
      <c r="M61">
        <f t="shared" si="3"/>
        <v>5</v>
      </c>
      <c r="N61" t="str">
        <f>_xlfn.XLOOKUP(A61,tatiller!H:H,tatiller!I:I,0,0)</f>
        <v>KBA</v>
      </c>
      <c r="O61" cm="1">
        <f t="array" ref="O61">_xlfn.IFNA(_xlfn.IFS(L61=1,"A0",A61=EOMONTH(A61,0),"A-1",L61=2,"A+1"),0)</f>
        <v>0</v>
      </c>
      <c r="P61" cm="1">
        <f t="array" ref="P61">_xlfn.IFNA(_xlfn.IFS(AND(_xlfn.XLOOKUP(A61,'LPG Fup'!D:D,'LPG Fup'!M:M,"",0)&lt;&gt;"",_xlfn.XLOOKUP(A61,'LPG Fup'!D:D,'LPG Fup'!M:M,"",0)&gt;0),"Z-1", AND(_xlfn.XLOOKUP(A61+1,'LPG Fup'!D:D,'LPG Fup'!M:M,"",0)&lt;&gt;"",_xlfn.XLOOKUP(A61+1,'LPG Fup'!D:D,'LPG Fup'!M:M,"",0)&gt;0),"Z-2", AND(_xlfn.XLOOKUP(A61-1,'LPG Fup'!D:D,'LPG Fup'!M:M,"",0)&lt;&gt;"",_xlfn.XLOOKUP(A61-1,'LPG Fup'!D:D,'LPG Fup'!M:M,"",0)&gt;0),"Z", AND(_xlfn.XLOOKUP(A61-2,'LPG Fup'!D:D,'LPG Fup'!M:M,"",0)&lt;&gt;"",_xlfn.XLOOKUP(A61-2,'LPG Fup'!D:D,'LPG Fup'!M:M,"",0)&gt;0),"Z+1"),0)</f>
        <v>0</v>
      </c>
      <c r="Q61" cm="1">
        <f t="array" ref="Q61">_xlfn.IFNA(_xlfn.IFS(AND(_xlfn.XLOOKUP(A61,'LPG Fup'!D:D,'LPG Fup'!M:M,"",0)&lt;&gt;"",_xlfn.XLOOKUP(A61,'LPG Fup'!D:D,'LPG Fup'!M:M,"",0)&lt;0),"I-1", AND(_xlfn.XLOOKUP(A61+1,'LPG Fup'!D:D,'LPG Fup'!M:M,"",0)&lt;&gt;"",_xlfn.XLOOKUP(A61+1,'LPG Fup'!D:D,'LPG Fup'!M:M,"",0)&lt;0),"I-2", AND(_xlfn.XLOOKUP(A61-1,'LPG Fup'!D:D,'LPG Fup'!M:M,"",0)&lt;&gt;"",_xlfn.XLOOKUP(A61-1,'LPG Fup'!D:D,'LPG Fup'!M:M,"",0)&lt;0),"I", AND(_xlfn.XLOOKUP(A61-2,'LPG Fup'!D:D,'LPG Fup'!M:M,"",0)&lt;&gt;"",_xlfn.XLOOKUP(A61-2,'LPG Fup'!D:D,'LPG Fup'!M:M,"",0)&lt;0),"I+1"),0)</f>
        <v>0</v>
      </c>
      <c r="R61">
        <f>_xlfn.XLOOKUP(A61,Covid!A:A,Covid!I:I,0,0)</f>
        <v>967</v>
      </c>
      <c r="S61">
        <f>_xlfn.XLOOKUP(A61,Covid!A:A,Covid!K:K,0,0)</f>
        <v>15</v>
      </c>
      <c r="T61" s="145">
        <f>_xlfn.XLOOKUP(A61,Covid!A:A,Covid!K:K,0,0)/_xlfn.XLOOKUP(A61,Covid!A:A,Covid!L:L,0,0)</f>
        <v>1.5274949083503055E-2</v>
      </c>
    </row>
    <row r="62" spans="1:20" x14ac:dyDescent="0.55000000000000004">
      <c r="A62" s="157">
        <v>44043</v>
      </c>
      <c r="B62" s="13">
        <v>591360</v>
      </c>
      <c r="C62" s="13">
        <v>1170</v>
      </c>
      <c r="D62" s="13">
        <v>4600</v>
      </c>
      <c r="E62" s="13">
        <v>650224</v>
      </c>
      <c r="F62" s="13">
        <v>1247354</v>
      </c>
      <c r="G62">
        <f>IF(OR(_xlfn.XLOOKUP(A62,'LPG Fup'!D:D,'LPG Fup'!L:L,"",0)&gt;0.03,_xlfn.XLOOKUP(A62,'LPG Fup'!D:D,'LPG Fup'!L:L,"",0)&lt;-0.03),_xlfn.XLOOKUP(A62,'LPG Fup'!D:D,'LPG Fup'!L:L,0,0),0)</f>
        <v>0</v>
      </c>
      <c r="H62">
        <f>IF(_xlfn.XLOOKUP(A62,'LPG Fup'!D:D,'LPG Fup'!M:M,0,0)="",0,_xlfn.XLOOKUP(A62,'LPG Fup'!D:D,'LPG Fup'!M:M,0,0))</f>
        <v>0</v>
      </c>
      <c r="I62" s="109">
        <f>_xlfn.XLOOKUP(A62,'Rafineri Fiyatları'!A:A,'Rafineri Fiyatları'!B:B,"",0)</f>
        <v>4229.38</v>
      </c>
      <c r="J62">
        <f t="shared" si="0"/>
        <v>2020</v>
      </c>
      <c r="K62">
        <f t="shared" si="1"/>
        <v>7</v>
      </c>
      <c r="L62">
        <f t="shared" si="2"/>
        <v>31</v>
      </c>
      <c r="M62">
        <f t="shared" si="3"/>
        <v>6</v>
      </c>
      <c r="N62" t="str">
        <f>_xlfn.XLOOKUP(A62,tatiller!H:H,tatiller!I:I,0,0)</f>
        <v>KB1</v>
      </c>
      <c r="O62" t="str" cm="1">
        <f t="array" ref="O62">_xlfn.IFNA(_xlfn.IFS(L62=1,"A0",A62=EOMONTH(A62,0),"A-1",L62=2,"A+1"),0)</f>
        <v>A-1</v>
      </c>
      <c r="P62" cm="1">
        <f t="array" ref="P62">_xlfn.IFNA(_xlfn.IFS(AND(_xlfn.XLOOKUP(A62,'LPG Fup'!D:D,'LPG Fup'!M:M,"",0)&lt;&gt;"",_xlfn.XLOOKUP(A62,'LPG Fup'!D:D,'LPG Fup'!M:M,"",0)&gt;0),"Z-1", AND(_xlfn.XLOOKUP(A62+1,'LPG Fup'!D:D,'LPG Fup'!M:M,"",0)&lt;&gt;"",_xlfn.XLOOKUP(A62+1,'LPG Fup'!D:D,'LPG Fup'!M:M,"",0)&gt;0),"Z-2", AND(_xlfn.XLOOKUP(A62-1,'LPG Fup'!D:D,'LPG Fup'!M:M,"",0)&lt;&gt;"",_xlfn.XLOOKUP(A62-1,'LPG Fup'!D:D,'LPG Fup'!M:M,"",0)&gt;0),"Z", AND(_xlfn.XLOOKUP(A62-2,'LPG Fup'!D:D,'LPG Fup'!M:M,"",0)&lt;&gt;"",_xlfn.XLOOKUP(A62-2,'LPG Fup'!D:D,'LPG Fup'!M:M,"",0)&gt;0),"Z+1"),0)</f>
        <v>0</v>
      </c>
      <c r="Q62" cm="1">
        <f t="array" ref="Q62">_xlfn.IFNA(_xlfn.IFS(AND(_xlfn.XLOOKUP(A62,'LPG Fup'!D:D,'LPG Fup'!M:M,"",0)&lt;&gt;"",_xlfn.XLOOKUP(A62,'LPG Fup'!D:D,'LPG Fup'!M:M,"",0)&lt;0),"I-1", AND(_xlfn.XLOOKUP(A62+1,'LPG Fup'!D:D,'LPG Fup'!M:M,"",0)&lt;&gt;"",_xlfn.XLOOKUP(A62+1,'LPG Fup'!D:D,'LPG Fup'!M:M,"",0)&lt;0),"I-2", AND(_xlfn.XLOOKUP(A62-1,'LPG Fup'!D:D,'LPG Fup'!M:M,"",0)&lt;&gt;"",_xlfn.XLOOKUP(A62-1,'LPG Fup'!D:D,'LPG Fup'!M:M,"",0)&lt;0),"I", AND(_xlfn.XLOOKUP(A62-2,'LPG Fup'!D:D,'LPG Fup'!M:M,"",0)&lt;&gt;"",_xlfn.XLOOKUP(A62-2,'LPG Fup'!D:D,'LPG Fup'!M:M,"",0)&lt;0),"I+1"),0)</f>
        <v>0</v>
      </c>
      <c r="R62">
        <f>_xlfn.XLOOKUP(A62,Covid!A:A,Covid!I:I,0,0)</f>
        <v>982</v>
      </c>
      <c r="S62">
        <f>_xlfn.XLOOKUP(A62,Covid!A:A,Covid!K:K,0,0)</f>
        <v>17</v>
      </c>
      <c r="T62" s="145">
        <f>_xlfn.XLOOKUP(A62,Covid!A:A,Covid!K:K,0,0)/_xlfn.XLOOKUP(A62,Covid!A:A,Covid!L:L,0,0)</f>
        <v>1.7068273092369479E-2</v>
      </c>
    </row>
    <row r="63" spans="1:20" x14ac:dyDescent="0.55000000000000004">
      <c r="A63" s="157">
        <v>44044</v>
      </c>
      <c r="B63" s="13">
        <v>557300</v>
      </c>
      <c r="C63" s="13">
        <v>9241</v>
      </c>
      <c r="D63" s="13">
        <v>0</v>
      </c>
      <c r="E63" s="13">
        <v>705551</v>
      </c>
      <c r="F63" s="13">
        <v>1272092</v>
      </c>
      <c r="G63">
        <f>IF(OR(_xlfn.XLOOKUP(A63,'LPG Fup'!D:D,'LPG Fup'!L:L,"",0)&gt;0.03,_xlfn.XLOOKUP(A63,'LPG Fup'!D:D,'LPG Fup'!L:L,"",0)&lt;-0.03),_xlfn.XLOOKUP(A63,'LPG Fup'!D:D,'LPG Fup'!L:L,0,0),0)</f>
        <v>0</v>
      </c>
      <c r="H63">
        <f>IF(_xlfn.XLOOKUP(A63,'LPG Fup'!D:D,'LPG Fup'!M:M,0,0)="",0,_xlfn.XLOOKUP(A63,'LPG Fup'!D:D,'LPG Fup'!M:M,0,0))</f>
        <v>0</v>
      </c>
      <c r="I63" s="109">
        <f>_xlfn.XLOOKUP(A63,'Rafineri Fiyatları'!A:A,'Rafineri Fiyatları'!B:B,"",0)</f>
        <v>4229.38</v>
      </c>
      <c r="J63">
        <f t="shared" si="0"/>
        <v>2020</v>
      </c>
      <c r="K63">
        <f t="shared" si="1"/>
        <v>8</v>
      </c>
      <c r="L63">
        <f t="shared" si="2"/>
        <v>1</v>
      </c>
      <c r="M63">
        <f t="shared" si="3"/>
        <v>7</v>
      </c>
      <c r="N63" t="str">
        <f>_xlfn.XLOOKUP(A63,tatiller!H:H,tatiller!I:I,0,0)</f>
        <v>KB2</v>
      </c>
      <c r="O63" t="str" cm="1">
        <f t="array" ref="O63">_xlfn.IFNA(_xlfn.IFS(L63=1,"A0",A63=EOMONTH(A63,0),"A-1",L63=2,"A+1"),0)</f>
        <v>A0</v>
      </c>
      <c r="P63" cm="1">
        <f t="array" ref="P63">_xlfn.IFNA(_xlfn.IFS(AND(_xlfn.XLOOKUP(A63,'LPG Fup'!D:D,'LPG Fup'!M:M,"",0)&lt;&gt;"",_xlfn.XLOOKUP(A63,'LPG Fup'!D:D,'LPG Fup'!M:M,"",0)&gt;0),"Z-1", AND(_xlfn.XLOOKUP(A63+1,'LPG Fup'!D:D,'LPG Fup'!M:M,"",0)&lt;&gt;"",_xlfn.XLOOKUP(A63+1,'LPG Fup'!D:D,'LPG Fup'!M:M,"",0)&gt;0),"Z-2", AND(_xlfn.XLOOKUP(A63-1,'LPG Fup'!D:D,'LPG Fup'!M:M,"",0)&lt;&gt;"",_xlfn.XLOOKUP(A63-1,'LPG Fup'!D:D,'LPG Fup'!M:M,"",0)&gt;0),"Z", AND(_xlfn.XLOOKUP(A63-2,'LPG Fup'!D:D,'LPG Fup'!M:M,"",0)&lt;&gt;"",_xlfn.XLOOKUP(A63-2,'LPG Fup'!D:D,'LPG Fup'!M:M,"",0)&gt;0),"Z+1"),0)</f>
        <v>0</v>
      </c>
      <c r="Q63" cm="1">
        <f t="array" ref="Q63">_xlfn.IFNA(_xlfn.IFS(AND(_xlfn.XLOOKUP(A63,'LPG Fup'!D:D,'LPG Fup'!M:M,"",0)&lt;&gt;"",_xlfn.XLOOKUP(A63,'LPG Fup'!D:D,'LPG Fup'!M:M,"",0)&lt;0),"I-1", AND(_xlfn.XLOOKUP(A63+1,'LPG Fup'!D:D,'LPG Fup'!M:M,"",0)&lt;&gt;"",_xlfn.XLOOKUP(A63+1,'LPG Fup'!D:D,'LPG Fup'!M:M,"",0)&lt;0),"I-2", AND(_xlfn.XLOOKUP(A63-1,'LPG Fup'!D:D,'LPG Fup'!M:M,"",0)&lt;&gt;"",_xlfn.XLOOKUP(A63-1,'LPG Fup'!D:D,'LPG Fup'!M:M,"",0)&lt;0),"I", AND(_xlfn.XLOOKUP(A63-2,'LPG Fup'!D:D,'LPG Fup'!M:M,"",0)&lt;&gt;"",_xlfn.XLOOKUP(A63-2,'LPG Fup'!D:D,'LPG Fup'!M:M,"",0)&lt;0),"I+1"),0)</f>
        <v>0</v>
      </c>
      <c r="R63">
        <f>_xlfn.XLOOKUP(A63,Covid!A:A,Covid!I:I,0,0)</f>
        <v>996</v>
      </c>
      <c r="S63">
        <f>_xlfn.XLOOKUP(A63,Covid!A:A,Covid!K:K,0,0)</f>
        <v>19</v>
      </c>
      <c r="T63" s="145">
        <f>_xlfn.XLOOKUP(A63,Covid!A:A,Covid!K:K,0,0)/_xlfn.XLOOKUP(A63,Covid!A:A,Covid!L:L,0,0)</f>
        <v>1.9367991845056064E-2</v>
      </c>
    </row>
    <row r="64" spans="1:20" x14ac:dyDescent="0.55000000000000004">
      <c r="A64" s="157">
        <v>44045</v>
      </c>
      <c r="B64" s="13">
        <v>519820</v>
      </c>
      <c r="C64" s="13">
        <v>1866</v>
      </c>
      <c r="D64" s="13">
        <v>0</v>
      </c>
      <c r="E64" s="13">
        <v>773239</v>
      </c>
      <c r="F64" s="13">
        <v>1294925</v>
      </c>
      <c r="G64">
        <f>IF(OR(_xlfn.XLOOKUP(A64,'LPG Fup'!D:D,'LPG Fup'!L:L,"",0)&gt;0.03,_xlfn.XLOOKUP(A64,'LPG Fup'!D:D,'LPG Fup'!L:L,"",0)&lt;-0.03),_xlfn.XLOOKUP(A64,'LPG Fup'!D:D,'LPG Fup'!L:L,0,0),0)</f>
        <v>0</v>
      </c>
      <c r="H64">
        <f>IF(_xlfn.XLOOKUP(A64,'LPG Fup'!D:D,'LPG Fup'!M:M,0,0)="",0,_xlfn.XLOOKUP(A64,'LPG Fup'!D:D,'LPG Fup'!M:M,0,0))</f>
        <v>0</v>
      </c>
      <c r="I64" s="109">
        <f>_xlfn.XLOOKUP(A64,'Rafineri Fiyatları'!A:A,'Rafineri Fiyatları'!B:B,"",0)</f>
        <v>4229.38</v>
      </c>
      <c r="J64">
        <f t="shared" si="0"/>
        <v>2020</v>
      </c>
      <c r="K64">
        <f t="shared" si="1"/>
        <v>8</v>
      </c>
      <c r="L64">
        <f t="shared" si="2"/>
        <v>2</v>
      </c>
      <c r="M64">
        <f t="shared" si="3"/>
        <v>1</v>
      </c>
      <c r="N64" t="str">
        <f>_xlfn.XLOOKUP(A64,tatiller!H:H,tatiller!I:I,0,0)</f>
        <v>KB3</v>
      </c>
      <c r="O64" t="str" cm="1">
        <f t="array" ref="O64">_xlfn.IFNA(_xlfn.IFS(L64=1,"A0",A64=EOMONTH(A64,0),"A-1",L64=2,"A+1"),0)</f>
        <v>A+1</v>
      </c>
      <c r="P64" cm="1">
        <f t="array" ref="P64">_xlfn.IFNA(_xlfn.IFS(AND(_xlfn.XLOOKUP(A64,'LPG Fup'!D:D,'LPG Fup'!M:M,"",0)&lt;&gt;"",_xlfn.XLOOKUP(A64,'LPG Fup'!D:D,'LPG Fup'!M:M,"",0)&gt;0),"Z-1", AND(_xlfn.XLOOKUP(A64+1,'LPG Fup'!D:D,'LPG Fup'!M:M,"",0)&lt;&gt;"",_xlfn.XLOOKUP(A64+1,'LPG Fup'!D:D,'LPG Fup'!M:M,"",0)&gt;0),"Z-2", AND(_xlfn.XLOOKUP(A64-1,'LPG Fup'!D:D,'LPG Fup'!M:M,"",0)&lt;&gt;"",_xlfn.XLOOKUP(A64-1,'LPG Fup'!D:D,'LPG Fup'!M:M,"",0)&gt;0),"Z", AND(_xlfn.XLOOKUP(A64-2,'LPG Fup'!D:D,'LPG Fup'!M:M,"",0)&lt;&gt;"",_xlfn.XLOOKUP(A64-2,'LPG Fup'!D:D,'LPG Fup'!M:M,"",0)&gt;0),"Z+1"),0)</f>
        <v>0</v>
      </c>
      <c r="Q64" cm="1">
        <f t="array" ref="Q64">_xlfn.IFNA(_xlfn.IFS(AND(_xlfn.XLOOKUP(A64,'LPG Fup'!D:D,'LPG Fup'!M:M,"",0)&lt;&gt;"",_xlfn.XLOOKUP(A64,'LPG Fup'!D:D,'LPG Fup'!M:M,"",0)&lt;0),"I-1", AND(_xlfn.XLOOKUP(A64+1,'LPG Fup'!D:D,'LPG Fup'!M:M,"",0)&lt;&gt;"",_xlfn.XLOOKUP(A64+1,'LPG Fup'!D:D,'LPG Fup'!M:M,"",0)&lt;0),"I-2", AND(_xlfn.XLOOKUP(A64-1,'LPG Fup'!D:D,'LPG Fup'!M:M,"",0)&lt;&gt;"",_xlfn.XLOOKUP(A64-1,'LPG Fup'!D:D,'LPG Fup'!M:M,"",0)&lt;0),"I", AND(_xlfn.XLOOKUP(A64-2,'LPG Fup'!D:D,'LPG Fup'!M:M,"",0)&lt;&gt;"",_xlfn.XLOOKUP(A64-2,'LPG Fup'!D:D,'LPG Fup'!M:M,"",0)&lt;0),"I+1"),0)</f>
        <v>0</v>
      </c>
      <c r="R64">
        <f>_xlfn.XLOOKUP(A64,Covid!A:A,Covid!I:I,0,0)</f>
        <v>987</v>
      </c>
      <c r="S64">
        <f>_xlfn.XLOOKUP(A64,Covid!A:A,Covid!K:K,0,0)</f>
        <v>18</v>
      </c>
      <c r="T64" s="145">
        <f>_xlfn.XLOOKUP(A64,Covid!A:A,Covid!K:K,0,0)/_xlfn.XLOOKUP(A64,Covid!A:A,Covid!L:L,0,0)</f>
        <v>1.8404907975460124E-2</v>
      </c>
    </row>
    <row r="65" spans="1:20" x14ac:dyDescent="0.55000000000000004">
      <c r="A65" s="157">
        <v>44046</v>
      </c>
      <c r="B65" s="13">
        <v>579460</v>
      </c>
      <c r="C65" s="13">
        <v>531093</v>
      </c>
      <c r="D65" s="13">
        <v>0</v>
      </c>
      <c r="E65" s="13">
        <v>829463</v>
      </c>
      <c r="F65" s="13">
        <v>1940016</v>
      </c>
      <c r="G65">
        <f>IF(OR(_xlfn.XLOOKUP(A65,'LPG Fup'!D:D,'LPG Fup'!L:L,"",0)&gt;0.03,_xlfn.XLOOKUP(A65,'LPG Fup'!D:D,'LPG Fup'!L:L,"",0)&lt;-0.03),_xlfn.XLOOKUP(A65,'LPG Fup'!D:D,'LPG Fup'!L:L,0,0),0)</f>
        <v>0</v>
      </c>
      <c r="H65">
        <f>IF(_xlfn.XLOOKUP(A65,'LPG Fup'!D:D,'LPG Fup'!M:M,0,0)="",0,_xlfn.XLOOKUP(A65,'LPG Fup'!D:D,'LPG Fup'!M:M,0,0))</f>
        <v>0</v>
      </c>
      <c r="I65" s="109">
        <f>_xlfn.XLOOKUP(A65,'Rafineri Fiyatları'!A:A,'Rafineri Fiyatları'!B:B,"",0)</f>
        <v>4229.38</v>
      </c>
      <c r="J65">
        <f t="shared" si="0"/>
        <v>2020</v>
      </c>
      <c r="K65">
        <f t="shared" si="1"/>
        <v>8</v>
      </c>
      <c r="L65">
        <f t="shared" si="2"/>
        <v>3</v>
      </c>
      <c r="M65">
        <f t="shared" si="3"/>
        <v>2</v>
      </c>
      <c r="N65" t="str">
        <f>_xlfn.XLOOKUP(A65,tatiller!H:H,tatiller!I:I,0,0)</f>
        <v>KB4</v>
      </c>
      <c r="O65" cm="1">
        <f t="array" ref="O65">_xlfn.IFNA(_xlfn.IFS(L65=1,"A0",A65=EOMONTH(A65,0),"A-1",L65=2,"A+1"),0)</f>
        <v>0</v>
      </c>
      <c r="P65" cm="1">
        <f t="array" ref="P65">_xlfn.IFNA(_xlfn.IFS(AND(_xlfn.XLOOKUP(A65,'LPG Fup'!D:D,'LPG Fup'!M:M,"",0)&lt;&gt;"",_xlfn.XLOOKUP(A65,'LPG Fup'!D:D,'LPG Fup'!M:M,"",0)&gt;0),"Z-1", AND(_xlfn.XLOOKUP(A65+1,'LPG Fup'!D:D,'LPG Fup'!M:M,"",0)&lt;&gt;"",_xlfn.XLOOKUP(A65+1,'LPG Fup'!D:D,'LPG Fup'!M:M,"",0)&gt;0),"Z-2", AND(_xlfn.XLOOKUP(A65-1,'LPG Fup'!D:D,'LPG Fup'!M:M,"",0)&lt;&gt;"",_xlfn.XLOOKUP(A65-1,'LPG Fup'!D:D,'LPG Fup'!M:M,"",0)&gt;0),"Z", AND(_xlfn.XLOOKUP(A65-2,'LPG Fup'!D:D,'LPG Fup'!M:M,"",0)&lt;&gt;"",_xlfn.XLOOKUP(A65-2,'LPG Fup'!D:D,'LPG Fup'!M:M,"",0)&gt;0),"Z+1"),0)</f>
        <v>0</v>
      </c>
      <c r="Q65" cm="1">
        <f t="array" ref="Q65">_xlfn.IFNA(_xlfn.IFS(AND(_xlfn.XLOOKUP(A65,'LPG Fup'!D:D,'LPG Fup'!M:M,"",0)&lt;&gt;"",_xlfn.XLOOKUP(A65,'LPG Fup'!D:D,'LPG Fup'!M:M,"",0)&lt;0),"I-1", AND(_xlfn.XLOOKUP(A65+1,'LPG Fup'!D:D,'LPG Fup'!M:M,"",0)&lt;&gt;"",_xlfn.XLOOKUP(A65+1,'LPG Fup'!D:D,'LPG Fup'!M:M,"",0)&lt;0),"I-2", AND(_xlfn.XLOOKUP(A65-1,'LPG Fup'!D:D,'LPG Fup'!M:M,"",0)&lt;&gt;"",_xlfn.XLOOKUP(A65-1,'LPG Fup'!D:D,'LPG Fup'!M:M,"",0)&lt;0),"I", AND(_xlfn.XLOOKUP(A65-2,'LPG Fup'!D:D,'LPG Fup'!M:M,"",0)&lt;&gt;"",_xlfn.XLOOKUP(A65-2,'LPG Fup'!D:D,'LPG Fup'!M:M,"",0)&lt;0),"I+1"),0)</f>
        <v>0</v>
      </c>
      <c r="R65">
        <f>_xlfn.XLOOKUP(A65,Covid!A:A,Covid!I:I,0,0)</f>
        <v>995</v>
      </c>
      <c r="S65">
        <f>_xlfn.XLOOKUP(A65,Covid!A:A,Covid!K:K,0,0)</f>
        <v>19</v>
      </c>
      <c r="T65" s="145">
        <f>_xlfn.XLOOKUP(A65,Covid!A:A,Covid!K:K,0,0)/_xlfn.XLOOKUP(A65,Covid!A:A,Covid!L:L,0,0)</f>
        <v>1.8943170488534396E-2</v>
      </c>
    </row>
    <row r="66" spans="1:20" x14ac:dyDescent="0.55000000000000004">
      <c r="A66" s="157">
        <v>44047</v>
      </c>
      <c r="B66" s="13">
        <v>549980</v>
      </c>
      <c r="C66" s="13">
        <v>547954</v>
      </c>
      <c r="D66" s="13">
        <v>10298</v>
      </c>
      <c r="E66" s="13">
        <v>646957</v>
      </c>
      <c r="F66" s="13">
        <v>1755189</v>
      </c>
      <c r="G66">
        <f>IF(OR(_xlfn.XLOOKUP(A66,'LPG Fup'!D:D,'LPG Fup'!L:L,"",0)&gt;0.03,_xlfn.XLOOKUP(A66,'LPG Fup'!D:D,'LPG Fup'!L:L,"",0)&lt;-0.03),_xlfn.XLOOKUP(A66,'LPG Fup'!D:D,'LPG Fup'!L:L,0,0),0)</f>
        <v>0</v>
      </c>
      <c r="H66">
        <f>IF(_xlfn.XLOOKUP(A66,'LPG Fup'!D:D,'LPG Fup'!M:M,0,0)="",0,_xlfn.XLOOKUP(A66,'LPG Fup'!D:D,'LPG Fup'!M:M,0,0))</f>
        <v>0</v>
      </c>
      <c r="I66" s="109">
        <f>_xlfn.XLOOKUP(A66,'Rafineri Fiyatları'!A:A,'Rafineri Fiyatları'!B:B,"",0)</f>
        <v>4229.38</v>
      </c>
      <c r="J66">
        <f t="shared" ref="J66:J129" si="4">YEAR(A66)</f>
        <v>2020</v>
      </c>
      <c r="K66">
        <f t="shared" ref="K66:K129" si="5">MONTH(A66)</f>
        <v>8</v>
      </c>
      <c r="L66">
        <f t="shared" ref="L66:L129" si="6">DAY(A66)</f>
        <v>4</v>
      </c>
      <c r="M66">
        <f t="shared" ref="M66:M129" si="7">WEEKDAY(A66)</f>
        <v>3</v>
      </c>
      <c r="N66" t="str">
        <f>_xlfn.XLOOKUP(A66,tatiller!H:H,tatiller!I:I,0,0)</f>
        <v>KB+1</v>
      </c>
      <c r="O66" cm="1">
        <f t="array" ref="O66">_xlfn.IFNA(_xlfn.IFS(L66=1,"A0",A66=EOMONTH(A66,0),"A-1",L66=2,"A+1"),0)</f>
        <v>0</v>
      </c>
      <c r="P66" cm="1">
        <f t="array" ref="P66">_xlfn.IFNA(_xlfn.IFS(AND(_xlfn.XLOOKUP(A66,'LPG Fup'!D:D,'LPG Fup'!M:M,"",0)&lt;&gt;"",_xlfn.XLOOKUP(A66,'LPG Fup'!D:D,'LPG Fup'!M:M,"",0)&gt;0),"Z-1", AND(_xlfn.XLOOKUP(A66+1,'LPG Fup'!D:D,'LPG Fup'!M:M,"",0)&lt;&gt;"",_xlfn.XLOOKUP(A66+1,'LPG Fup'!D:D,'LPG Fup'!M:M,"",0)&gt;0),"Z-2", AND(_xlfn.XLOOKUP(A66-1,'LPG Fup'!D:D,'LPG Fup'!M:M,"",0)&lt;&gt;"",_xlfn.XLOOKUP(A66-1,'LPG Fup'!D:D,'LPG Fup'!M:M,"",0)&gt;0),"Z", AND(_xlfn.XLOOKUP(A66-2,'LPG Fup'!D:D,'LPG Fup'!M:M,"",0)&lt;&gt;"",_xlfn.XLOOKUP(A66-2,'LPG Fup'!D:D,'LPG Fup'!M:M,"",0)&gt;0),"Z+1"),0)</f>
        <v>0</v>
      </c>
      <c r="Q66" cm="1">
        <f t="array" ref="Q66">_xlfn.IFNA(_xlfn.IFS(AND(_xlfn.XLOOKUP(A66,'LPG Fup'!D:D,'LPG Fup'!M:M,"",0)&lt;&gt;"",_xlfn.XLOOKUP(A66,'LPG Fup'!D:D,'LPG Fup'!M:M,"",0)&lt;0),"I-1", AND(_xlfn.XLOOKUP(A66+1,'LPG Fup'!D:D,'LPG Fup'!M:M,"",0)&lt;&gt;"",_xlfn.XLOOKUP(A66+1,'LPG Fup'!D:D,'LPG Fup'!M:M,"",0)&lt;0),"I-2", AND(_xlfn.XLOOKUP(A66-1,'LPG Fup'!D:D,'LPG Fup'!M:M,"",0)&lt;&gt;"",_xlfn.XLOOKUP(A66-1,'LPG Fup'!D:D,'LPG Fup'!M:M,"",0)&lt;0),"I", AND(_xlfn.XLOOKUP(A66-2,'LPG Fup'!D:D,'LPG Fup'!M:M,"",0)&lt;&gt;"",_xlfn.XLOOKUP(A66-2,'LPG Fup'!D:D,'LPG Fup'!M:M,"",0)&lt;0),"I+1"),0)</f>
        <v>0</v>
      </c>
      <c r="R66">
        <f>_xlfn.XLOOKUP(A66,Covid!A:A,Covid!I:I,0,0)</f>
        <v>1083</v>
      </c>
      <c r="S66">
        <f>_xlfn.XLOOKUP(A66,Covid!A:A,Covid!K:K,0,0)</f>
        <v>18</v>
      </c>
      <c r="T66" s="145">
        <f>_xlfn.XLOOKUP(A66,Covid!A:A,Covid!K:K,0,0)/_xlfn.XLOOKUP(A66,Covid!A:A,Covid!L:L,0,0)</f>
        <v>1.8108651911468814E-2</v>
      </c>
    </row>
    <row r="67" spans="1:20" x14ac:dyDescent="0.55000000000000004">
      <c r="A67" s="157">
        <v>44048</v>
      </c>
      <c r="B67" s="13">
        <v>477400</v>
      </c>
      <c r="C67" s="13">
        <v>469766</v>
      </c>
      <c r="D67" s="13">
        <v>6630</v>
      </c>
      <c r="E67" s="13">
        <v>605106</v>
      </c>
      <c r="F67" s="13">
        <v>1558902</v>
      </c>
      <c r="G67">
        <f>IF(OR(_xlfn.XLOOKUP(A67,'LPG Fup'!D:D,'LPG Fup'!L:L,"",0)&gt;0.03,_xlfn.XLOOKUP(A67,'LPG Fup'!D:D,'LPG Fup'!L:L,"",0)&lt;-0.03),_xlfn.XLOOKUP(A67,'LPG Fup'!D:D,'LPG Fup'!L:L,0,0),0)</f>
        <v>0</v>
      </c>
      <c r="H67">
        <f>IF(_xlfn.XLOOKUP(A67,'LPG Fup'!D:D,'LPG Fup'!M:M,0,0)="",0,_xlfn.XLOOKUP(A67,'LPG Fup'!D:D,'LPG Fup'!M:M,0,0))</f>
        <v>0</v>
      </c>
      <c r="I67" s="109">
        <f>_xlfn.XLOOKUP(A67,'Rafineri Fiyatları'!A:A,'Rafineri Fiyatları'!B:B,"",0)</f>
        <v>4229.38</v>
      </c>
      <c r="J67">
        <f t="shared" si="4"/>
        <v>2020</v>
      </c>
      <c r="K67">
        <f t="shared" si="5"/>
        <v>8</v>
      </c>
      <c r="L67">
        <f t="shared" si="6"/>
        <v>5</v>
      </c>
      <c r="M67">
        <f t="shared" si="7"/>
        <v>4</v>
      </c>
      <c r="N67" t="str">
        <f>_xlfn.XLOOKUP(A67,tatiller!H:H,tatiller!I:I,0,0)</f>
        <v>KB+2</v>
      </c>
      <c r="O67" cm="1">
        <f t="array" ref="O67">_xlfn.IFNA(_xlfn.IFS(L67=1,"A0",A67=EOMONTH(A67,0),"A-1",L67=2,"A+1"),0)</f>
        <v>0</v>
      </c>
      <c r="P67" cm="1">
        <f t="array" ref="P67">_xlfn.IFNA(_xlfn.IFS(AND(_xlfn.XLOOKUP(A67,'LPG Fup'!D:D,'LPG Fup'!M:M,"",0)&lt;&gt;"",_xlfn.XLOOKUP(A67,'LPG Fup'!D:D,'LPG Fup'!M:M,"",0)&gt;0),"Z-1", AND(_xlfn.XLOOKUP(A67+1,'LPG Fup'!D:D,'LPG Fup'!M:M,"",0)&lt;&gt;"",_xlfn.XLOOKUP(A67+1,'LPG Fup'!D:D,'LPG Fup'!M:M,"",0)&gt;0),"Z-2", AND(_xlfn.XLOOKUP(A67-1,'LPG Fup'!D:D,'LPG Fup'!M:M,"",0)&lt;&gt;"",_xlfn.XLOOKUP(A67-1,'LPG Fup'!D:D,'LPG Fup'!M:M,"",0)&gt;0),"Z", AND(_xlfn.XLOOKUP(A67-2,'LPG Fup'!D:D,'LPG Fup'!M:M,"",0)&lt;&gt;"",_xlfn.XLOOKUP(A67-2,'LPG Fup'!D:D,'LPG Fup'!M:M,"",0)&gt;0),"Z+1"),0)</f>
        <v>0</v>
      </c>
      <c r="Q67" cm="1">
        <f t="array" ref="Q67">_xlfn.IFNA(_xlfn.IFS(AND(_xlfn.XLOOKUP(A67,'LPG Fup'!D:D,'LPG Fup'!M:M,"",0)&lt;&gt;"",_xlfn.XLOOKUP(A67,'LPG Fup'!D:D,'LPG Fup'!M:M,"",0)&lt;0),"I-1", AND(_xlfn.XLOOKUP(A67+1,'LPG Fup'!D:D,'LPG Fup'!M:M,"",0)&lt;&gt;"",_xlfn.XLOOKUP(A67+1,'LPG Fup'!D:D,'LPG Fup'!M:M,"",0)&lt;0),"I-2", AND(_xlfn.XLOOKUP(A67-1,'LPG Fup'!D:D,'LPG Fup'!M:M,"",0)&lt;&gt;"",_xlfn.XLOOKUP(A67-1,'LPG Fup'!D:D,'LPG Fup'!M:M,"",0)&lt;0),"I", AND(_xlfn.XLOOKUP(A67-2,'LPG Fup'!D:D,'LPG Fup'!M:M,"",0)&lt;&gt;"",_xlfn.XLOOKUP(A67-2,'LPG Fup'!D:D,'LPG Fup'!M:M,"",0)&lt;0),"I+1"),0)</f>
        <v>0</v>
      </c>
      <c r="R67">
        <f>_xlfn.XLOOKUP(A67,Covid!A:A,Covid!I:I,0,0)</f>
        <v>1178</v>
      </c>
      <c r="S67">
        <f>_xlfn.XLOOKUP(A67,Covid!A:A,Covid!K:K,0,0)</f>
        <v>19</v>
      </c>
      <c r="T67" s="145">
        <f>_xlfn.XLOOKUP(A67,Covid!A:A,Covid!K:K,0,0)/_xlfn.XLOOKUP(A67,Covid!A:A,Covid!L:L,0,0)</f>
        <v>1.8719211822660099E-2</v>
      </c>
    </row>
    <row r="68" spans="1:20" x14ac:dyDescent="0.55000000000000004">
      <c r="A68" s="157">
        <v>44049</v>
      </c>
      <c r="B68" s="13">
        <v>308120</v>
      </c>
      <c r="C68" s="13">
        <v>454648</v>
      </c>
      <c r="D68" s="13">
        <v>7278</v>
      </c>
      <c r="E68" s="13">
        <v>618995</v>
      </c>
      <c r="F68" s="13">
        <v>1389041</v>
      </c>
      <c r="G68">
        <f>IF(OR(_xlfn.XLOOKUP(A68,'LPG Fup'!D:D,'LPG Fup'!L:L,"",0)&gt;0.03,_xlfn.XLOOKUP(A68,'LPG Fup'!D:D,'LPG Fup'!L:L,"",0)&lt;-0.03),_xlfn.XLOOKUP(A68,'LPG Fup'!D:D,'LPG Fup'!L:L,0,0),0)</f>
        <v>0</v>
      </c>
      <c r="H68">
        <f>IF(_xlfn.XLOOKUP(A68,'LPG Fup'!D:D,'LPG Fup'!M:M,0,0)="",0,_xlfn.XLOOKUP(A68,'LPG Fup'!D:D,'LPG Fup'!M:M,0,0))</f>
        <v>0</v>
      </c>
      <c r="I68" s="109">
        <f>_xlfn.XLOOKUP(A68,'Rafineri Fiyatları'!A:A,'Rafineri Fiyatları'!B:B,"",0)</f>
        <v>4229.38</v>
      </c>
      <c r="J68">
        <f t="shared" si="4"/>
        <v>2020</v>
      </c>
      <c r="K68">
        <f t="shared" si="5"/>
        <v>8</v>
      </c>
      <c r="L68">
        <f t="shared" si="6"/>
        <v>6</v>
      </c>
      <c r="M68">
        <f t="shared" si="7"/>
        <v>5</v>
      </c>
      <c r="N68">
        <f>_xlfn.XLOOKUP(A68,tatiller!H:H,tatiller!I:I,0,0)</f>
        <v>0</v>
      </c>
      <c r="O68" cm="1">
        <f t="array" ref="O68">_xlfn.IFNA(_xlfn.IFS(L68=1,"A0",A68=EOMONTH(A68,0),"A-1",L68=2,"A+1"),0)</f>
        <v>0</v>
      </c>
      <c r="P68" cm="1">
        <f t="array" ref="P68">_xlfn.IFNA(_xlfn.IFS(AND(_xlfn.XLOOKUP(A68,'LPG Fup'!D:D,'LPG Fup'!M:M,"",0)&lt;&gt;"",_xlfn.XLOOKUP(A68,'LPG Fup'!D:D,'LPG Fup'!M:M,"",0)&gt;0),"Z-1", AND(_xlfn.XLOOKUP(A68+1,'LPG Fup'!D:D,'LPG Fup'!M:M,"",0)&lt;&gt;"",_xlfn.XLOOKUP(A68+1,'LPG Fup'!D:D,'LPG Fup'!M:M,"",0)&gt;0),"Z-2", AND(_xlfn.XLOOKUP(A68-1,'LPG Fup'!D:D,'LPG Fup'!M:M,"",0)&lt;&gt;"",_xlfn.XLOOKUP(A68-1,'LPG Fup'!D:D,'LPG Fup'!M:M,"",0)&gt;0),"Z", AND(_xlfn.XLOOKUP(A68-2,'LPG Fup'!D:D,'LPG Fup'!M:M,"",0)&lt;&gt;"",_xlfn.XLOOKUP(A68-2,'LPG Fup'!D:D,'LPG Fup'!M:M,"",0)&gt;0),"Z+1"),0)</f>
        <v>0</v>
      </c>
      <c r="Q68" cm="1">
        <f t="array" ref="Q68">_xlfn.IFNA(_xlfn.IFS(AND(_xlfn.XLOOKUP(A68,'LPG Fup'!D:D,'LPG Fup'!M:M,"",0)&lt;&gt;"",_xlfn.XLOOKUP(A68,'LPG Fup'!D:D,'LPG Fup'!M:M,"",0)&lt;0),"I-1", AND(_xlfn.XLOOKUP(A68+1,'LPG Fup'!D:D,'LPG Fup'!M:M,"",0)&lt;&gt;"",_xlfn.XLOOKUP(A68+1,'LPG Fup'!D:D,'LPG Fup'!M:M,"",0)&lt;0),"I-2", AND(_xlfn.XLOOKUP(A68-1,'LPG Fup'!D:D,'LPG Fup'!M:M,"",0)&lt;&gt;"",_xlfn.XLOOKUP(A68-1,'LPG Fup'!D:D,'LPG Fup'!M:M,"",0)&lt;0),"I", AND(_xlfn.XLOOKUP(A68-2,'LPG Fup'!D:D,'LPG Fup'!M:M,"",0)&lt;&gt;"",_xlfn.XLOOKUP(A68-2,'LPG Fup'!D:D,'LPG Fup'!M:M,"",0)&lt;0),"I+1"),0)</f>
        <v>0</v>
      </c>
      <c r="R68">
        <f>_xlfn.XLOOKUP(A68,Covid!A:A,Covid!I:I,0,0)</f>
        <v>1153</v>
      </c>
      <c r="S68">
        <f>_xlfn.XLOOKUP(A68,Covid!A:A,Covid!K:K,0,0)</f>
        <v>14</v>
      </c>
      <c r="T68" s="145">
        <f>_xlfn.XLOOKUP(A68,Covid!A:A,Covid!K:K,0,0)/_xlfn.XLOOKUP(A68,Covid!A:A,Covid!L:L,0,0)</f>
        <v>1.3461538461538462E-2</v>
      </c>
    </row>
    <row r="69" spans="1:20" x14ac:dyDescent="0.55000000000000004">
      <c r="A69" s="157">
        <v>44050</v>
      </c>
      <c r="B69" s="13">
        <v>390780</v>
      </c>
      <c r="C69" s="13">
        <v>554854</v>
      </c>
      <c r="D69" s="13">
        <v>2032</v>
      </c>
      <c r="E69" s="13">
        <v>582893</v>
      </c>
      <c r="F69" s="13">
        <v>1530559</v>
      </c>
      <c r="G69">
        <f>IF(OR(_xlfn.XLOOKUP(A69,'LPG Fup'!D:D,'LPG Fup'!L:L,"",0)&gt;0.03,_xlfn.XLOOKUP(A69,'LPG Fup'!D:D,'LPG Fup'!L:L,"",0)&lt;-0.03),_xlfn.XLOOKUP(A69,'LPG Fup'!D:D,'LPG Fup'!L:L,0,0),0)</f>
        <v>0</v>
      </c>
      <c r="H69">
        <f>IF(_xlfn.XLOOKUP(A69,'LPG Fup'!D:D,'LPG Fup'!M:M,0,0)="",0,_xlfn.XLOOKUP(A69,'LPG Fup'!D:D,'LPG Fup'!M:M,0,0))</f>
        <v>0</v>
      </c>
      <c r="I69" s="109">
        <f>_xlfn.XLOOKUP(A69,'Rafineri Fiyatları'!A:A,'Rafineri Fiyatları'!B:B,"",0)</f>
        <v>4229.38</v>
      </c>
      <c r="J69">
        <f t="shared" si="4"/>
        <v>2020</v>
      </c>
      <c r="K69">
        <f t="shared" si="5"/>
        <v>8</v>
      </c>
      <c r="L69">
        <f t="shared" si="6"/>
        <v>7</v>
      </c>
      <c r="M69">
        <f t="shared" si="7"/>
        <v>6</v>
      </c>
      <c r="N69">
        <f>_xlfn.XLOOKUP(A69,tatiller!H:H,tatiller!I:I,0,0)</f>
        <v>0</v>
      </c>
      <c r="O69" cm="1">
        <f t="array" ref="O69">_xlfn.IFNA(_xlfn.IFS(L69=1,"A0",A69=EOMONTH(A69,0),"A-1",L69=2,"A+1"),0)</f>
        <v>0</v>
      </c>
      <c r="P69" cm="1">
        <f t="array" ref="P69">_xlfn.IFNA(_xlfn.IFS(AND(_xlfn.XLOOKUP(A69,'LPG Fup'!D:D,'LPG Fup'!M:M,"",0)&lt;&gt;"",_xlfn.XLOOKUP(A69,'LPG Fup'!D:D,'LPG Fup'!M:M,"",0)&gt;0),"Z-1", AND(_xlfn.XLOOKUP(A69+1,'LPG Fup'!D:D,'LPG Fup'!M:M,"",0)&lt;&gt;"",_xlfn.XLOOKUP(A69+1,'LPG Fup'!D:D,'LPG Fup'!M:M,"",0)&gt;0),"Z-2", AND(_xlfn.XLOOKUP(A69-1,'LPG Fup'!D:D,'LPG Fup'!M:M,"",0)&lt;&gt;"",_xlfn.XLOOKUP(A69-1,'LPG Fup'!D:D,'LPG Fup'!M:M,"",0)&gt;0),"Z", AND(_xlfn.XLOOKUP(A69-2,'LPG Fup'!D:D,'LPG Fup'!M:M,"",0)&lt;&gt;"",_xlfn.XLOOKUP(A69-2,'LPG Fup'!D:D,'LPG Fup'!M:M,"",0)&gt;0),"Z+1"),0)</f>
        <v>0</v>
      </c>
      <c r="Q69" cm="1">
        <f t="array" ref="Q69">_xlfn.IFNA(_xlfn.IFS(AND(_xlfn.XLOOKUP(A69,'LPG Fup'!D:D,'LPG Fup'!M:M,"",0)&lt;&gt;"",_xlfn.XLOOKUP(A69,'LPG Fup'!D:D,'LPG Fup'!M:M,"",0)&lt;0),"I-1", AND(_xlfn.XLOOKUP(A69+1,'LPG Fup'!D:D,'LPG Fup'!M:M,"",0)&lt;&gt;"",_xlfn.XLOOKUP(A69+1,'LPG Fup'!D:D,'LPG Fup'!M:M,"",0)&lt;0),"I-2", AND(_xlfn.XLOOKUP(A69-1,'LPG Fup'!D:D,'LPG Fup'!M:M,"",0)&lt;&gt;"",_xlfn.XLOOKUP(A69-1,'LPG Fup'!D:D,'LPG Fup'!M:M,"",0)&lt;0),"I", AND(_xlfn.XLOOKUP(A69-2,'LPG Fup'!D:D,'LPG Fup'!M:M,"",0)&lt;&gt;"",_xlfn.XLOOKUP(A69-2,'LPG Fup'!D:D,'LPG Fup'!M:M,"",0)&lt;0),"I+1"),0)</f>
        <v>0</v>
      </c>
      <c r="R69">
        <f>_xlfn.XLOOKUP(A69,Covid!A:A,Covid!I:I,0,0)</f>
        <v>1185</v>
      </c>
      <c r="S69">
        <f>_xlfn.XLOOKUP(A69,Covid!A:A,Covid!K:K,0,0)</f>
        <v>15</v>
      </c>
      <c r="T69" s="145">
        <f>_xlfn.XLOOKUP(A69,Covid!A:A,Covid!K:K,0,0)/_xlfn.XLOOKUP(A69,Covid!A:A,Covid!L:L,0,0)</f>
        <v>1.4591439688715954E-2</v>
      </c>
    </row>
    <row r="70" spans="1:20" x14ac:dyDescent="0.55000000000000004">
      <c r="A70" s="157">
        <v>44051</v>
      </c>
      <c r="B70" s="13">
        <v>433620</v>
      </c>
      <c r="C70" s="13">
        <v>415898</v>
      </c>
      <c r="D70" s="13">
        <v>2970</v>
      </c>
      <c r="E70" s="13">
        <v>793744</v>
      </c>
      <c r="F70" s="13">
        <v>1646232</v>
      </c>
      <c r="G70">
        <f>IF(OR(_xlfn.XLOOKUP(A70,'LPG Fup'!D:D,'LPG Fup'!L:L,"",0)&gt;0.03,_xlfn.XLOOKUP(A70,'LPG Fup'!D:D,'LPG Fup'!L:L,"",0)&lt;-0.03),_xlfn.XLOOKUP(A70,'LPG Fup'!D:D,'LPG Fup'!L:L,0,0),0)</f>
        <v>0</v>
      </c>
      <c r="H70">
        <f>IF(_xlfn.XLOOKUP(A70,'LPG Fup'!D:D,'LPG Fup'!M:M,0,0)="",0,_xlfn.XLOOKUP(A70,'LPG Fup'!D:D,'LPG Fup'!M:M,0,0))</f>
        <v>0</v>
      </c>
      <c r="I70" s="109">
        <f>_xlfn.XLOOKUP(A70,'Rafineri Fiyatları'!A:A,'Rafineri Fiyatları'!B:B,"",0)</f>
        <v>4229.38</v>
      </c>
      <c r="J70">
        <f t="shared" si="4"/>
        <v>2020</v>
      </c>
      <c r="K70">
        <f t="shared" si="5"/>
        <v>8</v>
      </c>
      <c r="L70">
        <f t="shared" si="6"/>
        <v>8</v>
      </c>
      <c r="M70">
        <f t="shared" si="7"/>
        <v>7</v>
      </c>
      <c r="N70">
        <f>_xlfn.XLOOKUP(A70,tatiller!H:H,tatiller!I:I,0,0)</f>
        <v>0</v>
      </c>
      <c r="O70" cm="1">
        <f t="array" ref="O70">_xlfn.IFNA(_xlfn.IFS(L70=1,"A0",A70=EOMONTH(A70,0),"A-1",L70=2,"A+1"),0)</f>
        <v>0</v>
      </c>
      <c r="P70" cm="1">
        <f t="array" ref="P70">_xlfn.IFNA(_xlfn.IFS(AND(_xlfn.XLOOKUP(A70,'LPG Fup'!D:D,'LPG Fup'!M:M,"",0)&lt;&gt;"",_xlfn.XLOOKUP(A70,'LPG Fup'!D:D,'LPG Fup'!M:M,"",0)&gt;0),"Z-1", AND(_xlfn.XLOOKUP(A70+1,'LPG Fup'!D:D,'LPG Fup'!M:M,"",0)&lt;&gt;"",_xlfn.XLOOKUP(A70+1,'LPG Fup'!D:D,'LPG Fup'!M:M,"",0)&gt;0),"Z-2", AND(_xlfn.XLOOKUP(A70-1,'LPG Fup'!D:D,'LPG Fup'!M:M,"",0)&lt;&gt;"",_xlfn.XLOOKUP(A70-1,'LPG Fup'!D:D,'LPG Fup'!M:M,"",0)&gt;0),"Z", AND(_xlfn.XLOOKUP(A70-2,'LPG Fup'!D:D,'LPG Fup'!M:M,"",0)&lt;&gt;"",_xlfn.XLOOKUP(A70-2,'LPG Fup'!D:D,'LPG Fup'!M:M,"",0)&gt;0),"Z+1"),0)</f>
        <v>0</v>
      </c>
      <c r="Q70" cm="1">
        <f t="array" ref="Q70">_xlfn.IFNA(_xlfn.IFS(AND(_xlfn.XLOOKUP(A70,'LPG Fup'!D:D,'LPG Fup'!M:M,"",0)&lt;&gt;"",_xlfn.XLOOKUP(A70,'LPG Fup'!D:D,'LPG Fup'!M:M,"",0)&lt;0),"I-1", AND(_xlfn.XLOOKUP(A70+1,'LPG Fup'!D:D,'LPG Fup'!M:M,"",0)&lt;&gt;"",_xlfn.XLOOKUP(A70+1,'LPG Fup'!D:D,'LPG Fup'!M:M,"",0)&lt;0),"I-2", AND(_xlfn.XLOOKUP(A70-1,'LPG Fup'!D:D,'LPG Fup'!M:M,"",0)&lt;&gt;"",_xlfn.XLOOKUP(A70-1,'LPG Fup'!D:D,'LPG Fup'!M:M,"",0)&lt;0),"I", AND(_xlfn.XLOOKUP(A70-2,'LPG Fup'!D:D,'LPG Fup'!M:M,"",0)&lt;&gt;"",_xlfn.XLOOKUP(A70-2,'LPG Fup'!D:D,'LPG Fup'!M:M,"",0)&lt;0),"I+1"),0)</f>
        <v>0</v>
      </c>
      <c r="R70">
        <f>_xlfn.XLOOKUP(A70,Covid!A:A,Covid!I:I,0,0)</f>
        <v>1172</v>
      </c>
      <c r="S70">
        <f>_xlfn.XLOOKUP(A70,Covid!A:A,Covid!K:K,0,0)</f>
        <v>16</v>
      </c>
      <c r="T70" s="145">
        <f>_xlfn.XLOOKUP(A70,Covid!A:A,Covid!K:K,0,0)/_xlfn.XLOOKUP(A70,Covid!A:A,Covid!L:L,0,0)</f>
        <v>1.4787430683918669E-2</v>
      </c>
    </row>
    <row r="71" spans="1:20" x14ac:dyDescent="0.55000000000000004">
      <c r="A71" s="157">
        <v>44052</v>
      </c>
      <c r="B71" s="13">
        <v>300180</v>
      </c>
      <c r="C71" s="13">
        <v>802</v>
      </c>
      <c r="D71" s="13">
        <v>0</v>
      </c>
      <c r="E71" s="13">
        <v>549759</v>
      </c>
      <c r="F71" s="13">
        <v>850741</v>
      </c>
      <c r="G71">
        <f>IF(OR(_xlfn.XLOOKUP(A71,'LPG Fup'!D:D,'LPG Fup'!L:L,"",0)&gt;0.03,_xlfn.XLOOKUP(A71,'LPG Fup'!D:D,'LPG Fup'!L:L,"",0)&lt;-0.03),_xlfn.XLOOKUP(A71,'LPG Fup'!D:D,'LPG Fup'!L:L,0,0),0)</f>
        <v>0</v>
      </c>
      <c r="H71">
        <f>IF(_xlfn.XLOOKUP(A71,'LPG Fup'!D:D,'LPG Fup'!M:M,0,0)="",0,_xlfn.XLOOKUP(A71,'LPG Fup'!D:D,'LPG Fup'!M:M,0,0))</f>
        <v>0</v>
      </c>
      <c r="I71" s="109">
        <f>_xlfn.XLOOKUP(A71,'Rafineri Fiyatları'!A:A,'Rafineri Fiyatları'!B:B,"",0)</f>
        <v>4229.38</v>
      </c>
      <c r="J71">
        <f t="shared" si="4"/>
        <v>2020</v>
      </c>
      <c r="K71">
        <f t="shared" si="5"/>
        <v>8</v>
      </c>
      <c r="L71">
        <f t="shared" si="6"/>
        <v>9</v>
      </c>
      <c r="M71">
        <f t="shared" si="7"/>
        <v>1</v>
      </c>
      <c r="N71">
        <f>_xlfn.XLOOKUP(A71,tatiller!H:H,tatiller!I:I,0,0)</f>
        <v>0</v>
      </c>
      <c r="O71" cm="1">
        <f t="array" ref="O71">_xlfn.IFNA(_xlfn.IFS(L71=1,"A0",A71=EOMONTH(A71,0),"A-1",L71=2,"A+1"),0)</f>
        <v>0</v>
      </c>
      <c r="P71" cm="1">
        <f t="array" ref="P71">_xlfn.IFNA(_xlfn.IFS(AND(_xlfn.XLOOKUP(A71,'LPG Fup'!D:D,'LPG Fup'!M:M,"",0)&lt;&gt;"",_xlfn.XLOOKUP(A71,'LPG Fup'!D:D,'LPG Fup'!M:M,"",0)&gt;0),"Z-1", AND(_xlfn.XLOOKUP(A71+1,'LPG Fup'!D:D,'LPG Fup'!M:M,"",0)&lt;&gt;"",_xlfn.XLOOKUP(A71+1,'LPG Fup'!D:D,'LPG Fup'!M:M,"",0)&gt;0),"Z-2", AND(_xlfn.XLOOKUP(A71-1,'LPG Fup'!D:D,'LPG Fup'!M:M,"",0)&lt;&gt;"",_xlfn.XLOOKUP(A71-1,'LPG Fup'!D:D,'LPG Fup'!M:M,"",0)&gt;0),"Z", AND(_xlfn.XLOOKUP(A71-2,'LPG Fup'!D:D,'LPG Fup'!M:M,"",0)&lt;&gt;"",_xlfn.XLOOKUP(A71-2,'LPG Fup'!D:D,'LPG Fup'!M:M,"",0)&gt;0),"Z+1"),0)</f>
        <v>0</v>
      </c>
      <c r="Q71" cm="1">
        <f t="array" ref="Q71">_xlfn.IFNA(_xlfn.IFS(AND(_xlfn.XLOOKUP(A71,'LPG Fup'!D:D,'LPG Fup'!M:M,"",0)&lt;&gt;"",_xlfn.XLOOKUP(A71,'LPG Fup'!D:D,'LPG Fup'!M:M,"",0)&lt;0),"I-1", AND(_xlfn.XLOOKUP(A71+1,'LPG Fup'!D:D,'LPG Fup'!M:M,"",0)&lt;&gt;"",_xlfn.XLOOKUP(A71+1,'LPG Fup'!D:D,'LPG Fup'!M:M,"",0)&lt;0),"I-2", AND(_xlfn.XLOOKUP(A71-1,'LPG Fup'!D:D,'LPG Fup'!M:M,"",0)&lt;&gt;"",_xlfn.XLOOKUP(A71-1,'LPG Fup'!D:D,'LPG Fup'!M:M,"",0)&lt;0),"I", AND(_xlfn.XLOOKUP(A71-2,'LPG Fup'!D:D,'LPG Fup'!M:M,"",0)&lt;&gt;"",_xlfn.XLOOKUP(A71-2,'LPG Fup'!D:D,'LPG Fup'!M:M,"",0)&lt;0),"I+1"),0)</f>
        <v>0</v>
      </c>
      <c r="R71">
        <f>_xlfn.XLOOKUP(A71,Covid!A:A,Covid!I:I,0,0)</f>
        <v>1182</v>
      </c>
      <c r="S71">
        <f>_xlfn.XLOOKUP(A71,Covid!A:A,Covid!K:K,0,0)</f>
        <v>15</v>
      </c>
      <c r="T71" s="145">
        <f>_xlfn.XLOOKUP(A71,Covid!A:A,Covid!K:K,0,0)/_xlfn.XLOOKUP(A71,Covid!A:A,Covid!L:L,0,0)</f>
        <v>1.3599274705349048E-2</v>
      </c>
    </row>
    <row r="72" spans="1:20" x14ac:dyDescent="0.55000000000000004">
      <c r="A72" s="157">
        <v>44053</v>
      </c>
      <c r="B72" s="13">
        <v>359640</v>
      </c>
      <c r="C72" s="13">
        <v>548111</v>
      </c>
      <c r="D72" s="13">
        <v>6910</v>
      </c>
      <c r="E72" s="13">
        <v>700480</v>
      </c>
      <c r="F72" s="13">
        <v>1615141</v>
      </c>
      <c r="G72">
        <f>IF(OR(_xlfn.XLOOKUP(A72,'LPG Fup'!D:D,'LPG Fup'!L:L,"",0)&gt;0.03,_xlfn.XLOOKUP(A72,'LPG Fup'!D:D,'LPG Fup'!L:L,"",0)&lt;-0.03),_xlfn.XLOOKUP(A72,'LPG Fup'!D:D,'LPG Fup'!L:L,0,0),0)</f>
        <v>0</v>
      </c>
      <c r="H72">
        <f>IF(_xlfn.XLOOKUP(A72,'LPG Fup'!D:D,'LPG Fup'!M:M,0,0)="",0,_xlfn.XLOOKUP(A72,'LPG Fup'!D:D,'LPG Fup'!M:M,0,0))</f>
        <v>0</v>
      </c>
      <c r="I72" s="109">
        <f>_xlfn.XLOOKUP(A72,'Rafineri Fiyatları'!A:A,'Rafineri Fiyatları'!B:B,"",0)</f>
        <v>4229.38</v>
      </c>
      <c r="J72">
        <f t="shared" si="4"/>
        <v>2020</v>
      </c>
      <c r="K72">
        <f t="shared" si="5"/>
        <v>8</v>
      </c>
      <c r="L72">
        <f t="shared" si="6"/>
        <v>10</v>
      </c>
      <c r="M72">
        <f t="shared" si="7"/>
        <v>2</v>
      </c>
      <c r="N72">
        <f>_xlfn.XLOOKUP(A72,tatiller!H:H,tatiller!I:I,0,0)</f>
        <v>0</v>
      </c>
      <c r="O72" cm="1">
        <f t="array" ref="O72">_xlfn.IFNA(_xlfn.IFS(L72=1,"A0",A72=EOMONTH(A72,0),"A-1",L72=2,"A+1"),0)</f>
        <v>0</v>
      </c>
      <c r="P72" cm="1">
        <f t="array" ref="P72">_xlfn.IFNA(_xlfn.IFS(AND(_xlfn.XLOOKUP(A72,'LPG Fup'!D:D,'LPG Fup'!M:M,"",0)&lt;&gt;"",_xlfn.XLOOKUP(A72,'LPG Fup'!D:D,'LPG Fup'!M:M,"",0)&gt;0),"Z-1", AND(_xlfn.XLOOKUP(A72+1,'LPG Fup'!D:D,'LPG Fup'!M:M,"",0)&lt;&gt;"",_xlfn.XLOOKUP(A72+1,'LPG Fup'!D:D,'LPG Fup'!M:M,"",0)&gt;0),"Z-2", AND(_xlfn.XLOOKUP(A72-1,'LPG Fup'!D:D,'LPG Fup'!M:M,"",0)&lt;&gt;"",_xlfn.XLOOKUP(A72-1,'LPG Fup'!D:D,'LPG Fup'!M:M,"",0)&gt;0),"Z", AND(_xlfn.XLOOKUP(A72-2,'LPG Fup'!D:D,'LPG Fup'!M:M,"",0)&lt;&gt;"",_xlfn.XLOOKUP(A72-2,'LPG Fup'!D:D,'LPG Fup'!M:M,"",0)&gt;0),"Z+1"),0)</f>
        <v>0</v>
      </c>
      <c r="Q72" cm="1">
        <f t="array" ref="Q72">_xlfn.IFNA(_xlfn.IFS(AND(_xlfn.XLOOKUP(A72,'LPG Fup'!D:D,'LPG Fup'!M:M,"",0)&lt;&gt;"",_xlfn.XLOOKUP(A72,'LPG Fup'!D:D,'LPG Fup'!M:M,"",0)&lt;0),"I-1", AND(_xlfn.XLOOKUP(A72+1,'LPG Fup'!D:D,'LPG Fup'!M:M,"",0)&lt;&gt;"",_xlfn.XLOOKUP(A72+1,'LPG Fup'!D:D,'LPG Fup'!M:M,"",0)&lt;0),"I-2", AND(_xlfn.XLOOKUP(A72-1,'LPG Fup'!D:D,'LPG Fup'!M:M,"",0)&lt;&gt;"",_xlfn.XLOOKUP(A72-1,'LPG Fup'!D:D,'LPG Fup'!M:M,"",0)&lt;0),"I", AND(_xlfn.XLOOKUP(A72-2,'LPG Fup'!D:D,'LPG Fup'!M:M,"",0)&lt;&gt;"",_xlfn.XLOOKUP(A72-2,'LPG Fup'!D:D,'LPG Fup'!M:M,"",0)&lt;0),"I+1"),0)</f>
        <v>0</v>
      </c>
      <c r="R72">
        <f>_xlfn.XLOOKUP(A72,Covid!A:A,Covid!I:I,0,0)</f>
        <v>1193</v>
      </c>
      <c r="S72">
        <f>_xlfn.XLOOKUP(A72,Covid!A:A,Covid!K:K,0,0)</f>
        <v>14</v>
      </c>
      <c r="T72" s="145">
        <f>_xlfn.XLOOKUP(A72,Covid!A:A,Covid!K:K,0,0)/_xlfn.XLOOKUP(A72,Covid!A:A,Covid!L:L,0,0)</f>
        <v>1.1560693641618497E-2</v>
      </c>
    </row>
    <row r="73" spans="1:20" x14ac:dyDescent="0.55000000000000004">
      <c r="A73" s="157">
        <v>44054</v>
      </c>
      <c r="B73" s="13">
        <v>336720</v>
      </c>
      <c r="C73" s="13">
        <v>457428</v>
      </c>
      <c r="D73" s="13">
        <v>10705</v>
      </c>
      <c r="E73" s="13">
        <v>597829</v>
      </c>
      <c r="F73" s="13">
        <v>1402682</v>
      </c>
      <c r="G73">
        <f>IF(OR(_xlfn.XLOOKUP(A73,'LPG Fup'!D:D,'LPG Fup'!L:L,"",0)&gt;0.03,_xlfn.XLOOKUP(A73,'LPG Fup'!D:D,'LPG Fup'!L:L,"",0)&lt;-0.03),_xlfn.XLOOKUP(A73,'LPG Fup'!D:D,'LPG Fup'!L:L,0,0),0)</f>
        <v>0</v>
      </c>
      <c r="H73">
        <f>IF(_xlfn.XLOOKUP(A73,'LPG Fup'!D:D,'LPG Fup'!M:M,0,0)="",0,_xlfn.XLOOKUP(A73,'LPG Fup'!D:D,'LPG Fup'!M:M,0,0))</f>
        <v>0</v>
      </c>
      <c r="I73" s="109">
        <f>_xlfn.XLOOKUP(A73,'Rafineri Fiyatları'!A:A,'Rafineri Fiyatları'!B:B,"",0)</f>
        <v>4229.38</v>
      </c>
      <c r="J73">
        <f t="shared" si="4"/>
        <v>2020</v>
      </c>
      <c r="K73">
        <f t="shared" si="5"/>
        <v>8</v>
      </c>
      <c r="L73">
        <f t="shared" si="6"/>
        <v>11</v>
      </c>
      <c r="M73">
        <f t="shared" si="7"/>
        <v>3</v>
      </c>
      <c r="N73">
        <f>_xlfn.XLOOKUP(A73,tatiller!H:H,tatiller!I:I,0,0)</f>
        <v>0</v>
      </c>
      <c r="O73" cm="1">
        <f t="array" ref="O73">_xlfn.IFNA(_xlfn.IFS(L73=1,"A0",A73=EOMONTH(A73,0),"A-1",L73=2,"A+1"),0)</f>
        <v>0</v>
      </c>
      <c r="P73" cm="1">
        <f t="array" ref="P73">_xlfn.IFNA(_xlfn.IFS(AND(_xlfn.XLOOKUP(A73,'LPG Fup'!D:D,'LPG Fup'!M:M,"",0)&lt;&gt;"",_xlfn.XLOOKUP(A73,'LPG Fup'!D:D,'LPG Fup'!M:M,"",0)&gt;0),"Z-1", AND(_xlfn.XLOOKUP(A73+1,'LPG Fup'!D:D,'LPG Fup'!M:M,"",0)&lt;&gt;"",_xlfn.XLOOKUP(A73+1,'LPG Fup'!D:D,'LPG Fup'!M:M,"",0)&gt;0),"Z-2", AND(_xlfn.XLOOKUP(A73-1,'LPG Fup'!D:D,'LPG Fup'!M:M,"",0)&lt;&gt;"",_xlfn.XLOOKUP(A73-1,'LPG Fup'!D:D,'LPG Fup'!M:M,"",0)&gt;0),"Z", AND(_xlfn.XLOOKUP(A73-2,'LPG Fup'!D:D,'LPG Fup'!M:M,"",0)&lt;&gt;"",_xlfn.XLOOKUP(A73-2,'LPG Fup'!D:D,'LPG Fup'!M:M,"",0)&gt;0),"Z+1"),0)</f>
        <v>0</v>
      </c>
      <c r="Q73" cm="1">
        <f t="array" ref="Q73">_xlfn.IFNA(_xlfn.IFS(AND(_xlfn.XLOOKUP(A73,'LPG Fup'!D:D,'LPG Fup'!M:M,"",0)&lt;&gt;"",_xlfn.XLOOKUP(A73,'LPG Fup'!D:D,'LPG Fup'!M:M,"",0)&lt;0),"I-1", AND(_xlfn.XLOOKUP(A73+1,'LPG Fup'!D:D,'LPG Fup'!M:M,"",0)&lt;&gt;"",_xlfn.XLOOKUP(A73+1,'LPG Fup'!D:D,'LPG Fup'!M:M,"",0)&lt;0),"I-2", AND(_xlfn.XLOOKUP(A73-1,'LPG Fup'!D:D,'LPG Fup'!M:M,"",0)&lt;&gt;"",_xlfn.XLOOKUP(A73-1,'LPG Fup'!D:D,'LPG Fup'!M:M,"",0)&lt;0),"I", AND(_xlfn.XLOOKUP(A73-2,'LPG Fup'!D:D,'LPG Fup'!M:M,"",0)&lt;&gt;"",_xlfn.XLOOKUP(A73-2,'LPG Fup'!D:D,'LPG Fup'!M:M,"",0)&lt;0),"I+1"),0)</f>
        <v>0</v>
      </c>
      <c r="R73">
        <f>_xlfn.XLOOKUP(A73,Covid!A:A,Covid!I:I,0,0)</f>
        <v>1183</v>
      </c>
      <c r="S73">
        <f>_xlfn.XLOOKUP(A73,Covid!A:A,Covid!K:K,0,0)</f>
        <v>15</v>
      </c>
      <c r="T73" s="145">
        <f>_xlfn.XLOOKUP(A73,Covid!A:A,Covid!K:K,0,0)/_xlfn.XLOOKUP(A73,Covid!A:A,Covid!L:L,0,0)</f>
        <v>1.2658227848101266E-2</v>
      </c>
    </row>
    <row r="74" spans="1:20" x14ac:dyDescent="0.55000000000000004">
      <c r="A74" s="157">
        <v>44055</v>
      </c>
      <c r="B74" s="13">
        <v>434680</v>
      </c>
      <c r="C74" s="13">
        <v>465808</v>
      </c>
      <c r="D74" s="13">
        <v>19754</v>
      </c>
      <c r="E74" s="13">
        <v>599035</v>
      </c>
      <c r="F74" s="13">
        <v>1519277</v>
      </c>
      <c r="G74">
        <f>IF(OR(_xlfn.XLOOKUP(A74,'LPG Fup'!D:D,'LPG Fup'!L:L,"",0)&gt;0.03,_xlfn.XLOOKUP(A74,'LPG Fup'!D:D,'LPG Fup'!L:L,"",0)&lt;-0.03),_xlfn.XLOOKUP(A74,'LPG Fup'!D:D,'LPG Fup'!L:L,0,0),0)</f>
        <v>0</v>
      </c>
      <c r="H74">
        <f>IF(_xlfn.XLOOKUP(A74,'LPG Fup'!D:D,'LPG Fup'!M:M,0,0)="",0,_xlfn.XLOOKUP(A74,'LPG Fup'!D:D,'LPG Fup'!M:M,0,0))</f>
        <v>0</v>
      </c>
      <c r="I74" s="109">
        <f>_xlfn.XLOOKUP(A74,'Rafineri Fiyatları'!A:A,'Rafineri Fiyatları'!B:B,"",0)</f>
        <v>4229.38</v>
      </c>
      <c r="J74">
        <f t="shared" si="4"/>
        <v>2020</v>
      </c>
      <c r="K74">
        <f t="shared" si="5"/>
        <v>8</v>
      </c>
      <c r="L74">
        <f t="shared" si="6"/>
        <v>12</v>
      </c>
      <c r="M74">
        <f t="shared" si="7"/>
        <v>4</v>
      </c>
      <c r="N74">
        <f>_xlfn.XLOOKUP(A74,tatiller!H:H,tatiller!I:I,0,0)</f>
        <v>0</v>
      </c>
      <c r="O74" cm="1">
        <f t="array" ref="O74">_xlfn.IFNA(_xlfn.IFS(L74=1,"A0",A74=EOMONTH(A74,0),"A-1",L74=2,"A+1"),0)</f>
        <v>0</v>
      </c>
      <c r="P74" cm="1">
        <f t="array" ref="P74">_xlfn.IFNA(_xlfn.IFS(AND(_xlfn.XLOOKUP(A74,'LPG Fup'!D:D,'LPG Fup'!M:M,"",0)&lt;&gt;"",_xlfn.XLOOKUP(A74,'LPG Fup'!D:D,'LPG Fup'!M:M,"",0)&gt;0),"Z-1", AND(_xlfn.XLOOKUP(A74+1,'LPG Fup'!D:D,'LPG Fup'!M:M,"",0)&lt;&gt;"",_xlfn.XLOOKUP(A74+1,'LPG Fup'!D:D,'LPG Fup'!M:M,"",0)&gt;0),"Z-2", AND(_xlfn.XLOOKUP(A74-1,'LPG Fup'!D:D,'LPG Fup'!M:M,"",0)&lt;&gt;"",_xlfn.XLOOKUP(A74-1,'LPG Fup'!D:D,'LPG Fup'!M:M,"",0)&gt;0),"Z", AND(_xlfn.XLOOKUP(A74-2,'LPG Fup'!D:D,'LPG Fup'!M:M,"",0)&lt;&gt;"",_xlfn.XLOOKUP(A74-2,'LPG Fup'!D:D,'LPG Fup'!M:M,"",0)&gt;0),"Z+1"),0)</f>
        <v>0</v>
      </c>
      <c r="Q74" cm="1">
        <f t="array" ref="Q74">_xlfn.IFNA(_xlfn.IFS(AND(_xlfn.XLOOKUP(A74,'LPG Fup'!D:D,'LPG Fup'!M:M,"",0)&lt;&gt;"",_xlfn.XLOOKUP(A74,'LPG Fup'!D:D,'LPG Fup'!M:M,"",0)&lt;0),"I-1", AND(_xlfn.XLOOKUP(A74+1,'LPG Fup'!D:D,'LPG Fup'!M:M,"",0)&lt;&gt;"",_xlfn.XLOOKUP(A74+1,'LPG Fup'!D:D,'LPG Fup'!M:M,"",0)&lt;0),"I-2", AND(_xlfn.XLOOKUP(A74-1,'LPG Fup'!D:D,'LPG Fup'!M:M,"",0)&lt;&gt;"",_xlfn.XLOOKUP(A74-1,'LPG Fup'!D:D,'LPG Fup'!M:M,"",0)&lt;0),"I", AND(_xlfn.XLOOKUP(A74-2,'LPG Fup'!D:D,'LPG Fup'!M:M,"",0)&lt;&gt;"",_xlfn.XLOOKUP(A74-2,'LPG Fup'!D:D,'LPG Fup'!M:M,"",0)&lt;0),"I+1"),0)</f>
        <v>0</v>
      </c>
      <c r="R74">
        <f>_xlfn.XLOOKUP(A74,Covid!A:A,Covid!I:I,0,0)</f>
        <v>1212</v>
      </c>
      <c r="S74">
        <f>_xlfn.XLOOKUP(A74,Covid!A:A,Covid!K:K,0,0)</f>
        <v>18</v>
      </c>
      <c r="T74" s="145">
        <f>_xlfn.XLOOKUP(A74,Covid!A:A,Covid!K:K,0,0)/_xlfn.XLOOKUP(A74,Covid!A:A,Covid!L:L,0,0)</f>
        <v>1.9271948608137045E-2</v>
      </c>
    </row>
    <row r="75" spans="1:20" x14ac:dyDescent="0.55000000000000004">
      <c r="A75" s="157">
        <v>44056</v>
      </c>
      <c r="B75" s="13">
        <v>324300</v>
      </c>
      <c r="C75" s="13">
        <v>479434</v>
      </c>
      <c r="D75" s="13">
        <v>10945</v>
      </c>
      <c r="E75" s="13">
        <v>587614</v>
      </c>
      <c r="F75" s="13">
        <v>1402293</v>
      </c>
      <c r="G75">
        <f>IF(OR(_xlfn.XLOOKUP(A75,'LPG Fup'!D:D,'LPG Fup'!L:L,"",0)&gt;0.03,_xlfn.XLOOKUP(A75,'LPG Fup'!D:D,'LPG Fup'!L:L,"",0)&lt;-0.03),_xlfn.XLOOKUP(A75,'LPG Fup'!D:D,'LPG Fup'!L:L,0,0),0)</f>
        <v>0</v>
      </c>
      <c r="H75">
        <f>IF(_xlfn.XLOOKUP(A75,'LPG Fup'!D:D,'LPG Fup'!M:M,0,0)="",0,_xlfn.XLOOKUP(A75,'LPG Fup'!D:D,'LPG Fup'!M:M,0,0))</f>
        <v>0</v>
      </c>
      <c r="I75" s="109">
        <f>_xlfn.XLOOKUP(A75,'Rafineri Fiyatları'!A:A,'Rafineri Fiyatları'!B:B,"",0)</f>
        <v>4229.38</v>
      </c>
      <c r="J75">
        <f t="shared" si="4"/>
        <v>2020</v>
      </c>
      <c r="K75">
        <f t="shared" si="5"/>
        <v>8</v>
      </c>
      <c r="L75">
        <f t="shared" si="6"/>
        <v>13</v>
      </c>
      <c r="M75">
        <f t="shared" si="7"/>
        <v>5</v>
      </c>
      <c r="N75">
        <f>_xlfn.XLOOKUP(A75,tatiller!H:H,tatiller!I:I,0,0)</f>
        <v>0</v>
      </c>
      <c r="O75" cm="1">
        <f t="array" ref="O75">_xlfn.IFNA(_xlfn.IFS(L75=1,"A0",A75=EOMONTH(A75,0),"A-1",L75=2,"A+1"),0)</f>
        <v>0</v>
      </c>
      <c r="P75" cm="1">
        <f t="array" ref="P75">_xlfn.IFNA(_xlfn.IFS(AND(_xlfn.XLOOKUP(A75,'LPG Fup'!D:D,'LPG Fup'!M:M,"",0)&lt;&gt;"",_xlfn.XLOOKUP(A75,'LPG Fup'!D:D,'LPG Fup'!M:M,"",0)&gt;0),"Z-1", AND(_xlfn.XLOOKUP(A75+1,'LPG Fup'!D:D,'LPG Fup'!M:M,"",0)&lt;&gt;"",_xlfn.XLOOKUP(A75+1,'LPG Fup'!D:D,'LPG Fup'!M:M,"",0)&gt;0),"Z-2", AND(_xlfn.XLOOKUP(A75-1,'LPG Fup'!D:D,'LPG Fup'!M:M,"",0)&lt;&gt;"",_xlfn.XLOOKUP(A75-1,'LPG Fup'!D:D,'LPG Fup'!M:M,"",0)&gt;0),"Z", AND(_xlfn.XLOOKUP(A75-2,'LPG Fup'!D:D,'LPG Fup'!M:M,"",0)&lt;&gt;"",_xlfn.XLOOKUP(A75-2,'LPG Fup'!D:D,'LPG Fup'!M:M,"",0)&gt;0),"Z+1"),0)</f>
        <v>0</v>
      </c>
      <c r="Q75" cm="1">
        <f t="array" ref="Q75">_xlfn.IFNA(_xlfn.IFS(AND(_xlfn.XLOOKUP(A75,'LPG Fup'!D:D,'LPG Fup'!M:M,"",0)&lt;&gt;"",_xlfn.XLOOKUP(A75,'LPG Fup'!D:D,'LPG Fup'!M:M,"",0)&lt;0),"I-1", AND(_xlfn.XLOOKUP(A75+1,'LPG Fup'!D:D,'LPG Fup'!M:M,"",0)&lt;&gt;"",_xlfn.XLOOKUP(A75+1,'LPG Fup'!D:D,'LPG Fup'!M:M,"",0)&lt;0),"I-2", AND(_xlfn.XLOOKUP(A75-1,'LPG Fup'!D:D,'LPG Fup'!M:M,"",0)&lt;&gt;"",_xlfn.XLOOKUP(A75-1,'LPG Fup'!D:D,'LPG Fup'!M:M,"",0)&lt;0),"I", AND(_xlfn.XLOOKUP(A75-2,'LPG Fup'!D:D,'LPG Fup'!M:M,"",0)&lt;&gt;"",_xlfn.XLOOKUP(A75-2,'LPG Fup'!D:D,'LPG Fup'!M:M,"",0)&lt;0),"I+1"),0)</f>
        <v>0</v>
      </c>
      <c r="R75">
        <f>_xlfn.XLOOKUP(A75,Covid!A:A,Covid!I:I,0,0)</f>
        <v>1243</v>
      </c>
      <c r="S75">
        <f>_xlfn.XLOOKUP(A75,Covid!A:A,Covid!K:K,0,0)</f>
        <v>21</v>
      </c>
      <c r="T75" s="145">
        <f>_xlfn.XLOOKUP(A75,Covid!A:A,Covid!K:K,0,0)/_xlfn.XLOOKUP(A75,Covid!A:A,Covid!L:L,0,0)</f>
        <v>2.1694214876033058E-2</v>
      </c>
    </row>
    <row r="76" spans="1:20" x14ac:dyDescent="0.55000000000000004">
      <c r="A76" s="157">
        <v>44057</v>
      </c>
      <c r="B76" s="13">
        <v>399880</v>
      </c>
      <c r="C76" s="13">
        <v>401313</v>
      </c>
      <c r="D76" s="13">
        <v>5593</v>
      </c>
      <c r="E76" s="13">
        <v>648839</v>
      </c>
      <c r="F76" s="13">
        <v>1455625</v>
      </c>
      <c r="G76">
        <f>IF(OR(_xlfn.XLOOKUP(A76,'LPG Fup'!D:D,'LPG Fup'!L:L,"",0)&gt;0.03,_xlfn.XLOOKUP(A76,'LPG Fup'!D:D,'LPG Fup'!L:L,"",0)&lt;-0.03),_xlfn.XLOOKUP(A76,'LPG Fup'!D:D,'LPG Fup'!L:L,0,0),0)</f>
        <v>0</v>
      </c>
      <c r="H76">
        <f>IF(_xlfn.XLOOKUP(A76,'LPG Fup'!D:D,'LPG Fup'!M:M,0,0)="",0,_xlfn.XLOOKUP(A76,'LPG Fup'!D:D,'LPG Fup'!M:M,0,0))</f>
        <v>0</v>
      </c>
      <c r="I76" s="109">
        <f>_xlfn.XLOOKUP(A76,'Rafineri Fiyatları'!A:A,'Rafineri Fiyatları'!B:B,"",0)</f>
        <v>4229.38</v>
      </c>
      <c r="J76">
        <f t="shared" si="4"/>
        <v>2020</v>
      </c>
      <c r="K76">
        <f t="shared" si="5"/>
        <v>8</v>
      </c>
      <c r="L76">
        <f t="shared" si="6"/>
        <v>14</v>
      </c>
      <c r="M76">
        <f t="shared" si="7"/>
        <v>6</v>
      </c>
      <c r="N76">
        <f>_xlfn.XLOOKUP(A76,tatiller!H:H,tatiller!I:I,0,0)</f>
        <v>0</v>
      </c>
      <c r="O76" cm="1">
        <f t="array" ref="O76">_xlfn.IFNA(_xlfn.IFS(L76=1,"A0",A76=EOMONTH(A76,0),"A-1",L76=2,"A+1"),0)</f>
        <v>0</v>
      </c>
      <c r="P76" cm="1">
        <f t="array" ref="P76">_xlfn.IFNA(_xlfn.IFS(AND(_xlfn.XLOOKUP(A76,'LPG Fup'!D:D,'LPG Fup'!M:M,"",0)&lt;&gt;"",_xlfn.XLOOKUP(A76,'LPG Fup'!D:D,'LPG Fup'!M:M,"",0)&gt;0),"Z-1", AND(_xlfn.XLOOKUP(A76+1,'LPG Fup'!D:D,'LPG Fup'!M:M,"",0)&lt;&gt;"",_xlfn.XLOOKUP(A76+1,'LPG Fup'!D:D,'LPG Fup'!M:M,"",0)&gt;0),"Z-2", AND(_xlfn.XLOOKUP(A76-1,'LPG Fup'!D:D,'LPG Fup'!M:M,"",0)&lt;&gt;"",_xlfn.XLOOKUP(A76-1,'LPG Fup'!D:D,'LPG Fup'!M:M,"",0)&gt;0),"Z", AND(_xlfn.XLOOKUP(A76-2,'LPG Fup'!D:D,'LPG Fup'!M:M,"",0)&lt;&gt;"",_xlfn.XLOOKUP(A76-2,'LPG Fup'!D:D,'LPG Fup'!M:M,"",0)&gt;0),"Z+1"),0)</f>
        <v>0</v>
      </c>
      <c r="Q76" cm="1">
        <f t="array" ref="Q76">_xlfn.IFNA(_xlfn.IFS(AND(_xlfn.XLOOKUP(A76,'LPG Fup'!D:D,'LPG Fup'!M:M,"",0)&lt;&gt;"",_xlfn.XLOOKUP(A76,'LPG Fup'!D:D,'LPG Fup'!M:M,"",0)&lt;0),"I-1", AND(_xlfn.XLOOKUP(A76+1,'LPG Fup'!D:D,'LPG Fup'!M:M,"",0)&lt;&gt;"",_xlfn.XLOOKUP(A76+1,'LPG Fup'!D:D,'LPG Fup'!M:M,"",0)&lt;0),"I-2", AND(_xlfn.XLOOKUP(A76-1,'LPG Fup'!D:D,'LPG Fup'!M:M,"",0)&lt;&gt;"",_xlfn.XLOOKUP(A76-1,'LPG Fup'!D:D,'LPG Fup'!M:M,"",0)&lt;0),"I", AND(_xlfn.XLOOKUP(A76-2,'LPG Fup'!D:D,'LPG Fup'!M:M,"",0)&lt;&gt;"",_xlfn.XLOOKUP(A76-2,'LPG Fup'!D:D,'LPG Fup'!M:M,"",0)&lt;0),"I+1"),0)</f>
        <v>0</v>
      </c>
      <c r="R76">
        <f>_xlfn.XLOOKUP(A76,Covid!A:A,Covid!I:I,0,0)</f>
        <v>1226</v>
      </c>
      <c r="S76">
        <f>_xlfn.XLOOKUP(A76,Covid!A:A,Covid!K:K,0,0)</f>
        <v>22</v>
      </c>
      <c r="T76" s="145">
        <f>_xlfn.XLOOKUP(A76,Covid!A:A,Covid!K:K,0,0)/_xlfn.XLOOKUP(A76,Covid!A:A,Covid!L:L,0,0)</f>
        <v>2.3835319609967497E-2</v>
      </c>
    </row>
    <row r="77" spans="1:20" x14ac:dyDescent="0.55000000000000004">
      <c r="A77" s="157">
        <v>44058</v>
      </c>
      <c r="B77" s="13">
        <v>536820</v>
      </c>
      <c r="C77" s="13">
        <v>366967</v>
      </c>
      <c r="D77" s="13">
        <v>5681</v>
      </c>
      <c r="E77" s="13">
        <v>689389</v>
      </c>
      <c r="F77" s="13">
        <v>1598857</v>
      </c>
      <c r="G77">
        <f>IF(OR(_xlfn.XLOOKUP(A77,'LPG Fup'!D:D,'LPG Fup'!L:L,"",0)&gt;0.03,_xlfn.XLOOKUP(A77,'LPG Fup'!D:D,'LPG Fup'!L:L,"",0)&lt;-0.03),_xlfn.XLOOKUP(A77,'LPG Fup'!D:D,'LPG Fup'!L:L,0,0),0)</f>
        <v>0</v>
      </c>
      <c r="H77">
        <f>IF(_xlfn.XLOOKUP(A77,'LPG Fup'!D:D,'LPG Fup'!M:M,0,0)="",0,_xlfn.XLOOKUP(A77,'LPG Fup'!D:D,'LPG Fup'!M:M,0,0))</f>
        <v>0</v>
      </c>
      <c r="I77" s="109">
        <f>_xlfn.XLOOKUP(A77,'Rafineri Fiyatları'!A:A,'Rafineri Fiyatları'!B:B,"",0)</f>
        <v>4229.38</v>
      </c>
      <c r="J77">
        <f t="shared" si="4"/>
        <v>2020</v>
      </c>
      <c r="K77">
        <f t="shared" si="5"/>
        <v>8</v>
      </c>
      <c r="L77">
        <f t="shared" si="6"/>
        <v>15</v>
      </c>
      <c r="M77">
        <f t="shared" si="7"/>
        <v>7</v>
      </c>
      <c r="N77">
        <f>_xlfn.XLOOKUP(A77,tatiller!H:H,tatiller!I:I,0,0)</f>
        <v>0</v>
      </c>
      <c r="O77" cm="1">
        <f t="array" ref="O77">_xlfn.IFNA(_xlfn.IFS(L77=1,"A0",A77=EOMONTH(A77,0),"A-1",L77=2,"A+1"),0)</f>
        <v>0</v>
      </c>
      <c r="P77" cm="1">
        <f t="array" ref="P77">_xlfn.IFNA(_xlfn.IFS(AND(_xlfn.XLOOKUP(A77,'LPG Fup'!D:D,'LPG Fup'!M:M,"",0)&lt;&gt;"",_xlfn.XLOOKUP(A77,'LPG Fup'!D:D,'LPG Fup'!M:M,"",0)&gt;0),"Z-1", AND(_xlfn.XLOOKUP(A77+1,'LPG Fup'!D:D,'LPG Fup'!M:M,"",0)&lt;&gt;"",_xlfn.XLOOKUP(A77+1,'LPG Fup'!D:D,'LPG Fup'!M:M,"",0)&gt;0),"Z-2", AND(_xlfn.XLOOKUP(A77-1,'LPG Fup'!D:D,'LPG Fup'!M:M,"",0)&lt;&gt;"",_xlfn.XLOOKUP(A77-1,'LPG Fup'!D:D,'LPG Fup'!M:M,"",0)&gt;0),"Z", AND(_xlfn.XLOOKUP(A77-2,'LPG Fup'!D:D,'LPG Fup'!M:M,"",0)&lt;&gt;"",_xlfn.XLOOKUP(A77-2,'LPG Fup'!D:D,'LPG Fup'!M:M,"",0)&gt;0),"Z+1"),0)</f>
        <v>0</v>
      </c>
      <c r="Q77" cm="1">
        <f t="array" ref="Q77">_xlfn.IFNA(_xlfn.IFS(AND(_xlfn.XLOOKUP(A77,'LPG Fup'!D:D,'LPG Fup'!M:M,"",0)&lt;&gt;"",_xlfn.XLOOKUP(A77,'LPG Fup'!D:D,'LPG Fup'!M:M,"",0)&lt;0),"I-1", AND(_xlfn.XLOOKUP(A77+1,'LPG Fup'!D:D,'LPG Fup'!M:M,"",0)&lt;&gt;"",_xlfn.XLOOKUP(A77+1,'LPG Fup'!D:D,'LPG Fup'!M:M,"",0)&lt;0),"I-2", AND(_xlfn.XLOOKUP(A77-1,'LPG Fup'!D:D,'LPG Fup'!M:M,"",0)&lt;&gt;"",_xlfn.XLOOKUP(A77-1,'LPG Fup'!D:D,'LPG Fup'!M:M,"",0)&lt;0),"I", AND(_xlfn.XLOOKUP(A77-2,'LPG Fup'!D:D,'LPG Fup'!M:M,"",0)&lt;&gt;"",_xlfn.XLOOKUP(A77-2,'LPG Fup'!D:D,'LPG Fup'!M:M,"",0)&lt;0),"I+1"),0)</f>
        <v>0</v>
      </c>
      <c r="R77">
        <f>_xlfn.XLOOKUP(A77,Covid!A:A,Covid!I:I,0,0)</f>
        <v>1256</v>
      </c>
      <c r="S77">
        <f>_xlfn.XLOOKUP(A77,Covid!A:A,Covid!K:K,0,0)</f>
        <v>21</v>
      </c>
      <c r="T77" s="145">
        <f>_xlfn.XLOOKUP(A77,Covid!A:A,Covid!K:K,0,0)/_xlfn.XLOOKUP(A77,Covid!A:A,Covid!L:L,0,0)</f>
        <v>2.1169354838709676E-2</v>
      </c>
    </row>
    <row r="78" spans="1:20" x14ac:dyDescent="0.55000000000000004">
      <c r="A78" s="157">
        <v>44059</v>
      </c>
      <c r="B78" s="13">
        <v>362520</v>
      </c>
      <c r="C78" s="13">
        <v>796</v>
      </c>
      <c r="D78" s="13">
        <v>0</v>
      </c>
      <c r="E78" s="13">
        <v>515170</v>
      </c>
      <c r="F78" s="13">
        <v>878486</v>
      </c>
      <c r="G78">
        <f>IF(OR(_xlfn.XLOOKUP(A78,'LPG Fup'!D:D,'LPG Fup'!L:L,"",0)&gt;0.03,_xlfn.XLOOKUP(A78,'LPG Fup'!D:D,'LPG Fup'!L:L,"",0)&lt;-0.03),_xlfn.XLOOKUP(A78,'LPG Fup'!D:D,'LPG Fup'!L:L,0,0),0)</f>
        <v>0</v>
      </c>
      <c r="H78">
        <f>IF(_xlfn.XLOOKUP(A78,'LPG Fup'!D:D,'LPG Fup'!M:M,0,0)="",0,_xlfn.XLOOKUP(A78,'LPG Fup'!D:D,'LPG Fup'!M:M,0,0))</f>
        <v>0</v>
      </c>
      <c r="I78" s="109">
        <f>_xlfn.XLOOKUP(A78,'Rafineri Fiyatları'!A:A,'Rafineri Fiyatları'!B:B,"",0)</f>
        <v>4229.38</v>
      </c>
      <c r="J78">
        <f t="shared" si="4"/>
        <v>2020</v>
      </c>
      <c r="K78">
        <f t="shared" si="5"/>
        <v>8</v>
      </c>
      <c r="L78">
        <f t="shared" si="6"/>
        <v>16</v>
      </c>
      <c r="M78">
        <f t="shared" si="7"/>
        <v>1</v>
      </c>
      <c r="N78">
        <f>_xlfn.XLOOKUP(A78,tatiller!H:H,tatiller!I:I,0,0)</f>
        <v>0</v>
      </c>
      <c r="O78" cm="1">
        <f t="array" ref="O78">_xlfn.IFNA(_xlfn.IFS(L78=1,"A0",A78=EOMONTH(A78,0),"A-1",L78=2,"A+1"),0)</f>
        <v>0</v>
      </c>
      <c r="P78" cm="1">
        <f t="array" ref="P78">_xlfn.IFNA(_xlfn.IFS(AND(_xlfn.XLOOKUP(A78,'LPG Fup'!D:D,'LPG Fup'!M:M,"",0)&lt;&gt;"",_xlfn.XLOOKUP(A78,'LPG Fup'!D:D,'LPG Fup'!M:M,"",0)&gt;0),"Z-1", AND(_xlfn.XLOOKUP(A78+1,'LPG Fup'!D:D,'LPG Fup'!M:M,"",0)&lt;&gt;"",_xlfn.XLOOKUP(A78+1,'LPG Fup'!D:D,'LPG Fup'!M:M,"",0)&gt;0),"Z-2", AND(_xlfn.XLOOKUP(A78-1,'LPG Fup'!D:D,'LPG Fup'!M:M,"",0)&lt;&gt;"",_xlfn.XLOOKUP(A78-1,'LPG Fup'!D:D,'LPG Fup'!M:M,"",0)&gt;0),"Z", AND(_xlfn.XLOOKUP(A78-2,'LPG Fup'!D:D,'LPG Fup'!M:M,"",0)&lt;&gt;"",_xlfn.XLOOKUP(A78-2,'LPG Fup'!D:D,'LPG Fup'!M:M,"",0)&gt;0),"Z+1"),0)</f>
        <v>0</v>
      </c>
      <c r="Q78" cm="1">
        <f t="array" ref="Q78">_xlfn.IFNA(_xlfn.IFS(AND(_xlfn.XLOOKUP(A78,'LPG Fup'!D:D,'LPG Fup'!M:M,"",0)&lt;&gt;"",_xlfn.XLOOKUP(A78,'LPG Fup'!D:D,'LPG Fup'!M:M,"",0)&lt;0),"I-1", AND(_xlfn.XLOOKUP(A78+1,'LPG Fup'!D:D,'LPG Fup'!M:M,"",0)&lt;&gt;"",_xlfn.XLOOKUP(A78+1,'LPG Fup'!D:D,'LPG Fup'!M:M,"",0)&lt;0),"I-2", AND(_xlfn.XLOOKUP(A78-1,'LPG Fup'!D:D,'LPG Fup'!M:M,"",0)&lt;&gt;"",_xlfn.XLOOKUP(A78-1,'LPG Fup'!D:D,'LPG Fup'!M:M,"",0)&lt;0),"I", AND(_xlfn.XLOOKUP(A78-2,'LPG Fup'!D:D,'LPG Fup'!M:M,"",0)&lt;&gt;"",_xlfn.XLOOKUP(A78-2,'LPG Fup'!D:D,'LPG Fup'!M:M,"",0)&lt;0),"I+1"),0)</f>
        <v>0</v>
      </c>
      <c r="R78">
        <f>_xlfn.XLOOKUP(A78,Covid!A:A,Covid!I:I,0,0)</f>
        <v>1192</v>
      </c>
      <c r="S78">
        <f>_xlfn.XLOOKUP(A78,Covid!A:A,Covid!K:K,0,0)</f>
        <v>19</v>
      </c>
      <c r="T78" s="145">
        <f>_xlfn.XLOOKUP(A78,Covid!A:A,Covid!K:K,0,0)/_xlfn.XLOOKUP(A78,Covid!A:A,Covid!L:L,0,0)</f>
        <v>1.9057171514543631E-2</v>
      </c>
    </row>
    <row r="79" spans="1:20" x14ac:dyDescent="0.55000000000000004">
      <c r="A79" s="157">
        <v>44060</v>
      </c>
      <c r="B79" s="13">
        <v>317800</v>
      </c>
      <c r="C79" s="13">
        <v>513177</v>
      </c>
      <c r="D79" s="13">
        <v>7760</v>
      </c>
      <c r="E79" s="13">
        <v>706665</v>
      </c>
      <c r="F79" s="13">
        <v>1545402</v>
      </c>
      <c r="G79">
        <f>IF(OR(_xlfn.XLOOKUP(A79,'LPG Fup'!D:D,'LPG Fup'!L:L,"",0)&gt;0.03,_xlfn.XLOOKUP(A79,'LPG Fup'!D:D,'LPG Fup'!L:L,"",0)&lt;-0.03),_xlfn.XLOOKUP(A79,'LPG Fup'!D:D,'LPG Fup'!L:L,0,0),0)</f>
        <v>0</v>
      </c>
      <c r="H79">
        <f>IF(_xlfn.XLOOKUP(A79,'LPG Fup'!D:D,'LPG Fup'!M:M,0,0)="",0,_xlfn.XLOOKUP(A79,'LPG Fup'!D:D,'LPG Fup'!M:M,0,0))</f>
        <v>0</v>
      </c>
      <c r="I79" s="109">
        <f>_xlfn.XLOOKUP(A79,'Rafineri Fiyatları'!A:A,'Rafineri Fiyatları'!B:B,"",0)</f>
        <v>4229.38</v>
      </c>
      <c r="J79">
        <f t="shared" si="4"/>
        <v>2020</v>
      </c>
      <c r="K79">
        <f t="shared" si="5"/>
        <v>8</v>
      </c>
      <c r="L79">
        <f t="shared" si="6"/>
        <v>17</v>
      </c>
      <c r="M79">
        <f t="shared" si="7"/>
        <v>2</v>
      </c>
      <c r="N79">
        <f>_xlfn.XLOOKUP(A79,tatiller!H:H,tatiller!I:I,0,0)</f>
        <v>0</v>
      </c>
      <c r="O79" cm="1">
        <f t="array" ref="O79">_xlfn.IFNA(_xlfn.IFS(L79=1,"A0",A79=EOMONTH(A79,0),"A-1",L79=2,"A+1"),0)</f>
        <v>0</v>
      </c>
      <c r="P79" cm="1">
        <f t="array" ref="P79">_xlfn.IFNA(_xlfn.IFS(AND(_xlfn.XLOOKUP(A79,'LPG Fup'!D:D,'LPG Fup'!M:M,"",0)&lt;&gt;"",_xlfn.XLOOKUP(A79,'LPG Fup'!D:D,'LPG Fup'!M:M,"",0)&gt;0),"Z-1", AND(_xlfn.XLOOKUP(A79+1,'LPG Fup'!D:D,'LPG Fup'!M:M,"",0)&lt;&gt;"",_xlfn.XLOOKUP(A79+1,'LPG Fup'!D:D,'LPG Fup'!M:M,"",0)&gt;0),"Z-2", AND(_xlfn.XLOOKUP(A79-1,'LPG Fup'!D:D,'LPG Fup'!M:M,"",0)&lt;&gt;"",_xlfn.XLOOKUP(A79-1,'LPG Fup'!D:D,'LPG Fup'!M:M,"",0)&gt;0),"Z", AND(_xlfn.XLOOKUP(A79-2,'LPG Fup'!D:D,'LPG Fup'!M:M,"",0)&lt;&gt;"",_xlfn.XLOOKUP(A79-2,'LPG Fup'!D:D,'LPG Fup'!M:M,"",0)&gt;0),"Z+1"),0)</f>
        <v>0</v>
      </c>
      <c r="Q79" cm="1">
        <f t="array" ref="Q79">_xlfn.IFNA(_xlfn.IFS(AND(_xlfn.XLOOKUP(A79,'LPG Fup'!D:D,'LPG Fup'!M:M,"",0)&lt;&gt;"",_xlfn.XLOOKUP(A79,'LPG Fup'!D:D,'LPG Fup'!M:M,"",0)&lt;0),"I-1", AND(_xlfn.XLOOKUP(A79+1,'LPG Fup'!D:D,'LPG Fup'!M:M,"",0)&lt;&gt;"",_xlfn.XLOOKUP(A79+1,'LPG Fup'!D:D,'LPG Fup'!M:M,"",0)&lt;0),"I-2", AND(_xlfn.XLOOKUP(A79-1,'LPG Fup'!D:D,'LPG Fup'!M:M,"",0)&lt;&gt;"",_xlfn.XLOOKUP(A79-1,'LPG Fup'!D:D,'LPG Fup'!M:M,"",0)&lt;0),"I", AND(_xlfn.XLOOKUP(A79-2,'LPG Fup'!D:D,'LPG Fup'!M:M,"",0)&lt;&gt;"",_xlfn.XLOOKUP(A79-2,'LPG Fup'!D:D,'LPG Fup'!M:M,"",0)&lt;0),"I+1"),0)</f>
        <v>0</v>
      </c>
      <c r="R79">
        <f>_xlfn.XLOOKUP(A79,Covid!A:A,Covid!I:I,0,0)</f>
        <v>1233</v>
      </c>
      <c r="S79">
        <f>_xlfn.XLOOKUP(A79,Covid!A:A,Covid!K:K,0,0)</f>
        <v>22</v>
      </c>
      <c r="T79" s="145">
        <f>_xlfn.XLOOKUP(A79,Covid!A:A,Covid!K:K,0,0)/_xlfn.XLOOKUP(A79,Covid!A:A,Covid!L:L,0,0)</f>
        <v>2.1956087824351298E-2</v>
      </c>
    </row>
    <row r="80" spans="1:20" x14ac:dyDescent="0.55000000000000004">
      <c r="A80" s="157">
        <v>44061</v>
      </c>
      <c r="B80" s="13">
        <v>288220</v>
      </c>
      <c r="C80" s="13">
        <v>497444</v>
      </c>
      <c r="D80" s="13">
        <v>5466</v>
      </c>
      <c r="E80" s="13">
        <v>572209</v>
      </c>
      <c r="F80" s="13">
        <v>1363339</v>
      </c>
      <c r="G80">
        <f>IF(OR(_xlfn.XLOOKUP(A80,'LPG Fup'!D:D,'LPG Fup'!L:L,"",0)&gt;0.03,_xlfn.XLOOKUP(A80,'LPG Fup'!D:D,'LPG Fup'!L:L,"",0)&lt;-0.03),_xlfn.XLOOKUP(A80,'LPG Fup'!D:D,'LPG Fup'!L:L,0,0),0)</f>
        <v>0</v>
      </c>
      <c r="H80">
        <f>IF(_xlfn.XLOOKUP(A80,'LPG Fup'!D:D,'LPG Fup'!M:M,0,0)="",0,_xlfn.XLOOKUP(A80,'LPG Fup'!D:D,'LPG Fup'!M:M,0,0))</f>
        <v>0</v>
      </c>
      <c r="I80" s="109">
        <f>_xlfn.XLOOKUP(A80,'Rafineri Fiyatları'!A:A,'Rafineri Fiyatları'!B:B,"",0)</f>
        <v>4229.38</v>
      </c>
      <c r="J80">
        <f t="shared" si="4"/>
        <v>2020</v>
      </c>
      <c r="K80">
        <f t="shared" si="5"/>
        <v>8</v>
      </c>
      <c r="L80">
        <f t="shared" si="6"/>
        <v>18</v>
      </c>
      <c r="M80">
        <f t="shared" si="7"/>
        <v>3</v>
      </c>
      <c r="N80">
        <f>_xlfn.XLOOKUP(A80,tatiller!H:H,tatiller!I:I,0,0)</f>
        <v>0</v>
      </c>
      <c r="O80" cm="1">
        <f t="array" ref="O80">_xlfn.IFNA(_xlfn.IFS(L80=1,"A0",A80=EOMONTH(A80,0),"A-1",L80=2,"A+1"),0)</f>
        <v>0</v>
      </c>
      <c r="P80" t="str" cm="1">
        <f t="array" ref="P80">_xlfn.IFNA(_xlfn.IFS(AND(_xlfn.XLOOKUP(A80,'LPG Fup'!D:D,'LPG Fup'!M:M,"",0)&lt;&gt;"",_xlfn.XLOOKUP(A80,'LPG Fup'!D:D,'LPG Fup'!M:M,"",0)&gt;0),"Z-1", AND(_xlfn.XLOOKUP(A80+1,'LPG Fup'!D:D,'LPG Fup'!M:M,"",0)&lt;&gt;"",_xlfn.XLOOKUP(A80+1,'LPG Fup'!D:D,'LPG Fup'!M:M,"",0)&gt;0),"Z-2", AND(_xlfn.XLOOKUP(A80-1,'LPG Fup'!D:D,'LPG Fup'!M:M,"",0)&lt;&gt;"",_xlfn.XLOOKUP(A80-1,'LPG Fup'!D:D,'LPG Fup'!M:M,"",0)&gt;0),"Z", AND(_xlfn.XLOOKUP(A80-2,'LPG Fup'!D:D,'LPG Fup'!M:M,"",0)&lt;&gt;"",_xlfn.XLOOKUP(A80-2,'LPG Fup'!D:D,'LPG Fup'!M:M,"",0)&gt;0),"Z+1"),0)</f>
        <v>Z-2</v>
      </c>
      <c r="Q80" cm="1">
        <f t="array" ref="Q80">_xlfn.IFNA(_xlfn.IFS(AND(_xlfn.XLOOKUP(A80,'LPG Fup'!D:D,'LPG Fup'!M:M,"",0)&lt;&gt;"",_xlfn.XLOOKUP(A80,'LPG Fup'!D:D,'LPG Fup'!M:M,"",0)&lt;0),"I-1", AND(_xlfn.XLOOKUP(A80+1,'LPG Fup'!D:D,'LPG Fup'!M:M,"",0)&lt;&gt;"",_xlfn.XLOOKUP(A80+1,'LPG Fup'!D:D,'LPG Fup'!M:M,"",0)&lt;0),"I-2", AND(_xlfn.XLOOKUP(A80-1,'LPG Fup'!D:D,'LPG Fup'!M:M,"",0)&lt;&gt;"",_xlfn.XLOOKUP(A80-1,'LPG Fup'!D:D,'LPG Fup'!M:M,"",0)&lt;0),"I", AND(_xlfn.XLOOKUP(A80-2,'LPG Fup'!D:D,'LPG Fup'!M:M,"",0)&lt;&gt;"",_xlfn.XLOOKUP(A80-2,'LPG Fup'!D:D,'LPG Fup'!M:M,"",0)&lt;0),"I+1"),0)</f>
        <v>0</v>
      </c>
      <c r="R80">
        <f>_xlfn.XLOOKUP(A80,Covid!A:A,Covid!I:I,0,0)</f>
        <v>1263</v>
      </c>
      <c r="S80">
        <f>_xlfn.XLOOKUP(A80,Covid!A:A,Covid!K:K,0,0)</f>
        <v>20</v>
      </c>
      <c r="T80" s="145">
        <f>_xlfn.XLOOKUP(A80,Covid!A:A,Covid!K:K,0,0)/_xlfn.XLOOKUP(A80,Covid!A:A,Covid!L:L,0,0)</f>
        <v>2.1231422505307854E-2</v>
      </c>
    </row>
    <row r="81" spans="1:20" x14ac:dyDescent="0.55000000000000004">
      <c r="A81" s="157">
        <v>44062</v>
      </c>
      <c r="B81" s="13">
        <v>186460</v>
      </c>
      <c r="C81" s="13">
        <v>715167</v>
      </c>
      <c r="D81" s="13">
        <v>60074</v>
      </c>
      <c r="E81" s="13">
        <v>659475</v>
      </c>
      <c r="F81" s="13">
        <v>1621176</v>
      </c>
      <c r="G81">
        <f>IF(OR(_xlfn.XLOOKUP(A81,'LPG Fup'!D:D,'LPG Fup'!L:L,"",0)&gt;0.03,_xlfn.XLOOKUP(A81,'LPG Fup'!D:D,'LPG Fup'!L:L,"",0)&lt;-0.03),_xlfn.XLOOKUP(A81,'LPG Fup'!D:D,'LPG Fup'!L:L,0,0),0)</f>
        <v>3.1399397187036805E-2</v>
      </c>
      <c r="H81">
        <f>IF(_xlfn.XLOOKUP(A81,'LPG Fup'!D:D,'LPG Fup'!M:M,0,0)="",0,_xlfn.XLOOKUP(A81,'LPG Fup'!D:D,'LPG Fup'!M:M,0,0))</f>
        <v>87.502999999999702</v>
      </c>
      <c r="I81" s="109">
        <f>_xlfn.XLOOKUP(A81,'Rafineri Fiyatları'!A:A,'Rafineri Fiyatları'!B:B,"",0)</f>
        <v>4229.38</v>
      </c>
      <c r="J81">
        <f t="shared" si="4"/>
        <v>2020</v>
      </c>
      <c r="K81">
        <f t="shared" si="5"/>
        <v>8</v>
      </c>
      <c r="L81">
        <f t="shared" si="6"/>
        <v>19</v>
      </c>
      <c r="M81">
        <f t="shared" si="7"/>
        <v>4</v>
      </c>
      <c r="N81">
        <f>_xlfn.XLOOKUP(A81,tatiller!H:H,tatiller!I:I,0,0)</f>
        <v>0</v>
      </c>
      <c r="O81" cm="1">
        <f t="array" ref="O81">_xlfn.IFNA(_xlfn.IFS(L81=1,"A0",A81=EOMONTH(A81,0),"A-1",L81=2,"A+1"),0)</f>
        <v>0</v>
      </c>
      <c r="P81" t="str" cm="1">
        <f t="array" ref="P81">_xlfn.IFNA(_xlfn.IFS(AND(_xlfn.XLOOKUP(A81,'LPG Fup'!D:D,'LPG Fup'!M:M,"",0)&lt;&gt;"",_xlfn.XLOOKUP(A81,'LPG Fup'!D:D,'LPG Fup'!M:M,"",0)&gt;0),"Z-1", AND(_xlfn.XLOOKUP(A81+1,'LPG Fup'!D:D,'LPG Fup'!M:M,"",0)&lt;&gt;"",_xlfn.XLOOKUP(A81+1,'LPG Fup'!D:D,'LPG Fup'!M:M,"",0)&gt;0),"Z-2", AND(_xlfn.XLOOKUP(A81-1,'LPG Fup'!D:D,'LPG Fup'!M:M,"",0)&lt;&gt;"",_xlfn.XLOOKUP(A81-1,'LPG Fup'!D:D,'LPG Fup'!M:M,"",0)&gt;0),"Z", AND(_xlfn.XLOOKUP(A81-2,'LPG Fup'!D:D,'LPG Fup'!M:M,"",0)&lt;&gt;"",_xlfn.XLOOKUP(A81-2,'LPG Fup'!D:D,'LPG Fup'!M:M,"",0)&gt;0),"Z+1"),0)</f>
        <v>Z-1</v>
      </c>
      <c r="Q81" cm="1">
        <f t="array" ref="Q81">_xlfn.IFNA(_xlfn.IFS(AND(_xlfn.XLOOKUP(A81,'LPG Fup'!D:D,'LPG Fup'!M:M,"",0)&lt;&gt;"",_xlfn.XLOOKUP(A81,'LPG Fup'!D:D,'LPG Fup'!M:M,"",0)&lt;0),"I-1", AND(_xlfn.XLOOKUP(A81+1,'LPG Fup'!D:D,'LPG Fup'!M:M,"",0)&lt;&gt;"",_xlfn.XLOOKUP(A81+1,'LPG Fup'!D:D,'LPG Fup'!M:M,"",0)&lt;0),"I-2", AND(_xlfn.XLOOKUP(A81-1,'LPG Fup'!D:D,'LPG Fup'!M:M,"",0)&lt;&gt;"",_xlfn.XLOOKUP(A81-1,'LPG Fup'!D:D,'LPG Fup'!M:M,"",0)&lt;0),"I", AND(_xlfn.XLOOKUP(A81-2,'LPG Fup'!D:D,'LPG Fup'!M:M,"",0)&lt;&gt;"",_xlfn.XLOOKUP(A81-2,'LPG Fup'!D:D,'LPG Fup'!M:M,"",0)&lt;0),"I+1"),0)</f>
        <v>0</v>
      </c>
      <c r="R81">
        <f>_xlfn.XLOOKUP(A81,Covid!A:A,Covid!I:I,0,0)</f>
        <v>1303</v>
      </c>
      <c r="S81">
        <f>_xlfn.XLOOKUP(A81,Covid!A:A,Covid!K:K,0,0)</f>
        <v>23</v>
      </c>
      <c r="T81" s="145">
        <f>_xlfn.XLOOKUP(A81,Covid!A:A,Covid!K:K,0,0)/_xlfn.XLOOKUP(A81,Covid!A:A,Covid!L:L,0,0)</f>
        <v>2.2954091816367265E-2</v>
      </c>
    </row>
    <row r="82" spans="1:20" x14ac:dyDescent="0.55000000000000004">
      <c r="A82" s="157">
        <v>44063</v>
      </c>
      <c r="B82" s="13">
        <v>245620</v>
      </c>
      <c r="C82" s="13">
        <v>353585</v>
      </c>
      <c r="D82" s="13">
        <v>6560</v>
      </c>
      <c r="E82" s="13">
        <v>549590</v>
      </c>
      <c r="F82" s="13">
        <v>1155355</v>
      </c>
      <c r="G82">
        <f>IF(OR(_xlfn.XLOOKUP(A82,'LPG Fup'!D:D,'LPG Fup'!L:L,"",0)&gt;0.03,_xlfn.XLOOKUP(A82,'LPG Fup'!D:D,'LPG Fup'!L:L,"",0)&lt;-0.03),_xlfn.XLOOKUP(A82,'LPG Fup'!D:D,'LPG Fup'!L:L,0,0),0)</f>
        <v>0</v>
      </c>
      <c r="H82">
        <f>IF(_xlfn.XLOOKUP(A82,'LPG Fup'!D:D,'LPG Fup'!M:M,0,0)="",0,_xlfn.XLOOKUP(A82,'LPG Fup'!D:D,'LPG Fup'!M:M,0,0))</f>
        <v>0</v>
      </c>
      <c r="I82" s="109">
        <f>_xlfn.XLOOKUP(A82,'Rafineri Fiyatları'!A:A,'Rafineri Fiyatları'!B:B,"",0)</f>
        <v>4316.88</v>
      </c>
      <c r="J82">
        <f t="shared" si="4"/>
        <v>2020</v>
      </c>
      <c r="K82">
        <f t="shared" si="5"/>
        <v>8</v>
      </c>
      <c r="L82">
        <f t="shared" si="6"/>
        <v>20</v>
      </c>
      <c r="M82">
        <f t="shared" si="7"/>
        <v>5</v>
      </c>
      <c r="N82">
        <f>_xlfn.XLOOKUP(A82,tatiller!H:H,tatiller!I:I,0,0)</f>
        <v>0</v>
      </c>
      <c r="O82" cm="1">
        <f t="array" ref="O82">_xlfn.IFNA(_xlfn.IFS(L82=1,"A0",A82=EOMONTH(A82,0),"A-1",L82=2,"A+1"),0)</f>
        <v>0</v>
      </c>
      <c r="P82" t="str" cm="1">
        <f t="array" ref="P82">_xlfn.IFNA(_xlfn.IFS(AND(_xlfn.XLOOKUP(A82,'LPG Fup'!D:D,'LPG Fup'!M:M,"",0)&lt;&gt;"",_xlfn.XLOOKUP(A82,'LPG Fup'!D:D,'LPG Fup'!M:M,"",0)&gt;0),"Z-1", AND(_xlfn.XLOOKUP(A82+1,'LPG Fup'!D:D,'LPG Fup'!M:M,"",0)&lt;&gt;"",_xlfn.XLOOKUP(A82+1,'LPG Fup'!D:D,'LPG Fup'!M:M,"",0)&gt;0),"Z-2", AND(_xlfn.XLOOKUP(A82-1,'LPG Fup'!D:D,'LPG Fup'!M:M,"",0)&lt;&gt;"",_xlfn.XLOOKUP(A82-1,'LPG Fup'!D:D,'LPG Fup'!M:M,"",0)&gt;0),"Z", AND(_xlfn.XLOOKUP(A82-2,'LPG Fup'!D:D,'LPG Fup'!M:M,"",0)&lt;&gt;"",_xlfn.XLOOKUP(A82-2,'LPG Fup'!D:D,'LPG Fup'!M:M,"",0)&gt;0),"Z+1"),0)</f>
        <v>Z</v>
      </c>
      <c r="Q82" cm="1">
        <f t="array" ref="Q82">_xlfn.IFNA(_xlfn.IFS(AND(_xlfn.XLOOKUP(A82,'LPG Fup'!D:D,'LPG Fup'!M:M,"",0)&lt;&gt;"",_xlfn.XLOOKUP(A82,'LPG Fup'!D:D,'LPG Fup'!M:M,"",0)&lt;0),"I-1", AND(_xlfn.XLOOKUP(A82+1,'LPG Fup'!D:D,'LPG Fup'!M:M,"",0)&lt;&gt;"",_xlfn.XLOOKUP(A82+1,'LPG Fup'!D:D,'LPG Fup'!M:M,"",0)&lt;0),"I-2", AND(_xlfn.XLOOKUP(A82-1,'LPG Fup'!D:D,'LPG Fup'!M:M,"",0)&lt;&gt;"",_xlfn.XLOOKUP(A82-1,'LPG Fup'!D:D,'LPG Fup'!M:M,"",0)&lt;0),"I", AND(_xlfn.XLOOKUP(A82-2,'LPG Fup'!D:D,'LPG Fup'!M:M,"",0)&lt;&gt;"",_xlfn.XLOOKUP(A82-2,'LPG Fup'!D:D,'LPG Fup'!M:M,"",0)&lt;0),"I+1"),0)</f>
        <v>0</v>
      </c>
      <c r="R82">
        <f>_xlfn.XLOOKUP(A82,Covid!A:A,Covid!I:I,0,0)</f>
        <v>1412</v>
      </c>
      <c r="S82">
        <f>_xlfn.XLOOKUP(A82,Covid!A:A,Covid!K:K,0,0)</f>
        <v>19</v>
      </c>
      <c r="T82" s="145">
        <f>_xlfn.XLOOKUP(A82,Covid!A:A,Covid!K:K,0,0)/_xlfn.XLOOKUP(A82,Covid!A:A,Covid!L:L,0,0)</f>
        <v>2.1541950113378686E-2</v>
      </c>
    </row>
    <row r="83" spans="1:20" x14ac:dyDescent="0.55000000000000004">
      <c r="A83" s="157">
        <v>44064</v>
      </c>
      <c r="B83" s="13">
        <v>255780</v>
      </c>
      <c r="C83" s="13">
        <v>382942</v>
      </c>
      <c r="D83" s="13">
        <v>10497</v>
      </c>
      <c r="E83" s="13">
        <v>554515</v>
      </c>
      <c r="F83" s="13">
        <v>1203734</v>
      </c>
      <c r="G83">
        <f>IF(OR(_xlfn.XLOOKUP(A83,'LPG Fup'!D:D,'LPG Fup'!L:L,"",0)&gt;0.03,_xlfn.XLOOKUP(A83,'LPG Fup'!D:D,'LPG Fup'!L:L,"",0)&lt;-0.03),_xlfn.XLOOKUP(A83,'LPG Fup'!D:D,'LPG Fup'!L:L,0,0),0)</f>
        <v>0</v>
      </c>
      <c r="H83">
        <f>IF(_xlfn.XLOOKUP(A83,'LPG Fup'!D:D,'LPG Fup'!M:M,0,0)="",0,_xlfn.XLOOKUP(A83,'LPG Fup'!D:D,'LPG Fup'!M:M,0,0))</f>
        <v>0</v>
      </c>
      <c r="I83" s="109">
        <f>_xlfn.XLOOKUP(A83,'Rafineri Fiyatları'!A:A,'Rafineri Fiyatları'!B:B,"",0)</f>
        <v>4316.88</v>
      </c>
      <c r="J83">
        <f t="shared" si="4"/>
        <v>2020</v>
      </c>
      <c r="K83">
        <f t="shared" si="5"/>
        <v>8</v>
      </c>
      <c r="L83">
        <f t="shared" si="6"/>
        <v>21</v>
      </c>
      <c r="M83">
        <f t="shared" si="7"/>
        <v>6</v>
      </c>
      <c r="N83">
        <f>_xlfn.XLOOKUP(A83,tatiller!H:H,tatiller!I:I,0,0)</f>
        <v>0</v>
      </c>
      <c r="O83" cm="1">
        <f t="array" ref="O83">_xlfn.IFNA(_xlfn.IFS(L83=1,"A0",A83=EOMONTH(A83,0),"A-1",L83=2,"A+1"),0)</f>
        <v>0</v>
      </c>
      <c r="P83" t="str" cm="1">
        <f t="array" ref="P83">_xlfn.IFNA(_xlfn.IFS(AND(_xlfn.XLOOKUP(A83,'LPG Fup'!D:D,'LPG Fup'!M:M,"",0)&lt;&gt;"",_xlfn.XLOOKUP(A83,'LPG Fup'!D:D,'LPG Fup'!M:M,"",0)&gt;0),"Z-1", AND(_xlfn.XLOOKUP(A83+1,'LPG Fup'!D:D,'LPG Fup'!M:M,"",0)&lt;&gt;"",_xlfn.XLOOKUP(A83+1,'LPG Fup'!D:D,'LPG Fup'!M:M,"",0)&gt;0),"Z-2", AND(_xlfn.XLOOKUP(A83-1,'LPG Fup'!D:D,'LPG Fup'!M:M,"",0)&lt;&gt;"",_xlfn.XLOOKUP(A83-1,'LPG Fup'!D:D,'LPG Fup'!M:M,"",0)&gt;0),"Z", AND(_xlfn.XLOOKUP(A83-2,'LPG Fup'!D:D,'LPG Fup'!M:M,"",0)&lt;&gt;"",_xlfn.XLOOKUP(A83-2,'LPG Fup'!D:D,'LPG Fup'!M:M,"",0)&gt;0),"Z+1"),0)</f>
        <v>Z+1</v>
      </c>
      <c r="Q83" cm="1">
        <f t="array" ref="Q83">_xlfn.IFNA(_xlfn.IFS(AND(_xlfn.XLOOKUP(A83,'LPG Fup'!D:D,'LPG Fup'!M:M,"",0)&lt;&gt;"",_xlfn.XLOOKUP(A83,'LPG Fup'!D:D,'LPG Fup'!M:M,"",0)&lt;0),"I-1", AND(_xlfn.XLOOKUP(A83+1,'LPG Fup'!D:D,'LPG Fup'!M:M,"",0)&lt;&gt;"",_xlfn.XLOOKUP(A83+1,'LPG Fup'!D:D,'LPG Fup'!M:M,"",0)&lt;0),"I-2", AND(_xlfn.XLOOKUP(A83-1,'LPG Fup'!D:D,'LPG Fup'!M:M,"",0)&lt;&gt;"",_xlfn.XLOOKUP(A83-1,'LPG Fup'!D:D,'LPG Fup'!M:M,"",0)&lt;0),"I", AND(_xlfn.XLOOKUP(A83-2,'LPG Fup'!D:D,'LPG Fup'!M:M,"",0)&lt;&gt;"",_xlfn.XLOOKUP(A83-2,'LPG Fup'!D:D,'LPG Fup'!M:M,"",0)&lt;0),"I+1"),0)</f>
        <v>0</v>
      </c>
      <c r="R83">
        <f>_xlfn.XLOOKUP(A83,Covid!A:A,Covid!I:I,0,0)</f>
        <v>1203</v>
      </c>
      <c r="S83">
        <f>_xlfn.XLOOKUP(A83,Covid!A:A,Covid!K:K,0,0)</f>
        <v>22</v>
      </c>
      <c r="T83" s="145">
        <f>_xlfn.XLOOKUP(A83,Covid!A:A,Covid!K:K,0,0)/_xlfn.XLOOKUP(A83,Covid!A:A,Covid!L:L,0,0)</f>
        <v>2.8497409326424871E-2</v>
      </c>
    </row>
    <row r="84" spans="1:20" x14ac:dyDescent="0.55000000000000004">
      <c r="A84" s="157">
        <v>44065</v>
      </c>
      <c r="B84" s="13">
        <v>435720</v>
      </c>
      <c r="C84" s="13">
        <v>358532</v>
      </c>
      <c r="D84" s="13">
        <v>4586</v>
      </c>
      <c r="E84" s="13">
        <v>655997</v>
      </c>
      <c r="F84" s="13">
        <v>1454835</v>
      </c>
      <c r="G84">
        <f>IF(OR(_xlfn.XLOOKUP(A84,'LPG Fup'!D:D,'LPG Fup'!L:L,"",0)&gt;0.03,_xlfn.XLOOKUP(A84,'LPG Fup'!D:D,'LPG Fup'!L:L,"",0)&lt;-0.03),_xlfn.XLOOKUP(A84,'LPG Fup'!D:D,'LPG Fup'!L:L,0,0),0)</f>
        <v>0</v>
      </c>
      <c r="H84">
        <f>IF(_xlfn.XLOOKUP(A84,'LPG Fup'!D:D,'LPG Fup'!M:M,0,0)="",0,_xlfn.XLOOKUP(A84,'LPG Fup'!D:D,'LPG Fup'!M:M,0,0))</f>
        <v>0</v>
      </c>
      <c r="I84" s="109">
        <f>_xlfn.XLOOKUP(A84,'Rafineri Fiyatları'!A:A,'Rafineri Fiyatları'!B:B,"",0)</f>
        <v>4316.88</v>
      </c>
      <c r="J84">
        <f t="shared" si="4"/>
        <v>2020</v>
      </c>
      <c r="K84">
        <f t="shared" si="5"/>
        <v>8</v>
      </c>
      <c r="L84">
        <f t="shared" si="6"/>
        <v>22</v>
      </c>
      <c r="M84">
        <f t="shared" si="7"/>
        <v>7</v>
      </c>
      <c r="N84">
        <f>_xlfn.XLOOKUP(A84,tatiller!H:H,tatiller!I:I,0,0)</f>
        <v>0</v>
      </c>
      <c r="O84" cm="1">
        <f t="array" ref="O84">_xlfn.IFNA(_xlfn.IFS(L84=1,"A0",A84=EOMONTH(A84,0),"A-1",L84=2,"A+1"),0)</f>
        <v>0</v>
      </c>
      <c r="P84" cm="1">
        <f t="array" ref="P84">_xlfn.IFNA(_xlfn.IFS(AND(_xlfn.XLOOKUP(A84,'LPG Fup'!D:D,'LPG Fup'!M:M,"",0)&lt;&gt;"",_xlfn.XLOOKUP(A84,'LPG Fup'!D:D,'LPG Fup'!M:M,"",0)&gt;0),"Z-1", AND(_xlfn.XLOOKUP(A84+1,'LPG Fup'!D:D,'LPG Fup'!M:M,"",0)&lt;&gt;"",_xlfn.XLOOKUP(A84+1,'LPG Fup'!D:D,'LPG Fup'!M:M,"",0)&gt;0),"Z-2", AND(_xlfn.XLOOKUP(A84-1,'LPG Fup'!D:D,'LPG Fup'!M:M,"",0)&lt;&gt;"",_xlfn.XLOOKUP(A84-1,'LPG Fup'!D:D,'LPG Fup'!M:M,"",0)&gt;0),"Z", AND(_xlfn.XLOOKUP(A84-2,'LPG Fup'!D:D,'LPG Fup'!M:M,"",0)&lt;&gt;"",_xlfn.XLOOKUP(A84-2,'LPG Fup'!D:D,'LPG Fup'!M:M,"",0)&gt;0),"Z+1"),0)</f>
        <v>0</v>
      </c>
      <c r="Q84" cm="1">
        <f t="array" ref="Q84">_xlfn.IFNA(_xlfn.IFS(AND(_xlfn.XLOOKUP(A84,'LPG Fup'!D:D,'LPG Fup'!M:M,"",0)&lt;&gt;"",_xlfn.XLOOKUP(A84,'LPG Fup'!D:D,'LPG Fup'!M:M,"",0)&lt;0),"I-1", AND(_xlfn.XLOOKUP(A84+1,'LPG Fup'!D:D,'LPG Fup'!M:M,"",0)&lt;&gt;"",_xlfn.XLOOKUP(A84+1,'LPG Fup'!D:D,'LPG Fup'!M:M,"",0)&lt;0),"I-2", AND(_xlfn.XLOOKUP(A84-1,'LPG Fup'!D:D,'LPG Fup'!M:M,"",0)&lt;&gt;"",_xlfn.XLOOKUP(A84-1,'LPG Fup'!D:D,'LPG Fup'!M:M,"",0)&lt;0),"I", AND(_xlfn.XLOOKUP(A84-2,'LPG Fup'!D:D,'LPG Fup'!M:M,"",0)&lt;&gt;"",_xlfn.XLOOKUP(A84-2,'LPG Fup'!D:D,'LPG Fup'!M:M,"",0)&lt;0),"I+1"),0)</f>
        <v>0</v>
      </c>
      <c r="R84">
        <f>_xlfn.XLOOKUP(A84,Covid!A:A,Covid!I:I,0,0)</f>
        <v>1309</v>
      </c>
      <c r="S84">
        <f>_xlfn.XLOOKUP(A84,Covid!A:A,Covid!K:K,0,0)</f>
        <v>22</v>
      </c>
      <c r="T84" s="145">
        <f>_xlfn.XLOOKUP(A84,Covid!A:A,Covid!K:K,0,0)/_xlfn.XLOOKUP(A84,Covid!A:A,Covid!L:L,0,0)</f>
        <v>2.7465667915106119E-2</v>
      </c>
    </row>
    <row r="85" spans="1:20" x14ac:dyDescent="0.55000000000000004">
      <c r="A85" s="157">
        <v>44066</v>
      </c>
      <c r="B85" s="13">
        <v>4351879</v>
      </c>
      <c r="C85" s="13">
        <v>930</v>
      </c>
      <c r="D85" s="13">
        <v>0</v>
      </c>
      <c r="E85" s="13">
        <v>520885</v>
      </c>
      <c r="F85" s="13">
        <v>4873694</v>
      </c>
      <c r="G85">
        <f>IF(OR(_xlfn.XLOOKUP(A85,'LPG Fup'!D:D,'LPG Fup'!L:L,"",0)&gt;0.03,_xlfn.XLOOKUP(A85,'LPG Fup'!D:D,'LPG Fup'!L:L,"",0)&lt;-0.03),_xlfn.XLOOKUP(A85,'LPG Fup'!D:D,'LPG Fup'!L:L,0,0),0)</f>
        <v>0</v>
      </c>
      <c r="H85">
        <f>IF(_xlfn.XLOOKUP(A85,'LPG Fup'!D:D,'LPG Fup'!M:M,0,0)="",0,_xlfn.XLOOKUP(A85,'LPG Fup'!D:D,'LPG Fup'!M:M,0,0))</f>
        <v>0</v>
      </c>
      <c r="I85" s="109">
        <f>_xlfn.XLOOKUP(A85,'Rafineri Fiyatları'!A:A,'Rafineri Fiyatları'!B:B,"",0)</f>
        <v>4316.88</v>
      </c>
      <c r="J85">
        <f t="shared" si="4"/>
        <v>2020</v>
      </c>
      <c r="K85">
        <f t="shared" si="5"/>
        <v>8</v>
      </c>
      <c r="L85">
        <f t="shared" si="6"/>
        <v>23</v>
      </c>
      <c r="M85">
        <f t="shared" si="7"/>
        <v>1</v>
      </c>
      <c r="N85">
        <f>_xlfn.XLOOKUP(A85,tatiller!H:H,tatiller!I:I,0,0)</f>
        <v>0</v>
      </c>
      <c r="O85" cm="1">
        <f t="array" ref="O85">_xlfn.IFNA(_xlfn.IFS(L85=1,"A0",A85=EOMONTH(A85,0),"A-1",L85=2,"A+1"),0)</f>
        <v>0</v>
      </c>
      <c r="P85" cm="1">
        <f t="array" ref="P85">_xlfn.IFNA(_xlfn.IFS(AND(_xlfn.XLOOKUP(A85,'LPG Fup'!D:D,'LPG Fup'!M:M,"",0)&lt;&gt;"",_xlfn.XLOOKUP(A85,'LPG Fup'!D:D,'LPG Fup'!M:M,"",0)&gt;0),"Z-1", AND(_xlfn.XLOOKUP(A85+1,'LPG Fup'!D:D,'LPG Fup'!M:M,"",0)&lt;&gt;"",_xlfn.XLOOKUP(A85+1,'LPG Fup'!D:D,'LPG Fup'!M:M,"",0)&gt;0),"Z-2", AND(_xlfn.XLOOKUP(A85-1,'LPG Fup'!D:D,'LPG Fup'!M:M,"",0)&lt;&gt;"",_xlfn.XLOOKUP(A85-1,'LPG Fup'!D:D,'LPG Fup'!M:M,"",0)&gt;0),"Z", AND(_xlfn.XLOOKUP(A85-2,'LPG Fup'!D:D,'LPG Fup'!M:M,"",0)&lt;&gt;"",_xlfn.XLOOKUP(A85-2,'LPG Fup'!D:D,'LPG Fup'!M:M,"",0)&gt;0),"Z+1"),0)</f>
        <v>0</v>
      </c>
      <c r="Q85" cm="1">
        <f t="array" ref="Q85">_xlfn.IFNA(_xlfn.IFS(AND(_xlfn.XLOOKUP(A85,'LPG Fup'!D:D,'LPG Fup'!M:M,"",0)&lt;&gt;"",_xlfn.XLOOKUP(A85,'LPG Fup'!D:D,'LPG Fup'!M:M,"",0)&lt;0),"I-1", AND(_xlfn.XLOOKUP(A85+1,'LPG Fup'!D:D,'LPG Fup'!M:M,"",0)&lt;&gt;"",_xlfn.XLOOKUP(A85+1,'LPG Fup'!D:D,'LPG Fup'!M:M,"",0)&lt;0),"I-2", AND(_xlfn.XLOOKUP(A85-1,'LPG Fup'!D:D,'LPG Fup'!M:M,"",0)&lt;&gt;"",_xlfn.XLOOKUP(A85-1,'LPG Fup'!D:D,'LPG Fup'!M:M,"",0)&lt;0),"I", AND(_xlfn.XLOOKUP(A85-2,'LPG Fup'!D:D,'LPG Fup'!M:M,"",0)&lt;&gt;"",_xlfn.XLOOKUP(A85-2,'LPG Fup'!D:D,'LPG Fup'!M:M,"",0)&lt;0),"I+1"),0)</f>
        <v>0</v>
      </c>
      <c r="R85">
        <f>_xlfn.XLOOKUP(A85,Covid!A:A,Covid!I:I,0,0)</f>
        <v>1217</v>
      </c>
      <c r="S85">
        <f>_xlfn.XLOOKUP(A85,Covid!A:A,Covid!K:K,0,0)</f>
        <v>19</v>
      </c>
      <c r="T85" s="145">
        <f>_xlfn.XLOOKUP(A85,Covid!A:A,Covid!K:K,0,0)/_xlfn.XLOOKUP(A85,Covid!A:A,Covid!L:L,0,0)</f>
        <v>2.3899371069182392E-2</v>
      </c>
    </row>
    <row r="86" spans="1:20" x14ac:dyDescent="0.55000000000000004">
      <c r="A86" s="157">
        <v>44067</v>
      </c>
      <c r="B86" s="13">
        <v>866400</v>
      </c>
      <c r="C86" s="13">
        <v>490125</v>
      </c>
      <c r="D86" s="13">
        <v>5660</v>
      </c>
      <c r="E86" s="13">
        <v>600284</v>
      </c>
      <c r="F86" s="13">
        <v>1962469</v>
      </c>
      <c r="G86">
        <f>IF(OR(_xlfn.XLOOKUP(A86,'LPG Fup'!D:D,'LPG Fup'!L:L,"",0)&gt;0.03,_xlfn.XLOOKUP(A86,'LPG Fup'!D:D,'LPG Fup'!L:L,"",0)&lt;-0.03),_xlfn.XLOOKUP(A86,'LPG Fup'!D:D,'LPG Fup'!L:L,0,0),0)</f>
        <v>0</v>
      </c>
      <c r="H86">
        <f>IF(_xlfn.XLOOKUP(A86,'LPG Fup'!D:D,'LPG Fup'!M:M,0,0)="",0,_xlfn.XLOOKUP(A86,'LPG Fup'!D:D,'LPG Fup'!M:M,0,0))</f>
        <v>0</v>
      </c>
      <c r="I86" s="109">
        <f>_xlfn.XLOOKUP(A86,'Rafineri Fiyatları'!A:A,'Rafineri Fiyatları'!B:B,"",0)</f>
        <v>4316.88</v>
      </c>
      <c r="J86">
        <f t="shared" si="4"/>
        <v>2020</v>
      </c>
      <c r="K86">
        <f t="shared" si="5"/>
        <v>8</v>
      </c>
      <c r="L86">
        <f t="shared" si="6"/>
        <v>24</v>
      </c>
      <c r="M86">
        <f t="shared" si="7"/>
        <v>2</v>
      </c>
      <c r="N86">
        <f>_xlfn.XLOOKUP(A86,tatiller!H:H,tatiller!I:I,0,0)</f>
        <v>0</v>
      </c>
      <c r="O86" cm="1">
        <f t="array" ref="O86">_xlfn.IFNA(_xlfn.IFS(L86=1,"A0",A86=EOMONTH(A86,0),"A-1",L86=2,"A+1"),0)</f>
        <v>0</v>
      </c>
      <c r="P86" cm="1">
        <f t="array" ref="P86">_xlfn.IFNA(_xlfn.IFS(AND(_xlfn.XLOOKUP(A86,'LPG Fup'!D:D,'LPG Fup'!M:M,"",0)&lt;&gt;"",_xlfn.XLOOKUP(A86,'LPG Fup'!D:D,'LPG Fup'!M:M,"",0)&gt;0),"Z-1", AND(_xlfn.XLOOKUP(A86+1,'LPG Fup'!D:D,'LPG Fup'!M:M,"",0)&lt;&gt;"",_xlfn.XLOOKUP(A86+1,'LPG Fup'!D:D,'LPG Fup'!M:M,"",0)&gt;0),"Z-2", AND(_xlfn.XLOOKUP(A86-1,'LPG Fup'!D:D,'LPG Fup'!M:M,"",0)&lt;&gt;"",_xlfn.XLOOKUP(A86-1,'LPG Fup'!D:D,'LPG Fup'!M:M,"",0)&gt;0),"Z", AND(_xlfn.XLOOKUP(A86-2,'LPG Fup'!D:D,'LPG Fup'!M:M,"",0)&lt;&gt;"",_xlfn.XLOOKUP(A86-2,'LPG Fup'!D:D,'LPG Fup'!M:M,"",0)&gt;0),"Z+1"),0)</f>
        <v>0</v>
      </c>
      <c r="Q86" cm="1">
        <f t="array" ref="Q86">_xlfn.IFNA(_xlfn.IFS(AND(_xlfn.XLOOKUP(A86,'LPG Fup'!D:D,'LPG Fup'!M:M,"",0)&lt;&gt;"",_xlfn.XLOOKUP(A86,'LPG Fup'!D:D,'LPG Fup'!M:M,"",0)&lt;0),"I-1", AND(_xlfn.XLOOKUP(A86+1,'LPG Fup'!D:D,'LPG Fup'!M:M,"",0)&lt;&gt;"",_xlfn.XLOOKUP(A86+1,'LPG Fup'!D:D,'LPG Fup'!M:M,"",0)&lt;0),"I-2", AND(_xlfn.XLOOKUP(A86-1,'LPG Fup'!D:D,'LPG Fup'!M:M,"",0)&lt;&gt;"",_xlfn.XLOOKUP(A86-1,'LPG Fup'!D:D,'LPG Fup'!M:M,"",0)&lt;0),"I", AND(_xlfn.XLOOKUP(A86-2,'LPG Fup'!D:D,'LPG Fup'!M:M,"",0)&lt;&gt;"",_xlfn.XLOOKUP(A86-2,'LPG Fup'!D:D,'LPG Fup'!M:M,"",0)&lt;0),"I+1"),0)</f>
        <v>0</v>
      </c>
      <c r="R86">
        <f>_xlfn.XLOOKUP(A86,Covid!A:A,Covid!I:I,0,0)</f>
        <v>1443</v>
      </c>
      <c r="S86">
        <f>_xlfn.XLOOKUP(A86,Covid!A:A,Covid!K:K,0,0)</f>
        <v>18</v>
      </c>
      <c r="T86" s="145">
        <f>_xlfn.XLOOKUP(A86,Covid!A:A,Covid!K:K,0,0)/_xlfn.XLOOKUP(A86,Covid!A:A,Covid!L:L,0,0)</f>
        <v>2.4226110363391656E-2</v>
      </c>
    </row>
    <row r="87" spans="1:20" x14ac:dyDescent="0.55000000000000004">
      <c r="A87" s="157">
        <v>44068</v>
      </c>
      <c r="B87" s="13">
        <v>501660</v>
      </c>
      <c r="C87" s="13">
        <v>469256</v>
      </c>
      <c r="D87" s="13">
        <v>9609</v>
      </c>
      <c r="E87" s="13">
        <v>616882</v>
      </c>
      <c r="F87" s="13">
        <v>1597407</v>
      </c>
      <c r="G87">
        <f>IF(OR(_xlfn.XLOOKUP(A87,'LPG Fup'!D:D,'LPG Fup'!L:L,"",0)&gt;0.03,_xlfn.XLOOKUP(A87,'LPG Fup'!D:D,'LPG Fup'!L:L,"",0)&lt;-0.03),_xlfn.XLOOKUP(A87,'LPG Fup'!D:D,'LPG Fup'!L:L,0,0),0)</f>
        <v>0</v>
      </c>
      <c r="H87">
        <f>IF(_xlfn.XLOOKUP(A87,'LPG Fup'!D:D,'LPG Fup'!M:M,0,0)="",0,_xlfn.XLOOKUP(A87,'LPG Fup'!D:D,'LPG Fup'!M:M,0,0))</f>
        <v>0</v>
      </c>
      <c r="I87" s="109">
        <f>_xlfn.XLOOKUP(A87,'Rafineri Fiyatları'!A:A,'Rafineri Fiyatları'!B:B,"",0)</f>
        <v>4316.88</v>
      </c>
      <c r="J87">
        <f t="shared" si="4"/>
        <v>2020</v>
      </c>
      <c r="K87">
        <f t="shared" si="5"/>
        <v>8</v>
      </c>
      <c r="L87">
        <f t="shared" si="6"/>
        <v>25</v>
      </c>
      <c r="M87">
        <f t="shared" si="7"/>
        <v>3</v>
      </c>
      <c r="N87">
        <f>_xlfn.XLOOKUP(A87,tatiller!H:H,tatiller!I:I,0,0)</f>
        <v>0</v>
      </c>
      <c r="O87" cm="1">
        <f t="array" ref="O87">_xlfn.IFNA(_xlfn.IFS(L87=1,"A0",A87=EOMONTH(A87,0),"A-1",L87=2,"A+1"),0)</f>
        <v>0</v>
      </c>
      <c r="P87" cm="1">
        <f t="array" ref="P87">_xlfn.IFNA(_xlfn.IFS(AND(_xlfn.XLOOKUP(A87,'LPG Fup'!D:D,'LPG Fup'!M:M,"",0)&lt;&gt;"",_xlfn.XLOOKUP(A87,'LPG Fup'!D:D,'LPG Fup'!M:M,"",0)&gt;0),"Z-1", AND(_xlfn.XLOOKUP(A87+1,'LPG Fup'!D:D,'LPG Fup'!M:M,"",0)&lt;&gt;"",_xlfn.XLOOKUP(A87+1,'LPG Fup'!D:D,'LPG Fup'!M:M,"",0)&gt;0),"Z-2", AND(_xlfn.XLOOKUP(A87-1,'LPG Fup'!D:D,'LPG Fup'!M:M,"",0)&lt;&gt;"",_xlfn.XLOOKUP(A87-1,'LPG Fup'!D:D,'LPG Fup'!M:M,"",0)&gt;0),"Z", AND(_xlfn.XLOOKUP(A87-2,'LPG Fup'!D:D,'LPG Fup'!M:M,"",0)&lt;&gt;"",_xlfn.XLOOKUP(A87-2,'LPG Fup'!D:D,'LPG Fup'!M:M,"",0)&gt;0),"Z+1"),0)</f>
        <v>0</v>
      </c>
      <c r="Q87" cm="1">
        <f t="array" ref="Q87">_xlfn.IFNA(_xlfn.IFS(AND(_xlfn.XLOOKUP(A87,'LPG Fup'!D:D,'LPG Fup'!M:M,"",0)&lt;&gt;"",_xlfn.XLOOKUP(A87,'LPG Fup'!D:D,'LPG Fup'!M:M,"",0)&lt;0),"I-1", AND(_xlfn.XLOOKUP(A87+1,'LPG Fup'!D:D,'LPG Fup'!M:M,"",0)&lt;&gt;"",_xlfn.XLOOKUP(A87+1,'LPG Fup'!D:D,'LPG Fup'!M:M,"",0)&lt;0),"I-2", AND(_xlfn.XLOOKUP(A87-1,'LPG Fup'!D:D,'LPG Fup'!M:M,"",0)&lt;&gt;"",_xlfn.XLOOKUP(A87-1,'LPG Fup'!D:D,'LPG Fup'!M:M,"",0)&lt;0),"I", AND(_xlfn.XLOOKUP(A87-2,'LPG Fup'!D:D,'LPG Fup'!M:M,"",0)&lt;&gt;"",_xlfn.XLOOKUP(A87-2,'LPG Fup'!D:D,'LPG Fup'!M:M,"",0)&lt;0),"I+1"),0)</f>
        <v>0</v>
      </c>
      <c r="R87">
        <f>_xlfn.XLOOKUP(A87,Covid!A:A,Covid!I:I,0,0)</f>
        <v>1502</v>
      </c>
      <c r="S87">
        <f>_xlfn.XLOOKUP(A87,Covid!A:A,Covid!K:K,0,0)</f>
        <v>24</v>
      </c>
      <c r="T87" s="145">
        <f>_xlfn.XLOOKUP(A87,Covid!A:A,Covid!K:K,0,0)/_xlfn.XLOOKUP(A87,Covid!A:A,Covid!L:L,0,0)</f>
        <v>2.7057497181510709E-2</v>
      </c>
    </row>
    <row r="88" spans="1:20" x14ac:dyDescent="0.55000000000000004">
      <c r="A88" s="157">
        <v>44069</v>
      </c>
      <c r="B88" s="13">
        <v>1144080</v>
      </c>
      <c r="C88" s="13">
        <v>421937</v>
      </c>
      <c r="D88" s="13">
        <v>0</v>
      </c>
      <c r="E88" s="13">
        <v>642291</v>
      </c>
      <c r="F88" s="13">
        <v>2208308</v>
      </c>
      <c r="G88">
        <f>IF(OR(_xlfn.XLOOKUP(A88,'LPG Fup'!D:D,'LPG Fup'!L:L,"",0)&gt;0.03,_xlfn.XLOOKUP(A88,'LPG Fup'!D:D,'LPG Fup'!L:L,"",0)&lt;-0.03),_xlfn.XLOOKUP(A88,'LPG Fup'!D:D,'LPG Fup'!L:L,0,0),0)</f>
        <v>0</v>
      </c>
      <c r="H88">
        <f>IF(_xlfn.XLOOKUP(A88,'LPG Fup'!D:D,'LPG Fup'!M:M,0,0)="",0,_xlfn.XLOOKUP(A88,'LPG Fup'!D:D,'LPG Fup'!M:M,0,0))</f>
        <v>0</v>
      </c>
      <c r="I88" s="109">
        <f>_xlfn.XLOOKUP(A88,'Rafineri Fiyatları'!A:A,'Rafineri Fiyatları'!B:B,"",0)</f>
        <v>4316.88</v>
      </c>
      <c r="J88">
        <f t="shared" si="4"/>
        <v>2020</v>
      </c>
      <c r="K88">
        <f t="shared" si="5"/>
        <v>8</v>
      </c>
      <c r="L88">
        <f t="shared" si="6"/>
        <v>26</v>
      </c>
      <c r="M88">
        <f t="shared" si="7"/>
        <v>4</v>
      </c>
      <c r="N88">
        <f>_xlfn.XLOOKUP(A88,tatiller!H:H,tatiller!I:I,0,0)</f>
        <v>0</v>
      </c>
      <c r="O88" cm="1">
        <f t="array" ref="O88">_xlfn.IFNA(_xlfn.IFS(L88=1,"A0",A88=EOMONTH(A88,0),"A-1",L88=2,"A+1"),0)</f>
        <v>0</v>
      </c>
      <c r="P88" cm="1">
        <f t="array" ref="P88">_xlfn.IFNA(_xlfn.IFS(AND(_xlfn.XLOOKUP(A88,'LPG Fup'!D:D,'LPG Fup'!M:M,"",0)&lt;&gt;"",_xlfn.XLOOKUP(A88,'LPG Fup'!D:D,'LPG Fup'!M:M,"",0)&gt;0),"Z-1", AND(_xlfn.XLOOKUP(A88+1,'LPG Fup'!D:D,'LPG Fup'!M:M,"",0)&lt;&gt;"",_xlfn.XLOOKUP(A88+1,'LPG Fup'!D:D,'LPG Fup'!M:M,"",0)&gt;0),"Z-2", AND(_xlfn.XLOOKUP(A88-1,'LPG Fup'!D:D,'LPG Fup'!M:M,"",0)&lt;&gt;"",_xlfn.XLOOKUP(A88-1,'LPG Fup'!D:D,'LPG Fup'!M:M,"",0)&gt;0),"Z", AND(_xlfn.XLOOKUP(A88-2,'LPG Fup'!D:D,'LPG Fup'!M:M,"",0)&lt;&gt;"",_xlfn.XLOOKUP(A88-2,'LPG Fup'!D:D,'LPG Fup'!M:M,"",0)&gt;0),"Z+1"),0)</f>
        <v>0</v>
      </c>
      <c r="Q88" cm="1">
        <f t="array" ref="Q88">_xlfn.IFNA(_xlfn.IFS(AND(_xlfn.XLOOKUP(A88,'LPG Fup'!D:D,'LPG Fup'!M:M,"",0)&lt;&gt;"",_xlfn.XLOOKUP(A88,'LPG Fup'!D:D,'LPG Fup'!M:M,"",0)&lt;0),"I-1", AND(_xlfn.XLOOKUP(A88+1,'LPG Fup'!D:D,'LPG Fup'!M:M,"",0)&lt;&gt;"",_xlfn.XLOOKUP(A88+1,'LPG Fup'!D:D,'LPG Fup'!M:M,"",0)&lt;0),"I-2", AND(_xlfn.XLOOKUP(A88-1,'LPG Fup'!D:D,'LPG Fup'!M:M,"",0)&lt;&gt;"",_xlfn.XLOOKUP(A88-1,'LPG Fup'!D:D,'LPG Fup'!M:M,"",0)&lt;0),"I", AND(_xlfn.XLOOKUP(A88-2,'LPG Fup'!D:D,'LPG Fup'!M:M,"",0)&lt;&gt;"",_xlfn.XLOOKUP(A88-2,'LPG Fup'!D:D,'LPG Fup'!M:M,"",0)&lt;0),"I+1"),0)</f>
        <v>0</v>
      </c>
      <c r="R88">
        <f>_xlfn.XLOOKUP(A88,Covid!A:A,Covid!I:I,0,0)</f>
        <v>1313</v>
      </c>
      <c r="S88">
        <f>_xlfn.XLOOKUP(A88,Covid!A:A,Covid!K:K,0,0)</f>
        <v>20</v>
      </c>
      <c r="T88" s="145">
        <f>_xlfn.XLOOKUP(A88,Covid!A:A,Covid!K:K,0,0)/_xlfn.XLOOKUP(A88,Covid!A:A,Covid!L:L,0,0)</f>
        <v>1.9960079840319361E-2</v>
      </c>
    </row>
    <row r="89" spans="1:20" x14ac:dyDescent="0.55000000000000004">
      <c r="A89" s="157">
        <v>44070</v>
      </c>
      <c r="B89" s="13">
        <v>1024840</v>
      </c>
      <c r="C89" s="13">
        <v>469121</v>
      </c>
      <c r="D89" s="13">
        <v>16545</v>
      </c>
      <c r="E89" s="13">
        <v>527936</v>
      </c>
      <c r="F89" s="13">
        <v>2038442</v>
      </c>
      <c r="G89">
        <f>IF(OR(_xlfn.XLOOKUP(A89,'LPG Fup'!D:D,'LPG Fup'!L:L,"",0)&gt;0.03,_xlfn.XLOOKUP(A89,'LPG Fup'!D:D,'LPG Fup'!L:L,"",0)&lt;-0.03),_xlfn.XLOOKUP(A89,'LPG Fup'!D:D,'LPG Fup'!L:L,0,0),0)</f>
        <v>0</v>
      </c>
      <c r="H89">
        <f>IF(_xlfn.XLOOKUP(A89,'LPG Fup'!D:D,'LPG Fup'!M:M,0,0)="",0,_xlfn.XLOOKUP(A89,'LPG Fup'!D:D,'LPG Fup'!M:M,0,0))</f>
        <v>0</v>
      </c>
      <c r="I89" s="109">
        <f>_xlfn.XLOOKUP(A89,'Rafineri Fiyatları'!A:A,'Rafineri Fiyatları'!B:B,"",0)</f>
        <v>4316.88</v>
      </c>
      <c r="J89">
        <f t="shared" si="4"/>
        <v>2020</v>
      </c>
      <c r="K89">
        <f t="shared" si="5"/>
        <v>8</v>
      </c>
      <c r="L89">
        <f t="shared" si="6"/>
        <v>27</v>
      </c>
      <c r="M89">
        <f t="shared" si="7"/>
        <v>5</v>
      </c>
      <c r="N89">
        <f>_xlfn.XLOOKUP(A89,tatiller!H:H,tatiller!I:I,0,0)</f>
        <v>0</v>
      </c>
      <c r="O89" cm="1">
        <f t="array" ref="O89">_xlfn.IFNA(_xlfn.IFS(L89=1,"A0",A89=EOMONTH(A89,0),"A-1",L89=2,"A+1"),0)</f>
        <v>0</v>
      </c>
      <c r="P89" cm="1">
        <f t="array" ref="P89">_xlfn.IFNA(_xlfn.IFS(AND(_xlfn.XLOOKUP(A89,'LPG Fup'!D:D,'LPG Fup'!M:M,"",0)&lt;&gt;"",_xlfn.XLOOKUP(A89,'LPG Fup'!D:D,'LPG Fup'!M:M,"",0)&gt;0),"Z-1", AND(_xlfn.XLOOKUP(A89+1,'LPG Fup'!D:D,'LPG Fup'!M:M,"",0)&lt;&gt;"",_xlfn.XLOOKUP(A89+1,'LPG Fup'!D:D,'LPG Fup'!M:M,"",0)&gt;0),"Z-2", AND(_xlfn.XLOOKUP(A89-1,'LPG Fup'!D:D,'LPG Fup'!M:M,"",0)&lt;&gt;"",_xlfn.XLOOKUP(A89-1,'LPG Fup'!D:D,'LPG Fup'!M:M,"",0)&gt;0),"Z", AND(_xlfn.XLOOKUP(A89-2,'LPG Fup'!D:D,'LPG Fup'!M:M,"",0)&lt;&gt;"",_xlfn.XLOOKUP(A89-2,'LPG Fup'!D:D,'LPG Fup'!M:M,"",0)&gt;0),"Z+1"),0)</f>
        <v>0</v>
      </c>
      <c r="Q89" cm="1">
        <f t="array" ref="Q89">_xlfn.IFNA(_xlfn.IFS(AND(_xlfn.XLOOKUP(A89,'LPG Fup'!D:D,'LPG Fup'!M:M,"",0)&lt;&gt;"",_xlfn.XLOOKUP(A89,'LPG Fup'!D:D,'LPG Fup'!M:M,"",0)&lt;0),"I-1", AND(_xlfn.XLOOKUP(A89+1,'LPG Fup'!D:D,'LPG Fup'!M:M,"",0)&lt;&gt;"",_xlfn.XLOOKUP(A89+1,'LPG Fup'!D:D,'LPG Fup'!M:M,"",0)&lt;0),"I-2", AND(_xlfn.XLOOKUP(A89-1,'LPG Fup'!D:D,'LPG Fup'!M:M,"",0)&lt;&gt;"",_xlfn.XLOOKUP(A89-1,'LPG Fup'!D:D,'LPG Fup'!M:M,"",0)&lt;0),"I", AND(_xlfn.XLOOKUP(A89-2,'LPG Fup'!D:D,'LPG Fup'!M:M,"",0)&lt;&gt;"",_xlfn.XLOOKUP(A89-2,'LPG Fup'!D:D,'LPG Fup'!M:M,"",0)&lt;0),"I+1"),0)</f>
        <v>0</v>
      </c>
      <c r="R89">
        <f>_xlfn.XLOOKUP(A89,Covid!A:A,Covid!I:I,0,0)</f>
        <v>1491</v>
      </c>
      <c r="S89">
        <f>_xlfn.XLOOKUP(A89,Covid!A:A,Covid!K:K,0,0)</f>
        <v>26</v>
      </c>
      <c r="T89" s="145">
        <f>_xlfn.XLOOKUP(A89,Covid!A:A,Covid!K:K,0,0)/_xlfn.XLOOKUP(A89,Covid!A:A,Covid!L:L,0,0)</f>
        <v>2.6130653266331658E-2</v>
      </c>
    </row>
    <row r="90" spans="1:20" x14ac:dyDescent="0.55000000000000004">
      <c r="A90" s="157">
        <v>44071</v>
      </c>
      <c r="B90" s="13">
        <v>916720</v>
      </c>
      <c r="C90" s="13">
        <v>481528</v>
      </c>
      <c r="D90" s="13">
        <v>7332</v>
      </c>
      <c r="E90" s="13">
        <v>654957</v>
      </c>
      <c r="F90" s="13">
        <v>2060537</v>
      </c>
      <c r="G90">
        <f>IF(OR(_xlfn.XLOOKUP(A90,'LPG Fup'!D:D,'LPG Fup'!L:L,"",0)&gt;0.03,_xlfn.XLOOKUP(A90,'LPG Fup'!D:D,'LPG Fup'!L:L,"",0)&lt;-0.03),_xlfn.XLOOKUP(A90,'LPG Fup'!D:D,'LPG Fup'!L:L,0,0),0)</f>
        <v>0</v>
      </c>
      <c r="H90">
        <f>IF(_xlfn.XLOOKUP(A90,'LPG Fup'!D:D,'LPG Fup'!M:M,0,0)="",0,_xlfn.XLOOKUP(A90,'LPG Fup'!D:D,'LPG Fup'!M:M,0,0))</f>
        <v>0</v>
      </c>
      <c r="I90" s="109">
        <f>_xlfn.XLOOKUP(A90,'Rafineri Fiyatları'!A:A,'Rafineri Fiyatları'!B:B,"",0)</f>
        <v>4316.88</v>
      </c>
      <c r="J90">
        <f t="shared" si="4"/>
        <v>2020</v>
      </c>
      <c r="K90">
        <f t="shared" si="5"/>
        <v>8</v>
      </c>
      <c r="L90">
        <f t="shared" si="6"/>
        <v>28</v>
      </c>
      <c r="M90">
        <f t="shared" si="7"/>
        <v>6</v>
      </c>
      <c r="N90">
        <f>_xlfn.XLOOKUP(A90,tatiller!H:H,tatiller!I:I,0,0)</f>
        <v>0</v>
      </c>
      <c r="O90" cm="1">
        <f t="array" ref="O90">_xlfn.IFNA(_xlfn.IFS(L90=1,"A0",A90=EOMONTH(A90,0),"A-1",L90=2,"A+1"),0)</f>
        <v>0</v>
      </c>
      <c r="P90" cm="1">
        <f t="array" ref="P90">_xlfn.IFNA(_xlfn.IFS(AND(_xlfn.XLOOKUP(A90,'LPG Fup'!D:D,'LPG Fup'!M:M,"",0)&lt;&gt;"",_xlfn.XLOOKUP(A90,'LPG Fup'!D:D,'LPG Fup'!M:M,"",0)&gt;0),"Z-1", AND(_xlfn.XLOOKUP(A90+1,'LPG Fup'!D:D,'LPG Fup'!M:M,"",0)&lt;&gt;"",_xlfn.XLOOKUP(A90+1,'LPG Fup'!D:D,'LPG Fup'!M:M,"",0)&gt;0),"Z-2", AND(_xlfn.XLOOKUP(A90-1,'LPG Fup'!D:D,'LPG Fup'!M:M,"",0)&lt;&gt;"",_xlfn.XLOOKUP(A90-1,'LPG Fup'!D:D,'LPG Fup'!M:M,"",0)&gt;0),"Z", AND(_xlfn.XLOOKUP(A90-2,'LPG Fup'!D:D,'LPG Fup'!M:M,"",0)&lt;&gt;"",_xlfn.XLOOKUP(A90-2,'LPG Fup'!D:D,'LPG Fup'!M:M,"",0)&gt;0),"Z+1"),0)</f>
        <v>0</v>
      </c>
      <c r="Q90" cm="1">
        <f t="array" ref="Q90">_xlfn.IFNA(_xlfn.IFS(AND(_xlfn.XLOOKUP(A90,'LPG Fup'!D:D,'LPG Fup'!M:M,"",0)&lt;&gt;"",_xlfn.XLOOKUP(A90,'LPG Fup'!D:D,'LPG Fup'!M:M,"",0)&lt;0),"I-1", AND(_xlfn.XLOOKUP(A90+1,'LPG Fup'!D:D,'LPG Fup'!M:M,"",0)&lt;&gt;"",_xlfn.XLOOKUP(A90+1,'LPG Fup'!D:D,'LPG Fup'!M:M,"",0)&lt;0),"I-2", AND(_xlfn.XLOOKUP(A90-1,'LPG Fup'!D:D,'LPG Fup'!M:M,"",0)&lt;&gt;"",_xlfn.XLOOKUP(A90-1,'LPG Fup'!D:D,'LPG Fup'!M:M,"",0)&lt;0),"I", AND(_xlfn.XLOOKUP(A90-2,'LPG Fup'!D:D,'LPG Fup'!M:M,"",0)&lt;&gt;"",_xlfn.XLOOKUP(A90-2,'LPG Fup'!D:D,'LPG Fup'!M:M,"",0)&lt;0),"I+1"),0)</f>
        <v>0</v>
      </c>
      <c r="R90">
        <f>_xlfn.XLOOKUP(A90,Covid!A:A,Covid!I:I,0,0)</f>
        <v>1517</v>
      </c>
      <c r="S90">
        <f>_xlfn.XLOOKUP(A90,Covid!A:A,Covid!K:K,0,0)</f>
        <v>36</v>
      </c>
      <c r="T90" s="145">
        <f>_xlfn.XLOOKUP(A90,Covid!A:A,Covid!K:K,0,0)/_xlfn.XLOOKUP(A90,Covid!A:A,Covid!L:L,0,0)</f>
        <v>3.5398230088495575E-2</v>
      </c>
    </row>
    <row r="91" spans="1:20" x14ac:dyDescent="0.55000000000000004">
      <c r="A91" s="157">
        <v>44072</v>
      </c>
      <c r="B91" s="13">
        <v>526860</v>
      </c>
      <c r="C91" s="13">
        <v>441788</v>
      </c>
      <c r="D91" s="13">
        <v>9600</v>
      </c>
      <c r="E91" s="13">
        <v>645343</v>
      </c>
      <c r="F91" s="13">
        <v>1623591</v>
      </c>
      <c r="G91">
        <f>IF(OR(_xlfn.XLOOKUP(A91,'LPG Fup'!D:D,'LPG Fup'!L:L,"",0)&gt;0.03,_xlfn.XLOOKUP(A91,'LPG Fup'!D:D,'LPG Fup'!L:L,"",0)&lt;-0.03),_xlfn.XLOOKUP(A91,'LPG Fup'!D:D,'LPG Fup'!L:L,0,0),0)</f>
        <v>0</v>
      </c>
      <c r="H91">
        <f>IF(_xlfn.XLOOKUP(A91,'LPG Fup'!D:D,'LPG Fup'!M:M,0,0)="",0,_xlfn.XLOOKUP(A91,'LPG Fup'!D:D,'LPG Fup'!M:M,0,0))</f>
        <v>0</v>
      </c>
      <c r="I91" s="109">
        <f>_xlfn.XLOOKUP(A91,'Rafineri Fiyatları'!A:A,'Rafineri Fiyatları'!B:B,"",0)</f>
        <v>4316.88</v>
      </c>
      <c r="J91">
        <f t="shared" si="4"/>
        <v>2020</v>
      </c>
      <c r="K91">
        <f t="shared" si="5"/>
        <v>8</v>
      </c>
      <c r="L91">
        <f t="shared" si="6"/>
        <v>29</v>
      </c>
      <c r="M91">
        <f t="shared" si="7"/>
        <v>7</v>
      </c>
      <c r="N91">
        <f>_xlfn.XLOOKUP(A91,tatiller!H:H,tatiller!I:I,0,0)</f>
        <v>0</v>
      </c>
      <c r="O91" cm="1">
        <f t="array" ref="O91">_xlfn.IFNA(_xlfn.IFS(L91=1,"A0",A91=EOMONTH(A91,0),"A-1",L91=2,"A+1"),0)</f>
        <v>0</v>
      </c>
      <c r="P91" cm="1">
        <f t="array" ref="P91">_xlfn.IFNA(_xlfn.IFS(AND(_xlfn.XLOOKUP(A91,'LPG Fup'!D:D,'LPG Fup'!M:M,"",0)&lt;&gt;"",_xlfn.XLOOKUP(A91,'LPG Fup'!D:D,'LPG Fup'!M:M,"",0)&gt;0),"Z-1", AND(_xlfn.XLOOKUP(A91+1,'LPG Fup'!D:D,'LPG Fup'!M:M,"",0)&lt;&gt;"",_xlfn.XLOOKUP(A91+1,'LPG Fup'!D:D,'LPG Fup'!M:M,"",0)&gt;0),"Z-2", AND(_xlfn.XLOOKUP(A91-1,'LPG Fup'!D:D,'LPG Fup'!M:M,"",0)&lt;&gt;"",_xlfn.XLOOKUP(A91-1,'LPG Fup'!D:D,'LPG Fup'!M:M,"",0)&gt;0),"Z", AND(_xlfn.XLOOKUP(A91-2,'LPG Fup'!D:D,'LPG Fup'!M:M,"",0)&lt;&gt;"",_xlfn.XLOOKUP(A91-2,'LPG Fup'!D:D,'LPG Fup'!M:M,"",0)&gt;0),"Z+1"),0)</f>
        <v>0</v>
      </c>
      <c r="Q91" cm="1">
        <f t="array" ref="Q91">_xlfn.IFNA(_xlfn.IFS(AND(_xlfn.XLOOKUP(A91,'LPG Fup'!D:D,'LPG Fup'!M:M,"",0)&lt;&gt;"",_xlfn.XLOOKUP(A91,'LPG Fup'!D:D,'LPG Fup'!M:M,"",0)&lt;0),"I-1", AND(_xlfn.XLOOKUP(A91+1,'LPG Fup'!D:D,'LPG Fup'!M:M,"",0)&lt;&gt;"",_xlfn.XLOOKUP(A91+1,'LPG Fup'!D:D,'LPG Fup'!M:M,"",0)&lt;0),"I-2", AND(_xlfn.XLOOKUP(A91-1,'LPG Fup'!D:D,'LPG Fup'!M:M,"",0)&lt;&gt;"",_xlfn.XLOOKUP(A91-1,'LPG Fup'!D:D,'LPG Fup'!M:M,"",0)&lt;0),"I", AND(_xlfn.XLOOKUP(A91-2,'LPG Fup'!D:D,'LPG Fup'!M:M,"",0)&lt;&gt;"",_xlfn.XLOOKUP(A91-2,'LPG Fup'!D:D,'LPG Fup'!M:M,"",0)&lt;0),"I+1"),0)</f>
        <v>0</v>
      </c>
      <c r="R91">
        <f>_xlfn.XLOOKUP(A91,Covid!A:A,Covid!I:I,0,0)</f>
        <v>1549</v>
      </c>
      <c r="S91">
        <f>_xlfn.XLOOKUP(A91,Covid!A:A,Covid!K:K,0,0)</f>
        <v>39</v>
      </c>
      <c r="T91" s="145">
        <f>_xlfn.XLOOKUP(A91,Covid!A:A,Covid!K:K,0,0)/_xlfn.XLOOKUP(A91,Covid!A:A,Covid!L:L,0,0)</f>
        <v>3.8883349950149554E-2</v>
      </c>
    </row>
    <row r="92" spans="1:20" x14ac:dyDescent="0.55000000000000004">
      <c r="A92" s="157">
        <v>44073</v>
      </c>
      <c r="B92" s="13">
        <v>569860</v>
      </c>
      <c r="C92" s="13">
        <v>720</v>
      </c>
      <c r="D92" s="13">
        <v>0</v>
      </c>
      <c r="E92" s="13">
        <v>549477</v>
      </c>
      <c r="F92" s="13">
        <v>1120057</v>
      </c>
      <c r="G92">
        <f>IF(OR(_xlfn.XLOOKUP(A92,'LPG Fup'!D:D,'LPG Fup'!L:L,"",0)&gt;0.03,_xlfn.XLOOKUP(A92,'LPG Fup'!D:D,'LPG Fup'!L:L,"",0)&lt;-0.03),_xlfn.XLOOKUP(A92,'LPG Fup'!D:D,'LPG Fup'!L:L,0,0),0)</f>
        <v>0</v>
      </c>
      <c r="H92">
        <f>IF(_xlfn.XLOOKUP(A92,'LPG Fup'!D:D,'LPG Fup'!M:M,0,0)="",0,_xlfn.XLOOKUP(A92,'LPG Fup'!D:D,'LPG Fup'!M:M,0,0))</f>
        <v>0</v>
      </c>
      <c r="I92" s="109">
        <f>_xlfn.XLOOKUP(A92,'Rafineri Fiyatları'!A:A,'Rafineri Fiyatları'!B:B,"",0)</f>
        <v>4316.88</v>
      </c>
      <c r="J92">
        <f t="shared" si="4"/>
        <v>2020</v>
      </c>
      <c r="K92">
        <f t="shared" si="5"/>
        <v>8</v>
      </c>
      <c r="L92">
        <f t="shared" si="6"/>
        <v>30</v>
      </c>
      <c r="M92">
        <f t="shared" si="7"/>
        <v>1</v>
      </c>
      <c r="N92" t="str">
        <f>_xlfn.XLOOKUP(A92,tatiller!H:H,tatiller!I:I,0,0)</f>
        <v>T</v>
      </c>
      <c r="O92" cm="1">
        <f t="array" ref="O92">_xlfn.IFNA(_xlfn.IFS(L92=1,"A0",A92=EOMONTH(A92,0),"A-1",L92=2,"A+1"),0)</f>
        <v>0</v>
      </c>
      <c r="P92" cm="1">
        <f t="array" ref="P92">_xlfn.IFNA(_xlfn.IFS(AND(_xlfn.XLOOKUP(A92,'LPG Fup'!D:D,'LPG Fup'!M:M,"",0)&lt;&gt;"",_xlfn.XLOOKUP(A92,'LPG Fup'!D:D,'LPG Fup'!M:M,"",0)&gt;0),"Z-1", AND(_xlfn.XLOOKUP(A92+1,'LPG Fup'!D:D,'LPG Fup'!M:M,"",0)&lt;&gt;"",_xlfn.XLOOKUP(A92+1,'LPG Fup'!D:D,'LPG Fup'!M:M,"",0)&gt;0),"Z-2", AND(_xlfn.XLOOKUP(A92-1,'LPG Fup'!D:D,'LPG Fup'!M:M,"",0)&lt;&gt;"",_xlfn.XLOOKUP(A92-1,'LPG Fup'!D:D,'LPG Fup'!M:M,"",0)&gt;0),"Z", AND(_xlfn.XLOOKUP(A92-2,'LPG Fup'!D:D,'LPG Fup'!M:M,"",0)&lt;&gt;"",_xlfn.XLOOKUP(A92-2,'LPG Fup'!D:D,'LPG Fup'!M:M,"",0)&gt;0),"Z+1"),0)</f>
        <v>0</v>
      </c>
      <c r="Q92" cm="1">
        <f t="array" ref="Q92">_xlfn.IFNA(_xlfn.IFS(AND(_xlfn.XLOOKUP(A92,'LPG Fup'!D:D,'LPG Fup'!M:M,"",0)&lt;&gt;"",_xlfn.XLOOKUP(A92,'LPG Fup'!D:D,'LPG Fup'!M:M,"",0)&lt;0),"I-1", AND(_xlfn.XLOOKUP(A92+1,'LPG Fup'!D:D,'LPG Fup'!M:M,"",0)&lt;&gt;"",_xlfn.XLOOKUP(A92+1,'LPG Fup'!D:D,'LPG Fup'!M:M,"",0)&lt;0),"I-2", AND(_xlfn.XLOOKUP(A92-1,'LPG Fup'!D:D,'LPG Fup'!M:M,"",0)&lt;&gt;"",_xlfn.XLOOKUP(A92-1,'LPG Fup'!D:D,'LPG Fup'!M:M,"",0)&lt;0),"I", AND(_xlfn.XLOOKUP(A92-2,'LPG Fup'!D:D,'LPG Fup'!M:M,"",0)&lt;&gt;"",_xlfn.XLOOKUP(A92-2,'LPG Fup'!D:D,'LPG Fup'!M:M,"",0)&lt;0),"I+1"),0)</f>
        <v>0</v>
      </c>
      <c r="R92">
        <f>_xlfn.XLOOKUP(A92,Covid!A:A,Covid!I:I,0,0)</f>
        <v>1482</v>
      </c>
      <c r="S92">
        <f>_xlfn.XLOOKUP(A92,Covid!A:A,Covid!K:K,0,0)</f>
        <v>42</v>
      </c>
      <c r="T92" s="145">
        <f>_xlfn.XLOOKUP(A92,Covid!A:A,Covid!K:K,0,0)/_xlfn.XLOOKUP(A92,Covid!A:A,Covid!L:L,0,0)</f>
        <v>4.0895813047711782E-2</v>
      </c>
    </row>
    <row r="93" spans="1:20" x14ac:dyDescent="0.55000000000000004">
      <c r="A93" s="157">
        <v>44074</v>
      </c>
      <c r="B93" s="13">
        <v>1633420</v>
      </c>
      <c r="C93" s="13">
        <v>810117</v>
      </c>
      <c r="D93" s="13">
        <v>5113</v>
      </c>
      <c r="E93" s="13">
        <v>681829</v>
      </c>
      <c r="F93" s="13">
        <v>3130479</v>
      </c>
      <c r="G93">
        <f>IF(OR(_xlfn.XLOOKUP(A93,'LPG Fup'!D:D,'LPG Fup'!L:L,"",0)&gt;0.03,_xlfn.XLOOKUP(A93,'LPG Fup'!D:D,'LPG Fup'!L:L,"",0)&lt;-0.03),_xlfn.XLOOKUP(A93,'LPG Fup'!D:D,'LPG Fup'!L:L,0,0),0)</f>
        <v>0</v>
      </c>
      <c r="H93">
        <f>IF(_xlfn.XLOOKUP(A93,'LPG Fup'!D:D,'LPG Fup'!M:M,0,0)="",0,_xlfn.XLOOKUP(A93,'LPG Fup'!D:D,'LPG Fup'!M:M,0,0))</f>
        <v>0</v>
      </c>
      <c r="I93" s="109">
        <f>_xlfn.XLOOKUP(A93,'Rafineri Fiyatları'!A:A,'Rafineri Fiyatları'!B:B,"",0)</f>
        <v>4316.88</v>
      </c>
      <c r="J93">
        <f t="shared" si="4"/>
        <v>2020</v>
      </c>
      <c r="K93">
        <f t="shared" si="5"/>
        <v>8</v>
      </c>
      <c r="L93">
        <f t="shared" si="6"/>
        <v>31</v>
      </c>
      <c r="M93">
        <f t="shared" si="7"/>
        <v>2</v>
      </c>
      <c r="N93">
        <f>_xlfn.XLOOKUP(A93,tatiller!H:H,tatiller!I:I,0,0)</f>
        <v>0</v>
      </c>
      <c r="O93" t="str" cm="1">
        <f t="array" ref="O93">_xlfn.IFNA(_xlfn.IFS(L93=1,"A0",A93=EOMONTH(A93,0),"A-1",L93=2,"A+1"),0)</f>
        <v>A-1</v>
      </c>
      <c r="P93" cm="1">
        <f t="array" ref="P93">_xlfn.IFNA(_xlfn.IFS(AND(_xlfn.XLOOKUP(A93,'LPG Fup'!D:D,'LPG Fup'!M:M,"",0)&lt;&gt;"",_xlfn.XLOOKUP(A93,'LPG Fup'!D:D,'LPG Fup'!M:M,"",0)&gt;0),"Z-1", AND(_xlfn.XLOOKUP(A93+1,'LPG Fup'!D:D,'LPG Fup'!M:M,"",0)&lt;&gt;"",_xlfn.XLOOKUP(A93+1,'LPG Fup'!D:D,'LPG Fup'!M:M,"",0)&gt;0),"Z-2", AND(_xlfn.XLOOKUP(A93-1,'LPG Fup'!D:D,'LPG Fup'!M:M,"",0)&lt;&gt;"",_xlfn.XLOOKUP(A93-1,'LPG Fup'!D:D,'LPG Fup'!M:M,"",0)&gt;0),"Z", AND(_xlfn.XLOOKUP(A93-2,'LPG Fup'!D:D,'LPG Fup'!M:M,"",0)&lt;&gt;"",_xlfn.XLOOKUP(A93-2,'LPG Fup'!D:D,'LPG Fup'!M:M,"",0)&gt;0),"Z+1"),0)</f>
        <v>0</v>
      </c>
      <c r="Q93" cm="1">
        <f t="array" ref="Q93">_xlfn.IFNA(_xlfn.IFS(AND(_xlfn.XLOOKUP(A93,'LPG Fup'!D:D,'LPG Fup'!M:M,"",0)&lt;&gt;"",_xlfn.XLOOKUP(A93,'LPG Fup'!D:D,'LPG Fup'!M:M,"",0)&lt;0),"I-1", AND(_xlfn.XLOOKUP(A93+1,'LPG Fup'!D:D,'LPG Fup'!M:M,"",0)&lt;&gt;"",_xlfn.XLOOKUP(A93+1,'LPG Fup'!D:D,'LPG Fup'!M:M,"",0)&lt;0),"I-2", AND(_xlfn.XLOOKUP(A93-1,'LPG Fup'!D:D,'LPG Fup'!M:M,"",0)&lt;&gt;"",_xlfn.XLOOKUP(A93-1,'LPG Fup'!D:D,'LPG Fup'!M:M,"",0)&lt;0),"I", AND(_xlfn.XLOOKUP(A93-2,'LPG Fup'!D:D,'LPG Fup'!M:M,"",0)&lt;&gt;"",_xlfn.XLOOKUP(A93-2,'LPG Fup'!D:D,'LPG Fup'!M:M,"",0)&lt;0),"I+1"),0)</f>
        <v>0</v>
      </c>
      <c r="R93">
        <f>_xlfn.XLOOKUP(A93,Covid!A:A,Covid!I:I,0,0)</f>
        <v>1587</v>
      </c>
      <c r="S93">
        <f>_xlfn.XLOOKUP(A93,Covid!A:A,Covid!K:K,0,0)</f>
        <v>44</v>
      </c>
      <c r="T93" s="145">
        <f>_xlfn.XLOOKUP(A93,Covid!A:A,Covid!K:K,0,0)/_xlfn.XLOOKUP(A93,Covid!A:A,Covid!L:L,0,0)</f>
        <v>4.0478380864765406E-2</v>
      </c>
    </row>
    <row r="94" spans="1:20" x14ac:dyDescent="0.55000000000000004">
      <c r="A94" s="157">
        <v>44075</v>
      </c>
      <c r="B94" s="13">
        <v>497400</v>
      </c>
      <c r="C94" s="13">
        <v>489863</v>
      </c>
      <c r="D94" s="13">
        <v>0</v>
      </c>
      <c r="E94" s="13">
        <v>581010</v>
      </c>
      <c r="F94" s="13">
        <v>1568273</v>
      </c>
      <c r="G94">
        <f>IF(OR(_xlfn.XLOOKUP(A94,'LPG Fup'!D:D,'LPG Fup'!L:L,"",0)&gt;0.03,_xlfn.XLOOKUP(A94,'LPG Fup'!D:D,'LPG Fup'!L:L,"",0)&lt;-0.03),_xlfn.XLOOKUP(A94,'LPG Fup'!D:D,'LPG Fup'!L:L,0,0),0)</f>
        <v>0</v>
      </c>
      <c r="H94">
        <f>IF(_xlfn.XLOOKUP(A94,'LPG Fup'!D:D,'LPG Fup'!M:M,0,0)="",0,_xlfn.XLOOKUP(A94,'LPG Fup'!D:D,'LPG Fup'!M:M,0,0))</f>
        <v>0</v>
      </c>
      <c r="I94" s="109">
        <f>_xlfn.XLOOKUP(A94,'Rafineri Fiyatları'!A:A,'Rafineri Fiyatları'!B:B,"",0)</f>
        <v>4316.88</v>
      </c>
      <c r="J94">
        <f t="shared" si="4"/>
        <v>2020</v>
      </c>
      <c r="K94">
        <f t="shared" si="5"/>
        <v>9</v>
      </c>
      <c r="L94">
        <f t="shared" si="6"/>
        <v>1</v>
      </c>
      <c r="M94">
        <f t="shared" si="7"/>
        <v>3</v>
      </c>
      <c r="N94">
        <f>_xlfn.XLOOKUP(A94,tatiller!H:H,tatiller!I:I,0,0)</f>
        <v>0</v>
      </c>
      <c r="O94" t="str" cm="1">
        <f t="array" ref="O94">_xlfn.IFNA(_xlfn.IFS(L94=1,"A0",A94=EOMONTH(A94,0),"A-1",L94=2,"A+1"),0)</f>
        <v>A0</v>
      </c>
      <c r="P94" cm="1">
        <f t="array" ref="P94">_xlfn.IFNA(_xlfn.IFS(AND(_xlfn.XLOOKUP(A94,'LPG Fup'!D:D,'LPG Fup'!M:M,"",0)&lt;&gt;"",_xlfn.XLOOKUP(A94,'LPG Fup'!D:D,'LPG Fup'!M:M,"",0)&gt;0),"Z-1", AND(_xlfn.XLOOKUP(A94+1,'LPG Fup'!D:D,'LPG Fup'!M:M,"",0)&lt;&gt;"",_xlfn.XLOOKUP(A94+1,'LPG Fup'!D:D,'LPG Fup'!M:M,"",0)&gt;0),"Z-2", AND(_xlfn.XLOOKUP(A94-1,'LPG Fup'!D:D,'LPG Fup'!M:M,"",0)&lt;&gt;"",_xlfn.XLOOKUP(A94-1,'LPG Fup'!D:D,'LPG Fup'!M:M,"",0)&gt;0),"Z", AND(_xlfn.XLOOKUP(A94-2,'LPG Fup'!D:D,'LPG Fup'!M:M,"",0)&lt;&gt;"",_xlfn.XLOOKUP(A94-2,'LPG Fup'!D:D,'LPG Fup'!M:M,"",0)&gt;0),"Z+1"),0)</f>
        <v>0</v>
      </c>
      <c r="Q94" cm="1">
        <f t="array" ref="Q94">_xlfn.IFNA(_xlfn.IFS(AND(_xlfn.XLOOKUP(A94,'LPG Fup'!D:D,'LPG Fup'!M:M,"",0)&lt;&gt;"",_xlfn.XLOOKUP(A94,'LPG Fup'!D:D,'LPG Fup'!M:M,"",0)&lt;0),"I-1", AND(_xlfn.XLOOKUP(A94+1,'LPG Fup'!D:D,'LPG Fup'!M:M,"",0)&lt;&gt;"",_xlfn.XLOOKUP(A94+1,'LPG Fup'!D:D,'LPG Fup'!M:M,"",0)&lt;0),"I-2", AND(_xlfn.XLOOKUP(A94-1,'LPG Fup'!D:D,'LPG Fup'!M:M,"",0)&lt;&gt;"",_xlfn.XLOOKUP(A94-1,'LPG Fup'!D:D,'LPG Fup'!M:M,"",0)&lt;0),"I", AND(_xlfn.XLOOKUP(A94-2,'LPG Fup'!D:D,'LPG Fup'!M:M,"",0)&lt;&gt;"",_xlfn.XLOOKUP(A94-2,'LPG Fup'!D:D,'LPG Fup'!M:M,"",0)&lt;0),"I+1"),0)</f>
        <v>0</v>
      </c>
      <c r="R94">
        <f>_xlfn.XLOOKUP(A94,Covid!A:A,Covid!I:I,0,0)</f>
        <v>1572</v>
      </c>
      <c r="S94">
        <f>_xlfn.XLOOKUP(A94,Covid!A:A,Covid!K:K,0,0)</f>
        <v>47</v>
      </c>
      <c r="T94" s="145">
        <f>_xlfn.XLOOKUP(A94,Covid!A:A,Covid!K:K,0,0)/_xlfn.XLOOKUP(A94,Covid!A:A,Covid!L:L,0,0)</f>
        <v>4.6859421734795612E-2</v>
      </c>
    </row>
    <row r="95" spans="1:20" x14ac:dyDescent="0.55000000000000004">
      <c r="A95" s="157">
        <v>44076</v>
      </c>
      <c r="B95" s="13">
        <v>704560</v>
      </c>
      <c r="C95" s="13">
        <v>497815</v>
      </c>
      <c r="D95" s="13">
        <v>5350</v>
      </c>
      <c r="E95" s="13">
        <v>620835</v>
      </c>
      <c r="F95" s="13">
        <v>1828560</v>
      </c>
      <c r="G95">
        <f>IF(OR(_xlfn.XLOOKUP(A95,'LPG Fup'!D:D,'LPG Fup'!L:L,"",0)&gt;0.03,_xlfn.XLOOKUP(A95,'LPG Fup'!D:D,'LPG Fup'!L:L,"",0)&lt;-0.03),_xlfn.XLOOKUP(A95,'LPG Fup'!D:D,'LPG Fup'!L:L,0,0),0)</f>
        <v>0</v>
      </c>
      <c r="H95">
        <f>IF(_xlfn.XLOOKUP(A95,'LPG Fup'!D:D,'LPG Fup'!M:M,0,0)="",0,_xlfn.XLOOKUP(A95,'LPG Fup'!D:D,'LPG Fup'!M:M,0,0))</f>
        <v>0</v>
      </c>
      <c r="I95" s="109">
        <f>_xlfn.XLOOKUP(A95,'Rafineri Fiyatları'!A:A,'Rafineri Fiyatları'!B:B,"",0)</f>
        <v>4316.88</v>
      </c>
      <c r="J95">
        <f t="shared" si="4"/>
        <v>2020</v>
      </c>
      <c r="K95">
        <f t="shared" si="5"/>
        <v>9</v>
      </c>
      <c r="L95">
        <f t="shared" si="6"/>
        <v>2</v>
      </c>
      <c r="M95">
        <f t="shared" si="7"/>
        <v>4</v>
      </c>
      <c r="N95">
        <f>_xlfn.XLOOKUP(A95,tatiller!H:H,tatiller!I:I,0,0)</f>
        <v>0</v>
      </c>
      <c r="O95" t="str" cm="1">
        <f t="array" ref="O95">_xlfn.IFNA(_xlfn.IFS(L95=1,"A0",A95=EOMONTH(A95,0),"A-1",L95=2,"A+1"),0)</f>
        <v>A+1</v>
      </c>
      <c r="P95" t="str" cm="1">
        <f t="array" ref="P95">_xlfn.IFNA(_xlfn.IFS(AND(_xlfn.XLOOKUP(A95,'LPG Fup'!D:D,'LPG Fup'!M:M,"",0)&lt;&gt;"",_xlfn.XLOOKUP(A95,'LPG Fup'!D:D,'LPG Fup'!M:M,"",0)&gt;0),"Z-1", AND(_xlfn.XLOOKUP(A95+1,'LPG Fup'!D:D,'LPG Fup'!M:M,"",0)&lt;&gt;"",_xlfn.XLOOKUP(A95+1,'LPG Fup'!D:D,'LPG Fup'!M:M,"",0)&gt;0),"Z-2", AND(_xlfn.XLOOKUP(A95-1,'LPG Fup'!D:D,'LPG Fup'!M:M,"",0)&lt;&gt;"",_xlfn.XLOOKUP(A95-1,'LPG Fup'!D:D,'LPG Fup'!M:M,"",0)&gt;0),"Z", AND(_xlfn.XLOOKUP(A95-2,'LPG Fup'!D:D,'LPG Fup'!M:M,"",0)&lt;&gt;"",_xlfn.XLOOKUP(A95-2,'LPG Fup'!D:D,'LPG Fup'!M:M,"",0)&gt;0),"Z+1"),0)</f>
        <v>Z-2</v>
      </c>
      <c r="Q95" cm="1">
        <f t="array" ref="Q95">_xlfn.IFNA(_xlfn.IFS(AND(_xlfn.XLOOKUP(A95,'LPG Fup'!D:D,'LPG Fup'!M:M,"",0)&lt;&gt;"",_xlfn.XLOOKUP(A95,'LPG Fup'!D:D,'LPG Fup'!M:M,"",0)&lt;0),"I-1", AND(_xlfn.XLOOKUP(A95+1,'LPG Fup'!D:D,'LPG Fup'!M:M,"",0)&lt;&gt;"",_xlfn.XLOOKUP(A95+1,'LPG Fup'!D:D,'LPG Fup'!M:M,"",0)&lt;0),"I-2", AND(_xlfn.XLOOKUP(A95-1,'LPG Fup'!D:D,'LPG Fup'!M:M,"",0)&lt;&gt;"",_xlfn.XLOOKUP(A95-1,'LPG Fup'!D:D,'LPG Fup'!M:M,"",0)&lt;0),"I", AND(_xlfn.XLOOKUP(A95-2,'LPG Fup'!D:D,'LPG Fup'!M:M,"",0)&lt;&gt;"",_xlfn.XLOOKUP(A95-2,'LPG Fup'!D:D,'LPG Fup'!M:M,"",0)&lt;0),"I+1"),0)</f>
        <v>0</v>
      </c>
      <c r="R95">
        <f>_xlfn.XLOOKUP(A95,Covid!A:A,Covid!I:I,0,0)</f>
        <v>1596</v>
      </c>
      <c r="S95">
        <f>_xlfn.XLOOKUP(A95,Covid!A:A,Covid!K:K,0,0)</f>
        <v>45</v>
      </c>
      <c r="T95" s="145">
        <f>_xlfn.XLOOKUP(A95,Covid!A:A,Covid!K:K,0,0)/_xlfn.XLOOKUP(A95,Covid!A:A,Covid!L:L,0,0)</f>
        <v>4.7518479408658922E-2</v>
      </c>
    </row>
    <row r="96" spans="1:20" x14ac:dyDescent="0.55000000000000004">
      <c r="A96" s="157">
        <v>44077</v>
      </c>
      <c r="B96" s="13">
        <v>453420</v>
      </c>
      <c r="C96" s="13">
        <v>536036</v>
      </c>
      <c r="D96" s="13">
        <v>4301</v>
      </c>
      <c r="E96" s="13">
        <v>614888</v>
      </c>
      <c r="F96" s="13">
        <v>1608645</v>
      </c>
      <c r="G96">
        <f>IF(OR(_xlfn.XLOOKUP(A96,'LPG Fup'!D:D,'LPG Fup'!L:L,"",0)&gt;0.03,_xlfn.XLOOKUP(A96,'LPG Fup'!D:D,'LPG Fup'!L:L,"",0)&lt;-0.03),_xlfn.XLOOKUP(A96,'LPG Fup'!D:D,'LPG Fup'!L:L,0,0),0)</f>
        <v>4.3471156748195516E-2</v>
      </c>
      <c r="H96">
        <f>IF(_xlfn.XLOOKUP(A96,'LPG Fup'!D:D,'LPG Fup'!M:M,0,0)="",0,_xlfn.XLOOKUP(A96,'LPG Fup'!D:D,'LPG Fup'!M:M,0,0))</f>
        <v>201.59900000000016</v>
      </c>
      <c r="I96" s="109">
        <f>_xlfn.XLOOKUP(A96,'Rafineri Fiyatları'!A:A,'Rafineri Fiyatları'!B:B,"",0)</f>
        <v>4316.88</v>
      </c>
      <c r="J96">
        <f t="shared" si="4"/>
        <v>2020</v>
      </c>
      <c r="K96">
        <f t="shared" si="5"/>
        <v>9</v>
      </c>
      <c r="L96">
        <f t="shared" si="6"/>
        <v>3</v>
      </c>
      <c r="M96">
        <f t="shared" si="7"/>
        <v>5</v>
      </c>
      <c r="N96">
        <f>_xlfn.XLOOKUP(A96,tatiller!H:H,tatiller!I:I,0,0)</f>
        <v>0</v>
      </c>
      <c r="O96" cm="1">
        <f t="array" ref="O96">_xlfn.IFNA(_xlfn.IFS(L96=1,"A0",A96=EOMONTH(A96,0),"A-1",L96=2,"A+1"),0)</f>
        <v>0</v>
      </c>
      <c r="P96" t="str" cm="1">
        <f t="array" ref="P96">_xlfn.IFNA(_xlfn.IFS(AND(_xlfn.XLOOKUP(A96,'LPG Fup'!D:D,'LPG Fup'!M:M,"",0)&lt;&gt;"",_xlfn.XLOOKUP(A96,'LPG Fup'!D:D,'LPG Fup'!M:M,"",0)&gt;0),"Z-1", AND(_xlfn.XLOOKUP(A96+1,'LPG Fup'!D:D,'LPG Fup'!M:M,"",0)&lt;&gt;"",_xlfn.XLOOKUP(A96+1,'LPG Fup'!D:D,'LPG Fup'!M:M,"",0)&gt;0),"Z-2", AND(_xlfn.XLOOKUP(A96-1,'LPG Fup'!D:D,'LPG Fup'!M:M,"",0)&lt;&gt;"",_xlfn.XLOOKUP(A96-1,'LPG Fup'!D:D,'LPG Fup'!M:M,"",0)&gt;0),"Z", AND(_xlfn.XLOOKUP(A96-2,'LPG Fup'!D:D,'LPG Fup'!M:M,"",0)&lt;&gt;"",_xlfn.XLOOKUP(A96-2,'LPG Fup'!D:D,'LPG Fup'!M:M,"",0)&gt;0),"Z+1"),0)</f>
        <v>Z-1</v>
      </c>
      <c r="Q96" cm="1">
        <f t="array" ref="Q96">_xlfn.IFNA(_xlfn.IFS(AND(_xlfn.XLOOKUP(A96,'LPG Fup'!D:D,'LPG Fup'!M:M,"",0)&lt;&gt;"",_xlfn.XLOOKUP(A96,'LPG Fup'!D:D,'LPG Fup'!M:M,"",0)&lt;0),"I-1", AND(_xlfn.XLOOKUP(A96+1,'LPG Fup'!D:D,'LPG Fup'!M:M,"",0)&lt;&gt;"",_xlfn.XLOOKUP(A96+1,'LPG Fup'!D:D,'LPG Fup'!M:M,"",0)&lt;0),"I-2", AND(_xlfn.XLOOKUP(A96-1,'LPG Fup'!D:D,'LPG Fup'!M:M,"",0)&lt;&gt;"",_xlfn.XLOOKUP(A96-1,'LPG Fup'!D:D,'LPG Fup'!M:M,"",0)&lt;0),"I", AND(_xlfn.XLOOKUP(A96-2,'LPG Fup'!D:D,'LPG Fup'!M:M,"",0)&lt;&gt;"",_xlfn.XLOOKUP(A96-2,'LPG Fup'!D:D,'LPG Fup'!M:M,"",0)&lt;0),"I+1"),0)</f>
        <v>0</v>
      </c>
      <c r="R96">
        <f>_xlfn.XLOOKUP(A96,Covid!A:A,Covid!I:I,0,0)</f>
        <v>1642</v>
      </c>
      <c r="S96">
        <f>_xlfn.XLOOKUP(A96,Covid!A:A,Covid!K:K,0,0)</f>
        <v>49</v>
      </c>
      <c r="T96" s="145">
        <f>_xlfn.XLOOKUP(A96,Covid!A:A,Covid!K:K,0,0)/_xlfn.XLOOKUP(A96,Covid!A:A,Covid!L:L,0,0)</f>
        <v>4.046242774566474E-2</v>
      </c>
    </row>
    <row r="97" spans="1:20" x14ac:dyDescent="0.55000000000000004">
      <c r="A97" s="157">
        <v>44078</v>
      </c>
      <c r="B97" s="13">
        <v>265940</v>
      </c>
      <c r="C97" s="13">
        <v>279224</v>
      </c>
      <c r="D97" s="13">
        <v>16352</v>
      </c>
      <c r="E97" s="13">
        <v>370138</v>
      </c>
      <c r="F97" s="13">
        <v>931654</v>
      </c>
      <c r="G97">
        <f>IF(OR(_xlfn.XLOOKUP(A97,'LPG Fup'!D:D,'LPG Fup'!L:L,"",0)&gt;0.03,_xlfn.XLOOKUP(A97,'LPG Fup'!D:D,'LPG Fup'!L:L,"",0)&lt;-0.03),_xlfn.XLOOKUP(A97,'LPG Fup'!D:D,'LPG Fup'!L:L,0,0),0)</f>
        <v>0</v>
      </c>
      <c r="H97">
        <f>IF(_xlfn.XLOOKUP(A97,'LPG Fup'!D:D,'LPG Fup'!M:M,0,0)="",0,_xlfn.XLOOKUP(A97,'LPG Fup'!D:D,'LPG Fup'!M:M,0,0))</f>
        <v>0</v>
      </c>
      <c r="I97" s="109">
        <f>_xlfn.XLOOKUP(A97,'Rafineri Fiyatları'!A:A,'Rafineri Fiyatları'!B:B,"",0)</f>
        <v>4466.28</v>
      </c>
      <c r="J97">
        <f t="shared" si="4"/>
        <v>2020</v>
      </c>
      <c r="K97">
        <f t="shared" si="5"/>
        <v>9</v>
      </c>
      <c r="L97">
        <f t="shared" si="6"/>
        <v>4</v>
      </c>
      <c r="M97">
        <f t="shared" si="7"/>
        <v>6</v>
      </c>
      <c r="N97">
        <f>_xlfn.XLOOKUP(A97,tatiller!H:H,tatiller!I:I,0,0)</f>
        <v>0</v>
      </c>
      <c r="O97" cm="1">
        <f t="array" ref="O97">_xlfn.IFNA(_xlfn.IFS(L97=1,"A0",A97=EOMONTH(A97,0),"A-1",L97=2,"A+1"),0)</f>
        <v>0</v>
      </c>
      <c r="P97" t="str" cm="1">
        <f t="array" ref="P97">_xlfn.IFNA(_xlfn.IFS(AND(_xlfn.XLOOKUP(A97,'LPG Fup'!D:D,'LPG Fup'!M:M,"",0)&lt;&gt;"",_xlfn.XLOOKUP(A97,'LPG Fup'!D:D,'LPG Fup'!M:M,"",0)&gt;0),"Z-1", AND(_xlfn.XLOOKUP(A97+1,'LPG Fup'!D:D,'LPG Fup'!M:M,"",0)&lt;&gt;"",_xlfn.XLOOKUP(A97+1,'LPG Fup'!D:D,'LPG Fup'!M:M,"",0)&gt;0),"Z-2", AND(_xlfn.XLOOKUP(A97-1,'LPG Fup'!D:D,'LPG Fup'!M:M,"",0)&lt;&gt;"",_xlfn.XLOOKUP(A97-1,'LPG Fup'!D:D,'LPG Fup'!M:M,"",0)&gt;0),"Z", AND(_xlfn.XLOOKUP(A97-2,'LPG Fup'!D:D,'LPG Fup'!M:M,"",0)&lt;&gt;"",_xlfn.XLOOKUP(A97-2,'LPG Fup'!D:D,'LPG Fup'!M:M,"",0)&gt;0),"Z+1"),0)</f>
        <v>Z</v>
      </c>
      <c r="Q97" cm="1">
        <f t="array" ref="Q97">_xlfn.IFNA(_xlfn.IFS(AND(_xlfn.XLOOKUP(A97,'LPG Fup'!D:D,'LPG Fup'!M:M,"",0)&lt;&gt;"",_xlfn.XLOOKUP(A97,'LPG Fup'!D:D,'LPG Fup'!M:M,"",0)&lt;0),"I-1", AND(_xlfn.XLOOKUP(A97+1,'LPG Fup'!D:D,'LPG Fup'!M:M,"",0)&lt;&gt;"",_xlfn.XLOOKUP(A97+1,'LPG Fup'!D:D,'LPG Fup'!M:M,"",0)&lt;0),"I-2", AND(_xlfn.XLOOKUP(A97-1,'LPG Fup'!D:D,'LPG Fup'!M:M,"",0)&lt;&gt;"",_xlfn.XLOOKUP(A97-1,'LPG Fup'!D:D,'LPG Fup'!M:M,"",0)&lt;0),"I", AND(_xlfn.XLOOKUP(A97-2,'LPG Fup'!D:D,'LPG Fup'!M:M,"",0)&lt;&gt;"",_xlfn.XLOOKUP(A97-2,'LPG Fup'!D:D,'LPG Fup'!M:M,"",0)&lt;0),"I+1"),0)</f>
        <v>0</v>
      </c>
      <c r="R97">
        <f>_xlfn.XLOOKUP(A97,Covid!A:A,Covid!I:I,0,0)</f>
        <v>1612</v>
      </c>
      <c r="S97">
        <f>_xlfn.XLOOKUP(A97,Covid!A:A,Covid!K:K,0,0)</f>
        <v>53</v>
      </c>
      <c r="T97" s="145">
        <f>_xlfn.XLOOKUP(A97,Covid!A:A,Covid!K:K,0,0)/_xlfn.XLOOKUP(A97,Covid!A:A,Covid!L:L,0,0)</f>
        <v>5.190989226248776E-2</v>
      </c>
    </row>
    <row r="98" spans="1:20" x14ac:dyDescent="0.55000000000000004">
      <c r="A98" s="157">
        <v>44079</v>
      </c>
      <c r="B98" s="13">
        <v>566600</v>
      </c>
      <c r="C98" s="13">
        <v>275149</v>
      </c>
      <c r="D98" s="13">
        <v>4704</v>
      </c>
      <c r="E98" s="13">
        <v>670066</v>
      </c>
      <c r="F98" s="13">
        <v>1516519</v>
      </c>
      <c r="G98">
        <f>IF(OR(_xlfn.XLOOKUP(A98,'LPG Fup'!D:D,'LPG Fup'!L:L,"",0)&gt;0.03,_xlfn.XLOOKUP(A98,'LPG Fup'!D:D,'LPG Fup'!L:L,"",0)&lt;-0.03),_xlfn.XLOOKUP(A98,'LPG Fup'!D:D,'LPG Fup'!L:L,0,0),0)</f>
        <v>0</v>
      </c>
      <c r="H98">
        <f>IF(_xlfn.XLOOKUP(A98,'LPG Fup'!D:D,'LPG Fup'!M:M,0,0)="",0,_xlfn.XLOOKUP(A98,'LPG Fup'!D:D,'LPG Fup'!M:M,0,0))</f>
        <v>0</v>
      </c>
      <c r="I98" s="109">
        <f>_xlfn.XLOOKUP(A98,'Rafineri Fiyatları'!A:A,'Rafineri Fiyatları'!B:B,"",0)</f>
        <v>4466.28</v>
      </c>
      <c r="J98">
        <f t="shared" si="4"/>
        <v>2020</v>
      </c>
      <c r="K98">
        <f t="shared" si="5"/>
        <v>9</v>
      </c>
      <c r="L98">
        <f t="shared" si="6"/>
        <v>5</v>
      </c>
      <c r="M98">
        <f t="shared" si="7"/>
        <v>7</v>
      </c>
      <c r="N98">
        <f>_xlfn.XLOOKUP(A98,tatiller!H:H,tatiller!I:I,0,0)</f>
        <v>0</v>
      </c>
      <c r="O98" cm="1">
        <f t="array" ref="O98">_xlfn.IFNA(_xlfn.IFS(L98=1,"A0",A98=EOMONTH(A98,0),"A-1",L98=2,"A+1"),0)</f>
        <v>0</v>
      </c>
      <c r="P98" t="str" cm="1">
        <f t="array" ref="P98">_xlfn.IFNA(_xlfn.IFS(AND(_xlfn.XLOOKUP(A98,'LPG Fup'!D:D,'LPG Fup'!M:M,"",0)&lt;&gt;"",_xlfn.XLOOKUP(A98,'LPG Fup'!D:D,'LPG Fup'!M:M,"",0)&gt;0),"Z-1", AND(_xlfn.XLOOKUP(A98+1,'LPG Fup'!D:D,'LPG Fup'!M:M,"",0)&lt;&gt;"",_xlfn.XLOOKUP(A98+1,'LPG Fup'!D:D,'LPG Fup'!M:M,"",0)&gt;0),"Z-2", AND(_xlfn.XLOOKUP(A98-1,'LPG Fup'!D:D,'LPG Fup'!M:M,"",0)&lt;&gt;"",_xlfn.XLOOKUP(A98-1,'LPG Fup'!D:D,'LPG Fup'!M:M,"",0)&gt;0),"Z", AND(_xlfn.XLOOKUP(A98-2,'LPG Fup'!D:D,'LPG Fup'!M:M,"",0)&lt;&gt;"",_xlfn.XLOOKUP(A98-2,'LPG Fup'!D:D,'LPG Fup'!M:M,"",0)&gt;0),"Z+1"),0)</f>
        <v>Z+1</v>
      </c>
      <c r="Q98" cm="1">
        <f t="array" ref="Q98">_xlfn.IFNA(_xlfn.IFS(AND(_xlfn.XLOOKUP(A98,'LPG Fup'!D:D,'LPG Fup'!M:M,"",0)&lt;&gt;"",_xlfn.XLOOKUP(A98,'LPG Fup'!D:D,'LPG Fup'!M:M,"",0)&lt;0),"I-1", AND(_xlfn.XLOOKUP(A98+1,'LPG Fup'!D:D,'LPG Fup'!M:M,"",0)&lt;&gt;"",_xlfn.XLOOKUP(A98+1,'LPG Fup'!D:D,'LPG Fup'!M:M,"",0)&lt;0),"I-2", AND(_xlfn.XLOOKUP(A98-1,'LPG Fup'!D:D,'LPG Fup'!M:M,"",0)&lt;&gt;"",_xlfn.XLOOKUP(A98-1,'LPG Fup'!D:D,'LPG Fup'!M:M,"",0)&lt;0),"I", AND(_xlfn.XLOOKUP(A98-2,'LPG Fup'!D:D,'LPG Fup'!M:M,"",0)&lt;&gt;"",_xlfn.XLOOKUP(A98-2,'LPG Fup'!D:D,'LPG Fup'!M:M,"",0)&lt;0),"I+1"),0)</f>
        <v>0</v>
      </c>
      <c r="R98">
        <f>_xlfn.XLOOKUP(A98,Covid!A:A,Covid!I:I,0,0)</f>
        <v>1673</v>
      </c>
      <c r="S98">
        <f>_xlfn.XLOOKUP(A98,Covid!A:A,Covid!K:K,0,0)</f>
        <v>56</v>
      </c>
      <c r="T98" s="145">
        <f>_xlfn.XLOOKUP(A98,Covid!A:A,Covid!K:K,0,0)/_xlfn.XLOOKUP(A98,Covid!A:A,Covid!L:L,0,0)</f>
        <v>5.6910569105691054E-2</v>
      </c>
    </row>
    <row r="99" spans="1:20" x14ac:dyDescent="0.55000000000000004">
      <c r="A99" s="157">
        <v>44080</v>
      </c>
      <c r="B99" s="13">
        <v>545960</v>
      </c>
      <c r="C99" s="13">
        <v>520</v>
      </c>
      <c r="D99" s="13">
        <v>0</v>
      </c>
      <c r="E99" s="13">
        <v>395151</v>
      </c>
      <c r="F99" s="13">
        <v>941631</v>
      </c>
      <c r="G99">
        <f>IF(OR(_xlfn.XLOOKUP(A99,'LPG Fup'!D:D,'LPG Fup'!L:L,"",0)&gt;0.03,_xlfn.XLOOKUP(A99,'LPG Fup'!D:D,'LPG Fup'!L:L,"",0)&lt;-0.03),_xlfn.XLOOKUP(A99,'LPG Fup'!D:D,'LPG Fup'!L:L,0,0),0)</f>
        <v>0</v>
      </c>
      <c r="H99">
        <f>IF(_xlfn.XLOOKUP(A99,'LPG Fup'!D:D,'LPG Fup'!M:M,0,0)="",0,_xlfn.XLOOKUP(A99,'LPG Fup'!D:D,'LPG Fup'!M:M,0,0))</f>
        <v>0</v>
      </c>
      <c r="I99" s="109">
        <f>_xlfn.XLOOKUP(A99,'Rafineri Fiyatları'!A:A,'Rafineri Fiyatları'!B:B,"",0)</f>
        <v>4466.28</v>
      </c>
      <c r="J99">
        <f t="shared" si="4"/>
        <v>2020</v>
      </c>
      <c r="K99">
        <f t="shared" si="5"/>
        <v>9</v>
      </c>
      <c r="L99">
        <f t="shared" si="6"/>
        <v>6</v>
      </c>
      <c r="M99">
        <f t="shared" si="7"/>
        <v>1</v>
      </c>
      <c r="N99">
        <f>_xlfn.XLOOKUP(A99,tatiller!H:H,tatiller!I:I,0,0)</f>
        <v>0</v>
      </c>
      <c r="O99" cm="1">
        <f t="array" ref="O99">_xlfn.IFNA(_xlfn.IFS(L99=1,"A0",A99=EOMONTH(A99,0),"A-1",L99=2,"A+1"),0)</f>
        <v>0</v>
      </c>
      <c r="P99" cm="1">
        <f t="array" ref="P99">_xlfn.IFNA(_xlfn.IFS(AND(_xlfn.XLOOKUP(A99,'LPG Fup'!D:D,'LPG Fup'!M:M,"",0)&lt;&gt;"",_xlfn.XLOOKUP(A99,'LPG Fup'!D:D,'LPG Fup'!M:M,"",0)&gt;0),"Z-1", AND(_xlfn.XLOOKUP(A99+1,'LPG Fup'!D:D,'LPG Fup'!M:M,"",0)&lt;&gt;"",_xlfn.XLOOKUP(A99+1,'LPG Fup'!D:D,'LPG Fup'!M:M,"",0)&gt;0),"Z-2", AND(_xlfn.XLOOKUP(A99-1,'LPG Fup'!D:D,'LPG Fup'!M:M,"",0)&lt;&gt;"",_xlfn.XLOOKUP(A99-1,'LPG Fup'!D:D,'LPG Fup'!M:M,"",0)&gt;0),"Z", AND(_xlfn.XLOOKUP(A99-2,'LPG Fup'!D:D,'LPG Fup'!M:M,"",0)&lt;&gt;"",_xlfn.XLOOKUP(A99-2,'LPG Fup'!D:D,'LPG Fup'!M:M,"",0)&gt;0),"Z+1"),0)</f>
        <v>0</v>
      </c>
      <c r="Q99" cm="1">
        <f t="array" ref="Q99">_xlfn.IFNA(_xlfn.IFS(AND(_xlfn.XLOOKUP(A99,'LPG Fup'!D:D,'LPG Fup'!M:M,"",0)&lt;&gt;"",_xlfn.XLOOKUP(A99,'LPG Fup'!D:D,'LPG Fup'!M:M,"",0)&lt;0),"I-1", AND(_xlfn.XLOOKUP(A99+1,'LPG Fup'!D:D,'LPG Fup'!M:M,"",0)&lt;&gt;"",_xlfn.XLOOKUP(A99+1,'LPG Fup'!D:D,'LPG Fup'!M:M,"",0)&lt;0),"I-2", AND(_xlfn.XLOOKUP(A99-1,'LPG Fup'!D:D,'LPG Fup'!M:M,"",0)&lt;&gt;"",_xlfn.XLOOKUP(A99-1,'LPG Fup'!D:D,'LPG Fup'!M:M,"",0)&lt;0),"I", AND(_xlfn.XLOOKUP(A99-2,'LPG Fup'!D:D,'LPG Fup'!M:M,"",0)&lt;&gt;"",_xlfn.XLOOKUP(A99-2,'LPG Fup'!D:D,'LPG Fup'!M:M,"",0)&lt;0),"I+1"),0)</f>
        <v>0</v>
      </c>
      <c r="R99">
        <f>_xlfn.XLOOKUP(A99,Covid!A:A,Covid!I:I,0,0)</f>
        <v>1578</v>
      </c>
      <c r="S99">
        <f>_xlfn.XLOOKUP(A99,Covid!A:A,Covid!K:K,0,0)</f>
        <v>53</v>
      </c>
      <c r="T99" s="145">
        <f>_xlfn.XLOOKUP(A99,Covid!A:A,Covid!K:K,0,0)/_xlfn.XLOOKUP(A99,Covid!A:A,Covid!L:L,0,0)</f>
        <v>5.231984205330701E-2</v>
      </c>
    </row>
    <row r="100" spans="1:20" x14ac:dyDescent="0.55000000000000004">
      <c r="A100" s="157">
        <v>44081</v>
      </c>
      <c r="B100" s="13">
        <v>450760</v>
      </c>
      <c r="C100" s="13">
        <v>413302</v>
      </c>
      <c r="D100" s="13">
        <v>20352</v>
      </c>
      <c r="E100" s="13">
        <v>558171</v>
      </c>
      <c r="F100" s="13">
        <v>1442585</v>
      </c>
      <c r="G100">
        <f>IF(OR(_xlfn.XLOOKUP(A100,'LPG Fup'!D:D,'LPG Fup'!L:L,"",0)&gt;0.03,_xlfn.XLOOKUP(A100,'LPG Fup'!D:D,'LPG Fup'!L:L,"",0)&lt;-0.03),_xlfn.XLOOKUP(A100,'LPG Fup'!D:D,'LPG Fup'!L:L,0,0),0)</f>
        <v>0</v>
      </c>
      <c r="H100">
        <f>IF(_xlfn.XLOOKUP(A100,'LPG Fup'!D:D,'LPG Fup'!M:M,0,0)="",0,_xlfn.XLOOKUP(A100,'LPG Fup'!D:D,'LPG Fup'!M:M,0,0))</f>
        <v>0</v>
      </c>
      <c r="I100" s="109">
        <f>_xlfn.XLOOKUP(A100,'Rafineri Fiyatları'!A:A,'Rafineri Fiyatları'!B:B,"",0)</f>
        <v>4466.28</v>
      </c>
      <c r="J100">
        <f t="shared" si="4"/>
        <v>2020</v>
      </c>
      <c r="K100">
        <f t="shared" si="5"/>
        <v>9</v>
      </c>
      <c r="L100">
        <f t="shared" si="6"/>
        <v>7</v>
      </c>
      <c r="M100">
        <f t="shared" si="7"/>
        <v>2</v>
      </c>
      <c r="N100">
        <f>_xlfn.XLOOKUP(A100,tatiller!H:H,tatiller!I:I,0,0)</f>
        <v>0</v>
      </c>
      <c r="O100" cm="1">
        <f t="array" ref="O100">_xlfn.IFNA(_xlfn.IFS(L100=1,"A0",A100=EOMONTH(A100,0),"A-1",L100=2,"A+1"),0)</f>
        <v>0</v>
      </c>
      <c r="P100" cm="1">
        <f t="array" ref="P100">_xlfn.IFNA(_xlfn.IFS(AND(_xlfn.XLOOKUP(A100,'LPG Fup'!D:D,'LPG Fup'!M:M,"",0)&lt;&gt;"",_xlfn.XLOOKUP(A100,'LPG Fup'!D:D,'LPG Fup'!M:M,"",0)&gt;0),"Z-1", AND(_xlfn.XLOOKUP(A100+1,'LPG Fup'!D:D,'LPG Fup'!M:M,"",0)&lt;&gt;"",_xlfn.XLOOKUP(A100+1,'LPG Fup'!D:D,'LPG Fup'!M:M,"",0)&gt;0),"Z-2", AND(_xlfn.XLOOKUP(A100-1,'LPG Fup'!D:D,'LPG Fup'!M:M,"",0)&lt;&gt;"",_xlfn.XLOOKUP(A100-1,'LPG Fup'!D:D,'LPG Fup'!M:M,"",0)&gt;0),"Z", AND(_xlfn.XLOOKUP(A100-2,'LPG Fup'!D:D,'LPG Fup'!M:M,"",0)&lt;&gt;"",_xlfn.XLOOKUP(A100-2,'LPG Fup'!D:D,'LPG Fup'!M:M,"",0)&gt;0),"Z+1"),0)</f>
        <v>0</v>
      </c>
      <c r="Q100" cm="1">
        <f t="array" ref="Q100">_xlfn.IFNA(_xlfn.IFS(AND(_xlfn.XLOOKUP(A100,'LPG Fup'!D:D,'LPG Fup'!M:M,"",0)&lt;&gt;"",_xlfn.XLOOKUP(A100,'LPG Fup'!D:D,'LPG Fup'!M:M,"",0)&lt;0),"I-1", AND(_xlfn.XLOOKUP(A100+1,'LPG Fup'!D:D,'LPG Fup'!M:M,"",0)&lt;&gt;"",_xlfn.XLOOKUP(A100+1,'LPG Fup'!D:D,'LPG Fup'!M:M,"",0)&lt;0),"I-2", AND(_xlfn.XLOOKUP(A100-1,'LPG Fup'!D:D,'LPG Fup'!M:M,"",0)&lt;&gt;"",_xlfn.XLOOKUP(A100-1,'LPG Fup'!D:D,'LPG Fup'!M:M,"",0)&lt;0),"I", AND(_xlfn.XLOOKUP(A100-2,'LPG Fup'!D:D,'LPG Fup'!M:M,"",0)&lt;&gt;"",_xlfn.XLOOKUP(A100-2,'LPG Fup'!D:D,'LPG Fup'!M:M,"",0)&lt;0),"I+1"),0)</f>
        <v>0</v>
      </c>
      <c r="R100">
        <f>_xlfn.XLOOKUP(A100,Covid!A:A,Covid!I:I,0,0)</f>
        <v>1703</v>
      </c>
      <c r="S100">
        <f>_xlfn.XLOOKUP(A100,Covid!A:A,Covid!K:K,0,0)</f>
        <v>57</v>
      </c>
      <c r="T100" s="145">
        <f>_xlfn.XLOOKUP(A100,Covid!A:A,Covid!K:K,0,0)/_xlfn.XLOOKUP(A100,Covid!A:A,Covid!L:L,0,0)</f>
        <v>5.4441260744985676E-2</v>
      </c>
    </row>
    <row r="101" spans="1:20" x14ac:dyDescent="0.55000000000000004">
      <c r="A101" s="157">
        <v>44082</v>
      </c>
      <c r="B101" s="13">
        <v>446240</v>
      </c>
      <c r="C101" s="13">
        <v>419503</v>
      </c>
      <c r="D101" s="13">
        <v>1887</v>
      </c>
      <c r="E101" s="13">
        <v>589538</v>
      </c>
      <c r="F101" s="13">
        <v>1457168</v>
      </c>
      <c r="G101">
        <f>IF(OR(_xlfn.XLOOKUP(A101,'LPG Fup'!D:D,'LPG Fup'!L:L,"",0)&gt;0.03,_xlfn.XLOOKUP(A101,'LPG Fup'!D:D,'LPG Fup'!L:L,"",0)&lt;-0.03),_xlfn.XLOOKUP(A101,'LPG Fup'!D:D,'LPG Fup'!L:L,0,0),0)</f>
        <v>0</v>
      </c>
      <c r="H101">
        <f>IF(_xlfn.XLOOKUP(A101,'LPG Fup'!D:D,'LPG Fup'!M:M,0,0)="",0,_xlfn.XLOOKUP(A101,'LPG Fup'!D:D,'LPG Fup'!M:M,0,0))</f>
        <v>0</v>
      </c>
      <c r="I101" s="109">
        <f>_xlfn.XLOOKUP(A101,'Rafineri Fiyatları'!A:A,'Rafineri Fiyatları'!B:B,"",0)</f>
        <v>4466.28</v>
      </c>
      <c r="J101">
        <f t="shared" si="4"/>
        <v>2020</v>
      </c>
      <c r="K101">
        <f t="shared" si="5"/>
        <v>9</v>
      </c>
      <c r="L101">
        <f t="shared" si="6"/>
        <v>8</v>
      </c>
      <c r="M101">
        <f t="shared" si="7"/>
        <v>3</v>
      </c>
      <c r="N101">
        <f>_xlfn.XLOOKUP(A101,tatiller!H:H,tatiller!I:I,0,0)</f>
        <v>0</v>
      </c>
      <c r="O101" cm="1">
        <f t="array" ref="O101">_xlfn.IFNA(_xlfn.IFS(L101=1,"A0",A101=EOMONTH(A101,0),"A-1",L101=2,"A+1"),0)</f>
        <v>0</v>
      </c>
      <c r="P101" cm="1">
        <f t="array" ref="P101">_xlfn.IFNA(_xlfn.IFS(AND(_xlfn.XLOOKUP(A101,'LPG Fup'!D:D,'LPG Fup'!M:M,"",0)&lt;&gt;"",_xlfn.XLOOKUP(A101,'LPG Fup'!D:D,'LPG Fup'!M:M,"",0)&gt;0),"Z-1", AND(_xlfn.XLOOKUP(A101+1,'LPG Fup'!D:D,'LPG Fup'!M:M,"",0)&lt;&gt;"",_xlfn.XLOOKUP(A101+1,'LPG Fup'!D:D,'LPG Fup'!M:M,"",0)&gt;0),"Z-2", AND(_xlfn.XLOOKUP(A101-1,'LPG Fup'!D:D,'LPG Fup'!M:M,"",0)&lt;&gt;"",_xlfn.XLOOKUP(A101-1,'LPG Fup'!D:D,'LPG Fup'!M:M,"",0)&gt;0),"Z", AND(_xlfn.XLOOKUP(A101-2,'LPG Fup'!D:D,'LPG Fup'!M:M,"",0)&lt;&gt;"",_xlfn.XLOOKUP(A101-2,'LPG Fup'!D:D,'LPG Fup'!M:M,"",0)&gt;0),"Z+1"),0)</f>
        <v>0</v>
      </c>
      <c r="Q101" cm="1">
        <f t="array" ref="Q101">_xlfn.IFNA(_xlfn.IFS(AND(_xlfn.XLOOKUP(A101,'LPG Fup'!D:D,'LPG Fup'!M:M,"",0)&lt;&gt;"",_xlfn.XLOOKUP(A101,'LPG Fup'!D:D,'LPG Fup'!M:M,"",0)&lt;0),"I-1", AND(_xlfn.XLOOKUP(A101+1,'LPG Fup'!D:D,'LPG Fup'!M:M,"",0)&lt;&gt;"",_xlfn.XLOOKUP(A101+1,'LPG Fup'!D:D,'LPG Fup'!M:M,"",0)&lt;0),"I-2", AND(_xlfn.XLOOKUP(A101-1,'LPG Fup'!D:D,'LPG Fup'!M:M,"",0)&lt;&gt;"",_xlfn.XLOOKUP(A101-1,'LPG Fup'!D:D,'LPG Fup'!M:M,"",0)&lt;0),"I", AND(_xlfn.XLOOKUP(A101-2,'LPG Fup'!D:D,'LPG Fup'!M:M,"",0)&lt;&gt;"",_xlfn.XLOOKUP(A101-2,'LPG Fup'!D:D,'LPG Fup'!M:M,"",0)&lt;0),"I+1"),0)</f>
        <v>0</v>
      </c>
      <c r="R101">
        <f>_xlfn.XLOOKUP(A101,Covid!A:A,Covid!I:I,0,0)</f>
        <v>1761</v>
      </c>
      <c r="S101">
        <f>_xlfn.XLOOKUP(A101,Covid!A:A,Covid!K:K,0,0)</f>
        <v>52</v>
      </c>
      <c r="T101" s="145">
        <f>_xlfn.XLOOKUP(A101,Covid!A:A,Covid!K:K,0,0)/_xlfn.XLOOKUP(A101,Covid!A:A,Covid!L:L,0,0)</f>
        <v>4.7575480329368709E-2</v>
      </c>
    </row>
    <row r="102" spans="1:20" x14ac:dyDescent="0.55000000000000004">
      <c r="A102" s="157">
        <v>44083</v>
      </c>
      <c r="B102" s="13">
        <v>585000</v>
      </c>
      <c r="C102" s="13">
        <v>388171</v>
      </c>
      <c r="D102" s="13">
        <v>13914</v>
      </c>
      <c r="E102" s="13">
        <v>533983</v>
      </c>
      <c r="F102" s="13">
        <v>1521068</v>
      </c>
      <c r="G102">
        <f>IF(OR(_xlfn.XLOOKUP(A102,'LPG Fup'!D:D,'LPG Fup'!L:L,"",0)&gt;0.03,_xlfn.XLOOKUP(A102,'LPG Fup'!D:D,'LPG Fup'!L:L,"",0)&lt;-0.03),_xlfn.XLOOKUP(A102,'LPG Fup'!D:D,'LPG Fup'!L:L,0,0),0)</f>
        <v>0</v>
      </c>
      <c r="H102">
        <f>IF(_xlfn.XLOOKUP(A102,'LPG Fup'!D:D,'LPG Fup'!M:M,0,0)="",0,_xlfn.XLOOKUP(A102,'LPG Fup'!D:D,'LPG Fup'!M:M,0,0))</f>
        <v>0</v>
      </c>
      <c r="I102" s="109">
        <f>_xlfn.XLOOKUP(A102,'Rafineri Fiyatları'!A:A,'Rafineri Fiyatları'!B:B,"",0)</f>
        <v>4466.28</v>
      </c>
      <c r="J102">
        <f t="shared" si="4"/>
        <v>2020</v>
      </c>
      <c r="K102">
        <f t="shared" si="5"/>
        <v>9</v>
      </c>
      <c r="L102">
        <f t="shared" si="6"/>
        <v>9</v>
      </c>
      <c r="M102">
        <f t="shared" si="7"/>
        <v>4</v>
      </c>
      <c r="N102">
        <f>_xlfn.XLOOKUP(A102,tatiller!H:H,tatiller!I:I,0,0)</f>
        <v>0</v>
      </c>
      <c r="O102" cm="1">
        <f t="array" ref="O102">_xlfn.IFNA(_xlfn.IFS(L102=1,"A0",A102=EOMONTH(A102,0),"A-1",L102=2,"A+1"),0)</f>
        <v>0</v>
      </c>
      <c r="P102" cm="1">
        <f t="array" ref="P102">_xlfn.IFNA(_xlfn.IFS(AND(_xlfn.XLOOKUP(A102,'LPG Fup'!D:D,'LPG Fup'!M:M,"",0)&lt;&gt;"",_xlfn.XLOOKUP(A102,'LPG Fup'!D:D,'LPG Fup'!M:M,"",0)&gt;0),"Z-1", AND(_xlfn.XLOOKUP(A102+1,'LPG Fup'!D:D,'LPG Fup'!M:M,"",0)&lt;&gt;"",_xlfn.XLOOKUP(A102+1,'LPG Fup'!D:D,'LPG Fup'!M:M,"",0)&gt;0),"Z-2", AND(_xlfn.XLOOKUP(A102-1,'LPG Fup'!D:D,'LPG Fup'!M:M,"",0)&lt;&gt;"",_xlfn.XLOOKUP(A102-1,'LPG Fup'!D:D,'LPG Fup'!M:M,"",0)&gt;0),"Z", AND(_xlfn.XLOOKUP(A102-2,'LPG Fup'!D:D,'LPG Fup'!M:M,"",0)&lt;&gt;"",_xlfn.XLOOKUP(A102-2,'LPG Fup'!D:D,'LPG Fup'!M:M,"",0)&gt;0),"Z+1"),0)</f>
        <v>0</v>
      </c>
      <c r="Q102" cm="1">
        <f t="array" ref="Q102">_xlfn.IFNA(_xlfn.IFS(AND(_xlfn.XLOOKUP(A102,'LPG Fup'!D:D,'LPG Fup'!M:M,"",0)&lt;&gt;"",_xlfn.XLOOKUP(A102,'LPG Fup'!D:D,'LPG Fup'!M:M,"",0)&lt;0),"I-1", AND(_xlfn.XLOOKUP(A102+1,'LPG Fup'!D:D,'LPG Fup'!M:M,"",0)&lt;&gt;"",_xlfn.XLOOKUP(A102+1,'LPG Fup'!D:D,'LPG Fup'!M:M,"",0)&lt;0),"I-2", AND(_xlfn.XLOOKUP(A102-1,'LPG Fup'!D:D,'LPG Fup'!M:M,"",0)&lt;&gt;"",_xlfn.XLOOKUP(A102-1,'LPG Fup'!D:D,'LPG Fup'!M:M,"",0)&lt;0),"I", AND(_xlfn.XLOOKUP(A102-2,'LPG Fup'!D:D,'LPG Fup'!M:M,"",0)&lt;&gt;"",_xlfn.XLOOKUP(A102-2,'LPG Fup'!D:D,'LPG Fup'!M:M,"",0)&lt;0),"I+1"),0)</f>
        <v>0</v>
      </c>
      <c r="R102">
        <f>_xlfn.XLOOKUP(A102,Covid!A:A,Covid!I:I,0,0)</f>
        <v>1673</v>
      </c>
      <c r="S102">
        <f>_xlfn.XLOOKUP(A102,Covid!A:A,Covid!K:K,0,0)</f>
        <v>55</v>
      </c>
      <c r="T102" s="145">
        <f>_xlfn.XLOOKUP(A102,Covid!A:A,Covid!K:K,0,0)/_xlfn.XLOOKUP(A102,Covid!A:A,Covid!L:L,0,0)</f>
        <v>5.8324496288441142E-2</v>
      </c>
    </row>
    <row r="103" spans="1:20" x14ac:dyDescent="0.55000000000000004">
      <c r="A103" s="157">
        <v>44084</v>
      </c>
      <c r="B103" s="13">
        <v>509120</v>
      </c>
      <c r="C103" s="13">
        <v>406392</v>
      </c>
      <c r="D103" s="13">
        <v>7770</v>
      </c>
      <c r="E103" s="13">
        <v>479476</v>
      </c>
      <c r="F103" s="13">
        <v>1402758</v>
      </c>
      <c r="G103">
        <f>IF(OR(_xlfn.XLOOKUP(A103,'LPG Fup'!D:D,'LPG Fup'!L:L,"",0)&gt;0.03,_xlfn.XLOOKUP(A103,'LPG Fup'!D:D,'LPG Fup'!L:L,"",0)&lt;-0.03),_xlfn.XLOOKUP(A103,'LPG Fup'!D:D,'LPG Fup'!L:L,0,0),0)</f>
        <v>0</v>
      </c>
      <c r="H103">
        <f>IF(_xlfn.XLOOKUP(A103,'LPG Fup'!D:D,'LPG Fup'!M:M,0,0)="",0,_xlfn.XLOOKUP(A103,'LPG Fup'!D:D,'LPG Fup'!M:M,0,0))</f>
        <v>0</v>
      </c>
      <c r="I103" s="109">
        <f>_xlfn.XLOOKUP(A103,'Rafineri Fiyatları'!A:A,'Rafineri Fiyatları'!B:B,"",0)</f>
        <v>4466.28</v>
      </c>
      <c r="J103">
        <f t="shared" si="4"/>
        <v>2020</v>
      </c>
      <c r="K103">
        <f t="shared" si="5"/>
        <v>9</v>
      </c>
      <c r="L103">
        <f t="shared" si="6"/>
        <v>10</v>
      </c>
      <c r="M103">
        <f t="shared" si="7"/>
        <v>5</v>
      </c>
      <c r="N103">
        <f>_xlfn.XLOOKUP(A103,tatiller!H:H,tatiller!I:I,0,0)</f>
        <v>0</v>
      </c>
      <c r="O103" cm="1">
        <f t="array" ref="O103">_xlfn.IFNA(_xlfn.IFS(L103=1,"A0",A103=EOMONTH(A103,0),"A-1",L103=2,"A+1"),0)</f>
        <v>0</v>
      </c>
      <c r="P103" cm="1">
        <f t="array" ref="P103">_xlfn.IFNA(_xlfn.IFS(AND(_xlfn.XLOOKUP(A103,'LPG Fup'!D:D,'LPG Fup'!M:M,"",0)&lt;&gt;"",_xlfn.XLOOKUP(A103,'LPG Fup'!D:D,'LPG Fup'!M:M,"",0)&gt;0),"Z-1", AND(_xlfn.XLOOKUP(A103+1,'LPG Fup'!D:D,'LPG Fup'!M:M,"",0)&lt;&gt;"",_xlfn.XLOOKUP(A103+1,'LPG Fup'!D:D,'LPG Fup'!M:M,"",0)&gt;0),"Z-2", AND(_xlfn.XLOOKUP(A103-1,'LPG Fup'!D:D,'LPG Fup'!M:M,"",0)&lt;&gt;"",_xlfn.XLOOKUP(A103-1,'LPG Fup'!D:D,'LPG Fup'!M:M,"",0)&gt;0),"Z", AND(_xlfn.XLOOKUP(A103-2,'LPG Fup'!D:D,'LPG Fup'!M:M,"",0)&lt;&gt;"",_xlfn.XLOOKUP(A103-2,'LPG Fup'!D:D,'LPG Fup'!M:M,"",0)&gt;0),"Z+1"),0)</f>
        <v>0</v>
      </c>
      <c r="Q103" cm="1">
        <f t="array" ref="Q103">_xlfn.IFNA(_xlfn.IFS(AND(_xlfn.XLOOKUP(A103,'LPG Fup'!D:D,'LPG Fup'!M:M,"",0)&lt;&gt;"",_xlfn.XLOOKUP(A103,'LPG Fup'!D:D,'LPG Fup'!M:M,"",0)&lt;0),"I-1", AND(_xlfn.XLOOKUP(A103+1,'LPG Fup'!D:D,'LPG Fup'!M:M,"",0)&lt;&gt;"",_xlfn.XLOOKUP(A103+1,'LPG Fup'!D:D,'LPG Fup'!M:M,"",0)&lt;0),"I-2", AND(_xlfn.XLOOKUP(A103-1,'LPG Fup'!D:D,'LPG Fup'!M:M,"",0)&lt;&gt;"",_xlfn.XLOOKUP(A103-1,'LPG Fup'!D:D,'LPG Fup'!M:M,"",0)&lt;0),"I", AND(_xlfn.XLOOKUP(A103-2,'LPG Fup'!D:D,'LPG Fup'!M:M,"",0)&lt;&gt;"",_xlfn.XLOOKUP(A103-2,'LPG Fup'!D:D,'LPG Fup'!M:M,"",0)&lt;0),"I+1"),0)</f>
        <v>0</v>
      </c>
      <c r="R103">
        <f>_xlfn.XLOOKUP(A103,Covid!A:A,Covid!I:I,0,0)</f>
        <v>1512</v>
      </c>
      <c r="S103">
        <f>_xlfn.XLOOKUP(A103,Covid!A:A,Covid!K:K,0,0)</f>
        <v>58</v>
      </c>
      <c r="T103" s="145">
        <f>_xlfn.XLOOKUP(A103,Covid!A:A,Covid!K:K,0,0)/_xlfn.XLOOKUP(A103,Covid!A:A,Covid!L:L,0,0)</f>
        <v>4.7579983593109103E-2</v>
      </c>
    </row>
    <row r="104" spans="1:20" x14ac:dyDescent="0.55000000000000004">
      <c r="A104" s="157">
        <v>44085</v>
      </c>
      <c r="B104" s="13">
        <v>358780</v>
      </c>
      <c r="C104" s="13">
        <v>463330</v>
      </c>
      <c r="D104" s="13">
        <v>4674</v>
      </c>
      <c r="E104" s="13">
        <v>556517</v>
      </c>
      <c r="F104" s="13">
        <v>1383301</v>
      </c>
      <c r="G104">
        <f>IF(OR(_xlfn.XLOOKUP(A104,'LPG Fup'!D:D,'LPG Fup'!L:L,"",0)&gt;0.03,_xlfn.XLOOKUP(A104,'LPG Fup'!D:D,'LPG Fup'!L:L,"",0)&lt;-0.03),_xlfn.XLOOKUP(A104,'LPG Fup'!D:D,'LPG Fup'!L:L,0,0),0)</f>
        <v>0</v>
      </c>
      <c r="H104">
        <f>IF(_xlfn.XLOOKUP(A104,'LPG Fup'!D:D,'LPG Fup'!M:M,0,0)="",0,_xlfn.XLOOKUP(A104,'LPG Fup'!D:D,'LPG Fup'!M:M,0,0))</f>
        <v>0</v>
      </c>
      <c r="I104" s="109">
        <f>_xlfn.XLOOKUP(A104,'Rafineri Fiyatları'!A:A,'Rafineri Fiyatları'!B:B,"",0)</f>
        <v>4466.28</v>
      </c>
      <c r="J104">
        <f t="shared" si="4"/>
        <v>2020</v>
      </c>
      <c r="K104">
        <f t="shared" si="5"/>
        <v>9</v>
      </c>
      <c r="L104">
        <f t="shared" si="6"/>
        <v>11</v>
      </c>
      <c r="M104">
        <f t="shared" si="7"/>
        <v>6</v>
      </c>
      <c r="N104">
        <f>_xlfn.XLOOKUP(A104,tatiller!H:H,tatiller!I:I,0,0)</f>
        <v>0</v>
      </c>
      <c r="O104" cm="1">
        <f t="array" ref="O104">_xlfn.IFNA(_xlfn.IFS(L104=1,"A0",A104=EOMONTH(A104,0),"A-1",L104=2,"A+1"),0)</f>
        <v>0</v>
      </c>
      <c r="P104" cm="1">
        <f t="array" ref="P104">_xlfn.IFNA(_xlfn.IFS(AND(_xlfn.XLOOKUP(A104,'LPG Fup'!D:D,'LPG Fup'!M:M,"",0)&lt;&gt;"",_xlfn.XLOOKUP(A104,'LPG Fup'!D:D,'LPG Fup'!M:M,"",0)&gt;0),"Z-1", AND(_xlfn.XLOOKUP(A104+1,'LPG Fup'!D:D,'LPG Fup'!M:M,"",0)&lt;&gt;"",_xlfn.XLOOKUP(A104+1,'LPG Fup'!D:D,'LPG Fup'!M:M,"",0)&gt;0),"Z-2", AND(_xlfn.XLOOKUP(A104-1,'LPG Fup'!D:D,'LPG Fup'!M:M,"",0)&lt;&gt;"",_xlfn.XLOOKUP(A104-1,'LPG Fup'!D:D,'LPG Fup'!M:M,"",0)&gt;0),"Z", AND(_xlfn.XLOOKUP(A104-2,'LPG Fup'!D:D,'LPG Fup'!M:M,"",0)&lt;&gt;"",_xlfn.XLOOKUP(A104-2,'LPG Fup'!D:D,'LPG Fup'!M:M,"",0)&gt;0),"Z+1"),0)</f>
        <v>0</v>
      </c>
      <c r="Q104" cm="1">
        <f t="array" ref="Q104">_xlfn.IFNA(_xlfn.IFS(AND(_xlfn.XLOOKUP(A104,'LPG Fup'!D:D,'LPG Fup'!M:M,"",0)&lt;&gt;"",_xlfn.XLOOKUP(A104,'LPG Fup'!D:D,'LPG Fup'!M:M,"",0)&lt;0),"I-1", AND(_xlfn.XLOOKUP(A104+1,'LPG Fup'!D:D,'LPG Fup'!M:M,"",0)&lt;&gt;"",_xlfn.XLOOKUP(A104+1,'LPG Fup'!D:D,'LPG Fup'!M:M,"",0)&lt;0),"I-2", AND(_xlfn.XLOOKUP(A104-1,'LPG Fup'!D:D,'LPG Fup'!M:M,"",0)&lt;&gt;"",_xlfn.XLOOKUP(A104-1,'LPG Fup'!D:D,'LPG Fup'!M:M,"",0)&lt;0),"I", AND(_xlfn.XLOOKUP(A104-2,'LPG Fup'!D:D,'LPG Fup'!M:M,"",0)&lt;&gt;"",_xlfn.XLOOKUP(A104-2,'LPG Fup'!D:D,'LPG Fup'!M:M,"",0)&lt;0),"I+1"),0)</f>
        <v>0</v>
      </c>
      <c r="R104">
        <f>_xlfn.XLOOKUP(A104,Covid!A:A,Covid!I:I,0,0)</f>
        <v>1671</v>
      </c>
      <c r="S104">
        <f>_xlfn.XLOOKUP(A104,Covid!A:A,Covid!K:K,0,0)</f>
        <v>56</v>
      </c>
      <c r="T104" s="145">
        <f>_xlfn.XLOOKUP(A104,Covid!A:A,Covid!K:K,0,0)/_xlfn.XLOOKUP(A104,Covid!A:A,Covid!L:L,0,0)</f>
        <v>5.0134288272157566E-2</v>
      </c>
    </row>
    <row r="105" spans="1:20" x14ac:dyDescent="0.55000000000000004">
      <c r="A105" s="157">
        <v>44086</v>
      </c>
      <c r="B105" s="13">
        <v>436800</v>
      </c>
      <c r="C105" s="13">
        <v>338499</v>
      </c>
      <c r="D105" s="13">
        <v>8505</v>
      </c>
      <c r="E105" s="13">
        <v>627716</v>
      </c>
      <c r="F105" s="13">
        <v>1411520</v>
      </c>
      <c r="G105">
        <f>IF(OR(_xlfn.XLOOKUP(A105,'LPG Fup'!D:D,'LPG Fup'!L:L,"",0)&gt;0.03,_xlfn.XLOOKUP(A105,'LPG Fup'!D:D,'LPG Fup'!L:L,"",0)&lt;-0.03),_xlfn.XLOOKUP(A105,'LPG Fup'!D:D,'LPG Fup'!L:L,0,0),0)</f>
        <v>0</v>
      </c>
      <c r="H105">
        <f>IF(_xlfn.XLOOKUP(A105,'LPG Fup'!D:D,'LPG Fup'!M:M,0,0)="",0,_xlfn.XLOOKUP(A105,'LPG Fup'!D:D,'LPG Fup'!M:M,0,0))</f>
        <v>0</v>
      </c>
      <c r="I105" s="109">
        <f>_xlfn.XLOOKUP(A105,'Rafineri Fiyatları'!A:A,'Rafineri Fiyatları'!B:B,"",0)</f>
        <v>4466.28</v>
      </c>
      <c r="J105">
        <f t="shared" si="4"/>
        <v>2020</v>
      </c>
      <c r="K105">
        <f t="shared" si="5"/>
        <v>9</v>
      </c>
      <c r="L105">
        <f t="shared" si="6"/>
        <v>12</v>
      </c>
      <c r="M105">
        <f t="shared" si="7"/>
        <v>7</v>
      </c>
      <c r="N105">
        <f>_xlfn.XLOOKUP(A105,tatiller!H:H,tatiller!I:I,0,0)</f>
        <v>0</v>
      </c>
      <c r="O105" cm="1">
        <f t="array" ref="O105">_xlfn.IFNA(_xlfn.IFS(L105=1,"A0",A105=EOMONTH(A105,0),"A-1",L105=2,"A+1"),0)</f>
        <v>0</v>
      </c>
      <c r="P105" cm="1">
        <f t="array" ref="P105">_xlfn.IFNA(_xlfn.IFS(AND(_xlfn.XLOOKUP(A105,'LPG Fup'!D:D,'LPG Fup'!M:M,"",0)&lt;&gt;"",_xlfn.XLOOKUP(A105,'LPG Fup'!D:D,'LPG Fup'!M:M,"",0)&gt;0),"Z-1", AND(_xlfn.XLOOKUP(A105+1,'LPG Fup'!D:D,'LPG Fup'!M:M,"",0)&lt;&gt;"",_xlfn.XLOOKUP(A105+1,'LPG Fup'!D:D,'LPG Fup'!M:M,"",0)&gt;0),"Z-2", AND(_xlfn.XLOOKUP(A105-1,'LPG Fup'!D:D,'LPG Fup'!M:M,"",0)&lt;&gt;"",_xlfn.XLOOKUP(A105-1,'LPG Fup'!D:D,'LPG Fup'!M:M,"",0)&gt;0),"Z", AND(_xlfn.XLOOKUP(A105-2,'LPG Fup'!D:D,'LPG Fup'!M:M,"",0)&lt;&gt;"",_xlfn.XLOOKUP(A105-2,'LPG Fup'!D:D,'LPG Fup'!M:M,"",0)&gt;0),"Z+1"),0)</f>
        <v>0</v>
      </c>
      <c r="Q105" cm="1">
        <f t="array" ref="Q105">_xlfn.IFNA(_xlfn.IFS(AND(_xlfn.XLOOKUP(A105,'LPG Fup'!D:D,'LPG Fup'!M:M,"",0)&lt;&gt;"",_xlfn.XLOOKUP(A105,'LPG Fup'!D:D,'LPG Fup'!M:M,"",0)&lt;0),"I-1", AND(_xlfn.XLOOKUP(A105+1,'LPG Fup'!D:D,'LPG Fup'!M:M,"",0)&lt;&gt;"",_xlfn.XLOOKUP(A105+1,'LPG Fup'!D:D,'LPG Fup'!M:M,"",0)&lt;0),"I-2", AND(_xlfn.XLOOKUP(A105-1,'LPG Fup'!D:D,'LPG Fup'!M:M,"",0)&lt;&gt;"",_xlfn.XLOOKUP(A105-1,'LPG Fup'!D:D,'LPG Fup'!M:M,"",0)&lt;0),"I", AND(_xlfn.XLOOKUP(A105-2,'LPG Fup'!D:D,'LPG Fup'!M:M,"",0)&lt;&gt;"",_xlfn.XLOOKUP(A105-2,'LPG Fup'!D:D,'LPG Fup'!M:M,"",0)&lt;0),"I+1"),0)</f>
        <v>0</v>
      </c>
      <c r="R105">
        <f>_xlfn.XLOOKUP(A105,Covid!A:A,Covid!I:I,0,0)</f>
        <v>1509</v>
      </c>
      <c r="S105">
        <f>_xlfn.XLOOKUP(A105,Covid!A:A,Covid!K:K,0,0)</f>
        <v>48</v>
      </c>
      <c r="T105" s="145">
        <f>_xlfn.XLOOKUP(A105,Covid!A:A,Covid!K:K,0,0)/_xlfn.XLOOKUP(A105,Covid!A:A,Covid!L:L,0,0)</f>
        <v>3.9768019884009943E-2</v>
      </c>
    </row>
    <row r="106" spans="1:20" x14ac:dyDescent="0.55000000000000004">
      <c r="A106" s="157">
        <v>44087</v>
      </c>
      <c r="B106" s="13">
        <v>406920</v>
      </c>
      <c r="C106" s="13">
        <v>968</v>
      </c>
      <c r="D106" s="13">
        <v>0</v>
      </c>
      <c r="E106" s="13">
        <v>432000</v>
      </c>
      <c r="F106" s="13">
        <v>839888</v>
      </c>
      <c r="G106">
        <f>IF(OR(_xlfn.XLOOKUP(A106,'LPG Fup'!D:D,'LPG Fup'!L:L,"",0)&gt;0.03,_xlfn.XLOOKUP(A106,'LPG Fup'!D:D,'LPG Fup'!L:L,"",0)&lt;-0.03),_xlfn.XLOOKUP(A106,'LPG Fup'!D:D,'LPG Fup'!L:L,0,0),0)</f>
        <v>0</v>
      </c>
      <c r="H106">
        <f>IF(_xlfn.XLOOKUP(A106,'LPG Fup'!D:D,'LPG Fup'!M:M,0,0)="",0,_xlfn.XLOOKUP(A106,'LPG Fup'!D:D,'LPG Fup'!M:M,0,0))</f>
        <v>0</v>
      </c>
      <c r="I106" s="109">
        <f>_xlfn.XLOOKUP(A106,'Rafineri Fiyatları'!A:A,'Rafineri Fiyatları'!B:B,"",0)</f>
        <v>4466.28</v>
      </c>
      <c r="J106">
        <f t="shared" si="4"/>
        <v>2020</v>
      </c>
      <c r="K106">
        <f t="shared" si="5"/>
        <v>9</v>
      </c>
      <c r="L106">
        <f t="shared" si="6"/>
        <v>13</v>
      </c>
      <c r="M106">
        <f t="shared" si="7"/>
        <v>1</v>
      </c>
      <c r="N106">
        <f>_xlfn.XLOOKUP(A106,tatiller!H:H,tatiller!I:I,0,0)</f>
        <v>0</v>
      </c>
      <c r="O106" cm="1">
        <f t="array" ref="O106">_xlfn.IFNA(_xlfn.IFS(L106=1,"A0",A106=EOMONTH(A106,0),"A-1",L106=2,"A+1"),0)</f>
        <v>0</v>
      </c>
      <c r="P106" cm="1">
        <f t="array" ref="P106">_xlfn.IFNA(_xlfn.IFS(AND(_xlfn.XLOOKUP(A106,'LPG Fup'!D:D,'LPG Fup'!M:M,"",0)&lt;&gt;"",_xlfn.XLOOKUP(A106,'LPG Fup'!D:D,'LPG Fup'!M:M,"",0)&gt;0),"Z-1", AND(_xlfn.XLOOKUP(A106+1,'LPG Fup'!D:D,'LPG Fup'!M:M,"",0)&lt;&gt;"",_xlfn.XLOOKUP(A106+1,'LPG Fup'!D:D,'LPG Fup'!M:M,"",0)&gt;0),"Z-2", AND(_xlfn.XLOOKUP(A106-1,'LPG Fup'!D:D,'LPG Fup'!M:M,"",0)&lt;&gt;"",_xlfn.XLOOKUP(A106-1,'LPG Fup'!D:D,'LPG Fup'!M:M,"",0)&gt;0),"Z", AND(_xlfn.XLOOKUP(A106-2,'LPG Fup'!D:D,'LPG Fup'!M:M,"",0)&lt;&gt;"",_xlfn.XLOOKUP(A106-2,'LPG Fup'!D:D,'LPG Fup'!M:M,"",0)&gt;0),"Z+1"),0)</f>
        <v>0</v>
      </c>
      <c r="Q106" cm="1">
        <f t="array" ref="Q106">_xlfn.IFNA(_xlfn.IFS(AND(_xlfn.XLOOKUP(A106,'LPG Fup'!D:D,'LPG Fup'!M:M,"",0)&lt;&gt;"",_xlfn.XLOOKUP(A106,'LPG Fup'!D:D,'LPG Fup'!M:M,"",0)&lt;0),"I-1", AND(_xlfn.XLOOKUP(A106+1,'LPG Fup'!D:D,'LPG Fup'!M:M,"",0)&lt;&gt;"",_xlfn.XLOOKUP(A106+1,'LPG Fup'!D:D,'LPG Fup'!M:M,"",0)&lt;0),"I-2", AND(_xlfn.XLOOKUP(A106-1,'LPG Fup'!D:D,'LPG Fup'!M:M,"",0)&lt;&gt;"",_xlfn.XLOOKUP(A106-1,'LPG Fup'!D:D,'LPG Fup'!M:M,"",0)&lt;0),"I", AND(_xlfn.XLOOKUP(A106-2,'LPG Fup'!D:D,'LPG Fup'!M:M,"",0)&lt;&gt;"",_xlfn.XLOOKUP(A106-2,'LPG Fup'!D:D,'LPG Fup'!M:M,"",0)&lt;0),"I+1"),0)</f>
        <v>0</v>
      </c>
      <c r="R106">
        <f>_xlfn.XLOOKUP(A106,Covid!A:A,Covid!I:I,0,0)</f>
        <v>1527</v>
      </c>
      <c r="S106">
        <f>_xlfn.XLOOKUP(A106,Covid!A:A,Covid!K:K,0,0)</f>
        <v>57</v>
      </c>
      <c r="T106" s="145">
        <f>_xlfn.XLOOKUP(A106,Covid!A:A,Covid!K:K,0,0)/_xlfn.XLOOKUP(A106,Covid!A:A,Covid!L:L,0,0)</f>
        <v>5.1724137931034482E-2</v>
      </c>
    </row>
    <row r="107" spans="1:20" x14ac:dyDescent="0.55000000000000004">
      <c r="A107" s="157">
        <v>44088</v>
      </c>
      <c r="B107" s="13">
        <v>467280</v>
      </c>
      <c r="C107" s="13">
        <v>474013</v>
      </c>
      <c r="D107" s="13">
        <v>9546</v>
      </c>
      <c r="E107" s="13">
        <v>573435</v>
      </c>
      <c r="F107" s="13">
        <v>1524274</v>
      </c>
      <c r="G107">
        <f>IF(OR(_xlfn.XLOOKUP(A107,'LPG Fup'!D:D,'LPG Fup'!L:L,"",0)&gt;0.03,_xlfn.XLOOKUP(A107,'LPG Fup'!D:D,'LPG Fup'!L:L,"",0)&lt;-0.03),_xlfn.XLOOKUP(A107,'LPG Fup'!D:D,'LPG Fup'!L:L,0,0),0)</f>
        <v>0</v>
      </c>
      <c r="H107">
        <f>IF(_xlfn.XLOOKUP(A107,'LPG Fup'!D:D,'LPG Fup'!M:M,0,0)="",0,_xlfn.XLOOKUP(A107,'LPG Fup'!D:D,'LPG Fup'!M:M,0,0))</f>
        <v>0</v>
      </c>
      <c r="I107" s="109">
        <f>_xlfn.XLOOKUP(A107,'Rafineri Fiyatları'!A:A,'Rafineri Fiyatları'!B:B,"",0)</f>
        <v>4466.28</v>
      </c>
      <c r="J107">
        <f t="shared" si="4"/>
        <v>2020</v>
      </c>
      <c r="K107">
        <f t="shared" si="5"/>
        <v>9</v>
      </c>
      <c r="L107">
        <f t="shared" si="6"/>
        <v>14</v>
      </c>
      <c r="M107">
        <f t="shared" si="7"/>
        <v>2</v>
      </c>
      <c r="N107">
        <f>_xlfn.XLOOKUP(A107,tatiller!H:H,tatiller!I:I,0,0)</f>
        <v>0</v>
      </c>
      <c r="O107" cm="1">
        <f t="array" ref="O107">_xlfn.IFNA(_xlfn.IFS(L107=1,"A0",A107=EOMONTH(A107,0),"A-1",L107=2,"A+1"),0)</f>
        <v>0</v>
      </c>
      <c r="P107" cm="1">
        <f t="array" ref="P107">_xlfn.IFNA(_xlfn.IFS(AND(_xlfn.XLOOKUP(A107,'LPG Fup'!D:D,'LPG Fup'!M:M,"",0)&lt;&gt;"",_xlfn.XLOOKUP(A107,'LPG Fup'!D:D,'LPG Fup'!M:M,"",0)&gt;0),"Z-1", AND(_xlfn.XLOOKUP(A107+1,'LPG Fup'!D:D,'LPG Fup'!M:M,"",0)&lt;&gt;"",_xlfn.XLOOKUP(A107+1,'LPG Fup'!D:D,'LPG Fup'!M:M,"",0)&gt;0),"Z-2", AND(_xlfn.XLOOKUP(A107-1,'LPG Fup'!D:D,'LPG Fup'!M:M,"",0)&lt;&gt;"",_xlfn.XLOOKUP(A107-1,'LPG Fup'!D:D,'LPG Fup'!M:M,"",0)&gt;0),"Z", AND(_xlfn.XLOOKUP(A107-2,'LPG Fup'!D:D,'LPG Fup'!M:M,"",0)&lt;&gt;"",_xlfn.XLOOKUP(A107-2,'LPG Fup'!D:D,'LPG Fup'!M:M,"",0)&gt;0),"Z+1"),0)</f>
        <v>0</v>
      </c>
      <c r="Q107" cm="1">
        <f t="array" ref="Q107">_xlfn.IFNA(_xlfn.IFS(AND(_xlfn.XLOOKUP(A107,'LPG Fup'!D:D,'LPG Fup'!M:M,"",0)&lt;&gt;"",_xlfn.XLOOKUP(A107,'LPG Fup'!D:D,'LPG Fup'!M:M,"",0)&lt;0),"I-1", AND(_xlfn.XLOOKUP(A107+1,'LPG Fup'!D:D,'LPG Fup'!M:M,"",0)&lt;&gt;"",_xlfn.XLOOKUP(A107+1,'LPG Fup'!D:D,'LPG Fup'!M:M,"",0)&lt;0),"I-2", AND(_xlfn.XLOOKUP(A107-1,'LPG Fup'!D:D,'LPG Fup'!M:M,"",0)&lt;&gt;"",_xlfn.XLOOKUP(A107-1,'LPG Fup'!D:D,'LPG Fup'!M:M,"",0)&lt;0),"I", AND(_xlfn.XLOOKUP(A107-2,'LPG Fup'!D:D,'LPG Fup'!M:M,"",0)&lt;&gt;"",_xlfn.XLOOKUP(A107-2,'LPG Fup'!D:D,'LPG Fup'!M:M,"",0)&lt;0),"I+1"),0)</f>
        <v>0</v>
      </c>
      <c r="R107">
        <f>_xlfn.XLOOKUP(A107,Covid!A:A,Covid!I:I,0,0)</f>
        <v>1716</v>
      </c>
      <c r="S107">
        <f>_xlfn.XLOOKUP(A107,Covid!A:A,Covid!K:K,0,0)</f>
        <v>63</v>
      </c>
      <c r="T107" s="145">
        <f>_xlfn.XLOOKUP(A107,Covid!A:A,Covid!K:K,0,0)/_xlfn.XLOOKUP(A107,Covid!A:A,Covid!L:L,0,0)</f>
        <v>5.1428571428571428E-2</v>
      </c>
    </row>
    <row r="108" spans="1:20" x14ac:dyDescent="0.55000000000000004">
      <c r="A108" s="157">
        <v>44089</v>
      </c>
      <c r="B108" s="13">
        <v>331840</v>
      </c>
      <c r="C108" s="13">
        <v>444197</v>
      </c>
      <c r="D108" s="13">
        <v>2878</v>
      </c>
      <c r="E108" s="13">
        <v>573186</v>
      </c>
      <c r="F108" s="13">
        <v>1352101</v>
      </c>
      <c r="G108">
        <f>IF(OR(_xlfn.XLOOKUP(A108,'LPG Fup'!D:D,'LPG Fup'!L:L,"",0)&gt;0.03,_xlfn.XLOOKUP(A108,'LPG Fup'!D:D,'LPG Fup'!L:L,"",0)&lt;-0.03),_xlfn.XLOOKUP(A108,'LPG Fup'!D:D,'LPG Fup'!L:L,0,0),0)</f>
        <v>0</v>
      </c>
      <c r="H108">
        <f>IF(_xlfn.XLOOKUP(A108,'LPG Fup'!D:D,'LPG Fup'!M:M,0,0)="",0,_xlfn.XLOOKUP(A108,'LPG Fup'!D:D,'LPG Fup'!M:M,0,0))</f>
        <v>0</v>
      </c>
      <c r="I108" s="109">
        <f>_xlfn.XLOOKUP(A108,'Rafineri Fiyatları'!A:A,'Rafineri Fiyatları'!B:B,"",0)</f>
        <v>4466.28</v>
      </c>
      <c r="J108">
        <f t="shared" si="4"/>
        <v>2020</v>
      </c>
      <c r="K108">
        <f t="shared" si="5"/>
        <v>9</v>
      </c>
      <c r="L108">
        <f t="shared" si="6"/>
        <v>15</v>
      </c>
      <c r="M108">
        <f t="shared" si="7"/>
        <v>3</v>
      </c>
      <c r="N108">
        <f>_xlfn.XLOOKUP(A108,tatiller!H:H,tatiller!I:I,0,0)</f>
        <v>0</v>
      </c>
      <c r="O108" cm="1">
        <f t="array" ref="O108">_xlfn.IFNA(_xlfn.IFS(L108=1,"A0",A108=EOMONTH(A108,0),"A-1",L108=2,"A+1"),0)</f>
        <v>0</v>
      </c>
      <c r="P108" cm="1">
        <f t="array" ref="P108">_xlfn.IFNA(_xlfn.IFS(AND(_xlfn.XLOOKUP(A108,'LPG Fup'!D:D,'LPG Fup'!M:M,"",0)&lt;&gt;"",_xlfn.XLOOKUP(A108,'LPG Fup'!D:D,'LPG Fup'!M:M,"",0)&gt;0),"Z-1", AND(_xlfn.XLOOKUP(A108+1,'LPG Fup'!D:D,'LPG Fup'!M:M,"",0)&lt;&gt;"",_xlfn.XLOOKUP(A108+1,'LPG Fup'!D:D,'LPG Fup'!M:M,"",0)&gt;0),"Z-2", AND(_xlfn.XLOOKUP(A108-1,'LPG Fup'!D:D,'LPG Fup'!M:M,"",0)&lt;&gt;"",_xlfn.XLOOKUP(A108-1,'LPG Fup'!D:D,'LPG Fup'!M:M,"",0)&gt;0),"Z", AND(_xlfn.XLOOKUP(A108-2,'LPG Fup'!D:D,'LPG Fup'!M:M,"",0)&lt;&gt;"",_xlfn.XLOOKUP(A108-2,'LPG Fup'!D:D,'LPG Fup'!M:M,"",0)&gt;0),"Z+1"),0)</f>
        <v>0</v>
      </c>
      <c r="Q108" cm="1">
        <f t="array" ref="Q108">_xlfn.IFNA(_xlfn.IFS(AND(_xlfn.XLOOKUP(A108,'LPG Fup'!D:D,'LPG Fup'!M:M,"",0)&lt;&gt;"",_xlfn.XLOOKUP(A108,'LPG Fup'!D:D,'LPG Fup'!M:M,"",0)&lt;0),"I-1", AND(_xlfn.XLOOKUP(A108+1,'LPG Fup'!D:D,'LPG Fup'!M:M,"",0)&lt;&gt;"",_xlfn.XLOOKUP(A108+1,'LPG Fup'!D:D,'LPG Fup'!M:M,"",0)&lt;0),"I-2", AND(_xlfn.XLOOKUP(A108-1,'LPG Fup'!D:D,'LPG Fup'!M:M,"",0)&lt;&gt;"",_xlfn.XLOOKUP(A108-1,'LPG Fup'!D:D,'LPG Fup'!M:M,"",0)&lt;0),"I", AND(_xlfn.XLOOKUP(A108-2,'LPG Fup'!D:D,'LPG Fup'!M:M,"",0)&lt;&gt;"",_xlfn.XLOOKUP(A108-2,'LPG Fup'!D:D,'LPG Fup'!M:M,"",0)&lt;0),"I+1"),0)</f>
        <v>0</v>
      </c>
      <c r="R108">
        <f>_xlfn.XLOOKUP(A108,Covid!A:A,Covid!I:I,0,0)</f>
        <v>1742</v>
      </c>
      <c r="S108">
        <f>_xlfn.XLOOKUP(A108,Covid!A:A,Covid!K:K,0,0)</f>
        <v>67</v>
      </c>
      <c r="T108" s="145">
        <f>_xlfn.XLOOKUP(A108,Covid!A:A,Covid!K:K,0,0)/_xlfn.XLOOKUP(A108,Covid!A:A,Covid!L:L,0,0)</f>
        <v>5.5740432612312811E-2</v>
      </c>
    </row>
    <row r="109" spans="1:20" x14ac:dyDescent="0.55000000000000004">
      <c r="A109" s="157">
        <v>44090</v>
      </c>
      <c r="B109" s="13">
        <v>379420</v>
      </c>
      <c r="C109" s="13">
        <v>470314</v>
      </c>
      <c r="D109" s="13">
        <v>12472</v>
      </c>
      <c r="E109" s="13">
        <v>512485</v>
      </c>
      <c r="F109" s="13">
        <v>1374691</v>
      </c>
      <c r="G109">
        <f>IF(OR(_xlfn.XLOOKUP(A109,'LPG Fup'!D:D,'LPG Fup'!L:L,"",0)&gt;0.03,_xlfn.XLOOKUP(A109,'LPG Fup'!D:D,'LPG Fup'!L:L,"",0)&lt;-0.03),_xlfn.XLOOKUP(A109,'LPG Fup'!D:D,'LPG Fup'!L:L,0,0),0)</f>
        <v>0</v>
      </c>
      <c r="H109">
        <f>IF(_xlfn.XLOOKUP(A109,'LPG Fup'!D:D,'LPG Fup'!M:M,0,0)="",0,_xlfn.XLOOKUP(A109,'LPG Fup'!D:D,'LPG Fup'!M:M,0,0))</f>
        <v>0</v>
      </c>
      <c r="I109" s="109">
        <f>_xlfn.XLOOKUP(A109,'Rafineri Fiyatları'!A:A,'Rafineri Fiyatları'!B:B,"",0)</f>
        <v>4466.28</v>
      </c>
      <c r="J109">
        <f t="shared" si="4"/>
        <v>2020</v>
      </c>
      <c r="K109">
        <f t="shared" si="5"/>
        <v>9</v>
      </c>
      <c r="L109">
        <f t="shared" si="6"/>
        <v>16</v>
      </c>
      <c r="M109">
        <f t="shared" si="7"/>
        <v>4</v>
      </c>
      <c r="N109">
        <f>_xlfn.XLOOKUP(A109,tatiller!H:H,tatiller!I:I,0,0)</f>
        <v>0</v>
      </c>
      <c r="O109" cm="1">
        <f t="array" ref="O109">_xlfn.IFNA(_xlfn.IFS(L109=1,"A0",A109=EOMONTH(A109,0),"A-1",L109=2,"A+1"),0)</f>
        <v>0</v>
      </c>
      <c r="P109" cm="1">
        <f t="array" ref="P109">_xlfn.IFNA(_xlfn.IFS(AND(_xlfn.XLOOKUP(A109,'LPG Fup'!D:D,'LPG Fup'!M:M,"",0)&lt;&gt;"",_xlfn.XLOOKUP(A109,'LPG Fup'!D:D,'LPG Fup'!M:M,"",0)&gt;0),"Z-1", AND(_xlfn.XLOOKUP(A109+1,'LPG Fup'!D:D,'LPG Fup'!M:M,"",0)&lt;&gt;"",_xlfn.XLOOKUP(A109+1,'LPG Fup'!D:D,'LPG Fup'!M:M,"",0)&gt;0),"Z-2", AND(_xlfn.XLOOKUP(A109-1,'LPG Fup'!D:D,'LPG Fup'!M:M,"",0)&lt;&gt;"",_xlfn.XLOOKUP(A109-1,'LPG Fup'!D:D,'LPG Fup'!M:M,"",0)&gt;0),"Z", AND(_xlfn.XLOOKUP(A109-2,'LPG Fup'!D:D,'LPG Fup'!M:M,"",0)&lt;&gt;"",_xlfn.XLOOKUP(A109-2,'LPG Fup'!D:D,'LPG Fup'!M:M,"",0)&gt;0),"Z+1"),0)</f>
        <v>0</v>
      </c>
      <c r="Q109" cm="1">
        <f t="array" ref="Q109">_xlfn.IFNA(_xlfn.IFS(AND(_xlfn.XLOOKUP(A109,'LPG Fup'!D:D,'LPG Fup'!M:M,"",0)&lt;&gt;"",_xlfn.XLOOKUP(A109,'LPG Fup'!D:D,'LPG Fup'!M:M,"",0)&lt;0),"I-1", AND(_xlfn.XLOOKUP(A109+1,'LPG Fup'!D:D,'LPG Fup'!M:M,"",0)&lt;&gt;"",_xlfn.XLOOKUP(A109+1,'LPG Fup'!D:D,'LPG Fup'!M:M,"",0)&lt;0),"I-2", AND(_xlfn.XLOOKUP(A109-1,'LPG Fup'!D:D,'LPG Fup'!M:M,"",0)&lt;&gt;"",_xlfn.XLOOKUP(A109-1,'LPG Fup'!D:D,'LPG Fup'!M:M,"",0)&lt;0),"I", AND(_xlfn.XLOOKUP(A109-2,'LPG Fup'!D:D,'LPG Fup'!M:M,"",0)&lt;&gt;"",_xlfn.XLOOKUP(A109-2,'LPG Fup'!D:D,'LPG Fup'!M:M,"",0)&lt;0),"I+1"),0)</f>
        <v>0</v>
      </c>
      <c r="R109">
        <f>_xlfn.XLOOKUP(A109,Covid!A:A,Covid!I:I,0,0)</f>
        <v>1771</v>
      </c>
      <c r="S109">
        <f>_xlfn.XLOOKUP(A109,Covid!A:A,Covid!K:K,0,0)</f>
        <v>63</v>
      </c>
      <c r="T109" s="145">
        <f>_xlfn.XLOOKUP(A109,Covid!A:A,Covid!K:K,0,0)/_xlfn.XLOOKUP(A109,Covid!A:A,Covid!L:L,0,0)</f>
        <v>4.6944858420268257E-2</v>
      </c>
    </row>
    <row r="110" spans="1:20" x14ac:dyDescent="0.55000000000000004">
      <c r="A110" s="157">
        <v>44091</v>
      </c>
      <c r="B110" s="13">
        <v>393000</v>
      </c>
      <c r="C110" s="13">
        <v>395052</v>
      </c>
      <c r="D110" s="13">
        <v>7915</v>
      </c>
      <c r="E110" s="13">
        <v>511208</v>
      </c>
      <c r="F110" s="13">
        <v>1307175</v>
      </c>
      <c r="G110">
        <f>IF(OR(_xlfn.XLOOKUP(A110,'LPG Fup'!D:D,'LPG Fup'!L:L,"",0)&gt;0.03,_xlfn.XLOOKUP(A110,'LPG Fup'!D:D,'LPG Fup'!L:L,"",0)&lt;-0.03),_xlfn.XLOOKUP(A110,'LPG Fup'!D:D,'LPG Fup'!L:L,0,0),0)</f>
        <v>0</v>
      </c>
      <c r="H110">
        <f>IF(_xlfn.XLOOKUP(A110,'LPG Fup'!D:D,'LPG Fup'!M:M,0,0)="",0,_xlfn.XLOOKUP(A110,'LPG Fup'!D:D,'LPG Fup'!M:M,0,0))</f>
        <v>0</v>
      </c>
      <c r="I110" s="109">
        <f>_xlfn.XLOOKUP(A110,'Rafineri Fiyatları'!A:A,'Rafineri Fiyatları'!B:B,"",0)</f>
        <v>4466.28</v>
      </c>
      <c r="J110">
        <f t="shared" si="4"/>
        <v>2020</v>
      </c>
      <c r="K110">
        <f t="shared" si="5"/>
        <v>9</v>
      </c>
      <c r="L110">
        <f t="shared" si="6"/>
        <v>17</v>
      </c>
      <c r="M110">
        <f t="shared" si="7"/>
        <v>5</v>
      </c>
      <c r="N110">
        <f>_xlfn.XLOOKUP(A110,tatiller!H:H,tatiller!I:I,0,0)</f>
        <v>0</v>
      </c>
      <c r="O110" cm="1">
        <f t="array" ref="O110">_xlfn.IFNA(_xlfn.IFS(L110=1,"A0",A110=EOMONTH(A110,0),"A-1",L110=2,"A+1"),0)</f>
        <v>0</v>
      </c>
      <c r="P110" cm="1">
        <f t="array" ref="P110">_xlfn.IFNA(_xlfn.IFS(AND(_xlfn.XLOOKUP(A110,'LPG Fup'!D:D,'LPG Fup'!M:M,"",0)&lt;&gt;"",_xlfn.XLOOKUP(A110,'LPG Fup'!D:D,'LPG Fup'!M:M,"",0)&gt;0),"Z-1", AND(_xlfn.XLOOKUP(A110+1,'LPG Fup'!D:D,'LPG Fup'!M:M,"",0)&lt;&gt;"",_xlfn.XLOOKUP(A110+1,'LPG Fup'!D:D,'LPG Fup'!M:M,"",0)&gt;0),"Z-2", AND(_xlfn.XLOOKUP(A110-1,'LPG Fup'!D:D,'LPG Fup'!M:M,"",0)&lt;&gt;"",_xlfn.XLOOKUP(A110-1,'LPG Fup'!D:D,'LPG Fup'!M:M,"",0)&gt;0),"Z", AND(_xlfn.XLOOKUP(A110-2,'LPG Fup'!D:D,'LPG Fup'!M:M,"",0)&lt;&gt;"",_xlfn.XLOOKUP(A110-2,'LPG Fup'!D:D,'LPG Fup'!M:M,"",0)&gt;0),"Z+1"),0)</f>
        <v>0</v>
      </c>
      <c r="Q110" cm="1">
        <f t="array" ref="Q110">_xlfn.IFNA(_xlfn.IFS(AND(_xlfn.XLOOKUP(A110,'LPG Fup'!D:D,'LPG Fup'!M:M,"",0)&lt;&gt;"",_xlfn.XLOOKUP(A110,'LPG Fup'!D:D,'LPG Fup'!M:M,"",0)&lt;0),"I-1", AND(_xlfn.XLOOKUP(A110+1,'LPG Fup'!D:D,'LPG Fup'!M:M,"",0)&lt;&gt;"",_xlfn.XLOOKUP(A110+1,'LPG Fup'!D:D,'LPG Fup'!M:M,"",0)&lt;0),"I-2", AND(_xlfn.XLOOKUP(A110-1,'LPG Fup'!D:D,'LPG Fup'!M:M,"",0)&lt;&gt;"",_xlfn.XLOOKUP(A110-1,'LPG Fup'!D:D,'LPG Fup'!M:M,"",0)&lt;0),"I", AND(_xlfn.XLOOKUP(A110-2,'LPG Fup'!D:D,'LPG Fup'!M:M,"",0)&lt;&gt;"",_xlfn.XLOOKUP(A110-2,'LPG Fup'!D:D,'LPG Fup'!M:M,"",0)&lt;0),"I+1"),0)</f>
        <v>0</v>
      </c>
      <c r="R110">
        <f>_xlfn.XLOOKUP(A110,Covid!A:A,Covid!I:I,0,0)</f>
        <v>1648</v>
      </c>
      <c r="S110">
        <f>_xlfn.XLOOKUP(A110,Covid!A:A,Covid!K:K,0,0)</f>
        <v>66</v>
      </c>
      <c r="T110" s="145">
        <f>_xlfn.XLOOKUP(A110,Covid!A:A,Covid!K:K,0,0)/_xlfn.XLOOKUP(A110,Covid!A:A,Covid!L:L,0,0)</f>
        <v>5.774278215223097E-2</v>
      </c>
    </row>
    <row r="111" spans="1:20" x14ac:dyDescent="0.55000000000000004">
      <c r="A111" s="157">
        <v>44092</v>
      </c>
      <c r="B111" s="13">
        <v>441560</v>
      </c>
      <c r="C111" s="13">
        <v>461112</v>
      </c>
      <c r="D111" s="13">
        <v>8154</v>
      </c>
      <c r="E111" s="13">
        <v>570551</v>
      </c>
      <c r="F111" s="13">
        <v>1481377</v>
      </c>
      <c r="G111">
        <f>IF(OR(_xlfn.XLOOKUP(A111,'LPG Fup'!D:D,'LPG Fup'!L:L,"",0)&gt;0.03,_xlfn.XLOOKUP(A111,'LPG Fup'!D:D,'LPG Fup'!L:L,"",0)&lt;-0.03),_xlfn.XLOOKUP(A111,'LPG Fup'!D:D,'LPG Fup'!L:L,0,0),0)</f>
        <v>0</v>
      </c>
      <c r="H111">
        <f>IF(_xlfn.XLOOKUP(A111,'LPG Fup'!D:D,'LPG Fup'!M:M,0,0)="",0,_xlfn.XLOOKUP(A111,'LPG Fup'!D:D,'LPG Fup'!M:M,0,0))</f>
        <v>0</v>
      </c>
      <c r="I111" s="109">
        <f>_xlfn.XLOOKUP(A111,'Rafineri Fiyatları'!A:A,'Rafineri Fiyatları'!B:B,"",0)</f>
        <v>4466.28</v>
      </c>
      <c r="J111">
        <f t="shared" si="4"/>
        <v>2020</v>
      </c>
      <c r="K111">
        <f t="shared" si="5"/>
        <v>9</v>
      </c>
      <c r="L111">
        <f t="shared" si="6"/>
        <v>18</v>
      </c>
      <c r="M111">
        <f t="shared" si="7"/>
        <v>6</v>
      </c>
      <c r="N111">
        <f>_xlfn.XLOOKUP(A111,tatiller!H:H,tatiller!I:I,0,0)</f>
        <v>0</v>
      </c>
      <c r="O111" cm="1">
        <f t="array" ref="O111">_xlfn.IFNA(_xlfn.IFS(L111=1,"A0",A111=EOMONTH(A111,0),"A-1",L111=2,"A+1"),0)</f>
        <v>0</v>
      </c>
      <c r="P111" cm="1">
        <f t="array" ref="P111">_xlfn.IFNA(_xlfn.IFS(AND(_xlfn.XLOOKUP(A111,'LPG Fup'!D:D,'LPG Fup'!M:M,"",0)&lt;&gt;"",_xlfn.XLOOKUP(A111,'LPG Fup'!D:D,'LPG Fup'!M:M,"",0)&gt;0),"Z-1", AND(_xlfn.XLOOKUP(A111+1,'LPG Fup'!D:D,'LPG Fup'!M:M,"",0)&lt;&gt;"",_xlfn.XLOOKUP(A111+1,'LPG Fup'!D:D,'LPG Fup'!M:M,"",0)&gt;0),"Z-2", AND(_xlfn.XLOOKUP(A111-1,'LPG Fup'!D:D,'LPG Fup'!M:M,"",0)&lt;&gt;"",_xlfn.XLOOKUP(A111-1,'LPG Fup'!D:D,'LPG Fup'!M:M,"",0)&gt;0),"Z", AND(_xlfn.XLOOKUP(A111-2,'LPG Fup'!D:D,'LPG Fup'!M:M,"",0)&lt;&gt;"",_xlfn.XLOOKUP(A111-2,'LPG Fup'!D:D,'LPG Fup'!M:M,"",0)&gt;0),"Z+1"),0)</f>
        <v>0</v>
      </c>
      <c r="Q111" cm="1">
        <f t="array" ref="Q111">_xlfn.IFNA(_xlfn.IFS(AND(_xlfn.XLOOKUP(A111,'LPG Fup'!D:D,'LPG Fup'!M:M,"",0)&lt;&gt;"",_xlfn.XLOOKUP(A111,'LPG Fup'!D:D,'LPG Fup'!M:M,"",0)&lt;0),"I-1", AND(_xlfn.XLOOKUP(A111+1,'LPG Fup'!D:D,'LPG Fup'!M:M,"",0)&lt;&gt;"",_xlfn.XLOOKUP(A111+1,'LPG Fup'!D:D,'LPG Fup'!M:M,"",0)&lt;0),"I-2", AND(_xlfn.XLOOKUP(A111-1,'LPG Fup'!D:D,'LPG Fup'!M:M,"",0)&lt;&gt;"",_xlfn.XLOOKUP(A111-1,'LPG Fup'!D:D,'LPG Fup'!M:M,"",0)&lt;0),"I", AND(_xlfn.XLOOKUP(A111-2,'LPG Fup'!D:D,'LPG Fup'!M:M,"",0)&lt;&gt;"",_xlfn.XLOOKUP(A111-2,'LPG Fup'!D:D,'LPG Fup'!M:M,"",0)&lt;0),"I+1"),0)</f>
        <v>0</v>
      </c>
      <c r="R111">
        <f>_xlfn.XLOOKUP(A111,Covid!A:A,Covid!I:I,0,0)</f>
        <v>1771</v>
      </c>
      <c r="S111">
        <f>_xlfn.XLOOKUP(A111,Covid!A:A,Covid!K:K,0,0)</f>
        <v>62</v>
      </c>
      <c r="T111" s="145">
        <f>_xlfn.XLOOKUP(A111,Covid!A:A,Covid!K:K,0,0)/_xlfn.XLOOKUP(A111,Covid!A:A,Covid!L:L,0,0)</f>
        <v>5.849056603773585E-2</v>
      </c>
    </row>
    <row r="112" spans="1:20" x14ac:dyDescent="0.55000000000000004">
      <c r="A112" s="157">
        <v>44093</v>
      </c>
      <c r="B112" s="13">
        <v>271200</v>
      </c>
      <c r="C112" s="13">
        <v>391306</v>
      </c>
      <c r="D112" s="13">
        <v>7154</v>
      </c>
      <c r="E112" s="13">
        <v>659724</v>
      </c>
      <c r="F112" s="13">
        <v>1329384</v>
      </c>
      <c r="G112">
        <f>IF(OR(_xlfn.XLOOKUP(A112,'LPG Fup'!D:D,'LPG Fup'!L:L,"",0)&gt;0.03,_xlfn.XLOOKUP(A112,'LPG Fup'!D:D,'LPG Fup'!L:L,"",0)&lt;-0.03),_xlfn.XLOOKUP(A112,'LPG Fup'!D:D,'LPG Fup'!L:L,0,0),0)</f>
        <v>0</v>
      </c>
      <c r="H112">
        <f>IF(_xlfn.XLOOKUP(A112,'LPG Fup'!D:D,'LPG Fup'!M:M,0,0)="",0,_xlfn.XLOOKUP(A112,'LPG Fup'!D:D,'LPG Fup'!M:M,0,0))</f>
        <v>0</v>
      </c>
      <c r="I112" s="109">
        <f>_xlfn.XLOOKUP(A112,'Rafineri Fiyatları'!A:A,'Rafineri Fiyatları'!B:B,"",0)</f>
        <v>4466.28</v>
      </c>
      <c r="J112">
        <f t="shared" si="4"/>
        <v>2020</v>
      </c>
      <c r="K112">
        <f t="shared" si="5"/>
        <v>9</v>
      </c>
      <c r="L112">
        <f t="shared" si="6"/>
        <v>19</v>
      </c>
      <c r="M112">
        <f t="shared" si="7"/>
        <v>7</v>
      </c>
      <c r="N112">
        <f>_xlfn.XLOOKUP(A112,tatiller!H:H,tatiller!I:I,0,0)</f>
        <v>0</v>
      </c>
      <c r="O112" cm="1">
        <f t="array" ref="O112">_xlfn.IFNA(_xlfn.IFS(L112=1,"A0",A112=EOMONTH(A112,0),"A-1",L112=2,"A+1"),0)</f>
        <v>0</v>
      </c>
      <c r="P112" cm="1">
        <f t="array" ref="P112">_xlfn.IFNA(_xlfn.IFS(AND(_xlfn.XLOOKUP(A112,'LPG Fup'!D:D,'LPG Fup'!M:M,"",0)&lt;&gt;"",_xlfn.XLOOKUP(A112,'LPG Fup'!D:D,'LPG Fup'!M:M,"",0)&gt;0),"Z-1", AND(_xlfn.XLOOKUP(A112+1,'LPG Fup'!D:D,'LPG Fup'!M:M,"",0)&lt;&gt;"",_xlfn.XLOOKUP(A112+1,'LPG Fup'!D:D,'LPG Fup'!M:M,"",0)&gt;0),"Z-2", AND(_xlfn.XLOOKUP(A112-1,'LPG Fup'!D:D,'LPG Fup'!M:M,"",0)&lt;&gt;"",_xlfn.XLOOKUP(A112-1,'LPG Fup'!D:D,'LPG Fup'!M:M,"",0)&gt;0),"Z", AND(_xlfn.XLOOKUP(A112-2,'LPG Fup'!D:D,'LPG Fup'!M:M,"",0)&lt;&gt;"",_xlfn.XLOOKUP(A112-2,'LPG Fup'!D:D,'LPG Fup'!M:M,"",0)&gt;0),"Z+1"),0)</f>
        <v>0</v>
      </c>
      <c r="Q112" cm="1">
        <f t="array" ref="Q112">_xlfn.IFNA(_xlfn.IFS(AND(_xlfn.XLOOKUP(A112,'LPG Fup'!D:D,'LPG Fup'!M:M,"",0)&lt;&gt;"",_xlfn.XLOOKUP(A112,'LPG Fup'!D:D,'LPG Fup'!M:M,"",0)&lt;0),"I-1", AND(_xlfn.XLOOKUP(A112+1,'LPG Fup'!D:D,'LPG Fup'!M:M,"",0)&lt;&gt;"",_xlfn.XLOOKUP(A112+1,'LPG Fup'!D:D,'LPG Fup'!M:M,"",0)&lt;0),"I-2", AND(_xlfn.XLOOKUP(A112-1,'LPG Fup'!D:D,'LPG Fup'!M:M,"",0)&lt;&gt;"",_xlfn.XLOOKUP(A112-1,'LPG Fup'!D:D,'LPG Fup'!M:M,"",0)&lt;0),"I", AND(_xlfn.XLOOKUP(A112-2,'LPG Fup'!D:D,'LPG Fup'!M:M,"",0)&lt;&gt;"",_xlfn.XLOOKUP(A112-2,'LPG Fup'!D:D,'LPG Fup'!M:M,"",0)&lt;0),"I+1"),0)</f>
        <v>0</v>
      </c>
      <c r="R112">
        <f>_xlfn.XLOOKUP(A112,Covid!A:A,Covid!I:I,0,0)</f>
        <v>1538</v>
      </c>
      <c r="S112">
        <f>_xlfn.XLOOKUP(A112,Covid!A:A,Covid!K:K,0,0)</f>
        <v>68</v>
      </c>
      <c r="T112" s="145">
        <f>_xlfn.XLOOKUP(A112,Covid!A:A,Covid!K:K,0,0)/_xlfn.XLOOKUP(A112,Covid!A:A,Covid!L:L,0,0)</f>
        <v>5.1829268292682924E-2</v>
      </c>
    </row>
    <row r="113" spans="1:20" x14ac:dyDescent="0.55000000000000004">
      <c r="A113" s="157">
        <v>44094</v>
      </c>
      <c r="B113" s="13">
        <v>498140</v>
      </c>
      <c r="C113" s="13">
        <v>626</v>
      </c>
      <c r="D113" s="13">
        <v>5500</v>
      </c>
      <c r="E113" s="13">
        <v>439534</v>
      </c>
      <c r="F113" s="13">
        <v>943800</v>
      </c>
      <c r="G113">
        <f>IF(OR(_xlfn.XLOOKUP(A113,'LPG Fup'!D:D,'LPG Fup'!L:L,"",0)&gt;0.03,_xlfn.XLOOKUP(A113,'LPG Fup'!D:D,'LPG Fup'!L:L,"",0)&lt;-0.03),_xlfn.XLOOKUP(A113,'LPG Fup'!D:D,'LPG Fup'!L:L,0,0),0)</f>
        <v>0</v>
      </c>
      <c r="H113">
        <f>IF(_xlfn.XLOOKUP(A113,'LPG Fup'!D:D,'LPG Fup'!M:M,0,0)="",0,_xlfn.XLOOKUP(A113,'LPG Fup'!D:D,'LPG Fup'!M:M,0,0))</f>
        <v>0</v>
      </c>
      <c r="I113" s="109">
        <f>_xlfn.XLOOKUP(A113,'Rafineri Fiyatları'!A:A,'Rafineri Fiyatları'!B:B,"",0)</f>
        <v>4466.28</v>
      </c>
      <c r="J113">
        <f t="shared" si="4"/>
        <v>2020</v>
      </c>
      <c r="K113">
        <f t="shared" si="5"/>
        <v>9</v>
      </c>
      <c r="L113">
        <f t="shared" si="6"/>
        <v>20</v>
      </c>
      <c r="M113">
        <f t="shared" si="7"/>
        <v>1</v>
      </c>
      <c r="N113">
        <f>_xlfn.XLOOKUP(A113,tatiller!H:H,tatiller!I:I,0,0)</f>
        <v>0</v>
      </c>
      <c r="O113" cm="1">
        <f t="array" ref="O113">_xlfn.IFNA(_xlfn.IFS(L113=1,"A0",A113=EOMONTH(A113,0),"A-1",L113=2,"A+1"),0)</f>
        <v>0</v>
      </c>
      <c r="P113" cm="1">
        <f t="array" ref="P113">_xlfn.IFNA(_xlfn.IFS(AND(_xlfn.XLOOKUP(A113,'LPG Fup'!D:D,'LPG Fup'!M:M,"",0)&lt;&gt;"",_xlfn.XLOOKUP(A113,'LPG Fup'!D:D,'LPG Fup'!M:M,"",0)&gt;0),"Z-1", AND(_xlfn.XLOOKUP(A113+1,'LPG Fup'!D:D,'LPG Fup'!M:M,"",0)&lt;&gt;"",_xlfn.XLOOKUP(A113+1,'LPG Fup'!D:D,'LPG Fup'!M:M,"",0)&gt;0),"Z-2", AND(_xlfn.XLOOKUP(A113-1,'LPG Fup'!D:D,'LPG Fup'!M:M,"",0)&lt;&gt;"",_xlfn.XLOOKUP(A113-1,'LPG Fup'!D:D,'LPG Fup'!M:M,"",0)&gt;0),"Z", AND(_xlfn.XLOOKUP(A113-2,'LPG Fup'!D:D,'LPG Fup'!M:M,"",0)&lt;&gt;"",_xlfn.XLOOKUP(A113-2,'LPG Fup'!D:D,'LPG Fup'!M:M,"",0)&gt;0),"Z+1"),0)</f>
        <v>0</v>
      </c>
      <c r="Q113" cm="1">
        <f t="array" ref="Q113">_xlfn.IFNA(_xlfn.IFS(AND(_xlfn.XLOOKUP(A113,'LPG Fup'!D:D,'LPG Fup'!M:M,"",0)&lt;&gt;"",_xlfn.XLOOKUP(A113,'LPG Fup'!D:D,'LPG Fup'!M:M,"",0)&lt;0),"I-1", AND(_xlfn.XLOOKUP(A113+1,'LPG Fup'!D:D,'LPG Fup'!M:M,"",0)&lt;&gt;"",_xlfn.XLOOKUP(A113+1,'LPG Fup'!D:D,'LPG Fup'!M:M,"",0)&lt;0),"I-2", AND(_xlfn.XLOOKUP(A113-1,'LPG Fup'!D:D,'LPG Fup'!M:M,"",0)&lt;&gt;"",_xlfn.XLOOKUP(A113-1,'LPG Fup'!D:D,'LPG Fup'!M:M,"",0)&lt;0),"I", AND(_xlfn.XLOOKUP(A113-2,'LPG Fup'!D:D,'LPG Fup'!M:M,"",0)&lt;&gt;"",_xlfn.XLOOKUP(A113-2,'LPG Fup'!D:D,'LPG Fup'!M:M,"",0)&lt;0),"I+1"),0)</f>
        <v>0</v>
      </c>
      <c r="R113">
        <f>_xlfn.XLOOKUP(A113,Covid!A:A,Covid!I:I,0,0)</f>
        <v>1519</v>
      </c>
      <c r="S113">
        <f>_xlfn.XLOOKUP(A113,Covid!A:A,Covid!K:K,0,0)</f>
        <v>61</v>
      </c>
      <c r="T113" s="145">
        <f>_xlfn.XLOOKUP(A113,Covid!A:A,Covid!K:K,0,0)/_xlfn.XLOOKUP(A113,Covid!A:A,Covid!L:L,0,0)</f>
        <v>5.4659498207885307E-2</v>
      </c>
    </row>
    <row r="114" spans="1:20" x14ac:dyDescent="0.55000000000000004">
      <c r="A114" s="157">
        <v>44095</v>
      </c>
      <c r="B114" s="13">
        <v>378440</v>
      </c>
      <c r="C114" s="13">
        <v>474532</v>
      </c>
      <c r="D114" s="13">
        <v>2570</v>
      </c>
      <c r="E114" s="13">
        <v>559246</v>
      </c>
      <c r="F114" s="13">
        <v>1414788</v>
      </c>
      <c r="G114">
        <f>IF(OR(_xlfn.XLOOKUP(A114,'LPG Fup'!D:D,'LPG Fup'!L:L,"",0)&gt;0.03,_xlfn.XLOOKUP(A114,'LPG Fup'!D:D,'LPG Fup'!L:L,"",0)&lt;-0.03),_xlfn.XLOOKUP(A114,'LPG Fup'!D:D,'LPG Fup'!L:L,0,0),0)</f>
        <v>0</v>
      </c>
      <c r="H114">
        <f>IF(_xlfn.XLOOKUP(A114,'LPG Fup'!D:D,'LPG Fup'!M:M,0,0)="",0,_xlfn.XLOOKUP(A114,'LPG Fup'!D:D,'LPG Fup'!M:M,0,0))</f>
        <v>0</v>
      </c>
      <c r="I114" s="109">
        <f>_xlfn.XLOOKUP(A114,'Rafineri Fiyatları'!A:A,'Rafineri Fiyatları'!B:B,"",0)</f>
        <v>4466.28</v>
      </c>
      <c r="J114">
        <f t="shared" si="4"/>
        <v>2020</v>
      </c>
      <c r="K114">
        <f t="shared" si="5"/>
        <v>9</v>
      </c>
      <c r="L114">
        <f t="shared" si="6"/>
        <v>21</v>
      </c>
      <c r="M114">
        <f t="shared" si="7"/>
        <v>2</v>
      </c>
      <c r="N114">
        <f>_xlfn.XLOOKUP(A114,tatiller!H:H,tatiller!I:I,0,0)</f>
        <v>0</v>
      </c>
      <c r="O114" cm="1">
        <f t="array" ref="O114">_xlfn.IFNA(_xlfn.IFS(L114=1,"A0",A114=EOMONTH(A114,0),"A-1",L114=2,"A+1"),0)</f>
        <v>0</v>
      </c>
      <c r="P114" cm="1">
        <f t="array" ref="P114">_xlfn.IFNA(_xlfn.IFS(AND(_xlfn.XLOOKUP(A114,'LPG Fup'!D:D,'LPG Fup'!M:M,"",0)&lt;&gt;"",_xlfn.XLOOKUP(A114,'LPG Fup'!D:D,'LPG Fup'!M:M,"",0)&gt;0),"Z-1", AND(_xlfn.XLOOKUP(A114+1,'LPG Fup'!D:D,'LPG Fup'!M:M,"",0)&lt;&gt;"",_xlfn.XLOOKUP(A114+1,'LPG Fup'!D:D,'LPG Fup'!M:M,"",0)&gt;0),"Z-2", AND(_xlfn.XLOOKUP(A114-1,'LPG Fup'!D:D,'LPG Fup'!M:M,"",0)&lt;&gt;"",_xlfn.XLOOKUP(A114-1,'LPG Fup'!D:D,'LPG Fup'!M:M,"",0)&gt;0),"Z", AND(_xlfn.XLOOKUP(A114-2,'LPG Fup'!D:D,'LPG Fup'!M:M,"",0)&lt;&gt;"",_xlfn.XLOOKUP(A114-2,'LPG Fup'!D:D,'LPG Fup'!M:M,"",0)&gt;0),"Z+1"),0)</f>
        <v>0</v>
      </c>
      <c r="Q114" cm="1">
        <f t="array" ref="Q114">_xlfn.IFNA(_xlfn.IFS(AND(_xlfn.XLOOKUP(A114,'LPG Fup'!D:D,'LPG Fup'!M:M,"",0)&lt;&gt;"",_xlfn.XLOOKUP(A114,'LPG Fup'!D:D,'LPG Fup'!M:M,"",0)&lt;0),"I-1", AND(_xlfn.XLOOKUP(A114+1,'LPG Fup'!D:D,'LPG Fup'!M:M,"",0)&lt;&gt;"",_xlfn.XLOOKUP(A114+1,'LPG Fup'!D:D,'LPG Fup'!M:M,"",0)&lt;0),"I-2", AND(_xlfn.XLOOKUP(A114-1,'LPG Fup'!D:D,'LPG Fup'!M:M,"",0)&lt;&gt;"",_xlfn.XLOOKUP(A114-1,'LPG Fup'!D:D,'LPG Fup'!M:M,"",0)&lt;0),"I", AND(_xlfn.XLOOKUP(A114-2,'LPG Fup'!D:D,'LPG Fup'!M:M,"",0)&lt;&gt;"",_xlfn.XLOOKUP(A114-2,'LPG Fup'!D:D,'LPG Fup'!M:M,"",0)&lt;0),"I+1"),0)</f>
        <v>0</v>
      </c>
      <c r="R114">
        <f>_xlfn.XLOOKUP(A114,Covid!A:A,Covid!I:I,0,0)</f>
        <v>1743</v>
      </c>
      <c r="S114">
        <f>_xlfn.XLOOKUP(A114,Covid!A:A,Covid!K:K,0,0)</f>
        <v>68</v>
      </c>
      <c r="T114" s="145">
        <f>_xlfn.XLOOKUP(A114,Covid!A:A,Covid!K:K,0,0)/_xlfn.XLOOKUP(A114,Covid!A:A,Covid!L:L,0,0)</f>
        <v>5.6572379367720464E-2</v>
      </c>
    </row>
    <row r="115" spans="1:20" x14ac:dyDescent="0.55000000000000004">
      <c r="A115" s="157">
        <v>44096</v>
      </c>
      <c r="B115" s="13">
        <v>404200</v>
      </c>
      <c r="C115" s="13">
        <v>458973</v>
      </c>
      <c r="D115" s="13">
        <v>5622</v>
      </c>
      <c r="E115" s="13">
        <v>486662</v>
      </c>
      <c r="F115" s="13">
        <v>1355457</v>
      </c>
      <c r="G115">
        <f>IF(OR(_xlfn.XLOOKUP(A115,'LPG Fup'!D:D,'LPG Fup'!L:L,"",0)&gt;0.03,_xlfn.XLOOKUP(A115,'LPG Fup'!D:D,'LPG Fup'!L:L,"",0)&lt;-0.03),_xlfn.XLOOKUP(A115,'LPG Fup'!D:D,'LPG Fup'!L:L,0,0),0)</f>
        <v>0</v>
      </c>
      <c r="H115">
        <f>IF(_xlfn.XLOOKUP(A115,'LPG Fup'!D:D,'LPG Fup'!M:M,0,0)="",0,_xlfn.XLOOKUP(A115,'LPG Fup'!D:D,'LPG Fup'!M:M,0,0))</f>
        <v>0</v>
      </c>
      <c r="I115" s="109">
        <f>_xlfn.XLOOKUP(A115,'Rafineri Fiyatları'!A:A,'Rafineri Fiyatları'!B:B,"",0)</f>
        <v>4466.28</v>
      </c>
      <c r="J115">
        <f t="shared" si="4"/>
        <v>2020</v>
      </c>
      <c r="K115">
        <f t="shared" si="5"/>
        <v>9</v>
      </c>
      <c r="L115">
        <f t="shared" si="6"/>
        <v>22</v>
      </c>
      <c r="M115">
        <f t="shared" si="7"/>
        <v>3</v>
      </c>
      <c r="N115">
        <f>_xlfn.XLOOKUP(A115,tatiller!H:H,tatiller!I:I,0,0)</f>
        <v>0</v>
      </c>
      <c r="O115" cm="1">
        <f t="array" ref="O115">_xlfn.IFNA(_xlfn.IFS(L115=1,"A0",A115=EOMONTH(A115,0),"A-1",L115=2,"A+1"),0)</f>
        <v>0</v>
      </c>
      <c r="P115" cm="1">
        <f t="array" ref="P115">_xlfn.IFNA(_xlfn.IFS(AND(_xlfn.XLOOKUP(A115,'LPG Fup'!D:D,'LPG Fup'!M:M,"",0)&lt;&gt;"",_xlfn.XLOOKUP(A115,'LPG Fup'!D:D,'LPG Fup'!M:M,"",0)&gt;0),"Z-1", AND(_xlfn.XLOOKUP(A115+1,'LPG Fup'!D:D,'LPG Fup'!M:M,"",0)&lt;&gt;"",_xlfn.XLOOKUP(A115+1,'LPG Fup'!D:D,'LPG Fup'!M:M,"",0)&gt;0),"Z-2", AND(_xlfn.XLOOKUP(A115-1,'LPG Fup'!D:D,'LPG Fup'!M:M,"",0)&lt;&gt;"",_xlfn.XLOOKUP(A115-1,'LPG Fup'!D:D,'LPG Fup'!M:M,"",0)&gt;0),"Z", AND(_xlfn.XLOOKUP(A115-2,'LPG Fup'!D:D,'LPG Fup'!M:M,"",0)&lt;&gt;"",_xlfn.XLOOKUP(A115-2,'LPG Fup'!D:D,'LPG Fup'!M:M,"",0)&gt;0),"Z+1"),0)</f>
        <v>0</v>
      </c>
      <c r="Q115" cm="1">
        <f t="array" ref="Q115">_xlfn.IFNA(_xlfn.IFS(AND(_xlfn.XLOOKUP(A115,'LPG Fup'!D:D,'LPG Fup'!M:M,"",0)&lt;&gt;"",_xlfn.XLOOKUP(A115,'LPG Fup'!D:D,'LPG Fup'!M:M,"",0)&lt;0),"I-1", AND(_xlfn.XLOOKUP(A115+1,'LPG Fup'!D:D,'LPG Fup'!M:M,"",0)&lt;&gt;"",_xlfn.XLOOKUP(A115+1,'LPG Fup'!D:D,'LPG Fup'!M:M,"",0)&lt;0),"I-2", AND(_xlfn.XLOOKUP(A115-1,'LPG Fup'!D:D,'LPG Fup'!M:M,"",0)&lt;&gt;"",_xlfn.XLOOKUP(A115-1,'LPG Fup'!D:D,'LPG Fup'!M:M,"",0)&lt;0),"I", AND(_xlfn.XLOOKUP(A115-2,'LPG Fup'!D:D,'LPG Fup'!M:M,"",0)&lt;&gt;"",_xlfn.XLOOKUP(A115-2,'LPG Fup'!D:D,'LPG Fup'!M:M,"",0)&lt;0),"I+1"),0)</f>
        <v>0</v>
      </c>
      <c r="R115">
        <f>_xlfn.XLOOKUP(A115,Covid!A:A,Covid!I:I,0,0)</f>
        <v>1692</v>
      </c>
      <c r="S115">
        <f>_xlfn.XLOOKUP(A115,Covid!A:A,Covid!K:K,0,0)</f>
        <v>65</v>
      </c>
      <c r="T115" s="145">
        <f>_xlfn.XLOOKUP(A115,Covid!A:A,Covid!K:K,0,0)/_xlfn.XLOOKUP(A115,Covid!A:A,Covid!L:L,0,0)</f>
        <v>5.1546391752577317E-2</v>
      </c>
    </row>
    <row r="116" spans="1:20" x14ac:dyDescent="0.55000000000000004">
      <c r="A116" s="157">
        <v>44097</v>
      </c>
      <c r="B116" s="13">
        <v>298180</v>
      </c>
      <c r="C116" s="13">
        <v>471785</v>
      </c>
      <c r="D116" s="13">
        <v>6698</v>
      </c>
      <c r="E116" s="13">
        <v>539791</v>
      </c>
      <c r="F116" s="13">
        <v>1316454</v>
      </c>
      <c r="G116">
        <f>IF(OR(_xlfn.XLOOKUP(A116,'LPG Fup'!D:D,'LPG Fup'!L:L,"",0)&gt;0.03,_xlfn.XLOOKUP(A116,'LPG Fup'!D:D,'LPG Fup'!L:L,"",0)&lt;-0.03),_xlfn.XLOOKUP(A116,'LPG Fup'!D:D,'LPG Fup'!L:L,0,0),0)</f>
        <v>0</v>
      </c>
      <c r="H116">
        <f>IF(_xlfn.XLOOKUP(A116,'LPG Fup'!D:D,'LPG Fup'!M:M,0,0)="",0,_xlfn.XLOOKUP(A116,'LPG Fup'!D:D,'LPG Fup'!M:M,0,0))</f>
        <v>0</v>
      </c>
      <c r="I116" s="109">
        <f>_xlfn.XLOOKUP(A116,'Rafineri Fiyatları'!A:A,'Rafineri Fiyatları'!B:B,"",0)</f>
        <v>4466.28</v>
      </c>
      <c r="J116">
        <f t="shared" si="4"/>
        <v>2020</v>
      </c>
      <c r="K116">
        <f t="shared" si="5"/>
        <v>9</v>
      </c>
      <c r="L116">
        <f t="shared" si="6"/>
        <v>23</v>
      </c>
      <c r="M116">
        <f t="shared" si="7"/>
        <v>4</v>
      </c>
      <c r="N116">
        <f>_xlfn.XLOOKUP(A116,tatiller!H:H,tatiller!I:I,0,0)</f>
        <v>0</v>
      </c>
      <c r="O116" cm="1">
        <f t="array" ref="O116">_xlfn.IFNA(_xlfn.IFS(L116=1,"A0",A116=EOMONTH(A116,0),"A-1",L116=2,"A+1"),0)</f>
        <v>0</v>
      </c>
      <c r="P116" t="str" cm="1">
        <f t="array" ref="P116">_xlfn.IFNA(_xlfn.IFS(AND(_xlfn.XLOOKUP(A116,'LPG Fup'!D:D,'LPG Fup'!M:M,"",0)&lt;&gt;"",_xlfn.XLOOKUP(A116,'LPG Fup'!D:D,'LPG Fup'!M:M,"",0)&gt;0),"Z-1", AND(_xlfn.XLOOKUP(A116+1,'LPG Fup'!D:D,'LPG Fup'!M:M,"",0)&lt;&gt;"",_xlfn.XLOOKUP(A116+1,'LPG Fup'!D:D,'LPG Fup'!M:M,"",0)&gt;0),"Z-2", AND(_xlfn.XLOOKUP(A116-1,'LPG Fup'!D:D,'LPG Fup'!M:M,"",0)&lt;&gt;"",_xlfn.XLOOKUP(A116-1,'LPG Fup'!D:D,'LPG Fup'!M:M,"",0)&gt;0),"Z", AND(_xlfn.XLOOKUP(A116-2,'LPG Fup'!D:D,'LPG Fup'!M:M,"",0)&lt;&gt;"",_xlfn.XLOOKUP(A116-2,'LPG Fup'!D:D,'LPG Fup'!M:M,"",0)&gt;0),"Z+1"),0)</f>
        <v>Z-2</v>
      </c>
      <c r="Q116" cm="1">
        <f t="array" ref="Q116">_xlfn.IFNA(_xlfn.IFS(AND(_xlfn.XLOOKUP(A116,'LPG Fup'!D:D,'LPG Fup'!M:M,"",0)&lt;&gt;"",_xlfn.XLOOKUP(A116,'LPG Fup'!D:D,'LPG Fup'!M:M,"",0)&lt;0),"I-1", AND(_xlfn.XLOOKUP(A116+1,'LPG Fup'!D:D,'LPG Fup'!M:M,"",0)&lt;&gt;"",_xlfn.XLOOKUP(A116+1,'LPG Fup'!D:D,'LPG Fup'!M:M,"",0)&lt;0),"I-2", AND(_xlfn.XLOOKUP(A116-1,'LPG Fup'!D:D,'LPG Fup'!M:M,"",0)&lt;&gt;"",_xlfn.XLOOKUP(A116-1,'LPG Fup'!D:D,'LPG Fup'!M:M,"",0)&lt;0),"I", AND(_xlfn.XLOOKUP(A116-2,'LPG Fup'!D:D,'LPG Fup'!M:M,"",0)&lt;&gt;"",_xlfn.XLOOKUP(A116-2,'LPG Fup'!D:D,'LPG Fup'!M:M,"",0)&lt;0),"I+1"),0)</f>
        <v>0</v>
      </c>
      <c r="R116">
        <f>_xlfn.XLOOKUP(A116,Covid!A:A,Covid!I:I,0,0)</f>
        <v>1767</v>
      </c>
      <c r="S116">
        <f>_xlfn.XLOOKUP(A116,Covid!A:A,Covid!K:K,0,0)</f>
        <v>72</v>
      </c>
      <c r="T116" s="145">
        <f>_xlfn.XLOOKUP(A116,Covid!A:A,Covid!K:K,0,0)/_xlfn.XLOOKUP(A116,Covid!A:A,Covid!L:L,0,0)</f>
        <v>7.010710808179163E-2</v>
      </c>
    </row>
    <row r="117" spans="1:20" x14ac:dyDescent="0.55000000000000004">
      <c r="A117" s="157">
        <v>44098</v>
      </c>
      <c r="B117" s="13">
        <v>444860</v>
      </c>
      <c r="C117" s="13">
        <v>451196</v>
      </c>
      <c r="D117" s="13">
        <v>4600</v>
      </c>
      <c r="E117" s="13">
        <v>513644</v>
      </c>
      <c r="F117" s="13">
        <v>1414300</v>
      </c>
      <c r="G117">
        <f>IF(OR(_xlfn.XLOOKUP(A117,'LPG Fup'!D:D,'LPG Fup'!L:L,"",0)&gt;0.03,_xlfn.XLOOKUP(A117,'LPG Fup'!D:D,'LPG Fup'!L:L,"",0)&lt;-0.03),_xlfn.XLOOKUP(A117,'LPG Fup'!D:D,'LPG Fup'!L:L,0,0),0)</f>
        <v>3.0521445161668537E-2</v>
      </c>
      <c r="H117">
        <f>IF(_xlfn.XLOOKUP(A117,'LPG Fup'!D:D,'LPG Fup'!M:M,0,0)="",0,_xlfn.XLOOKUP(A117,'LPG Fup'!D:D,'LPG Fup'!M:M,0,0))</f>
        <v>111.60431999999992</v>
      </c>
      <c r="I117" s="109">
        <f>_xlfn.XLOOKUP(A117,'Rafineri Fiyatları'!A:A,'Rafineri Fiyatları'!B:B,"",0)</f>
        <v>4466.28</v>
      </c>
      <c r="J117">
        <f t="shared" si="4"/>
        <v>2020</v>
      </c>
      <c r="K117">
        <f t="shared" si="5"/>
        <v>9</v>
      </c>
      <c r="L117">
        <f t="shared" si="6"/>
        <v>24</v>
      </c>
      <c r="M117">
        <f t="shared" si="7"/>
        <v>5</v>
      </c>
      <c r="N117">
        <f>_xlfn.XLOOKUP(A117,tatiller!H:H,tatiller!I:I,0,0)</f>
        <v>0</v>
      </c>
      <c r="O117" cm="1">
        <f t="array" ref="O117">_xlfn.IFNA(_xlfn.IFS(L117=1,"A0",A117=EOMONTH(A117,0),"A-1",L117=2,"A+1"),0)</f>
        <v>0</v>
      </c>
      <c r="P117" t="str" cm="1">
        <f t="array" ref="P117">_xlfn.IFNA(_xlfn.IFS(AND(_xlfn.XLOOKUP(A117,'LPG Fup'!D:D,'LPG Fup'!M:M,"",0)&lt;&gt;"",_xlfn.XLOOKUP(A117,'LPG Fup'!D:D,'LPG Fup'!M:M,"",0)&gt;0),"Z-1", AND(_xlfn.XLOOKUP(A117+1,'LPG Fup'!D:D,'LPG Fup'!M:M,"",0)&lt;&gt;"",_xlfn.XLOOKUP(A117+1,'LPG Fup'!D:D,'LPG Fup'!M:M,"",0)&gt;0),"Z-2", AND(_xlfn.XLOOKUP(A117-1,'LPG Fup'!D:D,'LPG Fup'!M:M,"",0)&lt;&gt;"",_xlfn.XLOOKUP(A117-1,'LPG Fup'!D:D,'LPG Fup'!M:M,"",0)&gt;0),"Z", AND(_xlfn.XLOOKUP(A117-2,'LPG Fup'!D:D,'LPG Fup'!M:M,"",0)&lt;&gt;"",_xlfn.XLOOKUP(A117-2,'LPG Fup'!D:D,'LPG Fup'!M:M,"",0)&gt;0),"Z+1"),0)</f>
        <v>Z-1</v>
      </c>
      <c r="Q117" cm="1">
        <f t="array" ref="Q117">_xlfn.IFNA(_xlfn.IFS(AND(_xlfn.XLOOKUP(A117,'LPG Fup'!D:D,'LPG Fup'!M:M,"",0)&lt;&gt;"",_xlfn.XLOOKUP(A117,'LPG Fup'!D:D,'LPG Fup'!M:M,"",0)&lt;0),"I-1", AND(_xlfn.XLOOKUP(A117+1,'LPG Fup'!D:D,'LPG Fup'!M:M,"",0)&lt;&gt;"",_xlfn.XLOOKUP(A117+1,'LPG Fup'!D:D,'LPG Fup'!M:M,"",0)&lt;0),"I-2", AND(_xlfn.XLOOKUP(A117-1,'LPG Fup'!D:D,'LPG Fup'!M:M,"",0)&lt;&gt;"",_xlfn.XLOOKUP(A117-1,'LPG Fup'!D:D,'LPG Fup'!M:M,"",0)&lt;0),"I", AND(_xlfn.XLOOKUP(A117-2,'LPG Fup'!D:D,'LPG Fup'!M:M,"",0)&lt;&gt;"",_xlfn.XLOOKUP(A117-2,'LPG Fup'!D:D,'LPG Fup'!M:M,"",0)&lt;0),"I+1"),0)</f>
        <v>0</v>
      </c>
      <c r="R117">
        <f>_xlfn.XLOOKUP(A117,Covid!A:A,Covid!I:I,0,0)</f>
        <v>1721</v>
      </c>
      <c r="S117">
        <f>_xlfn.XLOOKUP(A117,Covid!A:A,Covid!K:K,0,0)</f>
        <v>74</v>
      </c>
      <c r="T117" s="145">
        <f>_xlfn.XLOOKUP(A117,Covid!A:A,Covid!K:K,0,0)/_xlfn.XLOOKUP(A117,Covid!A:A,Covid!L:L,0,0)</f>
        <v>5.9629331184528608E-2</v>
      </c>
    </row>
    <row r="118" spans="1:20" x14ac:dyDescent="0.55000000000000004">
      <c r="A118" s="157">
        <v>44099</v>
      </c>
      <c r="B118" s="13">
        <v>384820</v>
      </c>
      <c r="C118" s="13">
        <v>462614</v>
      </c>
      <c r="D118" s="13">
        <v>12920</v>
      </c>
      <c r="E118" s="13">
        <v>533674</v>
      </c>
      <c r="F118" s="13">
        <v>1394028</v>
      </c>
      <c r="G118">
        <f>IF(OR(_xlfn.XLOOKUP(A118,'LPG Fup'!D:D,'LPG Fup'!L:L,"",0)&gt;0.03,_xlfn.XLOOKUP(A118,'LPG Fup'!D:D,'LPG Fup'!L:L,"",0)&lt;-0.03),_xlfn.XLOOKUP(A118,'LPG Fup'!D:D,'LPG Fup'!L:L,0,0),0)</f>
        <v>0</v>
      </c>
      <c r="H118">
        <f>IF(_xlfn.XLOOKUP(A118,'LPG Fup'!D:D,'LPG Fup'!M:M,0,0)="",0,_xlfn.XLOOKUP(A118,'LPG Fup'!D:D,'LPG Fup'!M:M,0,0))</f>
        <v>0</v>
      </c>
      <c r="I118" s="109">
        <f>_xlfn.XLOOKUP(A118,'Rafineri Fiyatları'!A:A,'Rafineri Fiyatları'!B:B,"",0)</f>
        <v>4466.28</v>
      </c>
      <c r="J118">
        <f t="shared" si="4"/>
        <v>2020</v>
      </c>
      <c r="K118">
        <f t="shared" si="5"/>
        <v>9</v>
      </c>
      <c r="L118">
        <f t="shared" si="6"/>
        <v>25</v>
      </c>
      <c r="M118">
        <f t="shared" si="7"/>
        <v>6</v>
      </c>
      <c r="N118">
        <f>_xlfn.XLOOKUP(A118,tatiller!H:H,tatiller!I:I,0,0)</f>
        <v>0</v>
      </c>
      <c r="O118" cm="1">
        <f t="array" ref="O118">_xlfn.IFNA(_xlfn.IFS(L118=1,"A0",A118=EOMONTH(A118,0),"A-1",L118=2,"A+1"),0)</f>
        <v>0</v>
      </c>
      <c r="P118" t="str" cm="1">
        <f t="array" ref="P118">_xlfn.IFNA(_xlfn.IFS(AND(_xlfn.XLOOKUP(A118,'LPG Fup'!D:D,'LPG Fup'!M:M,"",0)&lt;&gt;"",_xlfn.XLOOKUP(A118,'LPG Fup'!D:D,'LPG Fup'!M:M,"",0)&gt;0),"Z-1", AND(_xlfn.XLOOKUP(A118+1,'LPG Fup'!D:D,'LPG Fup'!M:M,"",0)&lt;&gt;"",_xlfn.XLOOKUP(A118+1,'LPG Fup'!D:D,'LPG Fup'!M:M,"",0)&gt;0),"Z-2", AND(_xlfn.XLOOKUP(A118-1,'LPG Fup'!D:D,'LPG Fup'!M:M,"",0)&lt;&gt;"",_xlfn.XLOOKUP(A118-1,'LPG Fup'!D:D,'LPG Fup'!M:M,"",0)&gt;0),"Z", AND(_xlfn.XLOOKUP(A118-2,'LPG Fup'!D:D,'LPG Fup'!M:M,"",0)&lt;&gt;"",_xlfn.XLOOKUP(A118-2,'LPG Fup'!D:D,'LPG Fup'!M:M,"",0)&gt;0),"Z+1"),0)</f>
        <v>Z</v>
      </c>
      <c r="Q118" cm="1">
        <f t="array" ref="Q118">_xlfn.IFNA(_xlfn.IFS(AND(_xlfn.XLOOKUP(A118,'LPG Fup'!D:D,'LPG Fup'!M:M,"",0)&lt;&gt;"",_xlfn.XLOOKUP(A118,'LPG Fup'!D:D,'LPG Fup'!M:M,"",0)&lt;0),"I-1", AND(_xlfn.XLOOKUP(A118+1,'LPG Fup'!D:D,'LPG Fup'!M:M,"",0)&lt;&gt;"",_xlfn.XLOOKUP(A118+1,'LPG Fup'!D:D,'LPG Fup'!M:M,"",0)&lt;0),"I-2", AND(_xlfn.XLOOKUP(A118-1,'LPG Fup'!D:D,'LPG Fup'!M:M,"",0)&lt;&gt;"",_xlfn.XLOOKUP(A118-1,'LPG Fup'!D:D,'LPG Fup'!M:M,"",0)&lt;0),"I", AND(_xlfn.XLOOKUP(A118-2,'LPG Fup'!D:D,'LPG Fup'!M:M,"",0)&lt;&gt;"",_xlfn.XLOOKUP(A118-2,'LPG Fup'!D:D,'LPG Fup'!M:M,"",0)&lt;0),"I+1"),0)</f>
        <v>0</v>
      </c>
      <c r="R118">
        <f>_xlfn.XLOOKUP(A118,Covid!A:A,Covid!I:I,0,0)</f>
        <v>1665</v>
      </c>
      <c r="S118">
        <f>_xlfn.XLOOKUP(A118,Covid!A:A,Covid!K:K,0,0)</f>
        <v>73</v>
      </c>
      <c r="T118" s="145">
        <f>_xlfn.XLOOKUP(A118,Covid!A:A,Covid!K:K,0,0)/_xlfn.XLOOKUP(A118,Covid!A:A,Covid!L:L,0,0)</f>
        <v>5.5386949924127467E-2</v>
      </c>
    </row>
    <row r="119" spans="1:20" x14ac:dyDescent="0.55000000000000004">
      <c r="A119" s="157">
        <v>44100</v>
      </c>
      <c r="B119" s="13">
        <v>1373680</v>
      </c>
      <c r="C119" s="13">
        <v>430516</v>
      </c>
      <c r="D119" s="13">
        <v>14623</v>
      </c>
      <c r="E119" s="13">
        <v>598907</v>
      </c>
      <c r="F119" s="13">
        <v>2417726</v>
      </c>
      <c r="G119">
        <f>IF(OR(_xlfn.XLOOKUP(A119,'LPG Fup'!D:D,'LPG Fup'!L:L,"",0)&gt;0.03,_xlfn.XLOOKUP(A119,'LPG Fup'!D:D,'LPG Fup'!L:L,"",0)&lt;-0.03),_xlfn.XLOOKUP(A119,'LPG Fup'!D:D,'LPG Fup'!L:L,0,0),0)</f>
        <v>0</v>
      </c>
      <c r="H119">
        <f>IF(_xlfn.XLOOKUP(A119,'LPG Fup'!D:D,'LPG Fup'!M:M,0,0)="",0,_xlfn.XLOOKUP(A119,'LPG Fup'!D:D,'LPG Fup'!M:M,0,0))</f>
        <v>0</v>
      </c>
      <c r="I119" s="109">
        <f>_xlfn.XLOOKUP(A119,'Rafineri Fiyatları'!A:A,'Rafineri Fiyatları'!B:B,"",0)</f>
        <v>4466.28</v>
      </c>
      <c r="J119">
        <f t="shared" si="4"/>
        <v>2020</v>
      </c>
      <c r="K119">
        <f t="shared" si="5"/>
        <v>9</v>
      </c>
      <c r="L119">
        <f t="shared" si="6"/>
        <v>26</v>
      </c>
      <c r="M119">
        <f t="shared" si="7"/>
        <v>7</v>
      </c>
      <c r="N119">
        <f>_xlfn.XLOOKUP(A119,tatiller!H:H,tatiller!I:I,0,0)</f>
        <v>0</v>
      </c>
      <c r="O119" cm="1">
        <f t="array" ref="O119">_xlfn.IFNA(_xlfn.IFS(L119=1,"A0",A119=EOMONTH(A119,0),"A-1",L119=2,"A+1"),0)</f>
        <v>0</v>
      </c>
      <c r="P119" t="str" cm="1">
        <f t="array" ref="P119">_xlfn.IFNA(_xlfn.IFS(AND(_xlfn.XLOOKUP(A119,'LPG Fup'!D:D,'LPG Fup'!M:M,"",0)&lt;&gt;"",_xlfn.XLOOKUP(A119,'LPG Fup'!D:D,'LPG Fup'!M:M,"",0)&gt;0),"Z-1", AND(_xlfn.XLOOKUP(A119+1,'LPG Fup'!D:D,'LPG Fup'!M:M,"",0)&lt;&gt;"",_xlfn.XLOOKUP(A119+1,'LPG Fup'!D:D,'LPG Fup'!M:M,"",0)&gt;0),"Z-2", AND(_xlfn.XLOOKUP(A119-1,'LPG Fup'!D:D,'LPG Fup'!M:M,"",0)&lt;&gt;"",_xlfn.XLOOKUP(A119-1,'LPG Fup'!D:D,'LPG Fup'!M:M,"",0)&gt;0),"Z", AND(_xlfn.XLOOKUP(A119-2,'LPG Fup'!D:D,'LPG Fup'!M:M,"",0)&lt;&gt;"",_xlfn.XLOOKUP(A119-2,'LPG Fup'!D:D,'LPG Fup'!M:M,"",0)&gt;0),"Z+1"),0)</f>
        <v>Z+1</v>
      </c>
      <c r="Q119" cm="1">
        <f t="array" ref="Q119">_xlfn.IFNA(_xlfn.IFS(AND(_xlfn.XLOOKUP(A119,'LPG Fup'!D:D,'LPG Fup'!M:M,"",0)&lt;&gt;"",_xlfn.XLOOKUP(A119,'LPG Fup'!D:D,'LPG Fup'!M:M,"",0)&lt;0),"I-1", AND(_xlfn.XLOOKUP(A119+1,'LPG Fup'!D:D,'LPG Fup'!M:M,"",0)&lt;&gt;"",_xlfn.XLOOKUP(A119+1,'LPG Fup'!D:D,'LPG Fup'!M:M,"",0)&lt;0),"I-2", AND(_xlfn.XLOOKUP(A119-1,'LPG Fup'!D:D,'LPG Fup'!M:M,"",0)&lt;&gt;"",_xlfn.XLOOKUP(A119-1,'LPG Fup'!D:D,'LPG Fup'!M:M,"",0)&lt;0),"I", AND(_xlfn.XLOOKUP(A119-2,'LPG Fup'!D:D,'LPG Fup'!M:M,"",0)&lt;&gt;"",_xlfn.XLOOKUP(A119-2,'LPG Fup'!D:D,'LPG Fup'!M:M,"",0)&lt;0),"I+1"),0)</f>
        <v>0</v>
      </c>
      <c r="R119">
        <f>_xlfn.XLOOKUP(A119,Covid!A:A,Covid!I:I,0,0)</f>
        <v>1511</v>
      </c>
      <c r="S119">
        <f>_xlfn.XLOOKUP(A119,Covid!A:A,Covid!K:K,0,0)</f>
        <v>71</v>
      </c>
      <c r="T119" s="145">
        <f>_xlfn.XLOOKUP(A119,Covid!A:A,Covid!K:K,0,0)/_xlfn.XLOOKUP(A119,Covid!A:A,Covid!L:L,0,0)</f>
        <v>5.7629870129870128E-2</v>
      </c>
    </row>
    <row r="120" spans="1:20" x14ac:dyDescent="0.55000000000000004">
      <c r="A120" s="157">
        <v>44101</v>
      </c>
      <c r="B120" s="13">
        <v>370360</v>
      </c>
      <c r="C120" s="13">
        <v>698</v>
      </c>
      <c r="D120" s="13">
        <v>0</v>
      </c>
      <c r="E120" s="13">
        <v>410747</v>
      </c>
      <c r="F120" s="13">
        <v>781805</v>
      </c>
      <c r="G120">
        <f>IF(OR(_xlfn.XLOOKUP(A120,'LPG Fup'!D:D,'LPG Fup'!L:L,"",0)&gt;0.03,_xlfn.XLOOKUP(A120,'LPG Fup'!D:D,'LPG Fup'!L:L,"",0)&lt;-0.03),_xlfn.XLOOKUP(A120,'LPG Fup'!D:D,'LPG Fup'!L:L,0,0),0)</f>
        <v>0</v>
      </c>
      <c r="H120">
        <f>IF(_xlfn.XLOOKUP(A120,'LPG Fup'!D:D,'LPG Fup'!M:M,0,0)="",0,_xlfn.XLOOKUP(A120,'LPG Fup'!D:D,'LPG Fup'!M:M,0,0))</f>
        <v>0</v>
      </c>
      <c r="I120" s="109">
        <f>_xlfn.XLOOKUP(A120,'Rafineri Fiyatları'!A:A,'Rafineri Fiyatları'!B:B,"",0)</f>
        <v>4466.28</v>
      </c>
      <c r="J120">
        <f t="shared" si="4"/>
        <v>2020</v>
      </c>
      <c r="K120">
        <f t="shared" si="5"/>
        <v>9</v>
      </c>
      <c r="L120">
        <f t="shared" si="6"/>
        <v>27</v>
      </c>
      <c r="M120">
        <f t="shared" si="7"/>
        <v>1</v>
      </c>
      <c r="N120">
        <f>_xlfn.XLOOKUP(A120,tatiller!H:H,tatiller!I:I,0,0)</f>
        <v>0</v>
      </c>
      <c r="O120" cm="1">
        <f t="array" ref="O120">_xlfn.IFNA(_xlfn.IFS(L120=1,"A0",A120=EOMONTH(A120,0),"A-1",L120=2,"A+1"),0)</f>
        <v>0</v>
      </c>
      <c r="P120" cm="1">
        <f t="array" ref="P120">_xlfn.IFNA(_xlfn.IFS(AND(_xlfn.XLOOKUP(A120,'LPG Fup'!D:D,'LPG Fup'!M:M,"",0)&lt;&gt;"",_xlfn.XLOOKUP(A120,'LPG Fup'!D:D,'LPG Fup'!M:M,"",0)&gt;0),"Z-1", AND(_xlfn.XLOOKUP(A120+1,'LPG Fup'!D:D,'LPG Fup'!M:M,"",0)&lt;&gt;"",_xlfn.XLOOKUP(A120+1,'LPG Fup'!D:D,'LPG Fup'!M:M,"",0)&gt;0),"Z-2", AND(_xlfn.XLOOKUP(A120-1,'LPG Fup'!D:D,'LPG Fup'!M:M,"",0)&lt;&gt;"",_xlfn.XLOOKUP(A120-1,'LPG Fup'!D:D,'LPG Fup'!M:M,"",0)&gt;0),"Z", AND(_xlfn.XLOOKUP(A120-2,'LPG Fup'!D:D,'LPG Fup'!M:M,"",0)&lt;&gt;"",_xlfn.XLOOKUP(A120-2,'LPG Fup'!D:D,'LPG Fup'!M:M,"",0)&gt;0),"Z+1"),0)</f>
        <v>0</v>
      </c>
      <c r="Q120" cm="1">
        <f t="array" ref="Q120">_xlfn.IFNA(_xlfn.IFS(AND(_xlfn.XLOOKUP(A120,'LPG Fup'!D:D,'LPG Fup'!M:M,"",0)&lt;&gt;"",_xlfn.XLOOKUP(A120,'LPG Fup'!D:D,'LPG Fup'!M:M,"",0)&lt;0),"I-1", AND(_xlfn.XLOOKUP(A120+1,'LPG Fup'!D:D,'LPG Fup'!M:M,"",0)&lt;&gt;"",_xlfn.XLOOKUP(A120+1,'LPG Fup'!D:D,'LPG Fup'!M:M,"",0)&lt;0),"I-2", AND(_xlfn.XLOOKUP(A120-1,'LPG Fup'!D:D,'LPG Fup'!M:M,"",0)&lt;&gt;"",_xlfn.XLOOKUP(A120-1,'LPG Fup'!D:D,'LPG Fup'!M:M,"",0)&lt;0),"I", AND(_xlfn.XLOOKUP(A120-2,'LPG Fup'!D:D,'LPG Fup'!M:M,"",0)&lt;&gt;"",_xlfn.XLOOKUP(A120-2,'LPG Fup'!D:D,'LPG Fup'!M:M,"",0)&lt;0),"I+1"),0)</f>
        <v>0</v>
      </c>
      <c r="R120">
        <f>_xlfn.XLOOKUP(A120,Covid!A:A,Covid!I:I,0,0)</f>
        <v>1467</v>
      </c>
      <c r="S120">
        <f>_xlfn.XLOOKUP(A120,Covid!A:A,Covid!K:K,0,0)</f>
        <v>68</v>
      </c>
      <c r="T120" s="145">
        <f>_xlfn.XLOOKUP(A120,Covid!A:A,Covid!K:K,0,0)/_xlfn.XLOOKUP(A120,Covid!A:A,Covid!L:L,0,0)</f>
        <v>6.093189964157706E-2</v>
      </c>
    </row>
    <row r="121" spans="1:20" x14ac:dyDescent="0.55000000000000004">
      <c r="A121" s="157">
        <v>44102</v>
      </c>
      <c r="B121" s="13">
        <v>365460</v>
      </c>
      <c r="C121" s="13">
        <v>534612</v>
      </c>
      <c r="D121" s="13">
        <v>1500</v>
      </c>
      <c r="E121" s="13">
        <v>541852</v>
      </c>
      <c r="F121" s="13">
        <v>1443424</v>
      </c>
      <c r="G121">
        <f>IF(OR(_xlfn.XLOOKUP(A121,'LPG Fup'!D:D,'LPG Fup'!L:L,"",0)&gt;0.03,_xlfn.XLOOKUP(A121,'LPG Fup'!D:D,'LPG Fup'!L:L,"",0)&lt;-0.03),_xlfn.XLOOKUP(A121,'LPG Fup'!D:D,'LPG Fup'!L:L,0,0),0)</f>
        <v>0</v>
      </c>
      <c r="H121">
        <f>IF(_xlfn.XLOOKUP(A121,'LPG Fup'!D:D,'LPG Fup'!M:M,0,0)="",0,_xlfn.XLOOKUP(A121,'LPG Fup'!D:D,'LPG Fup'!M:M,0,0))</f>
        <v>0</v>
      </c>
      <c r="I121" s="109">
        <f>_xlfn.XLOOKUP(A121,'Rafineri Fiyatları'!A:A,'Rafineri Fiyatları'!B:B,"",0)</f>
        <v>4466.28</v>
      </c>
      <c r="J121">
        <f t="shared" si="4"/>
        <v>2020</v>
      </c>
      <c r="K121">
        <f t="shared" si="5"/>
        <v>9</v>
      </c>
      <c r="L121">
        <f t="shared" si="6"/>
        <v>28</v>
      </c>
      <c r="M121">
        <f t="shared" si="7"/>
        <v>2</v>
      </c>
      <c r="N121">
        <f>_xlfn.XLOOKUP(A121,tatiller!H:H,tatiller!I:I,0,0)</f>
        <v>0</v>
      </c>
      <c r="O121" cm="1">
        <f t="array" ref="O121">_xlfn.IFNA(_xlfn.IFS(L121=1,"A0",A121=EOMONTH(A121,0),"A-1",L121=2,"A+1"),0)</f>
        <v>0</v>
      </c>
      <c r="P121" cm="1">
        <f t="array" ref="P121">_xlfn.IFNA(_xlfn.IFS(AND(_xlfn.XLOOKUP(A121,'LPG Fup'!D:D,'LPG Fup'!M:M,"",0)&lt;&gt;"",_xlfn.XLOOKUP(A121,'LPG Fup'!D:D,'LPG Fup'!M:M,"",0)&gt;0),"Z-1", AND(_xlfn.XLOOKUP(A121+1,'LPG Fup'!D:D,'LPG Fup'!M:M,"",0)&lt;&gt;"",_xlfn.XLOOKUP(A121+1,'LPG Fup'!D:D,'LPG Fup'!M:M,"",0)&gt;0),"Z-2", AND(_xlfn.XLOOKUP(A121-1,'LPG Fup'!D:D,'LPG Fup'!M:M,"",0)&lt;&gt;"",_xlfn.XLOOKUP(A121-1,'LPG Fup'!D:D,'LPG Fup'!M:M,"",0)&gt;0),"Z", AND(_xlfn.XLOOKUP(A121-2,'LPG Fup'!D:D,'LPG Fup'!M:M,"",0)&lt;&gt;"",_xlfn.XLOOKUP(A121-2,'LPG Fup'!D:D,'LPG Fup'!M:M,"",0)&gt;0),"Z+1"),0)</f>
        <v>0</v>
      </c>
      <c r="Q121" cm="1">
        <f t="array" ref="Q121">_xlfn.IFNA(_xlfn.IFS(AND(_xlfn.XLOOKUP(A121,'LPG Fup'!D:D,'LPG Fup'!M:M,"",0)&lt;&gt;"",_xlfn.XLOOKUP(A121,'LPG Fup'!D:D,'LPG Fup'!M:M,"",0)&lt;0),"I-1", AND(_xlfn.XLOOKUP(A121+1,'LPG Fup'!D:D,'LPG Fup'!M:M,"",0)&lt;&gt;"",_xlfn.XLOOKUP(A121+1,'LPG Fup'!D:D,'LPG Fup'!M:M,"",0)&lt;0),"I-2", AND(_xlfn.XLOOKUP(A121-1,'LPG Fup'!D:D,'LPG Fup'!M:M,"",0)&lt;&gt;"",_xlfn.XLOOKUP(A121-1,'LPG Fup'!D:D,'LPG Fup'!M:M,"",0)&lt;0),"I", AND(_xlfn.XLOOKUP(A121-2,'LPG Fup'!D:D,'LPG Fup'!M:M,"",0)&lt;&gt;"",_xlfn.XLOOKUP(A121-2,'LPG Fup'!D:D,'LPG Fup'!M:M,"",0)&lt;0),"I+1"),0)</f>
        <v>0</v>
      </c>
      <c r="R121">
        <f>_xlfn.XLOOKUP(A121,Covid!A:A,Covid!I:I,0,0)</f>
        <v>1412</v>
      </c>
      <c r="S121">
        <f>_xlfn.XLOOKUP(A121,Covid!A:A,Covid!K:K,0,0)</f>
        <v>65</v>
      </c>
      <c r="T121" s="145">
        <f>_xlfn.XLOOKUP(A121,Covid!A:A,Covid!K:K,0,0)/_xlfn.XLOOKUP(A121,Covid!A:A,Covid!L:L,0,0)</f>
        <v>4.5710267229254573E-2</v>
      </c>
    </row>
    <row r="122" spans="1:20" x14ac:dyDescent="0.55000000000000004">
      <c r="A122" s="157">
        <v>44103</v>
      </c>
      <c r="B122" s="13">
        <v>353680</v>
      </c>
      <c r="C122" s="13">
        <v>497870</v>
      </c>
      <c r="D122" s="13">
        <v>0</v>
      </c>
      <c r="E122" s="13">
        <v>583692</v>
      </c>
      <c r="F122" s="13">
        <v>1435242</v>
      </c>
      <c r="G122">
        <f>IF(OR(_xlfn.XLOOKUP(A122,'LPG Fup'!D:D,'LPG Fup'!L:L,"",0)&gt;0.03,_xlfn.XLOOKUP(A122,'LPG Fup'!D:D,'LPG Fup'!L:L,"",0)&lt;-0.03),_xlfn.XLOOKUP(A122,'LPG Fup'!D:D,'LPG Fup'!L:L,0,0),0)</f>
        <v>0</v>
      </c>
      <c r="H122">
        <f>IF(_xlfn.XLOOKUP(A122,'LPG Fup'!D:D,'LPG Fup'!M:M,0,0)="",0,_xlfn.XLOOKUP(A122,'LPG Fup'!D:D,'LPG Fup'!M:M,0,0))</f>
        <v>0</v>
      </c>
      <c r="I122" s="109">
        <f>_xlfn.XLOOKUP(A122,'Rafineri Fiyatları'!A:A,'Rafineri Fiyatları'!B:B,"",0)</f>
        <v>4466.28</v>
      </c>
      <c r="J122">
        <f t="shared" si="4"/>
        <v>2020</v>
      </c>
      <c r="K122">
        <f t="shared" si="5"/>
        <v>9</v>
      </c>
      <c r="L122">
        <f t="shared" si="6"/>
        <v>29</v>
      </c>
      <c r="M122">
        <f t="shared" si="7"/>
        <v>3</v>
      </c>
      <c r="N122">
        <f>_xlfn.XLOOKUP(A122,tatiller!H:H,tatiller!I:I,0,0)</f>
        <v>0</v>
      </c>
      <c r="O122" cm="1">
        <f t="array" ref="O122">_xlfn.IFNA(_xlfn.IFS(L122=1,"A0",A122=EOMONTH(A122,0),"A-1",L122=2,"A+1"),0)</f>
        <v>0</v>
      </c>
      <c r="P122" cm="1">
        <f t="array" ref="P122">_xlfn.IFNA(_xlfn.IFS(AND(_xlfn.XLOOKUP(A122,'LPG Fup'!D:D,'LPG Fup'!M:M,"",0)&lt;&gt;"",_xlfn.XLOOKUP(A122,'LPG Fup'!D:D,'LPG Fup'!M:M,"",0)&gt;0),"Z-1", AND(_xlfn.XLOOKUP(A122+1,'LPG Fup'!D:D,'LPG Fup'!M:M,"",0)&lt;&gt;"",_xlfn.XLOOKUP(A122+1,'LPG Fup'!D:D,'LPG Fup'!M:M,"",0)&gt;0),"Z-2", AND(_xlfn.XLOOKUP(A122-1,'LPG Fup'!D:D,'LPG Fup'!M:M,"",0)&lt;&gt;"",_xlfn.XLOOKUP(A122-1,'LPG Fup'!D:D,'LPG Fup'!M:M,"",0)&gt;0),"Z", AND(_xlfn.XLOOKUP(A122-2,'LPG Fup'!D:D,'LPG Fup'!M:M,"",0)&lt;&gt;"",_xlfn.XLOOKUP(A122-2,'LPG Fup'!D:D,'LPG Fup'!M:M,"",0)&gt;0),"Z+1"),0)</f>
        <v>0</v>
      </c>
      <c r="Q122" cm="1">
        <f t="array" ref="Q122">_xlfn.IFNA(_xlfn.IFS(AND(_xlfn.XLOOKUP(A122,'LPG Fup'!D:D,'LPG Fup'!M:M,"",0)&lt;&gt;"",_xlfn.XLOOKUP(A122,'LPG Fup'!D:D,'LPG Fup'!M:M,"",0)&lt;0),"I-1", AND(_xlfn.XLOOKUP(A122+1,'LPG Fup'!D:D,'LPG Fup'!M:M,"",0)&lt;&gt;"",_xlfn.XLOOKUP(A122+1,'LPG Fup'!D:D,'LPG Fup'!M:M,"",0)&lt;0),"I-2", AND(_xlfn.XLOOKUP(A122-1,'LPG Fup'!D:D,'LPG Fup'!M:M,"",0)&lt;&gt;"",_xlfn.XLOOKUP(A122-1,'LPG Fup'!D:D,'LPG Fup'!M:M,"",0)&lt;0),"I", AND(_xlfn.XLOOKUP(A122-2,'LPG Fup'!D:D,'LPG Fup'!M:M,"",0)&lt;&gt;"",_xlfn.XLOOKUP(A122-2,'LPG Fup'!D:D,'LPG Fup'!M:M,"",0)&lt;0),"I+1"),0)</f>
        <v>0</v>
      </c>
      <c r="R122">
        <f>_xlfn.XLOOKUP(A122,Covid!A:A,Covid!I:I,0,0)</f>
        <v>1427</v>
      </c>
      <c r="S122">
        <f>_xlfn.XLOOKUP(A122,Covid!A:A,Covid!K:K,0,0)</f>
        <v>68</v>
      </c>
      <c r="T122" s="145">
        <f>_xlfn.XLOOKUP(A122,Covid!A:A,Covid!K:K,0,0)/_xlfn.XLOOKUP(A122,Covid!A:A,Covid!L:L,0,0)</f>
        <v>4.6831955922865015E-2</v>
      </c>
    </row>
    <row r="123" spans="1:20" x14ac:dyDescent="0.55000000000000004">
      <c r="A123" s="157">
        <v>44104</v>
      </c>
      <c r="B123" s="13">
        <v>1503764</v>
      </c>
      <c r="C123" s="13">
        <v>728369</v>
      </c>
      <c r="D123" s="13">
        <v>12572</v>
      </c>
      <c r="E123" s="13">
        <v>667728</v>
      </c>
      <c r="F123" s="13">
        <v>2912433</v>
      </c>
      <c r="G123">
        <f>IF(OR(_xlfn.XLOOKUP(A123,'LPG Fup'!D:D,'LPG Fup'!L:L,"",0)&gt;0.03,_xlfn.XLOOKUP(A123,'LPG Fup'!D:D,'LPG Fup'!L:L,"",0)&lt;-0.03),_xlfn.XLOOKUP(A123,'LPG Fup'!D:D,'LPG Fup'!L:L,0,0),0)</f>
        <v>0</v>
      </c>
      <c r="H123">
        <f>IF(_xlfn.XLOOKUP(A123,'LPG Fup'!D:D,'LPG Fup'!M:M,0,0)="",0,_xlfn.XLOOKUP(A123,'LPG Fup'!D:D,'LPG Fup'!M:M,0,0))</f>
        <v>0</v>
      </c>
      <c r="I123" s="109">
        <f>_xlfn.XLOOKUP(A123,'Rafineri Fiyatları'!A:A,'Rafineri Fiyatları'!B:B,"",0)</f>
        <v>4466.28</v>
      </c>
      <c r="J123">
        <f t="shared" si="4"/>
        <v>2020</v>
      </c>
      <c r="K123">
        <f t="shared" si="5"/>
        <v>9</v>
      </c>
      <c r="L123">
        <f t="shared" si="6"/>
        <v>30</v>
      </c>
      <c r="M123">
        <f t="shared" si="7"/>
        <v>4</v>
      </c>
      <c r="N123">
        <f>_xlfn.XLOOKUP(A123,tatiller!H:H,tatiller!I:I,0,0)</f>
        <v>0</v>
      </c>
      <c r="O123" t="str" cm="1">
        <f t="array" ref="O123">_xlfn.IFNA(_xlfn.IFS(L123=1,"A0",A123=EOMONTH(A123,0),"A-1",L123=2,"A+1"),0)</f>
        <v>A-1</v>
      </c>
      <c r="P123" cm="1">
        <f t="array" ref="P123">_xlfn.IFNA(_xlfn.IFS(AND(_xlfn.XLOOKUP(A123,'LPG Fup'!D:D,'LPG Fup'!M:M,"",0)&lt;&gt;"",_xlfn.XLOOKUP(A123,'LPG Fup'!D:D,'LPG Fup'!M:M,"",0)&gt;0),"Z-1", AND(_xlfn.XLOOKUP(A123+1,'LPG Fup'!D:D,'LPG Fup'!M:M,"",0)&lt;&gt;"",_xlfn.XLOOKUP(A123+1,'LPG Fup'!D:D,'LPG Fup'!M:M,"",0)&gt;0),"Z-2", AND(_xlfn.XLOOKUP(A123-1,'LPG Fup'!D:D,'LPG Fup'!M:M,"",0)&lt;&gt;"",_xlfn.XLOOKUP(A123-1,'LPG Fup'!D:D,'LPG Fup'!M:M,"",0)&gt;0),"Z", AND(_xlfn.XLOOKUP(A123-2,'LPG Fup'!D:D,'LPG Fup'!M:M,"",0)&lt;&gt;"",_xlfn.XLOOKUP(A123-2,'LPG Fup'!D:D,'LPG Fup'!M:M,"",0)&gt;0),"Z+1"),0)</f>
        <v>0</v>
      </c>
      <c r="Q123" cm="1">
        <f t="array" ref="Q123">_xlfn.IFNA(_xlfn.IFS(AND(_xlfn.XLOOKUP(A123,'LPG Fup'!D:D,'LPG Fup'!M:M,"",0)&lt;&gt;"",_xlfn.XLOOKUP(A123,'LPG Fup'!D:D,'LPG Fup'!M:M,"",0)&lt;0),"I-1", AND(_xlfn.XLOOKUP(A123+1,'LPG Fup'!D:D,'LPG Fup'!M:M,"",0)&lt;&gt;"",_xlfn.XLOOKUP(A123+1,'LPG Fup'!D:D,'LPG Fup'!M:M,"",0)&lt;0),"I-2", AND(_xlfn.XLOOKUP(A123-1,'LPG Fup'!D:D,'LPG Fup'!M:M,"",0)&lt;&gt;"",_xlfn.XLOOKUP(A123-1,'LPG Fup'!D:D,'LPG Fup'!M:M,"",0)&lt;0),"I", AND(_xlfn.XLOOKUP(A123-2,'LPG Fup'!D:D,'LPG Fup'!M:M,"",0)&lt;&gt;"",_xlfn.XLOOKUP(A123-2,'LPG Fup'!D:D,'LPG Fup'!M:M,"",0)&lt;0),"I+1"),0)</f>
        <v>0</v>
      </c>
      <c r="R123">
        <f>_xlfn.XLOOKUP(A123,Covid!A:A,Covid!I:I,0,0)</f>
        <v>1391</v>
      </c>
      <c r="S123">
        <f>_xlfn.XLOOKUP(A123,Covid!A:A,Covid!K:K,0,0)</f>
        <v>65</v>
      </c>
      <c r="T123" s="145">
        <f>_xlfn.XLOOKUP(A123,Covid!A:A,Covid!K:K,0,0)/_xlfn.XLOOKUP(A123,Covid!A:A,Covid!L:L,0,0)</f>
        <v>5.2208835341365459E-2</v>
      </c>
    </row>
    <row r="124" spans="1:20" x14ac:dyDescent="0.55000000000000004">
      <c r="A124" s="157">
        <v>44105</v>
      </c>
      <c r="B124" s="13">
        <v>358200</v>
      </c>
      <c r="C124" s="13">
        <v>288172</v>
      </c>
      <c r="D124" s="13">
        <v>6500</v>
      </c>
      <c r="E124" s="13">
        <v>376746</v>
      </c>
      <c r="F124" s="13">
        <v>1029618</v>
      </c>
      <c r="G124">
        <f>IF(OR(_xlfn.XLOOKUP(A124,'LPG Fup'!D:D,'LPG Fup'!L:L,"",0)&gt;0.03,_xlfn.XLOOKUP(A124,'LPG Fup'!D:D,'LPG Fup'!L:L,"",0)&lt;-0.03),_xlfn.XLOOKUP(A124,'LPG Fup'!D:D,'LPG Fup'!L:L,0,0),0)</f>
        <v>0</v>
      </c>
      <c r="H124">
        <f>IF(_xlfn.XLOOKUP(A124,'LPG Fup'!D:D,'LPG Fup'!M:M,0,0)="",0,_xlfn.XLOOKUP(A124,'LPG Fup'!D:D,'LPG Fup'!M:M,0,0))</f>
        <v>0</v>
      </c>
      <c r="I124" s="109">
        <f>_xlfn.XLOOKUP(A124,'Rafineri Fiyatları'!A:A,'Rafineri Fiyatları'!B:B,"",0)</f>
        <v>4466.28</v>
      </c>
      <c r="J124">
        <f t="shared" si="4"/>
        <v>2020</v>
      </c>
      <c r="K124">
        <f t="shared" si="5"/>
        <v>10</v>
      </c>
      <c r="L124">
        <f t="shared" si="6"/>
        <v>1</v>
      </c>
      <c r="M124">
        <f t="shared" si="7"/>
        <v>5</v>
      </c>
      <c r="N124">
        <f>_xlfn.XLOOKUP(A124,tatiller!H:H,tatiller!I:I,0,0)</f>
        <v>0</v>
      </c>
      <c r="O124" t="str" cm="1">
        <f t="array" ref="O124">_xlfn.IFNA(_xlfn.IFS(L124=1,"A0",A124=EOMONTH(A124,0),"A-1",L124=2,"A+1"),0)</f>
        <v>A0</v>
      </c>
      <c r="P124" t="str" cm="1">
        <f t="array" ref="P124">_xlfn.IFNA(_xlfn.IFS(AND(_xlfn.XLOOKUP(A124,'LPG Fup'!D:D,'LPG Fup'!M:M,"",0)&lt;&gt;"",_xlfn.XLOOKUP(A124,'LPG Fup'!D:D,'LPG Fup'!M:M,"",0)&gt;0),"Z-1", AND(_xlfn.XLOOKUP(A124+1,'LPG Fup'!D:D,'LPG Fup'!M:M,"",0)&lt;&gt;"",_xlfn.XLOOKUP(A124+1,'LPG Fup'!D:D,'LPG Fup'!M:M,"",0)&gt;0),"Z-2", AND(_xlfn.XLOOKUP(A124-1,'LPG Fup'!D:D,'LPG Fup'!M:M,"",0)&lt;&gt;"",_xlfn.XLOOKUP(A124-1,'LPG Fup'!D:D,'LPG Fup'!M:M,"",0)&gt;0),"Z", AND(_xlfn.XLOOKUP(A124-2,'LPG Fup'!D:D,'LPG Fup'!M:M,"",0)&lt;&gt;"",_xlfn.XLOOKUP(A124-2,'LPG Fup'!D:D,'LPG Fup'!M:M,"",0)&gt;0),"Z+1"),0)</f>
        <v>Z-2</v>
      </c>
      <c r="Q124" cm="1">
        <f t="array" ref="Q124">_xlfn.IFNA(_xlfn.IFS(AND(_xlfn.XLOOKUP(A124,'LPG Fup'!D:D,'LPG Fup'!M:M,"",0)&lt;&gt;"",_xlfn.XLOOKUP(A124,'LPG Fup'!D:D,'LPG Fup'!M:M,"",0)&lt;0),"I-1", AND(_xlfn.XLOOKUP(A124+1,'LPG Fup'!D:D,'LPG Fup'!M:M,"",0)&lt;&gt;"",_xlfn.XLOOKUP(A124+1,'LPG Fup'!D:D,'LPG Fup'!M:M,"",0)&lt;0),"I-2", AND(_xlfn.XLOOKUP(A124-1,'LPG Fup'!D:D,'LPG Fup'!M:M,"",0)&lt;&gt;"",_xlfn.XLOOKUP(A124-1,'LPG Fup'!D:D,'LPG Fup'!M:M,"",0)&lt;0),"I", AND(_xlfn.XLOOKUP(A124-2,'LPG Fup'!D:D,'LPG Fup'!M:M,"",0)&lt;&gt;"",_xlfn.XLOOKUP(A124-2,'LPG Fup'!D:D,'LPG Fup'!M:M,"",0)&lt;0),"I+1"),0)</f>
        <v>0</v>
      </c>
      <c r="R124">
        <f>_xlfn.XLOOKUP(A124,Covid!A:A,Covid!I:I,0,0)</f>
        <v>1407</v>
      </c>
      <c r="S124">
        <f>_xlfn.XLOOKUP(A124,Covid!A:A,Covid!K:K,0,0)</f>
        <v>67</v>
      </c>
      <c r="T124" s="145">
        <f>_xlfn.XLOOKUP(A124,Covid!A:A,Covid!K:K,0,0)/_xlfn.XLOOKUP(A124,Covid!A:A,Covid!L:L,0,0)</f>
        <v>4.7788873038516408E-2</v>
      </c>
    </row>
    <row r="125" spans="1:20" x14ac:dyDescent="0.55000000000000004">
      <c r="A125" s="157">
        <v>44106</v>
      </c>
      <c r="B125" s="13">
        <v>323660</v>
      </c>
      <c r="C125" s="13">
        <v>436415</v>
      </c>
      <c r="D125" s="13">
        <v>12297</v>
      </c>
      <c r="E125" s="13">
        <v>539599</v>
      </c>
      <c r="F125" s="13">
        <v>1311971</v>
      </c>
      <c r="G125">
        <f>IF(OR(_xlfn.XLOOKUP(A125,'LPG Fup'!D:D,'LPG Fup'!L:L,"",0)&gt;0.03,_xlfn.XLOOKUP(A125,'LPG Fup'!D:D,'LPG Fup'!L:L,"",0)&lt;-0.03),_xlfn.XLOOKUP(A125,'LPG Fup'!D:D,'LPG Fup'!L:L,0,0),0)</f>
        <v>4.6508217862673167E-2</v>
      </c>
      <c r="H125">
        <f>IF(_xlfn.XLOOKUP(A125,'LPG Fup'!D:D,'LPG Fup'!M:M,0,0)="",0,_xlfn.XLOOKUP(A125,'LPG Fup'!D:D,'LPG Fup'!M:M,0,0))</f>
        <v>292.19568000000027</v>
      </c>
      <c r="I125" s="109">
        <f>_xlfn.XLOOKUP(A125,'Rafineri Fiyatları'!A:A,'Rafineri Fiyatları'!B:B,"",0)</f>
        <v>4466.28</v>
      </c>
      <c r="J125">
        <f t="shared" si="4"/>
        <v>2020</v>
      </c>
      <c r="K125">
        <f t="shared" si="5"/>
        <v>10</v>
      </c>
      <c r="L125">
        <f t="shared" si="6"/>
        <v>2</v>
      </c>
      <c r="M125">
        <f t="shared" si="7"/>
        <v>6</v>
      </c>
      <c r="N125">
        <f>_xlfn.XLOOKUP(A125,tatiller!H:H,tatiller!I:I,0,0)</f>
        <v>0</v>
      </c>
      <c r="O125" t="str" cm="1">
        <f t="array" ref="O125">_xlfn.IFNA(_xlfn.IFS(L125=1,"A0",A125=EOMONTH(A125,0),"A-1",L125=2,"A+1"),0)</f>
        <v>A+1</v>
      </c>
      <c r="P125" t="str" cm="1">
        <f t="array" ref="P125">_xlfn.IFNA(_xlfn.IFS(AND(_xlfn.XLOOKUP(A125,'LPG Fup'!D:D,'LPG Fup'!M:M,"",0)&lt;&gt;"",_xlfn.XLOOKUP(A125,'LPG Fup'!D:D,'LPG Fup'!M:M,"",0)&gt;0),"Z-1", AND(_xlfn.XLOOKUP(A125+1,'LPG Fup'!D:D,'LPG Fup'!M:M,"",0)&lt;&gt;"",_xlfn.XLOOKUP(A125+1,'LPG Fup'!D:D,'LPG Fup'!M:M,"",0)&gt;0),"Z-2", AND(_xlfn.XLOOKUP(A125-1,'LPG Fup'!D:D,'LPG Fup'!M:M,"",0)&lt;&gt;"",_xlfn.XLOOKUP(A125-1,'LPG Fup'!D:D,'LPG Fup'!M:M,"",0)&gt;0),"Z", AND(_xlfn.XLOOKUP(A125-2,'LPG Fup'!D:D,'LPG Fup'!M:M,"",0)&lt;&gt;"",_xlfn.XLOOKUP(A125-2,'LPG Fup'!D:D,'LPG Fup'!M:M,"",0)&gt;0),"Z+1"),0)</f>
        <v>Z-1</v>
      </c>
      <c r="Q125" cm="1">
        <f t="array" ref="Q125">_xlfn.IFNA(_xlfn.IFS(AND(_xlfn.XLOOKUP(A125,'LPG Fup'!D:D,'LPG Fup'!M:M,"",0)&lt;&gt;"",_xlfn.XLOOKUP(A125,'LPG Fup'!D:D,'LPG Fup'!M:M,"",0)&lt;0),"I-1", AND(_xlfn.XLOOKUP(A125+1,'LPG Fup'!D:D,'LPG Fup'!M:M,"",0)&lt;&gt;"",_xlfn.XLOOKUP(A125+1,'LPG Fup'!D:D,'LPG Fup'!M:M,"",0)&lt;0),"I-2", AND(_xlfn.XLOOKUP(A125-1,'LPG Fup'!D:D,'LPG Fup'!M:M,"",0)&lt;&gt;"",_xlfn.XLOOKUP(A125-1,'LPG Fup'!D:D,'LPG Fup'!M:M,"",0)&lt;0),"I", AND(_xlfn.XLOOKUP(A125-2,'LPG Fup'!D:D,'LPG Fup'!M:M,"",0)&lt;&gt;"",_xlfn.XLOOKUP(A125-2,'LPG Fup'!D:D,'LPG Fup'!M:M,"",0)&lt;0),"I+1"),0)</f>
        <v>0</v>
      </c>
      <c r="R125">
        <f>_xlfn.XLOOKUP(A125,Covid!A:A,Covid!I:I,0,0)</f>
        <v>1442</v>
      </c>
      <c r="S125">
        <f>_xlfn.XLOOKUP(A125,Covid!A:A,Covid!K:K,0,0)</f>
        <v>63</v>
      </c>
      <c r="T125" s="145">
        <f>_xlfn.XLOOKUP(A125,Covid!A:A,Covid!K:K,0,0)/_xlfn.XLOOKUP(A125,Covid!A:A,Covid!L:L,0,0)</f>
        <v>4.1832669322709161E-2</v>
      </c>
    </row>
    <row r="126" spans="1:20" x14ac:dyDescent="0.55000000000000004">
      <c r="A126" s="157">
        <v>44107</v>
      </c>
      <c r="B126" s="13">
        <v>455440</v>
      </c>
      <c r="C126" s="13">
        <v>281565</v>
      </c>
      <c r="D126" s="13">
        <v>6001</v>
      </c>
      <c r="E126" s="13">
        <v>613214</v>
      </c>
      <c r="F126" s="13">
        <v>1356220</v>
      </c>
      <c r="G126">
        <f>IF(OR(_xlfn.XLOOKUP(A126,'LPG Fup'!D:D,'LPG Fup'!L:L,"",0)&gt;0.03,_xlfn.XLOOKUP(A126,'LPG Fup'!D:D,'LPG Fup'!L:L,"",0)&lt;-0.03),_xlfn.XLOOKUP(A126,'LPG Fup'!D:D,'LPG Fup'!L:L,0,0),0)</f>
        <v>0</v>
      </c>
      <c r="H126">
        <f>IF(_xlfn.XLOOKUP(A126,'LPG Fup'!D:D,'LPG Fup'!M:M,0,0)="",0,_xlfn.XLOOKUP(A126,'LPG Fup'!D:D,'LPG Fup'!M:M,0,0))</f>
        <v>0</v>
      </c>
      <c r="I126" s="109">
        <f>_xlfn.XLOOKUP(A126,'Rafineri Fiyatları'!A:A,'Rafineri Fiyatları'!B:B,"",0)</f>
        <v>4466.28</v>
      </c>
      <c r="J126">
        <f t="shared" si="4"/>
        <v>2020</v>
      </c>
      <c r="K126">
        <f t="shared" si="5"/>
        <v>10</v>
      </c>
      <c r="L126">
        <f t="shared" si="6"/>
        <v>3</v>
      </c>
      <c r="M126">
        <f t="shared" si="7"/>
        <v>7</v>
      </c>
      <c r="N126">
        <f>_xlfn.XLOOKUP(A126,tatiller!H:H,tatiller!I:I,0,0)</f>
        <v>0</v>
      </c>
      <c r="O126" cm="1">
        <f t="array" ref="O126">_xlfn.IFNA(_xlfn.IFS(L126=1,"A0",A126=EOMONTH(A126,0),"A-1",L126=2,"A+1"),0)</f>
        <v>0</v>
      </c>
      <c r="P126" t="str" cm="1">
        <f t="array" ref="P126">_xlfn.IFNA(_xlfn.IFS(AND(_xlfn.XLOOKUP(A126,'LPG Fup'!D:D,'LPG Fup'!M:M,"",0)&lt;&gt;"",_xlfn.XLOOKUP(A126,'LPG Fup'!D:D,'LPG Fup'!M:M,"",0)&gt;0),"Z-1", AND(_xlfn.XLOOKUP(A126+1,'LPG Fup'!D:D,'LPG Fup'!M:M,"",0)&lt;&gt;"",_xlfn.XLOOKUP(A126+1,'LPG Fup'!D:D,'LPG Fup'!M:M,"",0)&gt;0),"Z-2", AND(_xlfn.XLOOKUP(A126-1,'LPG Fup'!D:D,'LPG Fup'!M:M,"",0)&lt;&gt;"",_xlfn.XLOOKUP(A126-1,'LPG Fup'!D:D,'LPG Fup'!M:M,"",0)&gt;0),"Z", AND(_xlfn.XLOOKUP(A126-2,'LPG Fup'!D:D,'LPG Fup'!M:M,"",0)&lt;&gt;"",_xlfn.XLOOKUP(A126-2,'LPG Fup'!D:D,'LPG Fup'!M:M,"",0)&gt;0),"Z+1"),0)</f>
        <v>Z</v>
      </c>
      <c r="Q126" cm="1">
        <f t="array" ref="Q126">_xlfn.IFNA(_xlfn.IFS(AND(_xlfn.XLOOKUP(A126,'LPG Fup'!D:D,'LPG Fup'!M:M,"",0)&lt;&gt;"",_xlfn.XLOOKUP(A126,'LPG Fup'!D:D,'LPG Fup'!M:M,"",0)&lt;0),"I-1", AND(_xlfn.XLOOKUP(A126+1,'LPG Fup'!D:D,'LPG Fup'!M:M,"",0)&lt;&gt;"",_xlfn.XLOOKUP(A126+1,'LPG Fup'!D:D,'LPG Fup'!M:M,"",0)&lt;0),"I-2", AND(_xlfn.XLOOKUP(A126-1,'LPG Fup'!D:D,'LPG Fup'!M:M,"",0)&lt;&gt;"",_xlfn.XLOOKUP(A126-1,'LPG Fup'!D:D,'LPG Fup'!M:M,"",0)&lt;0),"I", AND(_xlfn.XLOOKUP(A126-2,'LPG Fup'!D:D,'LPG Fup'!M:M,"",0)&lt;&gt;"",_xlfn.XLOOKUP(A126-2,'LPG Fup'!D:D,'LPG Fup'!M:M,"",0)&lt;0),"I+1"),0)</f>
        <v>0</v>
      </c>
      <c r="R126">
        <f>_xlfn.XLOOKUP(A126,Covid!A:A,Covid!I:I,0,0)</f>
        <v>1502</v>
      </c>
      <c r="S126">
        <f>_xlfn.XLOOKUP(A126,Covid!A:A,Covid!K:K,0,0)</f>
        <v>59</v>
      </c>
      <c r="T126" s="145">
        <f>_xlfn.XLOOKUP(A126,Covid!A:A,Covid!K:K,0,0)/_xlfn.XLOOKUP(A126,Covid!A:A,Covid!L:L,0,0)</f>
        <v>4.8720066061106522E-2</v>
      </c>
    </row>
    <row r="127" spans="1:20" x14ac:dyDescent="0.55000000000000004">
      <c r="A127" s="157">
        <v>44108</v>
      </c>
      <c r="B127" s="13">
        <v>309920</v>
      </c>
      <c r="C127" s="13">
        <v>818</v>
      </c>
      <c r="D127" s="13">
        <v>0</v>
      </c>
      <c r="E127" s="13">
        <v>409817</v>
      </c>
      <c r="F127" s="13">
        <v>5618955</v>
      </c>
      <c r="G127">
        <f>IF(OR(_xlfn.XLOOKUP(A127,'LPG Fup'!D:D,'LPG Fup'!L:L,"",0)&gt;0.03,_xlfn.XLOOKUP(A127,'LPG Fup'!D:D,'LPG Fup'!L:L,"",0)&lt;-0.03),_xlfn.XLOOKUP(A127,'LPG Fup'!D:D,'LPG Fup'!L:L,0,0),0)</f>
        <v>0</v>
      </c>
      <c r="H127">
        <f>IF(_xlfn.XLOOKUP(A127,'LPG Fup'!D:D,'LPG Fup'!M:M,0,0)="",0,_xlfn.XLOOKUP(A127,'LPG Fup'!D:D,'LPG Fup'!M:M,0,0))</f>
        <v>0</v>
      </c>
      <c r="I127" s="109">
        <f>_xlfn.XLOOKUP(A127,'Rafineri Fiyatları'!A:A,'Rafineri Fiyatları'!B:B,"",0)</f>
        <v>4466.28</v>
      </c>
      <c r="J127">
        <f t="shared" si="4"/>
        <v>2020</v>
      </c>
      <c r="K127">
        <f t="shared" si="5"/>
        <v>10</v>
      </c>
      <c r="L127">
        <f t="shared" si="6"/>
        <v>4</v>
      </c>
      <c r="M127">
        <f t="shared" si="7"/>
        <v>1</v>
      </c>
      <c r="N127">
        <f>_xlfn.XLOOKUP(A127,tatiller!H:H,tatiller!I:I,0,0)</f>
        <v>0</v>
      </c>
      <c r="O127" cm="1">
        <f t="array" ref="O127">_xlfn.IFNA(_xlfn.IFS(L127=1,"A0",A127=EOMONTH(A127,0),"A-1",L127=2,"A+1"),0)</f>
        <v>0</v>
      </c>
      <c r="P127" t="str" cm="1">
        <f t="array" ref="P127">_xlfn.IFNA(_xlfn.IFS(AND(_xlfn.XLOOKUP(A127,'LPG Fup'!D:D,'LPG Fup'!M:M,"",0)&lt;&gt;"",_xlfn.XLOOKUP(A127,'LPG Fup'!D:D,'LPG Fup'!M:M,"",0)&gt;0),"Z-1", AND(_xlfn.XLOOKUP(A127+1,'LPG Fup'!D:D,'LPG Fup'!M:M,"",0)&lt;&gt;"",_xlfn.XLOOKUP(A127+1,'LPG Fup'!D:D,'LPG Fup'!M:M,"",0)&gt;0),"Z-2", AND(_xlfn.XLOOKUP(A127-1,'LPG Fup'!D:D,'LPG Fup'!M:M,"",0)&lt;&gt;"",_xlfn.XLOOKUP(A127-1,'LPG Fup'!D:D,'LPG Fup'!M:M,"",0)&gt;0),"Z", AND(_xlfn.XLOOKUP(A127-2,'LPG Fup'!D:D,'LPG Fup'!M:M,"",0)&lt;&gt;"",_xlfn.XLOOKUP(A127-2,'LPG Fup'!D:D,'LPG Fup'!M:M,"",0)&gt;0),"Z+1"),0)</f>
        <v>Z+1</v>
      </c>
      <c r="Q127" cm="1">
        <f t="array" ref="Q127">_xlfn.IFNA(_xlfn.IFS(AND(_xlfn.XLOOKUP(A127,'LPG Fup'!D:D,'LPG Fup'!M:M,"",0)&lt;&gt;"",_xlfn.XLOOKUP(A127,'LPG Fup'!D:D,'LPG Fup'!M:M,"",0)&lt;0),"I-1", AND(_xlfn.XLOOKUP(A127+1,'LPG Fup'!D:D,'LPG Fup'!M:M,"",0)&lt;&gt;"",_xlfn.XLOOKUP(A127+1,'LPG Fup'!D:D,'LPG Fup'!M:M,"",0)&lt;0),"I-2", AND(_xlfn.XLOOKUP(A127-1,'LPG Fup'!D:D,'LPG Fup'!M:M,"",0)&lt;&gt;"",_xlfn.XLOOKUP(A127-1,'LPG Fup'!D:D,'LPG Fup'!M:M,"",0)&lt;0),"I", AND(_xlfn.XLOOKUP(A127-2,'LPG Fup'!D:D,'LPG Fup'!M:M,"",0)&lt;&gt;"",_xlfn.XLOOKUP(A127-2,'LPG Fup'!D:D,'LPG Fup'!M:M,"",0)&lt;0),"I+1"),0)</f>
        <v>0</v>
      </c>
      <c r="R127">
        <f>_xlfn.XLOOKUP(A127,Covid!A:A,Covid!I:I,0,0)</f>
        <v>1429</v>
      </c>
      <c r="S127">
        <f>_xlfn.XLOOKUP(A127,Covid!A:A,Covid!K:K,0,0)</f>
        <v>57</v>
      </c>
      <c r="T127" s="145">
        <f>_xlfn.XLOOKUP(A127,Covid!A:A,Covid!K:K,0,0)/_xlfn.XLOOKUP(A127,Covid!A:A,Covid!L:L,0,0)</f>
        <v>4.8223350253807105E-2</v>
      </c>
    </row>
    <row r="128" spans="1:20" x14ac:dyDescent="0.55000000000000004">
      <c r="A128" s="157">
        <v>44109</v>
      </c>
      <c r="B128" s="13">
        <v>536480</v>
      </c>
      <c r="C128" s="13">
        <v>464028</v>
      </c>
      <c r="D128" s="13">
        <v>10289</v>
      </c>
      <c r="E128" s="13">
        <v>519015</v>
      </c>
      <c r="F128" s="13">
        <v>1529812</v>
      </c>
      <c r="G128">
        <f>IF(OR(_xlfn.XLOOKUP(A128,'LPG Fup'!D:D,'LPG Fup'!L:L,"",0)&gt;0.03,_xlfn.XLOOKUP(A128,'LPG Fup'!D:D,'LPG Fup'!L:L,"",0)&lt;-0.03),_xlfn.XLOOKUP(A128,'LPG Fup'!D:D,'LPG Fup'!L:L,0,0),0)</f>
        <v>0</v>
      </c>
      <c r="H128">
        <f>IF(_xlfn.XLOOKUP(A128,'LPG Fup'!D:D,'LPG Fup'!M:M,0,0)="",0,_xlfn.XLOOKUP(A128,'LPG Fup'!D:D,'LPG Fup'!M:M,0,0))</f>
        <v>0</v>
      </c>
      <c r="I128" s="109">
        <f>_xlfn.XLOOKUP(A128,'Rafineri Fiyatları'!A:A,'Rafineri Fiyatları'!B:B,"",0)</f>
        <v>4466.28</v>
      </c>
      <c r="J128">
        <f t="shared" si="4"/>
        <v>2020</v>
      </c>
      <c r="K128">
        <f t="shared" si="5"/>
        <v>10</v>
      </c>
      <c r="L128">
        <f t="shared" si="6"/>
        <v>5</v>
      </c>
      <c r="M128">
        <f t="shared" si="7"/>
        <v>2</v>
      </c>
      <c r="N128">
        <f>_xlfn.XLOOKUP(A128,tatiller!H:H,tatiller!I:I,0,0)</f>
        <v>0</v>
      </c>
      <c r="O128" cm="1">
        <f t="array" ref="O128">_xlfn.IFNA(_xlfn.IFS(L128=1,"A0",A128=EOMONTH(A128,0),"A-1",L128=2,"A+1"),0)</f>
        <v>0</v>
      </c>
      <c r="P128" cm="1">
        <f t="array" ref="P128">_xlfn.IFNA(_xlfn.IFS(AND(_xlfn.XLOOKUP(A128,'LPG Fup'!D:D,'LPG Fup'!M:M,"",0)&lt;&gt;"",_xlfn.XLOOKUP(A128,'LPG Fup'!D:D,'LPG Fup'!M:M,"",0)&gt;0),"Z-1", AND(_xlfn.XLOOKUP(A128+1,'LPG Fup'!D:D,'LPG Fup'!M:M,"",0)&lt;&gt;"",_xlfn.XLOOKUP(A128+1,'LPG Fup'!D:D,'LPG Fup'!M:M,"",0)&gt;0),"Z-2", AND(_xlfn.XLOOKUP(A128-1,'LPG Fup'!D:D,'LPG Fup'!M:M,"",0)&lt;&gt;"",_xlfn.XLOOKUP(A128-1,'LPG Fup'!D:D,'LPG Fup'!M:M,"",0)&gt;0),"Z", AND(_xlfn.XLOOKUP(A128-2,'LPG Fup'!D:D,'LPG Fup'!M:M,"",0)&lt;&gt;"",_xlfn.XLOOKUP(A128-2,'LPG Fup'!D:D,'LPG Fup'!M:M,"",0)&gt;0),"Z+1"),0)</f>
        <v>0</v>
      </c>
      <c r="Q128" cm="1">
        <f t="array" ref="Q128">_xlfn.IFNA(_xlfn.IFS(AND(_xlfn.XLOOKUP(A128,'LPG Fup'!D:D,'LPG Fup'!M:M,"",0)&lt;&gt;"",_xlfn.XLOOKUP(A128,'LPG Fup'!D:D,'LPG Fup'!M:M,"",0)&lt;0),"I-1", AND(_xlfn.XLOOKUP(A128+1,'LPG Fup'!D:D,'LPG Fup'!M:M,"",0)&lt;&gt;"",_xlfn.XLOOKUP(A128+1,'LPG Fup'!D:D,'LPG Fup'!M:M,"",0)&lt;0),"I-2", AND(_xlfn.XLOOKUP(A128-1,'LPG Fup'!D:D,'LPG Fup'!M:M,"",0)&lt;&gt;"",_xlfn.XLOOKUP(A128-1,'LPG Fup'!D:D,'LPG Fup'!M:M,"",0)&lt;0),"I", AND(_xlfn.XLOOKUP(A128-2,'LPG Fup'!D:D,'LPG Fup'!M:M,"",0)&lt;&gt;"",_xlfn.XLOOKUP(A128-2,'LPG Fup'!D:D,'LPG Fup'!M:M,"",0)&lt;0),"I+1"),0)</f>
        <v>0</v>
      </c>
      <c r="R128">
        <f>_xlfn.XLOOKUP(A128,Covid!A:A,Covid!I:I,0,0)</f>
        <v>1603</v>
      </c>
      <c r="S128">
        <f>_xlfn.XLOOKUP(A128,Covid!A:A,Covid!K:K,0,0)</f>
        <v>57</v>
      </c>
      <c r="T128" s="145">
        <f>_xlfn.XLOOKUP(A128,Covid!A:A,Covid!K:K,0,0)/_xlfn.XLOOKUP(A128,Covid!A:A,Covid!L:L,0,0)</f>
        <v>4.3181818181818182E-2</v>
      </c>
    </row>
    <row r="129" spans="1:20" x14ac:dyDescent="0.55000000000000004">
      <c r="A129" s="157">
        <v>44110</v>
      </c>
      <c r="B129" s="13">
        <v>365540</v>
      </c>
      <c r="C129" s="13">
        <v>436156</v>
      </c>
      <c r="D129" s="13">
        <v>32604</v>
      </c>
      <c r="E129" s="13">
        <v>471203</v>
      </c>
      <c r="F129" s="13">
        <v>1305503</v>
      </c>
      <c r="G129">
        <f>IF(OR(_xlfn.XLOOKUP(A129,'LPG Fup'!D:D,'LPG Fup'!L:L,"",0)&gt;0.03,_xlfn.XLOOKUP(A129,'LPG Fup'!D:D,'LPG Fup'!L:L,"",0)&lt;-0.03),_xlfn.XLOOKUP(A129,'LPG Fup'!D:D,'LPG Fup'!L:L,0,0),0)</f>
        <v>0</v>
      </c>
      <c r="H129">
        <f>IF(_xlfn.XLOOKUP(A129,'LPG Fup'!D:D,'LPG Fup'!M:M,0,0)="",0,_xlfn.XLOOKUP(A129,'LPG Fup'!D:D,'LPG Fup'!M:M,0,0))</f>
        <v>0</v>
      </c>
      <c r="I129" s="109">
        <f>_xlfn.XLOOKUP(A129,'Rafineri Fiyatları'!A:A,'Rafineri Fiyatları'!B:B,"",0)</f>
        <v>4466.28</v>
      </c>
      <c r="J129">
        <f t="shared" si="4"/>
        <v>2020</v>
      </c>
      <c r="K129">
        <f t="shared" si="5"/>
        <v>10</v>
      </c>
      <c r="L129">
        <f t="shared" si="6"/>
        <v>6</v>
      </c>
      <c r="M129">
        <f t="shared" si="7"/>
        <v>3</v>
      </c>
      <c r="N129">
        <f>_xlfn.XLOOKUP(A129,tatiller!H:H,tatiller!I:I,0,0)</f>
        <v>0</v>
      </c>
      <c r="O129" cm="1">
        <f t="array" ref="O129">_xlfn.IFNA(_xlfn.IFS(L129=1,"A0",A129=EOMONTH(A129,0),"A-1",L129=2,"A+1"),0)</f>
        <v>0</v>
      </c>
      <c r="P129" cm="1">
        <f t="array" ref="P129">_xlfn.IFNA(_xlfn.IFS(AND(_xlfn.XLOOKUP(A129,'LPG Fup'!D:D,'LPG Fup'!M:M,"",0)&lt;&gt;"",_xlfn.XLOOKUP(A129,'LPG Fup'!D:D,'LPG Fup'!M:M,"",0)&gt;0),"Z-1", AND(_xlfn.XLOOKUP(A129+1,'LPG Fup'!D:D,'LPG Fup'!M:M,"",0)&lt;&gt;"",_xlfn.XLOOKUP(A129+1,'LPG Fup'!D:D,'LPG Fup'!M:M,"",0)&gt;0),"Z-2", AND(_xlfn.XLOOKUP(A129-1,'LPG Fup'!D:D,'LPG Fup'!M:M,"",0)&lt;&gt;"",_xlfn.XLOOKUP(A129-1,'LPG Fup'!D:D,'LPG Fup'!M:M,"",0)&gt;0),"Z", AND(_xlfn.XLOOKUP(A129-2,'LPG Fup'!D:D,'LPG Fup'!M:M,"",0)&lt;&gt;"",_xlfn.XLOOKUP(A129-2,'LPG Fup'!D:D,'LPG Fup'!M:M,"",0)&gt;0),"Z+1"),0)</f>
        <v>0</v>
      </c>
      <c r="Q129" cm="1">
        <f t="array" ref="Q129">_xlfn.IFNA(_xlfn.IFS(AND(_xlfn.XLOOKUP(A129,'LPG Fup'!D:D,'LPG Fup'!M:M,"",0)&lt;&gt;"",_xlfn.XLOOKUP(A129,'LPG Fup'!D:D,'LPG Fup'!M:M,"",0)&lt;0),"I-1", AND(_xlfn.XLOOKUP(A129+1,'LPG Fup'!D:D,'LPG Fup'!M:M,"",0)&lt;&gt;"",_xlfn.XLOOKUP(A129+1,'LPG Fup'!D:D,'LPG Fup'!M:M,"",0)&lt;0),"I-2", AND(_xlfn.XLOOKUP(A129-1,'LPG Fup'!D:D,'LPG Fup'!M:M,"",0)&lt;&gt;"",_xlfn.XLOOKUP(A129-1,'LPG Fup'!D:D,'LPG Fup'!M:M,"",0)&lt;0),"I", AND(_xlfn.XLOOKUP(A129-2,'LPG Fup'!D:D,'LPG Fup'!M:M,"",0)&lt;&gt;"",_xlfn.XLOOKUP(A129-2,'LPG Fup'!D:D,'LPG Fup'!M:M,"",0)&lt;0),"I+1"),0)</f>
        <v>0</v>
      </c>
      <c r="R129">
        <f>_xlfn.XLOOKUP(A129,Covid!A:A,Covid!I:I,0,0)</f>
        <v>1511</v>
      </c>
      <c r="S129">
        <f>_xlfn.XLOOKUP(A129,Covid!A:A,Covid!K:K,0,0)</f>
        <v>55</v>
      </c>
      <c r="T129" s="145">
        <f>_xlfn.XLOOKUP(A129,Covid!A:A,Covid!K:K,0,0)/_xlfn.XLOOKUP(A129,Covid!A:A,Covid!L:L,0,0)</f>
        <v>4.4751830756712775E-2</v>
      </c>
    </row>
    <row r="130" spans="1:20" x14ac:dyDescent="0.55000000000000004">
      <c r="A130" s="157">
        <v>44111</v>
      </c>
      <c r="B130" s="13">
        <v>382980</v>
      </c>
      <c r="C130" s="13">
        <v>408856</v>
      </c>
      <c r="D130" s="13">
        <v>9901</v>
      </c>
      <c r="E130" s="13">
        <v>498689</v>
      </c>
      <c r="F130" s="13">
        <v>1300426</v>
      </c>
      <c r="G130">
        <f>IF(OR(_xlfn.XLOOKUP(A130,'LPG Fup'!D:D,'LPG Fup'!L:L,"",0)&gt;0.03,_xlfn.XLOOKUP(A130,'LPG Fup'!D:D,'LPG Fup'!L:L,"",0)&lt;-0.03),_xlfn.XLOOKUP(A130,'LPG Fup'!D:D,'LPG Fup'!L:L,0,0),0)</f>
        <v>0</v>
      </c>
      <c r="H130">
        <f>IF(_xlfn.XLOOKUP(A130,'LPG Fup'!D:D,'LPG Fup'!M:M,0,0)="",0,_xlfn.XLOOKUP(A130,'LPG Fup'!D:D,'LPG Fup'!M:M,0,0))</f>
        <v>0</v>
      </c>
      <c r="I130" s="109">
        <f>_xlfn.XLOOKUP(A130,'Rafineri Fiyatları'!A:A,'Rafineri Fiyatları'!B:B,"",0)</f>
        <v>4466.28</v>
      </c>
      <c r="J130">
        <f t="shared" ref="J130:J193" si="8">YEAR(A130)</f>
        <v>2020</v>
      </c>
      <c r="K130">
        <f t="shared" ref="K130:K193" si="9">MONTH(A130)</f>
        <v>10</v>
      </c>
      <c r="L130">
        <f t="shared" ref="L130:L193" si="10">DAY(A130)</f>
        <v>7</v>
      </c>
      <c r="M130">
        <f t="shared" ref="M130:M193" si="11">WEEKDAY(A130)</f>
        <v>4</v>
      </c>
      <c r="N130">
        <f>_xlfn.XLOOKUP(A130,tatiller!H:H,tatiller!I:I,0,0)</f>
        <v>0</v>
      </c>
      <c r="O130" cm="1">
        <f t="array" ref="O130">_xlfn.IFNA(_xlfn.IFS(L130=1,"A0",A130=EOMONTH(A130,0),"A-1",L130=2,"A+1"),0)</f>
        <v>0</v>
      </c>
      <c r="P130" cm="1">
        <f t="array" ref="P130">_xlfn.IFNA(_xlfn.IFS(AND(_xlfn.XLOOKUP(A130,'LPG Fup'!D:D,'LPG Fup'!M:M,"",0)&lt;&gt;"",_xlfn.XLOOKUP(A130,'LPG Fup'!D:D,'LPG Fup'!M:M,"",0)&gt;0),"Z-1", AND(_xlfn.XLOOKUP(A130+1,'LPG Fup'!D:D,'LPG Fup'!M:M,"",0)&lt;&gt;"",_xlfn.XLOOKUP(A130+1,'LPG Fup'!D:D,'LPG Fup'!M:M,"",0)&gt;0),"Z-2", AND(_xlfn.XLOOKUP(A130-1,'LPG Fup'!D:D,'LPG Fup'!M:M,"",0)&lt;&gt;"",_xlfn.XLOOKUP(A130-1,'LPG Fup'!D:D,'LPG Fup'!M:M,"",0)&gt;0),"Z", AND(_xlfn.XLOOKUP(A130-2,'LPG Fup'!D:D,'LPG Fup'!M:M,"",0)&lt;&gt;"",_xlfn.XLOOKUP(A130-2,'LPG Fup'!D:D,'LPG Fup'!M:M,"",0)&gt;0),"Z+1"),0)</f>
        <v>0</v>
      </c>
      <c r="Q130" cm="1">
        <f t="array" ref="Q130">_xlfn.IFNA(_xlfn.IFS(AND(_xlfn.XLOOKUP(A130,'LPG Fup'!D:D,'LPG Fup'!M:M,"",0)&lt;&gt;"",_xlfn.XLOOKUP(A130,'LPG Fup'!D:D,'LPG Fup'!M:M,"",0)&lt;0),"I-1", AND(_xlfn.XLOOKUP(A130+1,'LPG Fup'!D:D,'LPG Fup'!M:M,"",0)&lt;&gt;"",_xlfn.XLOOKUP(A130+1,'LPG Fup'!D:D,'LPG Fup'!M:M,"",0)&lt;0),"I-2", AND(_xlfn.XLOOKUP(A130-1,'LPG Fup'!D:D,'LPG Fup'!M:M,"",0)&lt;&gt;"",_xlfn.XLOOKUP(A130-1,'LPG Fup'!D:D,'LPG Fup'!M:M,"",0)&lt;0),"I", AND(_xlfn.XLOOKUP(A130-2,'LPG Fup'!D:D,'LPG Fup'!M:M,"",0)&lt;&gt;"",_xlfn.XLOOKUP(A130-2,'LPG Fup'!D:D,'LPG Fup'!M:M,"",0)&lt;0),"I+1"),0)</f>
        <v>0</v>
      </c>
      <c r="R130">
        <f>_xlfn.XLOOKUP(A130,Covid!A:A,Covid!I:I,0,0)</f>
        <v>1581</v>
      </c>
      <c r="S130">
        <f>_xlfn.XLOOKUP(A130,Covid!A:A,Covid!K:K,0,0)</f>
        <v>56</v>
      </c>
      <c r="T130" s="145">
        <f>_xlfn.XLOOKUP(A130,Covid!A:A,Covid!K:K,0,0)/_xlfn.XLOOKUP(A130,Covid!A:A,Covid!L:L,0,0)</f>
        <v>4.1328413284132844E-2</v>
      </c>
    </row>
    <row r="131" spans="1:20" x14ac:dyDescent="0.55000000000000004">
      <c r="A131" s="157">
        <v>44112</v>
      </c>
      <c r="B131" s="13">
        <v>385980</v>
      </c>
      <c r="C131" s="13">
        <v>410504</v>
      </c>
      <c r="D131" s="13">
        <v>6099</v>
      </c>
      <c r="E131" s="13">
        <v>505398</v>
      </c>
      <c r="F131" s="13">
        <v>1307981</v>
      </c>
      <c r="G131">
        <f>IF(OR(_xlfn.XLOOKUP(A131,'LPG Fup'!D:D,'LPG Fup'!L:L,"",0)&gt;0.03,_xlfn.XLOOKUP(A131,'LPG Fup'!D:D,'LPG Fup'!L:L,"",0)&lt;-0.03),_xlfn.XLOOKUP(A131,'LPG Fup'!D:D,'LPG Fup'!L:L,0,0),0)</f>
        <v>0</v>
      </c>
      <c r="H131">
        <f>IF(_xlfn.XLOOKUP(A131,'LPG Fup'!D:D,'LPG Fup'!M:M,0,0)="",0,_xlfn.XLOOKUP(A131,'LPG Fup'!D:D,'LPG Fup'!M:M,0,0))</f>
        <v>0</v>
      </c>
      <c r="I131" s="109">
        <f>_xlfn.XLOOKUP(A131,'Rafineri Fiyatları'!A:A,'Rafineri Fiyatları'!B:B,"",0)</f>
        <v>4466.28</v>
      </c>
      <c r="J131">
        <f t="shared" si="8"/>
        <v>2020</v>
      </c>
      <c r="K131">
        <f t="shared" si="9"/>
        <v>10</v>
      </c>
      <c r="L131">
        <f t="shared" si="10"/>
        <v>8</v>
      </c>
      <c r="M131">
        <f t="shared" si="11"/>
        <v>5</v>
      </c>
      <c r="N131">
        <f>_xlfn.XLOOKUP(A131,tatiller!H:H,tatiller!I:I,0,0)</f>
        <v>0</v>
      </c>
      <c r="O131" cm="1">
        <f t="array" ref="O131">_xlfn.IFNA(_xlfn.IFS(L131=1,"A0",A131=EOMONTH(A131,0),"A-1",L131=2,"A+1"),0)</f>
        <v>0</v>
      </c>
      <c r="P131" cm="1">
        <f t="array" ref="P131">_xlfn.IFNA(_xlfn.IFS(AND(_xlfn.XLOOKUP(A131,'LPG Fup'!D:D,'LPG Fup'!M:M,"",0)&lt;&gt;"",_xlfn.XLOOKUP(A131,'LPG Fup'!D:D,'LPG Fup'!M:M,"",0)&gt;0),"Z-1", AND(_xlfn.XLOOKUP(A131+1,'LPG Fup'!D:D,'LPG Fup'!M:M,"",0)&lt;&gt;"",_xlfn.XLOOKUP(A131+1,'LPG Fup'!D:D,'LPG Fup'!M:M,"",0)&gt;0),"Z-2", AND(_xlfn.XLOOKUP(A131-1,'LPG Fup'!D:D,'LPG Fup'!M:M,"",0)&lt;&gt;"",_xlfn.XLOOKUP(A131-1,'LPG Fup'!D:D,'LPG Fup'!M:M,"",0)&gt;0),"Z", AND(_xlfn.XLOOKUP(A131-2,'LPG Fup'!D:D,'LPG Fup'!M:M,"",0)&lt;&gt;"",_xlfn.XLOOKUP(A131-2,'LPG Fup'!D:D,'LPG Fup'!M:M,"",0)&gt;0),"Z+1"),0)</f>
        <v>0</v>
      </c>
      <c r="Q131" cm="1">
        <f t="array" ref="Q131">_xlfn.IFNA(_xlfn.IFS(AND(_xlfn.XLOOKUP(A131,'LPG Fup'!D:D,'LPG Fup'!M:M,"",0)&lt;&gt;"",_xlfn.XLOOKUP(A131,'LPG Fup'!D:D,'LPG Fup'!M:M,"",0)&lt;0),"I-1", AND(_xlfn.XLOOKUP(A131+1,'LPG Fup'!D:D,'LPG Fup'!M:M,"",0)&lt;&gt;"",_xlfn.XLOOKUP(A131+1,'LPG Fup'!D:D,'LPG Fup'!M:M,"",0)&lt;0),"I-2", AND(_xlfn.XLOOKUP(A131-1,'LPG Fup'!D:D,'LPG Fup'!M:M,"",0)&lt;&gt;"",_xlfn.XLOOKUP(A131-1,'LPG Fup'!D:D,'LPG Fup'!M:M,"",0)&lt;0),"I", AND(_xlfn.XLOOKUP(A131-2,'LPG Fup'!D:D,'LPG Fup'!M:M,"",0)&lt;&gt;"",_xlfn.XLOOKUP(A131-2,'LPG Fup'!D:D,'LPG Fup'!M:M,"",0)&lt;0),"I+1"),0)</f>
        <v>0</v>
      </c>
      <c r="R131">
        <f>_xlfn.XLOOKUP(A131,Covid!A:A,Covid!I:I,0,0)</f>
        <v>1615</v>
      </c>
      <c r="S131">
        <f>_xlfn.XLOOKUP(A131,Covid!A:A,Covid!K:K,0,0)</f>
        <v>58</v>
      </c>
      <c r="T131" s="145">
        <f>_xlfn.XLOOKUP(A131,Covid!A:A,Covid!K:K,0,0)/_xlfn.XLOOKUP(A131,Covid!A:A,Covid!L:L,0,0)</f>
        <v>4.1487839771101577E-2</v>
      </c>
    </row>
    <row r="132" spans="1:20" x14ac:dyDescent="0.55000000000000004">
      <c r="A132" s="157">
        <v>44113</v>
      </c>
      <c r="B132" s="13">
        <v>421020</v>
      </c>
      <c r="C132" s="13">
        <v>428204</v>
      </c>
      <c r="D132" s="13">
        <v>3106</v>
      </c>
      <c r="E132" s="13">
        <v>544772</v>
      </c>
      <c r="F132" s="13">
        <v>1397102</v>
      </c>
      <c r="G132">
        <f>IF(OR(_xlfn.XLOOKUP(A132,'LPG Fup'!D:D,'LPG Fup'!L:L,"",0)&gt;0.03,_xlfn.XLOOKUP(A132,'LPG Fup'!D:D,'LPG Fup'!L:L,"",0)&lt;-0.03),_xlfn.XLOOKUP(A132,'LPG Fup'!D:D,'LPG Fup'!L:L,0,0),0)</f>
        <v>0</v>
      </c>
      <c r="H132">
        <f>IF(_xlfn.XLOOKUP(A132,'LPG Fup'!D:D,'LPG Fup'!M:M,0,0)="",0,_xlfn.XLOOKUP(A132,'LPG Fup'!D:D,'LPG Fup'!M:M,0,0))</f>
        <v>0</v>
      </c>
      <c r="I132" s="109">
        <f>_xlfn.XLOOKUP(A132,'Rafineri Fiyatları'!A:A,'Rafineri Fiyatları'!B:B,"",0)</f>
        <v>4466.28</v>
      </c>
      <c r="J132">
        <f t="shared" si="8"/>
        <v>2020</v>
      </c>
      <c r="K132">
        <f t="shared" si="9"/>
        <v>10</v>
      </c>
      <c r="L132">
        <f t="shared" si="10"/>
        <v>9</v>
      </c>
      <c r="M132">
        <f t="shared" si="11"/>
        <v>6</v>
      </c>
      <c r="N132">
        <f>_xlfn.XLOOKUP(A132,tatiller!H:H,tatiller!I:I,0,0)</f>
        <v>0</v>
      </c>
      <c r="O132" cm="1">
        <f t="array" ref="O132">_xlfn.IFNA(_xlfn.IFS(L132=1,"A0",A132=EOMONTH(A132,0),"A-1",L132=2,"A+1"),0)</f>
        <v>0</v>
      </c>
      <c r="P132" cm="1">
        <f t="array" ref="P132">_xlfn.IFNA(_xlfn.IFS(AND(_xlfn.XLOOKUP(A132,'LPG Fup'!D:D,'LPG Fup'!M:M,"",0)&lt;&gt;"",_xlfn.XLOOKUP(A132,'LPG Fup'!D:D,'LPG Fup'!M:M,"",0)&gt;0),"Z-1", AND(_xlfn.XLOOKUP(A132+1,'LPG Fup'!D:D,'LPG Fup'!M:M,"",0)&lt;&gt;"",_xlfn.XLOOKUP(A132+1,'LPG Fup'!D:D,'LPG Fup'!M:M,"",0)&gt;0),"Z-2", AND(_xlfn.XLOOKUP(A132-1,'LPG Fup'!D:D,'LPG Fup'!M:M,"",0)&lt;&gt;"",_xlfn.XLOOKUP(A132-1,'LPG Fup'!D:D,'LPG Fup'!M:M,"",0)&gt;0),"Z", AND(_xlfn.XLOOKUP(A132-2,'LPG Fup'!D:D,'LPG Fup'!M:M,"",0)&lt;&gt;"",_xlfn.XLOOKUP(A132-2,'LPG Fup'!D:D,'LPG Fup'!M:M,"",0)&gt;0),"Z+1"),0)</f>
        <v>0</v>
      </c>
      <c r="Q132" cm="1">
        <f t="array" ref="Q132">_xlfn.IFNA(_xlfn.IFS(AND(_xlfn.XLOOKUP(A132,'LPG Fup'!D:D,'LPG Fup'!M:M,"",0)&lt;&gt;"",_xlfn.XLOOKUP(A132,'LPG Fup'!D:D,'LPG Fup'!M:M,"",0)&lt;0),"I-1", AND(_xlfn.XLOOKUP(A132+1,'LPG Fup'!D:D,'LPG Fup'!M:M,"",0)&lt;&gt;"",_xlfn.XLOOKUP(A132+1,'LPG Fup'!D:D,'LPG Fup'!M:M,"",0)&lt;0),"I-2", AND(_xlfn.XLOOKUP(A132-1,'LPG Fup'!D:D,'LPG Fup'!M:M,"",0)&lt;&gt;"",_xlfn.XLOOKUP(A132-1,'LPG Fup'!D:D,'LPG Fup'!M:M,"",0)&lt;0),"I", AND(_xlfn.XLOOKUP(A132-2,'LPG Fup'!D:D,'LPG Fup'!M:M,"",0)&lt;&gt;"",_xlfn.XLOOKUP(A132-2,'LPG Fup'!D:D,'LPG Fup'!M:M,"",0)&lt;0),"I+1"),0)</f>
        <v>0</v>
      </c>
      <c r="R132">
        <f>_xlfn.XLOOKUP(A132,Covid!A:A,Covid!I:I,0,0)</f>
        <v>1629</v>
      </c>
      <c r="S132">
        <f>_xlfn.XLOOKUP(A132,Covid!A:A,Covid!K:K,0,0)</f>
        <v>55</v>
      </c>
      <c r="T132" s="145">
        <f>_xlfn.XLOOKUP(A132,Covid!A:A,Covid!K:K,0,0)/_xlfn.XLOOKUP(A132,Covid!A:A,Covid!L:L,0,0)</f>
        <v>3.9229671897289584E-2</v>
      </c>
    </row>
    <row r="133" spans="1:20" x14ac:dyDescent="0.55000000000000004">
      <c r="A133" s="157">
        <v>44114</v>
      </c>
      <c r="B133" s="13">
        <v>340040</v>
      </c>
      <c r="C133" s="13">
        <v>352851</v>
      </c>
      <c r="D133" s="13">
        <v>3832</v>
      </c>
      <c r="E133" s="13">
        <v>546870</v>
      </c>
      <c r="F133" s="13">
        <v>1243593</v>
      </c>
      <c r="G133">
        <f>IF(OR(_xlfn.XLOOKUP(A133,'LPG Fup'!D:D,'LPG Fup'!L:L,"",0)&gt;0.03,_xlfn.XLOOKUP(A133,'LPG Fup'!D:D,'LPG Fup'!L:L,"",0)&lt;-0.03),_xlfn.XLOOKUP(A133,'LPG Fup'!D:D,'LPG Fup'!L:L,0,0),0)</f>
        <v>0</v>
      </c>
      <c r="H133">
        <f>IF(_xlfn.XLOOKUP(A133,'LPG Fup'!D:D,'LPG Fup'!M:M,0,0)="",0,_xlfn.XLOOKUP(A133,'LPG Fup'!D:D,'LPG Fup'!M:M,0,0))</f>
        <v>0</v>
      </c>
      <c r="I133" s="109">
        <f>_xlfn.XLOOKUP(A133,'Rafineri Fiyatları'!A:A,'Rafineri Fiyatları'!B:B,"",0)</f>
        <v>4466.28</v>
      </c>
      <c r="J133">
        <f t="shared" si="8"/>
        <v>2020</v>
      </c>
      <c r="K133">
        <f t="shared" si="9"/>
        <v>10</v>
      </c>
      <c r="L133">
        <f t="shared" si="10"/>
        <v>10</v>
      </c>
      <c r="M133">
        <f t="shared" si="11"/>
        <v>7</v>
      </c>
      <c r="N133">
        <f>_xlfn.XLOOKUP(A133,tatiller!H:H,tatiller!I:I,0,0)</f>
        <v>0</v>
      </c>
      <c r="O133" cm="1">
        <f t="array" ref="O133">_xlfn.IFNA(_xlfn.IFS(L133=1,"A0",A133=EOMONTH(A133,0),"A-1",L133=2,"A+1"),0)</f>
        <v>0</v>
      </c>
      <c r="P133" cm="1">
        <f t="array" ref="P133">_xlfn.IFNA(_xlfn.IFS(AND(_xlfn.XLOOKUP(A133,'LPG Fup'!D:D,'LPG Fup'!M:M,"",0)&lt;&gt;"",_xlfn.XLOOKUP(A133,'LPG Fup'!D:D,'LPG Fup'!M:M,"",0)&gt;0),"Z-1", AND(_xlfn.XLOOKUP(A133+1,'LPG Fup'!D:D,'LPG Fup'!M:M,"",0)&lt;&gt;"",_xlfn.XLOOKUP(A133+1,'LPG Fup'!D:D,'LPG Fup'!M:M,"",0)&gt;0),"Z-2", AND(_xlfn.XLOOKUP(A133-1,'LPG Fup'!D:D,'LPG Fup'!M:M,"",0)&lt;&gt;"",_xlfn.XLOOKUP(A133-1,'LPG Fup'!D:D,'LPG Fup'!M:M,"",0)&gt;0),"Z", AND(_xlfn.XLOOKUP(A133-2,'LPG Fup'!D:D,'LPG Fup'!M:M,"",0)&lt;&gt;"",_xlfn.XLOOKUP(A133-2,'LPG Fup'!D:D,'LPG Fup'!M:M,"",0)&gt;0),"Z+1"),0)</f>
        <v>0</v>
      </c>
      <c r="Q133" cm="1">
        <f t="array" ref="Q133">_xlfn.IFNA(_xlfn.IFS(AND(_xlfn.XLOOKUP(A133,'LPG Fup'!D:D,'LPG Fup'!M:M,"",0)&lt;&gt;"",_xlfn.XLOOKUP(A133,'LPG Fup'!D:D,'LPG Fup'!M:M,"",0)&lt;0),"I-1", AND(_xlfn.XLOOKUP(A133+1,'LPG Fup'!D:D,'LPG Fup'!M:M,"",0)&lt;&gt;"",_xlfn.XLOOKUP(A133+1,'LPG Fup'!D:D,'LPG Fup'!M:M,"",0)&lt;0),"I-2", AND(_xlfn.XLOOKUP(A133-1,'LPG Fup'!D:D,'LPG Fup'!M:M,"",0)&lt;&gt;"",_xlfn.XLOOKUP(A133-1,'LPG Fup'!D:D,'LPG Fup'!M:M,"",0)&lt;0),"I", AND(_xlfn.XLOOKUP(A133-2,'LPG Fup'!D:D,'LPG Fup'!M:M,"",0)&lt;&gt;"",_xlfn.XLOOKUP(A133-2,'LPG Fup'!D:D,'LPG Fup'!M:M,"",0)&lt;0),"I+1"),0)</f>
        <v>0</v>
      </c>
      <c r="R133">
        <f>_xlfn.XLOOKUP(A133,Covid!A:A,Covid!I:I,0,0)</f>
        <v>1649</v>
      </c>
      <c r="S133">
        <f>_xlfn.XLOOKUP(A133,Covid!A:A,Covid!K:K,0,0)</f>
        <v>56</v>
      </c>
      <c r="T133" s="145">
        <f>_xlfn.XLOOKUP(A133,Covid!A:A,Covid!K:K,0,0)/_xlfn.XLOOKUP(A133,Covid!A:A,Covid!L:L,0,0)</f>
        <v>4.0258806613946804E-2</v>
      </c>
    </row>
    <row r="134" spans="1:20" x14ac:dyDescent="0.55000000000000004">
      <c r="A134" s="157">
        <v>44115</v>
      </c>
      <c r="B134" s="13">
        <v>400700</v>
      </c>
      <c r="C134" s="13">
        <v>1084</v>
      </c>
      <c r="D134" s="13">
        <v>0</v>
      </c>
      <c r="E134" s="13">
        <v>416918</v>
      </c>
      <c r="F134" s="13">
        <v>818702</v>
      </c>
      <c r="G134">
        <f>IF(OR(_xlfn.XLOOKUP(A134,'LPG Fup'!D:D,'LPG Fup'!L:L,"",0)&gt;0.03,_xlfn.XLOOKUP(A134,'LPG Fup'!D:D,'LPG Fup'!L:L,"",0)&lt;-0.03),_xlfn.XLOOKUP(A134,'LPG Fup'!D:D,'LPG Fup'!L:L,0,0),0)</f>
        <v>0</v>
      </c>
      <c r="H134">
        <f>IF(_xlfn.XLOOKUP(A134,'LPG Fup'!D:D,'LPG Fup'!M:M,0,0)="",0,_xlfn.XLOOKUP(A134,'LPG Fup'!D:D,'LPG Fup'!M:M,0,0))</f>
        <v>0</v>
      </c>
      <c r="I134" s="109">
        <f>_xlfn.XLOOKUP(A134,'Rafineri Fiyatları'!A:A,'Rafineri Fiyatları'!B:B,"",0)</f>
        <v>4466.28</v>
      </c>
      <c r="J134">
        <f t="shared" si="8"/>
        <v>2020</v>
      </c>
      <c r="K134">
        <f t="shared" si="9"/>
        <v>10</v>
      </c>
      <c r="L134">
        <f t="shared" si="10"/>
        <v>11</v>
      </c>
      <c r="M134">
        <f t="shared" si="11"/>
        <v>1</v>
      </c>
      <c r="N134">
        <f>_xlfn.XLOOKUP(A134,tatiller!H:H,tatiller!I:I,0,0)</f>
        <v>0</v>
      </c>
      <c r="O134" cm="1">
        <f t="array" ref="O134">_xlfn.IFNA(_xlfn.IFS(L134=1,"A0",A134=EOMONTH(A134,0),"A-1",L134=2,"A+1"),0)</f>
        <v>0</v>
      </c>
      <c r="P134" cm="1">
        <f t="array" ref="P134">_xlfn.IFNA(_xlfn.IFS(AND(_xlfn.XLOOKUP(A134,'LPG Fup'!D:D,'LPG Fup'!M:M,"",0)&lt;&gt;"",_xlfn.XLOOKUP(A134,'LPG Fup'!D:D,'LPG Fup'!M:M,"",0)&gt;0),"Z-1", AND(_xlfn.XLOOKUP(A134+1,'LPG Fup'!D:D,'LPG Fup'!M:M,"",0)&lt;&gt;"",_xlfn.XLOOKUP(A134+1,'LPG Fup'!D:D,'LPG Fup'!M:M,"",0)&gt;0),"Z-2", AND(_xlfn.XLOOKUP(A134-1,'LPG Fup'!D:D,'LPG Fup'!M:M,"",0)&lt;&gt;"",_xlfn.XLOOKUP(A134-1,'LPG Fup'!D:D,'LPG Fup'!M:M,"",0)&gt;0),"Z", AND(_xlfn.XLOOKUP(A134-2,'LPG Fup'!D:D,'LPG Fup'!M:M,"",0)&lt;&gt;"",_xlfn.XLOOKUP(A134-2,'LPG Fup'!D:D,'LPG Fup'!M:M,"",0)&gt;0),"Z+1"),0)</f>
        <v>0</v>
      </c>
      <c r="Q134" cm="1">
        <f t="array" ref="Q134">_xlfn.IFNA(_xlfn.IFS(AND(_xlfn.XLOOKUP(A134,'LPG Fup'!D:D,'LPG Fup'!M:M,"",0)&lt;&gt;"",_xlfn.XLOOKUP(A134,'LPG Fup'!D:D,'LPG Fup'!M:M,"",0)&lt;0),"I-1", AND(_xlfn.XLOOKUP(A134+1,'LPG Fup'!D:D,'LPG Fup'!M:M,"",0)&lt;&gt;"",_xlfn.XLOOKUP(A134+1,'LPG Fup'!D:D,'LPG Fup'!M:M,"",0)&lt;0),"I-2", AND(_xlfn.XLOOKUP(A134-1,'LPG Fup'!D:D,'LPG Fup'!M:M,"",0)&lt;&gt;"",_xlfn.XLOOKUP(A134-1,'LPG Fup'!D:D,'LPG Fup'!M:M,"",0)&lt;0),"I", AND(_xlfn.XLOOKUP(A134-2,'LPG Fup'!D:D,'LPG Fup'!M:M,"",0)&lt;&gt;"",_xlfn.XLOOKUP(A134-2,'LPG Fup'!D:D,'LPG Fup'!M:M,"",0)&lt;0),"I+1"),0)</f>
        <v>0</v>
      </c>
      <c r="R134">
        <f>_xlfn.XLOOKUP(A134,Covid!A:A,Covid!I:I,0,0)</f>
        <v>1502</v>
      </c>
      <c r="S134">
        <f>_xlfn.XLOOKUP(A134,Covid!A:A,Covid!K:K,0,0)</f>
        <v>59</v>
      </c>
      <c r="T134" s="145">
        <f>_xlfn.XLOOKUP(A134,Covid!A:A,Covid!K:K,0,0)/_xlfn.XLOOKUP(A134,Covid!A:A,Covid!L:L,0,0)</f>
        <v>4.8679867986798679E-2</v>
      </c>
    </row>
    <row r="135" spans="1:20" x14ac:dyDescent="0.55000000000000004">
      <c r="A135" s="157">
        <v>44116</v>
      </c>
      <c r="B135" s="13">
        <v>425900</v>
      </c>
      <c r="C135" s="13">
        <v>522327</v>
      </c>
      <c r="D135" s="13">
        <v>8901</v>
      </c>
      <c r="E135" s="13">
        <v>523393</v>
      </c>
      <c r="F135" s="13">
        <v>1480521</v>
      </c>
      <c r="G135">
        <f>IF(OR(_xlfn.XLOOKUP(A135,'LPG Fup'!D:D,'LPG Fup'!L:L,"",0)&gt;0.03,_xlfn.XLOOKUP(A135,'LPG Fup'!D:D,'LPG Fup'!L:L,"",0)&lt;-0.03),_xlfn.XLOOKUP(A135,'LPG Fup'!D:D,'LPG Fup'!L:L,0,0),0)</f>
        <v>0</v>
      </c>
      <c r="H135">
        <f>IF(_xlfn.XLOOKUP(A135,'LPG Fup'!D:D,'LPG Fup'!M:M,0,0)="",0,_xlfn.XLOOKUP(A135,'LPG Fup'!D:D,'LPG Fup'!M:M,0,0))</f>
        <v>0</v>
      </c>
      <c r="I135" s="109">
        <f>_xlfn.XLOOKUP(A135,'Rafineri Fiyatları'!A:A,'Rafineri Fiyatları'!B:B,"",0)</f>
        <v>4466.28</v>
      </c>
      <c r="J135">
        <f t="shared" si="8"/>
        <v>2020</v>
      </c>
      <c r="K135">
        <f t="shared" si="9"/>
        <v>10</v>
      </c>
      <c r="L135">
        <f t="shared" si="10"/>
        <v>12</v>
      </c>
      <c r="M135">
        <f t="shared" si="11"/>
        <v>2</v>
      </c>
      <c r="N135">
        <f>_xlfn.XLOOKUP(A135,tatiller!H:H,tatiller!I:I,0,0)</f>
        <v>0</v>
      </c>
      <c r="O135" cm="1">
        <f t="array" ref="O135">_xlfn.IFNA(_xlfn.IFS(L135=1,"A0",A135=EOMONTH(A135,0),"A-1",L135=2,"A+1"),0)</f>
        <v>0</v>
      </c>
      <c r="P135" cm="1">
        <f t="array" ref="P135">_xlfn.IFNA(_xlfn.IFS(AND(_xlfn.XLOOKUP(A135,'LPG Fup'!D:D,'LPG Fup'!M:M,"",0)&lt;&gt;"",_xlfn.XLOOKUP(A135,'LPG Fup'!D:D,'LPG Fup'!M:M,"",0)&gt;0),"Z-1", AND(_xlfn.XLOOKUP(A135+1,'LPG Fup'!D:D,'LPG Fup'!M:M,"",0)&lt;&gt;"",_xlfn.XLOOKUP(A135+1,'LPG Fup'!D:D,'LPG Fup'!M:M,"",0)&gt;0),"Z-2", AND(_xlfn.XLOOKUP(A135-1,'LPG Fup'!D:D,'LPG Fup'!M:M,"",0)&lt;&gt;"",_xlfn.XLOOKUP(A135-1,'LPG Fup'!D:D,'LPG Fup'!M:M,"",0)&gt;0),"Z", AND(_xlfn.XLOOKUP(A135-2,'LPG Fup'!D:D,'LPG Fup'!M:M,"",0)&lt;&gt;"",_xlfn.XLOOKUP(A135-2,'LPG Fup'!D:D,'LPG Fup'!M:M,"",0)&gt;0),"Z+1"),0)</f>
        <v>0</v>
      </c>
      <c r="Q135" cm="1">
        <f t="array" ref="Q135">_xlfn.IFNA(_xlfn.IFS(AND(_xlfn.XLOOKUP(A135,'LPG Fup'!D:D,'LPG Fup'!M:M,"",0)&lt;&gt;"",_xlfn.XLOOKUP(A135,'LPG Fup'!D:D,'LPG Fup'!M:M,"",0)&lt;0),"I-1", AND(_xlfn.XLOOKUP(A135+1,'LPG Fup'!D:D,'LPG Fup'!M:M,"",0)&lt;&gt;"",_xlfn.XLOOKUP(A135+1,'LPG Fup'!D:D,'LPG Fup'!M:M,"",0)&lt;0),"I-2", AND(_xlfn.XLOOKUP(A135-1,'LPG Fup'!D:D,'LPG Fup'!M:M,"",0)&lt;&gt;"",_xlfn.XLOOKUP(A135-1,'LPG Fup'!D:D,'LPG Fup'!M:M,"",0)&lt;0),"I", AND(_xlfn.XLOOKUP(A135-2,'LPG Fup'!D:D,'LPG Fup'!M:M,"",0)&lt;&gt;"",_xlfn.XLOOKUP(A135-2,'LPG Fup'!D:D,'LPG Fup'!M:M,"",0)&lt;0),"I+1"),0)</f>
        <v>0</v>
      </c>
      <c r="R135">
        <f>_xlfn.XLOOKUP(A135,Covid!A:A,Covid!I:I,0,0)</f>
        <v>1614</v>
      </c>
      <c r="S135">
        <f>_xlfn.XLOOKUP(A135,Covid!A:A,Covid!K:K,0,0)</f>
        <v>58</v>
      </c>
      <c r="T135" s="145">
        <f>_xlfn.XLOOKUP(A135,Covid!A:A,Covid!K:K,0,0)/_xlfn.XLOOKUP(A135,Covid!A:A,Covid!L:L,0,0)</f>
        <v>4.4581091468101464E-2</v>
      </c>
    </row>
    <row r="136" spans="1:20" x14ac:dyDescent="0.55000000000000004">
      <c r="A136" s="157">
        <v>44117</v>
      </c>
      <c r="B136" s="13">
        <v>431440</v>
      </c>
      <c r="C136" s="13">
        <v>450918</v>
      </c>
      <c r="D136" s="13">
        <v>2864</v>
      </c>
      <c r="E136" s="13">
        <v>506547</v>
      </c>
      <c r="F136" s="13">
        <v>1391769</v>
      </c>
      <c r="G136">
        <f>IF(OR(_xlfn.XLOOKUP(A136,'LPG Fup'!D:D,'LPG Fup'!L:L,"",0)&gt;0.03,_xlfn.XLOOKUP(A136,'LPG Fup'!D:D,'LPG Fup'!L:L,"",0)&lt;-0.03),_xlfn.XLOOKUP(A136,'LPG Fup'!D:D,'LPG Fup'!L:L,0,0),0)</f>
        <v>0</v>
      </c>
      <c r="H136">
        <f>IF(_xlfn.XLOOKUP(A136,'LPG Fup'!D:D,'LPG Fup'!M:M,0,0)="",0,_xlfn.XLOOKUP(A136,'LPG Fup'!D:D,'LPG Fup'!M:M,0,0))</f>
        <v>0</v>
      </c>
      <c r="I136" s="109">
        <f>_xlfn.XLOOKUP(A136,'Rafineri Fiyatları'!A:A,'Rafineri Fiyatları'!B:B,"",0)</f>
        <v>4466.28</v>
      </c>
      <c r="J136">
        <f t="shared" si="8"/>
        <v>2020</v>
      </c>
      <c r="K136">
        <f t="shared" si="9"/>
        <v>10</v>
      </c>
      <c r="L136">
        <f t="shared" si="10"/>
        <v>13</v>
      </c>
      <c r="M136">
        <f t="shared" si="11"/>
        <v>3</v>
      </c>
      <c r="N136">
        <f>_xlfn.XLOOKUP(A136,tatiller!H:H,tatiller!I:I,0,0)</f>
        <v>0</v>
      </c>
      <c r="O136" cm="1">
        <f t="array" ref="O136">_xlfn.IFNA(_xlfn.IFS(L136=1,"A0",A136=EOMONTH(A136,0),"A-1",L136=2,"A+1"),0)</f>
        <v>0</v>
      </c>
      <c r="P136" cm="1">
        <f t="array" ref="P136">_xlfn.IFNA(_xlfn.IFS(AND(_xlfn.XLOOKUP(A136,'LPG Fup'!D:D,'LPG Fup'!M:M,"",0)&lt;&gt;"",_xlfn.XLOOKUP(A136,'LPG Fup'!D:D,'LPG Fup'!M:M,"",0)&gt;0),"Z-1", AND(_xlfn.XLOOKUP(A136+1,'LPG Fup'!D:D,'LPG Fup'!M:M,"",0)&lt;&gt;"",_xlfn.XLOOKUP(A136+1,'LPG Fup'!D:D,'LPG Fup'!M:M,"",0)&gt;0),"Z-2", AND(_xlfn.XLOOKUP(A136-1,'LPG Fup'!D:D,'LPG Fup'!M:M,"",0)&lt;&gt;"",_xlfn.XLOOKUP(A136-1,'LPG Fup'!D:D,'LPG Fup'!M:M,"",0)&gt;0),"Z", AND(_xlfn.XLOOKUP(A136-2,'LPG Fup'!D:D,'LPG Fup'!M:M,"",0)&lt;&gt;"",_xlfn.XLOOKUP(A136-2,'LPG Fup'!D:D,'LPG Fup'!M:M,"",0)&gt;0),"Z+1"),0)</f>
        <v>0</v>
      </c>
      <c r="Q136" cm="1">
        <f t="array" ref="Q136">_xlfn.IFNA(_xlfn.IFS(AND(_xlfn.XLOOKUP(A136,'LPG Fup'!D:D,'LPG Fup'!M:M,"",0)&lt;&gt;"",_xlfn.XLOOKUP(A136,'LPG Fup'!D:D,'LPG Fup'!M:M,"",0)&lt;0),"I-1", AND(_xlfn.XLOOKUP(A136+1,'LPG Fup'!D:D,'LPG Fup'!M:M,"",0)&lt;&gt;"",_xlfn.XLOOKUP(A136+1,'LPG Fup'!D:D,'LPG Fup'!M:M,"",0)&lt;0),"I-2", AND(_xlfn.XLOOKUP(A136-1,'LPG Fup'!D:D,'LPG Fup'!M:M,"",0)&lt;&gt;"",_xlfn.XLOOKUP(A136-1,'LPG Fup'!D:D,'LPG Fup'!M:M,"",0)&lt;0),"I", AND(_xlfn.XLOOKUP(A136-2,'LPG Fup'!D:D,'LPG Fup'!M:M,"",0)&lt;&gt;"",_xlfn.XLOOKUP(A136-2,'LPG Fup'!D:D,'LPG Fup'!M:M,"",0)&lt;0),"I+1"),0)</f>
        <v>0</v>
      </c>
      <c r="R136">
        <f>_xlfn.XLOOKUP(A136,Covid!A:A,Covid!I:I,0,0)</f>
        <v>1632</v>
      </c>
      <c r="S136">
        <f>_xlfn.XLOOKUP(A136,Covid!A:A,Covid!K:K,0,0)</f>
        <v>62</v>
      </c>
      <c r="T136" s="145">
        <f>_xlfn.XLOOKUP(A136,Covid!A:A,Covid!K:K,0,0)/_xlfn.XLOOKUP(A136,Covid!A:A,Covid!L:L,0,0)</f>
        <v>4.7184170471841702E-2</v>
      </c>
    </row>
    <row r="137" spans="1:20" x14ac:dyDescent="0.55000000000000004">
      <c r="A137" s="157">
        <v>44118</v>
      </c>
      <c r="B137" s="13">
        <v>312180</v>
      </c>
      <c r="C137" s="13">
        <v>430914</v>
      </c>
      <c r="D137" s="13">
        <v>9352</v>
      </c>
      <c r="E137" s="13">
        <v>495079</v>
      </c>
      <c r="F137" s="13">
        <v>1247525</v>
      </c>
      <c r="G137">
        <f>IF(OR(_xlfn.XLOOKUP(A137,'LPG Fup'!D:D,'LPG Fup'!L:L,"",0)&gt;0.03,_xlfn.XLOOKUP(A137,'LPG Fup'!D:D,'LPG Fup'!L:L,"",0)&lt;-0.03),_xlfn.XLOOKUP(A137,'LPG Fup'!D:D,'LPG Fup'!L:L,0,0),0)</f>
        <v>0</v>
      </c>
      <c r="H137">
        <f>IF(_xlfn.XLOOKUP(A137,'LPG Fup'!D:D,'LPG Fup'!M:M,0,0)="",0,_xlfn.XLOOKUP(A137,'LPG Fup'!D:D,'LPG Fup'!M:M,0,0))</f>
        <v>0</v>
      </c>
      <c r="I137" s="109">
        <f>_xlfn.XLOOKUP(A137,'Rafineri Fiyatları'!A:A,'Rafineri Fiyatları'!B:B,"",0)</f>
        <v>4466.28</v>
      </c>
      <c r="J137">
        <f t="shared" si="8"/>
        <v>2020</v>
      </c>
      <c r="K137">
        <f t="shared" si="9"/>
        <v>10</v>
      </c>
      <c r="L137">
        <f t="shared" si="10"/>
        <v>14</v>
      </c>
      <c r="M137">
        <f t="shared" si="11"/>
        <v>4</v>
      </c>
      <c r="N137">
        <f>_xlfn.XLOOKUP(A137,tatiller!H:H,tatiller!I:I,0,0)</f>
        <v>0</v>
      </c>
      <c r="O137" cm="1">
        <f t="array" ref="O137">_xlfn.IFNA(_xlfn.IFS(L137=1,"A0",A137=EOMONTH(A137,0),"A-1",L137=2,"A+1"),0)</f>
        <v>0</v>
      </c>
      <c r="P137" cm="1">
        <f t="array" ref="P137">_xlfn.IFNA(_xlfn.IFS(AND(_xlfn.XLOOKUP(A137,'LPG Fup'!D:D,'LPG Fup'!M:M,"",0)&lt;&gt;"",_xlfn.XLOOKUP(A137,'LPG Fup'!D:D,'LPG Fup'!M:M,"",0)&gt;0),"Z-1", AND(_xlfn.XLOOKUP(A137+1,'LPG Fup'!D:D,'LPG Fup'!M:M,"",0)&lt;&gt;"",_xlfn.XLOOKUP(A137+1,'LPG Fup'!D:D,'LPG Fup'!M:M,"",0)&gt;0),"Z-2", AND(_xlfn.XLOOKUP(A137-1,'LPG Fup'!D:D,'LPG Fup'!M:M,"",0)&lt;&gt;"",_xlfn.XLOOKUP(A137-1,'LPG Fup'!D:D,'LPG Fup'!M:M,"",0)&gt;0),"Z", AND(_xlfn.XLOOKUP(A137-2,'LPG Fup'!D:D,'LPG Fup'!M:M,"",0)&lt;&gt;"",_xlfn.XLOOKUP(A137-2,'LPG Fup'!D:D,'LPG Fup'!M:M,"",0)&gt;0),"Z+1"),0)</f>
        <v>0</v>
      </c>
      <c r="Q137" cm="1">
        <f t="array" ref="Q137">_xlfn.IFNA(_xlfn.IFS(AND(_xlfn.XLOOKUP(A137,'LPG Fup'!D:D,'LPG Fup'!M:M,"",0)&lt;&gt;"",_xlfn.XLOOKUP(A137,'LPG Fup'!D:D,'LPG Fup'!M:M,"",0)&lt;0),"I-1", AND(_xlfn.XLOOKUP(A137+1,'LPG Fup'!D:D,'LPG Fup'!M:M,"",0)&lt;&gt;"",_xlfn.XLOOKUP(A137+1,'LPG Fup'!D:D,'LPG Fup'!M:M,"",0)&lt;0),"I-2", AND(_xlfn.XLOOKUP(A137-1,'LPG Fup'!D:D,'LPG Fup'!M:M,"",0)&lt;&gt;"",_xlfn.XLOOKUP(A137-1,'LPG Fup'!D:D,'LPG Fup'!M:M,"",0)&lt;0),"I", AND(_xlfn.XLOOKUP(A137-2,'LPG Fup'!D:D,'LPG Fup'!M:M,"",0)&lt;&gt;"",_xlfn.XLOOKUP(A137-2,'LPG Fup'!D:D,'LPG Fup'!M:M,"",0)&lt;0),"I+1"),0)</f>
        <v>0</v>
      </c>
      <c r="R137">
        <f>_xlfn.XLOOKUP(A137,Covid!A:A,Covid!I:I,0,0)</f>
        <v>1671</v>
      </c>
      <c r="S137">
        <f>_xlfn.XLOOKUP(A137,Covid!A:A,Covid!K:K,0,0)</f>
        <v>57</v>
      </c>
      <c r="T137" s="145">
        <f>_xlfn.XLOOKUP(A137,Covid!A:A,Covid!K:K,0,0)/_xlfn.XLOOKUP(A137,Covid!A:A,Covid!L:L,0,0)</f>
        <v>4.0830945558739257E-2</v>
      </c>
    </row>
    <row r="138" spans="1:20" x14ac:dyDescent="0.55000000000000004">
      <c r="A138" s="157">
        <v>44119</v>
      </c>
      <c r="B138" s="13">
        <v>406060</v>
      </c>
      <c r="C138" s="13">
        <v>444594</v>
      </c>
      <c r="D138" s="13">
        <v>27692</v>
      </c>
      <c r="E138" s="13">
        <v>485605</v>
      </c>
      <c r="F138" s="13">
        <v>1363951</v>
      </c>
      <c r="G138">
        <f>IF(OR(_xlfn.XLOOKUP(A138,'LPG Fup'!D:D,'LPG Fup'!L:L,"",0)&gt;0.03,_xlfn.XLOOKUP(A138,'LPG Fup'!D:D,'LPG Fup'!L:L,"",0)&lt;-0.03),_xlfn.XLOOKUP(A138,'LPG Fup'!D:D,'LPG Fup'!L:L,0,0),0)</f>
        <v>0</v>
      </c>
      <c r="H138">
        <f>IF(_xlfn.XLOOKUP(A138,'LPG Fup'!D:D,'LPG Fup'!M:M,0,0)="",0,_xlfn.XLOOKUP(A138,'LPG Fup'!D:D,'LPG Fup'!M:M,0,0))</f>
        <v>0</v>
      </c>
      <c r="I138" s="109">
        <f>_xlfn.XLOOKUP(A138,'Rafineri Fiyatları'!A:A,'Rafineri Fiyatları'!B:B,"",0)</f>
        <v>4466.28</v>
      </c>
      <c r="J138">
        <f t="shared" si="8"/>
        <v>2020</v>
      </c>
      <c r="K138">
        <f t="shared" si="9"/>
        <v>10</v>
      </c>
      <c r="L138">
        <f t="shared" si="10"/>
        <v>15</v>
      </c>
      <c r="M138">
        <f t="shared" si="11"/>
        <v>5</v>
      </c>
      <c r="N138">
        <f>_xlfn.XLOOKUP(A138,tatiller!H:H,tatiller!I:I,0,0)</f>
        <v>0</v>
      </c>
      <c r="O138" cm="1">
        <f t="array" ref="O138">_xlfn.IFNA(_xlfn.IFS(L138=1,"A0",A138=EOMONTH(A138,0),"A-1",L138=2,"A+1"),0)</f>
        <v>0</v>
      </c>
      <c r="P138" cm="1">
        <f t="array" ref="P138">_xlfn.IFNA(_xlfn.IFS(AND(_xlfn.XLOOKUP(A138,'LPG Fup'!D:D,'LPG Fup'!M:M,"",0)&lt;&gt;"",_xlfn.XLOOKUP(A138,'LPG Fup'!D:D,'LPG Fup'!M:M,"",0)&gt;0),"Z-1", AND(_xlfn.XLOOKUP(A138+1,'LPG Fup'!D:D,'LPG Fup'!M:M,"",0)&lt;&gt;"",_xlfn.XLOOKUP(A138+1,'LPG Fup'!D:D,'LPG Fup'!M:M,"",0)&gt;0),"Z-2", AND(_xlfn.XLOOKUP(A138-1,'LPG Fup'!D:D,'LPG Fup'!M:M,"",0)&lt;&gt;"",_xlfn.XLOOKUP(A138-1,'LPG Fup'!D:D,'LPG Fup'!M:M,"",0)&gt;0),"Z", AND(_xlfn.XLOOKUP(A138-2,'LPG Fup'!D:D,'LPG Fup'!M:M,"",0)&lt;&gt;"",_xlfn.XLOOKUP(A138-2,'LPG Fup'!D:D,'LPG Fup'!M:M,"",0)&gt;0),"Z+1"),0)</f>
        <v>0</v>
      </c>
      <c r="Q138" cm="1">
        <f t="array" ref="Q138">_xlfn.IFNA(_xlfn.IFS(AND(_xlfn.XLOOKUP(A138,'LPG Fup'!D:D,'LPG Fup'!M:M,"",0)&lt;&gt;"",_xlfn.XLOOKUP(A138,'LPG Fup'!D:D,'LPG Fup'!M:M,"",0)&lt;0),"I-1", AND(_xlfn.XLOOKUP(A138+1,'LPG Fup'!D:D,'LPG Fup'!M:M,"",0)&lt;&gt;"",_xlfn.XLOOKUP(A138+1,'LPG Fup'!D:D,'LPG Fup'!M:M,"",0)&lt;0),"I-2", AND(_xlfn.XLOOKUP(A138-1,'LPG Fup'!D:D,'LPG Fup'!M:M,"",0)&lt;&gt;"",_xlfn.XLOOKUP(A138-1,'LPG Fup'!D:D,'LPG Fup'!M:M,"",0)&lt;0),"I", AND(_xlfn.XLOOKUP(A138-2,'LPG Fup'!D:D,'LPG Fup'!M:M,"",0)&lt;&gt;"",_xlfn.XLOOKUP(A138-2,'LPG Fup'!D:D,'LPG Fup'!M:M,"",0)&lt;0),"I+1"),0)</f>
        <v>0</v>
      </c>
      <c r="R138">
        <f>_xlfn.XLOOKUP(A138,Covid!A:A,Covid!I:I,0,0)</f>
        <v>1693</v>
      </c>
      <c r="S138">
        <f>_xlfn.XLOOKUP(A138,Covid!A:A,Covid!K:K,0,0)</f>
        <v>66</v>
      </c>
      <c r="T138" s="145">
        <f>_xlfn.XLOOKUP(A138,Covid!A:A,Covid!K:K,0,0)/_xlfn.XLOOKUP(A138,Covid!A:A,Covid!L:L,0,0)</f>
        <v>5.0343249427917618E-2</v>
      </c>
    </row>
    <row r="139" spans="1:20" x14ac:dyDescent="0.55000000000000004">
      <c r="A139" s="157">
        <v>44120</v>
      </c>
      <c r="B139" s="13">
        <v>437020</v>
      </c>
      <c r="C139" s="13">
        <v>470668</v>
      </c>
      <c r="D139" s="13">
        <v>50000</v>
      </c>
      <c r="E139" s="13">
        <v>481671</v>
      </c>
      <c r="F139" s="13">
        <v>1439359</v>
      </c>
      <c r="G139">
        <f>IF(OR(_xlfn.XLOOKUP(A139,'LPG Fup'!D:D,'LPG Fup'!L:L,"",0)&gt;0.03,_xlfn.XLOOKUP(A139,'LPG Fup'!D:D,'LPG Fup'!L:L,"",0)&lt;-0.03),_xlfn.XLOOKUP(A139,'LPG Fup'!D:D,'LPG Fup'!L:L,0,0),0)</f>
        <v>0</v>
      </c>
      <c r="H139">
        <f>IF(_xlfn.XLOOKUP(A139,'LPG Fup'!D:D,'LPG Fup'!M:M,0,0)="",0,_xlfn.XLOOKUP(A139,'LPG Fup'!D:D,'LPG Fup'!M:M,0,0))</f>
        <v>0</v>
      </c>
      <c r="I139" s="109">
        <f>_xlfn.XLOOKUP(A139,'Rafineri Fiyatları'!A:A,'Rafineri Fiyatları'!B:B,"",0)</f>
        <v>4466.28</v>
      </c>
      <c r="J139">
        <f t="shared" si="8"/>
        <v>2020</v>
      </c>
      <c r="K139">
        <f t="shared" si="9"/>
        <v>10</v>
      </c>
      <c r="L139">
        <f t="shared" si="10"/>
        <v>16</v>
      </c>
      <c r="M139">
        <f t="shared" si="11"/>
        <v>6</v>
      </c>
      <c r="N139">
        <f>_xlfn.XLOOKUP(A139,tatiller!H:H,tatiller!I:I,0,0)</f>
        <v>0</v>
      </c>
      <c r="O139" cm="1">
        <f t="array" ref="O139">_xlfn.IFNA(_xlfn.IFS(L139=1,"A0",A139=EOMONTH(A139,0),"A-1",L139=2,"A+1"),0)</f>
        <v>0</v>
      </c>
      <c r="P139" cm="1">
        <f t="array" ref="P139">_xlfn.IFNA(_xlfn.IFS(AND(_xlfn.XLOOKUP(A139,'LPG Fup'!D:D,'LPG Fup'!M:M,"",0)&lt;&gt;"",_xlfn.XLOOKUP(A139,'LPG Fup'!D:D,'LPG Fup'!M:M,"",0)&gt;0),"Z-1", AND(_xlfn.XLOOKUP(A139+1,'LPG Fup'!D:D,'LPG Fup'!M:M,"",0)&lt;&gt;"",_xlfn.XLOOKUP(A139+1,'LPG Fup'!D:D,'LPG Fup'!M:M,"",0)&gt;0),"Z-2", AND(_xlfn.XLOOKUP(A139-1,'LPG Fup'!D:D,'LPG Fup'!M:M,"",0)&lt;&gt;"",_xlfn.XLOOKUP(A139-1,'LPG Fup'!D:D,'LPG Fup'!M:M,"",0)&gt;0),"Z", AND(_xlfn.XLOOKUP(A139-2,'LPG Fup'!D:D,'LPG Fup'!M:M,"",0)&lt;&gt;"",_xlfn.XLOOKUP(A139-2,'LPG Fup'!D:D,'LPG Fup'!M:M,"",0)&gt;0),"Z+1"),0)</f>
        <v>0</v>
      </c>
      <c r="Q139" cm="1">
        <f t="array" ref="Q139">_xlfn.IFNA(_xlfn.IFS(AND(_xlfn.XLOOKUP(A139,'LPG Fup'!D:D,'LPG Fup'!M:M,"",0)&lt;&gt;"",_xlfn.XLOOKUP(A139,'LPG Fup'!D:D,'LPG Fup'!M:M,"",0)&lt;0),"I-1", AND(_xlfn.XLOOKUP(A139+1,'LPG Fup'!D:D,'LPG Fup'!M:M,"",0)&lt;&gt;"",_xlfn.XLOOKUP(A139+1,'LPG Fup'!D:D,'LPG Fup'!M:M,"",0)&lt;0),"I-2", AND(_xlfn.XLOOKUP(A139-1,'LPG Fup'!D:D,'LPG Fup'!M:M,"",0)&lt;&gt;"",_xlfn.XLOOKUP(A139-1,'LPG Fup'!D:D,'LPG Fup'!M:M,"",0)&lt;0),"I", AND(_xlfn.XLOOKUP(A139-2,'LPG Fup'!D:D,'LPG Fup'!M:M,"",0)&lt;&gt;"",_xlfn.XLOOKUP(A139-2,'LPG Fup'!D:D,'LPG Fup'!M:M,"",0)&lt;0),"I+1"),0)</f>
        <v>0</v>
      </c>
      <c r="R139">
        <f>_xlfn.XLOOKUP(A139,Covid!A:A,Covid!I:I,0,0)</f>
        <v>1812</v>
      </c>
      <c r="S139">
        <f>_xlfn.XLOOKUP(A139,Covid!A:A,Covid!K:K,0,0)</f>
        <v>73</v>
      </c>
      <c r="T139" s="145">
        <f>_xlfn.XLOOKUP(A139,Covid!A:A,Covid!K:K,0,0)/_xlfn.XLOOKUP(A139,Covid!A:A,Covid!L:L,0,0)</f>
        <v>5.1444679351656093E-2</v>
      </c>
    </row>
    <row r="140" spans="1:20" x14ac:dyDescent="0.55000000000000004">
      <c r="A140" s="157">
        <v>44121</v>
      </c>
      <c r="B140" s="13">
        <v>1737822</v>
      </c>
      <c r="C140" s="13">
        <v>358220</v>
      </c>
      <c r="D140" s="13">
        <v>20553</v>
      </c>
      <c r="E140" s="13">
        <v>594353</v>
      </c>
      <c r="F140" s="13">
        <v>2710948</v>
      </c>
      <c r="G140">
        <f>IF(OR(_xlfn.XLOOKUP(A140,'LPG Fup'!D:D,'LPG Fup'!L:L,"",0)&gt;0.03,_xlfn.XLOOKUP(A140,'LPG Fup'!D:D,'LPG Fup'!L:L,"",0)&lt;-0.03),_xlfn.XLOOKUP(A140,'LPG Fup'!D:D,'LPG Fup'!L:L,0,0),0)</f>
        <v>0</v>
      </c>
      <c r="H140">
        <f>IF(_xlfn.XLOOKUP(A140,'LPG Fup'!D:D,'LPG Fup'!M:M,0,0)="",0,_xlfn.XLOOKUP(A140,'LPG Fup'!D:D,'LPG Fup'!M:M,0,0))</f>
        <v>0</v>
      </c>
      <c r="I140" s="109">
        <f>_xlfn.XLOOKUP(A140,'Rafineri Fiyatları'!A:A,'Rafineri Fiyatları'!B:B,"",0)</f>
        <v>4466.28</v>
      </c>
      <c r="J140">
        <f t="shared" si="8"/>
        <v>2020</v>
      </c>
      <c r="K140">
        <f t="shared" si="9"/>
        <v>10</v>
      </c>
      <c r="L140">
        <f t="shared" si="10"/>
        <v>17</v>
      </c>
      <c r="M140">
        <f t="shared" si="11"/>
        <v>7</v>
      </c>
      <c r="N140">
        <f>_xlfn.XLOOKUP(A140,tatiller!H:H,tatiller!I:I,0,0)</f>
        <v>0</v>
      </c>
      <c r="O140" cm="1">
        <f t="array" ref="O140">_xlfn.IFNA(_xlfn.IFS(L140=1,"A0",A140=EOMONTH(A140,0),"A-1",L140=2,"A+1"),0)</f>
        <v>0</v>
      </c>
      <c r="P140" cm="1">
        <f t="array" ref="P140">_xlfn.IFNA(_xlfn.IFS(AND(_xlfn.XLOOKUP(A140,'LPG Fup'!D:D,'LPG Fup'!M:M,"",0)&lt;&gt;"",_xlfn.XLOOKUP(A140,'LPG Fup'!D:D,'LPG Fup'!M:M,"",0)&gt;0),"Z-1", AND(_xlfn.XLOOKUP(A140+1,'LPG Fup'!D:D,'LPG Fup'!M:M,"",0)&lt;&gt;"",_xlfn.XLOOKUP(A140+1,'LPG Fup'!D:D,'LPG Fup'!M:M,"",0)&gt;0),"Z-2", AND(_xlfn.XLOOKUP(A140-1,'LPG Fup'!D:D,'LPG Fup'!M:M,"",0)&lt;&gt;"",_xlfn.XLOOKUP(A140-1,'LPG Fup'!D:D,'LPG Fup'!M:M,"",0)&gt;0),"Z", AND(_xlfn.XLOOKUP(A140-2,'LPG Fup'!D:D,'LPG Fup'!M:M,"",0)&lt;&gt;"",_xlfn.XLOOKUP(A140-2,'LPG Fup'!D:D,'LPG Fup'!M:M,"",0)&gt;0),"Z+1"),0)</f>
        <v>0</v>
      </c>
      <c r="Q140" cm="1">
        <f t="array" ref="Q140">_xlfn.IFNA(_xlfn.IFS(AND(_xlfn.XLOOKUP(A140,'LPG Fup'!D:D,'LPG Fup'!M:M,"",0)&lt;&gt;"",_xlfn.XLOOKUP(A140,'LPG Fup'!D:D,'LPG Fup'!M:M,"",0)&lt;0),"I-1", AND(_xlfn.XLOOKUP(A140+1,'LPG Fup'!D:D,'LPG Fup'!M:M,"",0)&lt;&gt;"",_xlfn.XLOOKUP(A140+1,'LPG Fup'!D:D,'LPG Fup'!M:M,"",0)&lt;0),"I-2", AND(_xlfn.XLOOKUP(A140-1,'LPG Fup'!D:D,'LPG Fup'!M:M,"",0)&lt;&gt;"",_xlfn.XLOOKUP(A140-1,'LPG Fup'!D:D,'LPG Fup'!M:M,"",0)&lt;0),"I", AND(_xlfn.XLOOKUP(A140-2,'LPG Fup'!D:D,'LPG Fup'!M:M,"",0)&lt;&gt;"",_xlfn.XLOOKUP(A140-2,'LPG Fup'!D:D,'LPG Fup'!M:M,"",0)&lt;0),"I+1"),0)</f>
        <v>0</v>
      </c>
      <c r="R140">
        <f>_xlfn.XLOOKUP(A140,Covid!A:A,Covid!I:I,0,0)</f>
        <v>1723</v>
      </c>
      <c r="S140">
        <f>_xlfn.XLOOKUP(A140,Covid!A:A,Covid!K:K,0,0)</f>
        <v>71</v>
      </c>
      <c r="T140" s="145">
        <f>_xlfn.XLOOKUP(A140,Covid!A:A,Covid!K:K,0,0)/_xlfn.XLOOKUP(A140,Covid!A:A,Covid!L:L,0,0)</f>
        <v>5.0678087080656672E-2</v>
      </c>
    </row>
    <row r="141" spans="1:20" x14ac:dyDescent="0.55000000000000004">
      <c r="A141" s="157">
        <v>44122</v>
      </c>
      <c r="B141" s="13">
        <v>437100</v>
      </c>
      <c r="C141" s="13">
        <v>960</v>
      </c>
      <c r="D141" s="13">
        <v>0</v>
      </c>
      <c r="E141" s="13">
        <v>454486</v>
      </c>
      <c r="F141" s="13">
        <v>892546</v>
      </c>
      <c r="G141">
        <f>IF(OR(_xlfn.XLOOKUP(A141,'LPG Fup'!D:D,'LPG Fup'!L:L,"",0)&gt;0.03,_xlfn.XLOOKUP(A141,'LPG Fup'!D:D,'LPG Fup'!L:L,"",0)&lt;-0.03),_xlfn.XLOOKUP(A141,'LPG Fup'!D:D,'LPG Fup'!L:L,0,0),0)</f>
        <v>0</v>
      </c>
      <c r="H141">
        <f>IF(_xlfn.XLOOKUP(A141,'LPG Fup'!D:D,'LPG Fup'!M:M,0,0)="",0,_xlfn.XLOOKUP(A141,'LPG Fup'!D:D,'LPG Fup'!M:M,0,0))</f>
        <v>0</v>
      </c>
      <c r="I141" s="109">
        <f>_xlfn.XLOOKUP(A141,'Rafineri Fiyatları'!A:A,'Rafineri Fiyatları'!B:B,"",0)</f>
        <v>4466.28</v>
      </c>
      <c r="J141">
        <f t="shared" si="8"/>
        <v>2020</v>
      </c>
      <c r="K141">
        <f t="shared" si="9"/>
        <v>10</v>
      </c>
      <c r="L141">
        <f t="shared" si="10"/>
        <v>18</v>
      </c>
      <c r="M141">
        <f t="shared" si="11"/>
        <v>1</v>
      </c>
      <c r="N141">
        <f>_xlfn.XLOOKUP(A141,tatiller!H:H,tatiller!I:I,0,0)</f>
        <v>0</v>
      </c>
      <c r="O141" cm="1">
        <f t="array" ref="O141">_xlfn.IFNA(_xlfn.IFS(L141=1,"A0",A141=EOMONTH(A141,0),"A-1",L141=2,"A+1"),0)</f>
        <v>0</v>
      </c>
      <c r="P141" cm="1">
        <f t="array" ref="P141">_xlfn.IFNA(_xlfn.IFS(AND(_xlfn.XLOOKUP(A141,'LPG Fup'!D:D,'LPG Fup'!M:M,"",0)&lt;&gt;"",_xlfn.XLOOKUP(A141,'LPG Fup'!D:D,'LPG Fup'!M:M,"",0)&gt;0),"Z-1", AND(_xlfn.XLOOKUP(A141+1,'LPG Fup'!D:D,'LPG Fup'!M:M,"",0)&lt;&gt;"",_xlfn.XLOOKUP(A141+1,'LPG Fup'!D:D,'LPG Fup'!M:M,"",0)&gt;0),"Z-2", AND(_xlfn.XLOOKUP(A141-1,'LPG Fup'!D:D,'LPG Fup'!M:M,"",0)&lt;&gt;"",_xlfn.XLOOKUP(A141-1,'LPG Fup'!D:D,'LPG Fup'!M:M,"",0)&gt;0),"Z", AND(_xlfn.XLOOKUP(A141-2,'LPG Fup'!D:D,'LPG Fup'!M:M,"",0)&lt;&gt;"",_xlfn.XLOOKUP(A141-2,'LPG Fup'!D:D,'LPG Fup'!M:M,"",0)&gt;0),"Z+1"),0)</f>
        <v>0</v>
      </c>
      <c r="Q141" cm="1">
        <f t="array" ref="Q141">_xlfn.IFNA(_xlfn.IFS(AND(_xlfn.XLOOKUP(A141,'LPG Fup'!D:D,'LPG Fup'!M:M,"",0)&lt;&gt;"",_xlfn.XLOOKUP(A141,'LPG Fup'!D:D,'LPG Fup'!M:M,"",0)&lt;0),"I-1", AND(_xlfn.XLOOKUP(A141+1,'LPG Fup'!D:D,'LPG Fup'!M:M,"",0)&lt;&gt;"",_xlfn.XLOOKUP(A141+1,'LPG Fup'!D:D,'LPG Fup'!M:M,"",0)&lt;0),"I-2", AND(_xlfn.XLOOKUP(A141-1,'LPG Fup'!D:D,'LPG Fup'!M:M,"",0)&lt;&gt;"",_xlfn.XLOOKUP(A141-1,'LPG Fup'!D:D,'LPG Fup'!M:M,"",0)&lt;0),"I", AND(_xlfn.XLOOKUP(A141-2,'LPG Fup'!D:D,'LPG Fup'!M:M,"",0)&lt;&gt;"",_xlfn.XLOOKUP(A141-2,'LPG Fup'!D:D,'LPG Fup'!M:M,"",0)&lt;0),"I+1"),0)</f>
        <v>0</v>
      </c>
      <c r="R141">
        <f>_xlfn.XLOOKUP(A141,Covid!A:A,Covid!I:I,0,0)</f>
        <v>1815</v>
      </c>
      <c r="S141">
        <f>_xlfn.XLOOKUP(A141,Covid!A:A,Covid!K:K,0,0)</f>
        <v>72</v>
      </c>
      <c r="T141" s="145">
        <f>_xlfn.XLOOKUP(A141,Covid!A:A,Covid!K:K,0,0)/_xlfn.XLOOKUP(A141,Covid!A:A,Covid!L:L,0,0)</f>
        <v>4.7872340425531915E-2</v>
      </c>
    </row>
    <row r="142" spans="1:20" x14ac:dyDescent="0.55000000000000004">
      <c r="A142" s="157">
        <v>44123</v>
      </c>
      <c r="B142" s="13">
        <v>386240</v>
      </c>
      <c r="C142" s="13">
        <v>496668</v>
      </c>
      <c r="D142" s="13">
        <v>8538</v>
      </c>
      <c r="E142" s="13">
        <v>513371</v>
      </c>
      <c r="F142" s="13">
        <v>1404817</v>
      </c>
      <c r="G142">
        <f>IF(OR(_xlfn.XLOOKUP(A142,'LPG Fup'!D:D,'LPG Fup'!L:L,"",0)&gt;0.03,_xlfn.XLOOKUP(A142,'LPG Fup'!D:D,'LPG Fup'!L:L,"",0)&lt;-0.03),_xlfn.XLOOKUP(A142,'LPG Fup'!D:D,'LPG Fup'!L:L,0,0),0)</f>
        <v>0</v>
      </c>
      <c r="H142">
        <f>IF(_xlfn.XLOOKUP(A142,'LPG Fup'!D:D,'LPG Fup'!M:M,0,0)="",0,_xlfn.XLOOKUP(A142,'LPG Fup'!D:D,'LPG Fup'!M:M,0,0))</f>
        <v>0</v>
      </c>
      <c r="I142" s="109">
        <f>_xlfn.XLOOKUP(A142,'Rafineri Fiyatları'!A:A,'Rafineri Fiyatları'!B:B,"",0)</f>
        <v>4466.28</v>
      </c>
      <c r="J142">
        <f t="shared" si="8"/>
        <v>2020</v>
      </c>
      <c r="K142">
        <f t="shared" si="9"/>
        <v>10</v>
      </c>
      <c r="L142">
        <f t="shared" si="10"/>
        <v>19</v>
      </c>
      <c r="M142">
        <f t="shared" si="11"/>
        <v>2</v>
      </c>
      <c r="N142">
        <f>_xlfn.XLOOKUP(A142,tatiller!H:H,tatiller!I:I,0,0)</f>
        <v>0</v>
      </c>
      <c r="O142" cm="1">
        <f t="array" ref="O142">_xlfn.IFNA(_xlfn.IFS(L142=1,"A0",A142=EOMONTH(A142,0),"A-1",L142=2,"A+1"),0)</f>
        <v>0</v>
      </c>
      <c r="P142" cm="1">
        <f t="array" ref="P142">_xlfn.IFNA(_xlfn.IFS(AND(_xlfn.XLOOKUP(A142,'LPG Fup'!D:D,'LPG Fup'!M:M,"",0)&lt;&gt;"",_xlfn.XLOOKUP(A142,'LPG Fup'!D:D,'LPG Fup'!M:M,"",0)&gt;0),"Z-1", AND(_xlfn.XLOOKUP(A142+1,'LPG Fup'!D:D,'LPG Fup'!M:M,"",0)&lt;&gt;"",_xlfn.XLOOKUP(A142+1,'LPG Fup'!D:D,'LPG Fup'!M:M,"",0)&gt;0),"Z-2", AND(_xlfn.XLOOKUP(A142-1,'LPG Fup'!D:D,'LPG Fup'!M:M,"",0)&lt;&gt;"",_xlfn.XLOOKUP(A142-1,'LPG Fup'!D:D,'LPG Fup'!M:M,"",0)&gt;0),"Z", AND(_xlfn.XLOOKUP(A142-2,'LPG Fup'!D:D,'LPG Fup'!M:M,"",0)&lt;&gt;"",_xlfn.XLOOKUP(A142-2,'LPG Fup'!D:D,'LPG Fup'!M:M,"",0)&gt;0),"Z+1"),0)</f>
        <v>0</v>
      </c>
      <c r="Q142" cm="1">
        <f t="array" ref="Q142">_xlfn.IFNA(_xlfn.IFS(AND(_xlfn.XLOOKUP(A142,'LPG Fup'!D:D,'LPG Fup'!M:M,"",0)&lt;&gt;"",_xlfn.XLOOKUP(A142,'LPG Fup'!D:D,'LPG Fup'!M:M,"",0)&lt;0),"I-1", AND(_xlfn.XLOOKUP(A142+1,'LPG Fup'!D:D,'LPG Fup'!M:M,"",0)&lt;&gt;"",_xlfn.XLOOKUP(A142+1,'LPG Fup'!D:D,'LPG Fup'!M:M,"",0)&lt;0),"I-2", AND(_xlfn.XLOOKUP(A142-1,'LPG Fup'!D:D,'LPG Fup'!M:M,"",0)&lt;&gt;"",_xlfn.XLOOKUP(A142-1,'LPG Fup'!D:D,'LPG Fup'!M:M,"",0)&lt;0),"I", AND(_xlfn.XLOOKUP(A142-2,'LPG Fup'!D:D,'LPG Fup'!M:M,"",0)&lt;&gt;"",_xlfn.XLOOKUP(A142-2,'LPG Fup'!D:D,'LPG Fup'!M:M,"",0)&lt;0),"I+1"),0)</f>
        <v>0</v>
      </c>
      <c r="R142">
        <f>_xlfn.XLOOKUP(A142,Covid!A:A,Covid!I:I,0,0)</f>
        <v>2026</v>
      </c>
      <c r="S142">
        <f>_xlfn.XLOOKUP(A142,Covid!A:A,Covid!K:K,0,0)</f>
        <v>75</v>
      </c>
      <c r="T142" s="145">
        <f>_xlfn.XLOOKUP(A142,Covid!A:A,Covid!K:K,0,0)/_xlfn.XLOOKUP(A142,Covid!A:A,Covid!L:L,0,0)</f>
        <v>5.2668539325842693E-2</v>
      </c>
    </row>
    <row r="143" spans="1:20" x14ac:dyDescent="0.55000000000000004">
      <c r="A143" s="157">
        <v>44124</v>
      </c>
      <c r="B143" s="13">
        <v>338000</v>
      </c>
      <c r="C143" s="13">
        <v>428692</v>
      </c>
      <c r="D143" s="13">
        <v>0</v>
      </c>
      <c r="E143" s="13">
        <v>578708</v>
      </c>
      <c r="F143" s="13">
        <v>1345400</v>
      </c>
      <c r="G143">
        <f>IF(OR(_xlfn.XLOOKUP(A143,'LPG Fup'!D:D,'LPG Fup'!L:L,"",0)&gt;0.03,_xlfn.XLOOKUP(A143,'LPG Fup'!D:D,'LPG Fup'!L:L,"",0)&lt;-0.03),_xlfn.XLOOKUP(A143,'LPG Fup'!D:D,'LPG Fup'!L:L,0,0),0)</f>
        <v>0</v>
      </c>
      <c r="H143">
        <f>IF(_xlfn.XLOOKUP(A143,'LPG Fup'!D:D,'LPG Fup'!M:M,0,0)="",0,_xlfn.XLOOKUP(A143,'LPG Fup'!D:D,'LPG Fup'!M:M,0,0))</f>
        <v>0</v>
      </c>
      <c r="I143" s="109">
        <f>_xlfn.XLOOKUP(A143,'Rafineri Fiyatları'!A:A,'Rafineri Fiyatları'!B:B,"",0)</f>
        <v>4466.28</v>
      </c>
      <c r="J143">
        <f t="shared" si="8"/>
        <v>2020</v>
      </c>
      <c r="K143">
        <f t="shared" si="9"/>
        <v>10</v>
      </c>
      <c r="L143">
        <f t="shared" si="10"/>
        <v>20</v>
      </c>
      <c r="M143">
        <f t="shared" si="11"/>
        <v>3</v>
      </c>
      <c r="N143">
        <f>_xlfn.XLOOKUP(A143,tatiller!H:H,tatiller!I:I,0,0)</f>
        <v>0</v>
      </c>
      <c r="O143" cm="1">
        <f t="array" ref="O143">_xlfn.IFNA(_xlfn.IFS(L143=1,"A0",A143=EOMONTH(A143,0),"A-1",L143=2,"A+1"),0)</f>
        <v>0</v>
      </c>
      <c r="P143" cm="1">
        <f t="array" ref="P143">_xlfn.IFNA(_xlfn.IFS(AND(_xlfn.XLOOKUP(A143,'LPG Fup'!D:D,'LPG Fup'!M:M,"",0)&lt;&gt;"",_xlfn.XLOOKUP(A143,'LPG Fup'!D:D,'LPG Fup'!M:M,"",0)&gt;0),"Z-1", AND(_xlfn.XLOOKUP(A143+1,'LPG Fup'!D:D,'LPG Fup'!M:M,"",0)&lt;&gt;"",_xlfn.XLOOKUP(A143+1,'LPG Fup'!D:D,'LPG Fup'!M:M,"",0)&gt;0),"Z-2", AND(_xlfn.XLOOKUP(A143-1,'LPG Fup'!D:D,'LPG Fup'!M:M,"",0)&lt;&gt;"",_xlfn.XLOOKUP(A143-1,'LPG Fup'!D:D,'LPG Fup'!M:M,"",0)&gt;0),"Z", AND(_xlfn.XLOOKUP(A143-2,'LPG Fup'!D:D,'LPG Fup'!M:M,"",0)&lt;&gt;"",_xlfn.XLOOKUP(A143-2,'LPG Fup'!D:D,'LPG Fup'!M:M,"",0)&gt;0),"Z+1"),0)</f>
        <v>0</v>
      </c>
      <c r="Q143" cm="1">
        <f t="array" ref="Q143">_xlfn.IFNA(_xlfn.IFS(AND(_xlfn.XLOOKUP(A143,'LPG Fup'!D:D,'LPG Fup'!M:M,"",0)&lt;&gt;"",_xlfn.XLOOKUP(A143,'LPG Fup'!D:D,'LPG Fup'!M:M,"",0)&lt;0),"I-1", AND(_xlfn.XLOOKUP(A143+1,'LPG Fup'!D:D,'LPG Fup'!M:M,"",0)&lt;&gt;"",_xlfn.XLOOKUP(A143+1,'LPG Fup'!D:D,'LPG Fup'!M:M,"",0)&lt;0),"I-2", AND(_xlfn.XLOOKUP(A143-1,'LPG Fup'!D:D,'LPG Fup'!M:M,"",0)&lt;&gt;"",_xlfn.XLOOKUP(A143-1,'LPG Fup'!D:D,'LPG Fup'!M:M,"",0)&lt;0),"I", AND(_xlfn.XLOOKUP(A143-2,'LPG Fup'!D:D,'LPG Fup'!M:M,"",0)&lt;&gt;"",_xlfn.XLOOKUP(A143-2,'LPG Fup'!D:D,'LPG Fup'!M:M,"",0)&lt;0),"I+1"),0)</f>
        <v>0</v>
      </c>
      <c r="R143">
        <f>_xlfn.XLOOKUP(A143,Covid!A:A,Covid!I:I,0,0)</f>
        <v>1894</v>
      </c>
      <c r="S143">
        <f>_xlfn.XLOOKUP(A143,Covid!A:A,Covid!K:K,0,0)</f>
        <v>74</v>
      </c>
      <c r="T143" s="145">
        <f>_xlfn.XLOOKUP(A143,Covid!A:A,Covid!K:K,0,0)/_xlfn.XLOOKUP(A143,Covid!A:A,Covid!L:L,0,0)</f>
        <v>4.8941798941798939E-2</v>
      </c>
    </row>
    <row r="144" spans="1:20" x14ac:dyDescent="0.55000000000000004">
      <c r="A144" s="157">
        <v>44125</v>
      </c>
      <c r="B144" s="13">
        <v>363300</v>
      </c>
      <c r="C144" s="13">
        <v>443504</v>
      </c>
      <c r="D144" s="13">
        <v>11739</v>
      </c>
      <c r="E144" s="13">
        <v>468994</v>
      </c>
      <c r="F144" s="13">
        <v>1287537</v>
      </c>
      <c r="G144">
        <f>IF(OR(_xlfn.XLOOKUP(A144,'LPG Fup'!D:D,'LPG Fup'!L:L,"",0)&gt;0.03,_xlfn.XLOOKUP(A144,'LPG Fup'!D:D,'LPG Fup'!L:L,"",0)&lt;-0.03),_xlfn.XLOOKUP(A144,'LPG Fup'!D:D,'LPG Fup'!L:L,0,0),0)</f>
        <v>0</v>
      </c>
      <c r="H144">
        <f>IF(_xlfn.XLOOKUP(A144,'LPG Fup'!D:D,'LPG Fup'!M:M,0,0)="",0,_xlfn.XLOOKUP(A144,'LPG Fup'!D:D,'LPG Fup'!M:M,0,0))</f>
        <v>0</v>
      </c>
      <c r="I144" s="109">
        <f>_xlfn.XLOOKUP(A144,'Rafineri Fiyatları'!A:A,'Rafineri Fiyatları'!B:B,"",0)</f>
        <v>4466.28</v>
      </c>
      <c r="J144">
        <f t="shared" si="8"/>
        <v>2020</v>
      </c>
      <c r="K144">
        <f t="shared" si="9"/>
        <v>10</v>
      </c>
      <c r="L144">
        <f t="shared" si="10"/>
        <v>21</v>
      </c>
      <c r="M144">
        <f t="shared" si="11"/>
        <v>4</v>
      </c>
      <c r="N144">
        <f>_xlfn.XLOOKUP(A144,tatiller!H:H,tatiller!I:I,0,0)</f>
        <v>0</v>
      </c>
      <c r="O144" cm="1">
        <f t="array" ref="O144">_xlfn.IFNA(_xlfn.IFS(L144=1,"A0",A144=EOMONTH(A144,0),"A-1",L144=2,"A+1"),0)</f>
        <v>0</v>
      </c>
      <c r="P144" cm="1">
        <f t="array" ref="P144">_xlfn.IFNA(_xlfn.IFS(AND(_xlfn.XLOOKUP(A144,'LPG Fup'!D:D,'LPG Fup'!M:M,"",0)&lt;&gt;"",_xlfn.XLOOKUP(A144,'LPG Fup'!D:D,'LPG Fup'!M:M,"",0)&gt;0),"Z-1", AND(_xlfn.XLOOKUP(A144+1,'LPG Fup'!D:D,'LPG Fup'!M:M,"",0)&lt;&gt;"",_xlfn.XLOOKUP(A144+1,'LPG Fup'!D:D,'LPG Fup'!M:M,"",0)&gt;0),"Z-2", AND(_xlfn.XLOOKUP(A144-1,'LPG Fup'!D:D,'LPG Fup'!M:M,"",0)&lt;&gt;"",_xlfn.XLOOKUP(A144-1,'LPG Fup'!D:D,'LPG Fup'!M:M,"",0)&gt;0),"Z", AND(_xlfn.XLOOKUP(A144-2,'LPG Fup'!D:D,'LPG Fup'!M:M,"",0)&lt;&gt;"",_xlfn.XLOOKUP(A144-2,'LPG Fup'!D:D,'LPG Fup'!M:M,"",0)&gt;0),"Z+1"),0)</f>
        <v>0</v>
      </c>
      <c r="Q144" cm="1">
        <f t="array" ref="Q144">_xlfn.IFNA(_xlfn.IFS(AND(_xlfn.XLOOKUP(A144,'LPG Fup'!D:D,'LPG Fup'!M:M,"",0)&lt;&gt;"",_xlfn.XLOOKUP(A144,'LPG Fup'!D:D,'LPG Fup'!M:M,"",0)&lt;0),"I-1", AND(_xlfn.XLOOKUP(A144+1,'LPG Fup'!D:D,'LPG Fup'!M:M,"",0)&lt;&gt;"",_xlfn.XLOOKUP(A144+1,'LPG Fup'!D:D,'LPG Fup'!M:M,"",0)&lt;0),"I-2", AND(_xlfn.XLOOKUP(A144-1,'LPG Fup'!D:D,'LPG Fup'!M:M,"",0)&lt;&gt;"",_xlfn.XLOOKUP(A144-1,'LPG Fup'!D:D,'LPG Fup'!M:M,"",0)&lt;0),"I", AND(_xlfn.XLOOKUP(A144-2,'LPG Fup'!D:D,'LPG Fup'!M:M,"",0)&lt;&gt;"",_xlfn.XLOOKUP(A144-2,'LPG Fup'!D:D,'LPG Fup'!M:M,"",0)&lt;0),"I+1"),0)</f>
        <v>0</v>
      </c>
      <c r="R144">
        <f>_xlfn.XLOOKUP(A144,Covid!A:A,Covid!I:I,0,0)</f>
        <v>2013</v>
      </c>
      <c r="S144">
        <f>_xlfn.XLOOKUP(A144,Covid!A:A,Covid!K:K,0,0)</f>
        <v>68</v>
      </c>
      <c r="T144" s="145">
        <f>_xlfn.XLOOKUP(A144,Covid!A:A,Covid!K:K,0,0)/_xlfn.XLOOKUP(A144,Covid!A:A,Covid!L:L,0,0)</f>
        <v>4.5122760451227602E-2</v>
      </c>
    </row>
    <row r="145" spans="1:20" x14ac:dyDescent="0.55000000000000004">
      <c r="A145" s="157">
        <v>44126</v>
      </c>
      <c r="B145" s="13">
        <v>412320</v>
      </c>
      <c r="C145" s="13">
        <v>437371</v>
      </c>
      <c r="D145" s="13">
        <v>18025</v>
      </c>
      <c r="E145" s="13">
        <v>447479</v>
      </c>
      <c r="F145" s="13">
        <v>1315195</v>
      </c>
      <c r="G145">
        <f>IF(OR(_xlfn.XLOOKUP(A145,'LPG Fup'!D:D,'LPG Fup'!L:L,"",0)&gt;0.03,_xlfn.XLOOKUP(A145,'LPG Fup'!D:D,'LPG Fup'!L:L,"",0)&lt;-0.03),_xlfn.XLOOKUP(A145,'LPG Fup'!D:D,'LPG Fup'!L:L,0,0),0)</f>
        <v>0</v>
      </c>
      <c r="H145">
        <f>IF(_xlfn.XLOOKUP(A145,'LPG Fup'!D:D,'LPG Fup'!M:M,0,0)="",0,_xlfn.XLOOKUP(A145,'LPG Fup'!D:D,'LPG Fup'!M:M,0,0))</f>
        <v>0</v>
      </c>
      <c r="I145" s="109">
        <f>_xlfn.XLOOKUP(A145,'Rafineri Fiyatları'!A:A,'Rafineri Fiyatları'!B:B,"",0)</f>
        <v>4466.28</v>
      </c>
      <c r="J145">
        <f t="shared" si="8"/>
        <v>2020</v>
      </c>
      <c r="K145">
        <f t="shared" si="9"/>
        <v>10</v>
      </c>
      <c r="L145">
        <f t="shared" si="10"/>
        <v>22</v>
      </c>
      <c r="M145">
        <f t="shared" si="11"/>
        <v>5</v>
      </c>
      <c r="N145">
        <f>_xlfn.XLOOKUP(A145,tatiller!H:H,tatiller!I:I,0,0)</f>
        <v>0</v>
      </c>
      <c r="O145" cm="1">
        <f t="array" ref="O145">_xlfn.IFNA(_xlfn.IFS(L145=1,"A0",A145=EOMONTH(A145,0),"A-1",L145=2,"A+1"),0)</f>
        <v>0</v>
      </c>
      <c r="P145" cm="1">
        <f t="array" ref="P145">_xlfn.IFNA(_xlfn.IFS(AND(_xlfn.XLOOKUP(A145,'LPG Fup'!D:D,'LPG Fup'!M:M,"",0)&lt;&gt;"",_xlfn.XLOOKUP(A145,'LPG Fup'!D:D,'LPG Fup'!M:M,"",0)&gt;0),"Z-1", AND(_xlfn.XLOOKUP(A145+1,'LPG Fup'!D:D,'LPG Fup'!M:M,"",0)&lt;&gt;"",_xlfn.XLOOKUP(A145+1,'LPG Fup'!D:D,'LPG Fup'!M:M,"",0)&gt;0),"Z-2", AND(_xlfn.XLOOKUP(A145-1,'LPG Fup'!D:D,'LPG Fup'!M:M,"",0)&lt;&gt;"",_xlfn.XLOOKUP(A145-1,'LPG Fup'!D:D,'LPG Fup'!M:M,"",0)&gt;0),"Z", AND(_xlfn.XLOOKUP(A145-2,'LPG Fup'!D:D,'LPG Fup'!M:M,"",0)&lt;&gt;"",_xlfn.XLOOKUP(A145-2,'LPG Fup'!D:D,'LPG Fup'!M:M,"",0)&gt;0),"Z+1"),0)</f>
        <v>0</v>
      </c>
      <c r="Q145" cm="1">
        <f t="array" ref="Q145">_xlfn.IFNA(_xlfn.IFS(AND(_xlfn.XLOOKUP(A145,'LPG Fup'!D:D,'LPG Fup'!M:M,"",0)&lt;&gt;"",_xlfn.XLOOKUP(A145,'LPG Fup'!D:D,'LPG Fup'!M:M,"",0)&lt;0),"I-1", AND(_xlfn.XLOOKUP(A145+1,'LPG Fup'!D:D,'LPG Fup'!M:M,"",0)&lt;&gt;"",_xlfn.XLOOKUP(A145+1,'LPG Fup'!D:D,'LPG Fup'!M:M,"",0)&lt;0),"I-2", AND(_xlfn.XLOOKUP(A145-1,'LPG Fup'!D:D,'LPG Fup'!M:M,"",0)&lt;&gt;"",_xlfn.XLOOKUP(A145-1,'LPG Fup'!D:D,'LPG Fup'!M:M,"",0)&lt;0),"I", AND(_xlfn.XLOOKUP(A145-2,'LPG Fup'!D:D,'LPG Fup'!M:M,"",0)&lt;&gt;"",_xlfn.XLOOKUP(A145-2,'LPG Fup'!D:D,'LPG Fup'!M:M,"",0)&lt;0),"I+1"),0)</f>
        <v>0</v>
      </c>
      <c r="R145">
        <f>_xlfn.XLOOKUP(A145,Covid!A:A,Covid!I:I,0,0)</f>
        <v>2102</v>
      </c>
      <c r="S145">
        <f>_xlfn.XLOOKUP(A145,Covid!A:A,Covid!K:K,0,0)</f>
        <v>71</v>
      </c>
      <c r="T145" s="145">
        <f>_xlfn.XLOOKUP(A145,Covid!A:A,Covid!K:K,0,0)/_xlfn.XLOOKUP(A145,Covid!A:A,Covid!L:L,0,0)</f>
        <v>4.4908285895003161E-2</v>
      </c>
    </row>
    <row r="146" spans="1:20" x14ac:dyDescent="0.55000000000000004">
      <c r="A146" s="157">
        <v>44127</v>
      </c>
      <c r="B146" s="13">
        <v>457120</v>
      </c>
      <c r="C146" s="13">
        <v>453525</v>
      </c>
      <c r="D146" s="13">
        <v>7803</v>
      </c>
      <c r="E146" s="13">
        <v>540300</v>
      </c>
      <c r="F146" s="13">
        <v>1458748</v>
      </c>
      <c r="G146">
        <f>IF(OR(_xlfn.XLOOKUP(A146,'LPG Fup'!D:D,'LPG Fup'!L:L,"",0)&gt;0.03,_xlfn.XLOOKUP(A146,'LPG Fup'!D:D,'LPG Fup'!L:L,"",0)&lt;-0.03),_xlfn.XLOOKUP(A146,'LPG Fup'!D:D,'LPG Fup'!L:L,0,0),0)</f>
        <v>0</v>
      </c>
      <c r="H146">
        <f>IF(_xlfn.XLOOKUP(A146,'LPG Fup'!D:D,'LPG Fup'!M:M,0,0)="",0,_xlfn.XLOOKUP(A146,'LPG Fup'!D:D,'LPG Fup'!M:M,0,0))</f>
        <v>0</v>
      </c>
      <c r="I146" s="109">
        <f>_xlfn.XLOOKUP(A146,'Rafineri Fiyatları'!A:A,'Rafineri Fiyatları'!B:B,"",0)</f>
        <v>4466.28</v>
      </c>
      <c r="J146">
        <f t="shared" si="8"/>
        <v>2020</v>
      </c>
      <c r="K146">
        <f t="shared" si="9"/>
        <v>10</v>
      </c>
      <c r="L146">
        <f t="shared" si="10"/>
        <v>23</v>
      </c>
      <c r="M146">
        <f t="shared" si="11"/>
        <v>6</v>
      </c>
      <c r="N146">
        <f>_xlfn.XLOOKUP(A146,tatiller!H:H,tatiller!I:I,0,0)</f>
        <v>0</v>
      </c>
      <c r="O146" cm="1">
        <f t="array" ref="O146">_xlfn.IFNA(_xlfn.IFS(L146=1,"A0",A146=EOMONTH(A146,0),"A-1",L146=2,"A+1"),0)</f>
        <v>0</v>
      </c>
      <c r="P146" cm="1">
        <f t="array" ref="P146">_xlfn.IFNA(_xlfn.IFS(AND(_xlfn.XLOOKUP(A146,'LPG Fup'!D:D,'LPG Fup'!M:M,"",0)&lt;&gt;"",_xlfn.XLOOKUP(A146,'LPG Fup'!D:D,'LPG Fup'!M:M,"",0)&gt;0),"Z-1", AND(_xlfn.XLOOKUP(A146+1,'LPG Fup'!D:D,'LPG Fup'!M:M,"",0)&lt;&gt;"",_xlfn.XLOOKUP(A146+1,'LPG Fup'!D:D,'LPG Fup'!M:M,"",0)&gt;0),"Z-2", AND(_xlfn.XLOOKUP(A146-1,'LPG Fup'!D:D,'LPG Fup'!M:M,"",0)&lt;&gt;"",_xlfn.XLOOKUP(A146-1,'LPG Fup'!D:D,'LPG Fup'!M:M,"",0)&gt;0),"Z", AND(_xlfn.XLOOKUP(A146-2,'LPG Fup'!D:D,'LPG Fup'!M:M,"",0)&lt;&gt;"",_xlfn.XLOOKUP(A146-2,'LPG Fup'!D:D,'LPG Fup'!M:M,"",0)&gt;0),"Z+1"),0)</f>
        <v>0</v>
      </c>
      <c r="Q146" cm="1">
        <f t="array" ref="Q146">_xlfn.IFNA(_xlfn.IFS(AND(_xlfn.XLOOKUP(A146,'LPG Fup'!D:D,'LPG Fup'!M:M,"",0)&lt;&gt;"",_xlfn.XLOOKUP(A146,'LPG Fup'!D:D,'LPG Fup'!M:M,"",0)&lt;0),"I-1", AND(_xlfn.XLOOKUP(A146+1,'LPG Fup'!D:D,'LPG Fup'!M:M,"",0)&lt;&gt;"",_xlfn.XLOOKUP(A146+1,'LPG Fup'!D:D,'LPG Fup'!M:M,"",0)&lt;0),"I-2", AND(_xlfn.XLOOKUP(A146-1,'LPG Fup'!D:D,'LPG Fup'!M:M,"",0)&lt;&gt;"",_xlfn.XLOOKUP(A146-1,'LPG Fup'!D:D,'LPG Fup'!M:M,"",0)&lt;0),"I", AND(_xlfn.XLOOKUP(A146-2,'LPG Fup'!D:D,'LPG Fup'!M:M,"",0)&lt;&gt;"",_xlfn.XLOOKUP(A146-2,'LPG Fup'!D:D,'LPG Fup'!M:M,"",0)&lt;0),"I+1"),0)</f>
        <v>0</v>
      </c>
      <c r="R146">
        <f>_xlfn.XLOOKUP(A146,Covid!A:A,Covid!I:I,0,0)</f>
        <v>2165</v>
      </c>
      <c r="S146">
        <f>_xlfn.XLOOKUP(A146,Covid!A:A,Covid!K:K,0,0)</f>
        <v>74</v>
      </c>
      <c r="T146" s="145">
        <f>_xlfn.XLOOKUP(A146,Covid!A:A,Covid!K:K,0,0)/_xlfn.XLOOKUP(A146,Covid!A:A,Covid!L:L,0,0)</f>
        <v>4.9564634963161422E-2</v>
      </c>
    </row>
    <row r="147" spans="1:20" x14ac:dyDescent="0.55000000000000004">
      <c r="A147" s="157">
        <v>44128</v>
      </c>
      <c r="B147" s="13">
        <v>401240</v>
      </c>
      <c r="C147" s="13">
        <v>343631</v>
      </c>
      <c r="D147" s="13">
        <v>5456</v>
      </c>
      <c r="E147" s="13">
        <v>543382</v>
      </c>
      <c r="F147" s="13">
        <v>1293709</v>
      </c>
      <c r="G147">
        <f>IF(OR(_xlfn.XLOOKUP(A147,'LPG Fup'!D:D,'LPG Fup'!L:L,"",0)&gt;0.03,_xlfn.XLOOKUP(A147,'LPG Fup'!D:D,'LPG Fup'!L:L,"",0)&lt;-0.03),_xlfn.XLOOKUP(A147,'LPG Fup'!D:D,'LPG Fup'!L:L,0,0),0)</f>
        <v>0</v>
      </c>
      <c r="H147">
        <f>IF(_xlfn.XLOOKUP(A147,'LPG Fup'!D:D,'LPG Fup'!M:M,0,0)="",0,_xlfn.XLOOKUP(A147,'LPG Fup'!D:D,'LPG Fup'!M:M,0,0))</f>
        <v>0</v>
      </c>
      <c r="I147" s="109">
        <f>_xlfn.XLOOKUP(A147,'Rafineri Fiyatları'!A:A,'Rafineri Fiyatları'!B:B,"",0)</f>
        <v>4466.28</v>
      </c>
      <c r="J147">
        <f t="shared" si="8"/>
        <v>2020</v>
      </c>
      <c r="K147">
        <f t="shared" si="9"/>
        <v>10</v>
      </c>
      <c r="L147">
        <f t="shared" si="10"/>
        <v>24</v>
      </c>
      <c r="M147">
        <f t="shared" si="11"/>
        <v>7</v>
      </c>
      <c r="N147">
        <f>_xlfn.XLOOKUP(A147,tatiller!H:H,tatiller!I:I,0,0)</f>
        <v>0</v>
      </c>
      <c r="O147" cm="1">
        <f t="array" ref="O147">_xlfn.IFNA(_xlfn.IFS(L147=1,"A0",A147=EOMONTH(A147,0),"A-1",L147=2,"A+1"),0)</f>
        <v>0</v>
      </c>
      <c r="P147" cm="1">
        <f t="array" ref="P147">_xlfn.IFNA(_xlfn.IFS(AND(_xlfn.XLOOKUP(A147,'LPG Fup'!D:D,'LPG Fup'!M:M,"",0)&lt;&gt;"",_xlfn.XLOOKUP(A147,'LPG Fup'!D:D,'LPG Fup'!M:M,"",0)&gt;0),"Z-1", AND(_xlfn.XLOOKUP(A147+1,'LPG Fup'!D:D,'LPG Fup'!M:M,"",0)&lt;&gt;"",_xlfn.XLOOKUP(A147+1,'LPG Fup'!D:D,'LPG Fup'!M:M,"",0)&gt;0),"Z-2", AND(_xlfn.XLOOKUP(A147-1,'LPG Fup'!D:D,'LPG Fup'!M:M,"",0)&lt;&gt;"",_xlfn.XLOOKUP(A147-1,'LPG Fup'!D:D,'LPG Fup'!M:M,"",0)&gt;0),"Z", AND(_xlfn.XLOOKUP(A147-2,'LPG Fup'!D:D,'LPG Fup'!M:M,"",0)&lt;&gt;"",_xlfn.XLOOKUP(A147-2,'LPG Fup'!D:D,'LPG Fup'!M:M,"",0)&gt;0),"Z+1"),0)</f>
        <v>0</v>
      </c>
      <c r="Q147" cm="1">
        <f t="array" ref="Q147">_xlfn.IFNA(_xlfn.IFS(AND(_xlfn.XLOOKUP(A147,'LPG Fup'!D:D,'LPG Fup'!M:M,"",0)&lt;&gt;"",_xlfn.XLOOKUP(A147,'LPG Fup'!D:D,'LPG Fup'!M:M,"",0)&lt;0),"I-1", AND(_xlfn.XLOOKUP(A147+1,'LPG Fup'!D:D,'LPG Fup'!M:M,"",0)&lt;&gt;"",_xlfn.XLOOKUP(A147+1,'LPG Fup'!D:D,'LPG Fup'!M:M,"",0)&lt;0),"I-2", AND(_xlfn.XLOOKUP(A147-1,'LPG Fup'!D:D,'LPG Fup'!M:M,"",0)&lt;&gt;"",_xlfn.XLOOKUP(A147-1,'LPG Fup'!D:D,'LPG Fup'!M:M,"",0)&lt;0),"I", AND(_xlfn.XLOOKUP(A147-2,'LPG Fup'!D:D,'LPG Fup'!M:M,"",0)&lt;&gt;"",_xlfn.XLOOKUP(A147-2,'LPG Fup'!D:D,'LPG Fup'!M:M,"",0)&lt;0),"I+1"),0)</f>
        <v>0</v>
      </c>
      <c r="R147">
        <f>_xlfn.XLOOKUP(A147,Covid!A:A,Covid!I:I,0,0)</f>
        <v>2091</v>
      </c>
      <c r="S147">
        <f>_xlfn.XLOOKUP(A147,Covid!A:A,Covid!K:K,0,0)</f>
        <v>69</v>
      </c>
      <c r="T147" s="145">
        <f>_xlfn.XLOOKUP(A147,Covid!A:A,Covid!K:K,0,0)/_xlfn.XLOOKUP(A147,Covid!A:A,Covid!L:L,0,0)</f>
        <v>4.3865225683407505E-2</v>
      </c>
    </row>
    <row r="148" spans="1:20" x14ac:dyDescent="0.55000000000000004">
      <c r="A148" s="157">
        <v>44129</v>
      </c>
      <c r="B148" s="13">
        <v>402140</v>
      </c>
      <c r="C148" s="13">
        <v>640</v>
      </c>
      <c r="D148" s="13">
        <v>0</v>
      </c>
      <c r="E148" s="13">
        <v>399741</v>
      </c>
      <c r="F148" s="13">
        <v>4803513</v>
      </c>
      <c r="G148">
        <f>IF(OR(_xlfn.XLOOKUP(A148,'LPG Fup'!D:D,'LPG Fup'!L:L,"",0)&gt;0.03,_xlfn.XLOOKUP(A148,'LPG Fup'!D:D,'LPG Fup'!L:L,"",0)&lt;-0.03),_xlfn.XLOOKUP(A148,'LPG Fup'!D:D,'LPG Fup'!L:L,0,0),0)</f>
        <v>0</v>
      </c>
      <c r="H148">
        <f>IF(_xlfn.XLOOKUP(A148,'LPG Fup'!D:D,'LPG Fup'!M:M,0,0)="",0,_xlfn.XLOOKUP(A148,'LPG Fup'!D:D,'LPG Fup'!M:M,0,0))</f>
        <v>0</v>
      </c>
      <c r="I148" s="109">
        <f>_xlfn.XLOOKUP(A148,'Rafineri Fiyatları'!A:A,'Rafineri Fiyatları'!B:B,"",0)</f>
        <v>4466.28</v>
      </c>
      <c r="J148">
        <f t="shared" si="8"/>
        <v>2020</v>
      </c>
      <c r="K148">
        <f t="shared" si="9"/>
        <v>10</v>
      </c>
      <c r="L148">
        <f t="shared" si="10"/>
        <v>25</v>
      </c>
      <c r="M148">
        <f t="shared" si="11"/>
        <v>1</v>
      </c>
      <c r="N148">
        <f>_xlfn.XLOOKUP(A148,tatiller!H:H,tatiller!I:I,0,0)</f>
        <v>0</v>
      </c>
      <c r="O148" cm="1">
        <f t="array" ref="O148">_xlfn.IFNA(_xlfn.IFS(L148=1,"A0",A148=EOMONTH(A148,0),"A-1",L148=2,"A+1"),0)</f>
        <v>0</v>
      </c>
      <c r="P148" cm="1">
        <f t="array" ref="P148">_xlfn.IFNA(_xlfn.IFS(AND(_xlfn.XLOOKUP(A148,'LPG Fup'!D:D,'LPG Fup'!M:M,"",0)&lt;&gt;"",_xlfn.XLOOKUP(A148,'LPG Fup'!D:D,'LPG Fup'!M:M,"",0)&gt;0),"Z-1", AND(_xlfn.XLOOKUP(A148+1,'LPG Fup'!D:D,'LPG Fup'!M:M,"",0)&lt;&gt;"",_xlfn.XLOOKUP(A148+1,'LPG Fup'!D:D,'LPG Fup'!M:M,"",0)&gt;0),"Z-2", AND(_xlfn.XLOOKUP(A148-1,'LPG Fup'!D:D,'LPG Fup'!M:M,"",0)&lt;&gt;"",_xlfn.XLOOKUP(A148-1,'LPG Fup'!D:D,'LPG Fup'!M:M,"",0)&gt;0),"Z", AND(_xlfn.XLOOKUP(A148-2,'LPG Fup'!D:D,'LPG Fup'!M:M,"",0)&lt;&gt;"",_xlfn.XLOOKUP(A148-2,'LPG Fup'!D:D,'LPG Fup'!M:M,"",0)&gt;0),"Z+1"),0)</f>
        <v>0</v>
      </c>
      <c r="Q148" cm="1">
        <f t="array" ref="Q148">_xlfn.IFNA(_xlfn.IFS(AND(_xlfn.XLOOKUP(A148,'LPG Fup'!D:D,'LPG Fup'!M:M,"",0)&lt;&gt;"",_xlfn.XLOOKUP(A148,'LPG Fup'!D:D,'LPG Fup'!M:M,"",0)&lt;0),"I-1", AND(_xlfn.XLOOKUP(A148+1,'LPG Fup'!D:D,'LPG Fup'!M:M,"",0)&lt;&gt;"",_xlfn.XLOOKUP(A148+1,'LPG Fup'!D:D,'LPG Fup'!M:M,"",0)&lt;0),"I-2", AND(_xlfn.XLOOKUP(A148-1,'LPG Fup'!D:D,'LPG Fup'!M:M,"",0)&lt;&gt;"",_xlfn.XLOOKUP(A148-1,'LPG Fup'!D:D,'LPG Fup'!M:M,"",0)&lt;0),"I", AND(_xlfn.XLOOKUP(A148-2,'LPG Fup'!D:D,'LPG Fup'!M:M,"",0)&lt;&gt;"",_xlfn.XLOOKUP(A148-2,'LPG Fup'!D:D,'LPG Fup'!M:M,"",0)&lt;0),"I+1"),0)</f>
        <v>0</v>
      </c>
      <c r="R148">
        <f>_xlfn.XLOOKUP(A148,Covid!A:A,Covid!I:I,0,0)</f>
        <v>2017</v>
      </c>
      <c r="S148">
        <f>_xlfn.XLOOKUP(A148,Covid!A:A,Covid!K:K,0,0)</f>
        <v>72</v>
      </c>
      <c r="T148" s="145">
        <f>_xlfn.XLOOKUP(A148,Covid!A:A,Covid!K:K,0,0)/_xlfn.XLOOKUP(A148,Covid!A:A,Covid!L:L,0,0)</f>
        <v>5.5512721665381647E-2</v>
      </c>
    </row>
    <row r="149" spans="1:20" x14ac:dyDescent="0.55000000000000004">
      <c r="A149" s="157">
        <v>44130</v>
      </c>
      <c r="B149" s="13">
        <v>405880</v>
      </c>
      <c r="C149" s="13">
        <v>567326</v>
      </c>
      <c r="D149" s="13">
        <v>4001</v>
      </c>
      <c r="E149" s="13">
        <v>541183</v>
      </c>
      <c r="F149" s="13">
        <v>1518390</v>
      </c>
      <c r="G149">
        <f>IF(OR(_xlfn.XLOOKUP(A149,'LPG Fup'!D:D,'LPG Fup'!L:L,"",0)&gt;0.03,_xlfn.XLOOKUP(A149,'LPG Fup'!D:D,'LPG Fup'!L:L,"",0)&lt;-0.03),_xlfn.XLOOKUP(A149,'LPG Fup'!D:D,'LPG Fup'!L:L,0,0),0)</f>
        <v>0</v>
      </c>
      <c r="H149">
        <f>IF(_xlfn.XLOOKUP(A149,'LPG Fup'!D:D,'LPG Fup'!M:M,0,0)="",0,_xlfn.XLOOKUP(A149,'LPG Fup'!D:D,'LPG Fup'!M:M,0,0))</f>
        <v>0</v>
      </c>
      <c r="I149" s="109">
        <f>_xlfn.XLOOKUP(A149,'Rafineri Fiyatları'!A:A,'Rafineri Fiyatları'!B:B,"",0)</f>
        <v>4466.28</v>
      </c>
      <c r="J149">
        <f t="shared" si="8"/>
        <v>2020</v>
      </c>
      <c r="K149">
        <f t="shared" si="9"/>
        <v>10</v>
      </c>
      <c r="L149">
        <f t="shared" si="10"/>
        <v>26</v>
      </c>
      <c r="M149">
        <f t="shared" si="11"/>
        <v>2</v>
      </c>
      <c r="N149">
        <f>_xlfn.XLOOKUP(A149,tatiller!H:H,tatiller!I:I,0,0)</f>
        <v>0</v>
      </c>
      <c r="O149" cm="1">
        <f t="array" ref="O149">_xlfn.IFNA(_xlfn.IFS(L149=1,"A0",A149=EOMONTH(A149,0),"A-1",L149=2,"A+1"),0)</f>
        <v>0</v>
      </c>
      <c r="P149" cm="1">
        <f t="array" ref="P149">_xlfn.IFNA(_xlfn.IFS(AND(_xlfn.XLOOKUP(A149,'LPG Fup'!D:D,'LPG Fup'!M:M,"",0)&lt;&gt;"",_xlfn.XLOOKUP(A149,'LPG Fup'!D:D,'LPG Fup'!M:M,"",0)&gt;0),"Z-1", AND(_xlfn.XLOOKUP(A149+1,'LPG Fup'!D:D,'LPG Fup'!M:M,"",0)&lt;&gt;"",_xlfn.XLOOKUP(A149+1,'LPG Fup'!D:D,'LPG Fup'!M:M,"",0)&gt;0),"Z-2", AND(_xlfn.XLOOKUP(A149-1,'LPG Fup'!D:D,'LPG Fup'!M:M,"",0)&lt;&gt;"",_xlfn.XLOOKUP(A149-1,'LPG Fup'!D:D,'LPG Fup'!M:M,"",0)&gt;0),"Z", AND(_xlfn.XLOOKUP(A149-2,'LPG Fup'!D:D,'LPG Fup'!M:M,"",0)&lt;&gt;"",_xlfn.XLOOKUP(A149-2,'LPG Fup'!D:D,'LPG Fup'!M:M,"",0)&gt;0),"Z+1"),0)</f>
        <v>0</v>
      </c>
      <c r="Q149" cm="1">
        <f t="array" ref="Q149">_xlfn.IFNA(_xlfn.IFS(AND(_xlfn.XLOOKUP(A149,'LPG Fup'!D:D,'LPG Fup'!M:M,"",0)&lt;&gt;"",_xlfn.XLOOKUP(A149,'LPG Fup'!D:D,'LPG Fup'!M:M,"",0)&lt;0),"I-1", AND(_xlfn.XLOOKUP(A149+1,'LPG Fup'!D:D,'LPG Fup'!M:M,"",0)&lt;&gt;"",_xlfn.XLOOKUP(A149+1,'LPG Fup'!D:D,'LPG Fup'!M:M,"",0)&lt;0),"I-2", AND(_xlfn.XLOOKUP(A149-1,'LPG Fup'!D:D,'LPG Fup'!M:M,"",0)&lt;&gt;"",_xlfn.XLOOKUP(A149-1,'LPG Fup'!D:D,'LPG Fup'!M:M,"",0)&lt;0),"I", AND(_xlfn.XLOOKUP(A149-2,'LPG Fup'!D:D,'LPG Fup'!M:M,"",0)&lt;&gt;"",_xlfn.XLOOKUP(A149-2,'LPG Fup'!D:D,'LPG Fup'!M:M,"",0)&lt;0),"I+1"),0)</f>
        <v>0</v>
      </c>
      <c r="R149">
        <f>_xlfn.XLOOKUP(A149,Covid!A:A,Covid!I:I,0,0)</f>
        <v>2198</v>
      </c>
      <c r="S149">
        <f>_xlfn.XLOOKUP(A149,Covid!A:A,Covid!K:K,0,0)</f>
        <v>75</v>
      </c>
      <c r="T149" s="145">
        <f>_xlfn.XLOOKUP(A149,Covid!A:A,Covid!K:K,0,0)/_xlfn.XLOOKUP(A149,Covid!A:A,Covid!L:L,0,0)</f>
        <v>4.6353522867737945E-2</v>
      </c>
    </row>
    <row r="150" spans="1:20" x14ac:dyDescent="0.55000000000000004">
      <c r="A150" s="157">
        <v>44131</v>
      </c>
      <c r="B150" s="13">
        <v>404400</v>
      </c>
      <c r="C150" s="13">
        <v>494252</v>
      </c>
      <c r="D150" s="13">
        <v>17723</v>
      </c>
      <c r="E150" s="13">
        <v>593458</v>
      </c>
      <c r="F150" s="13">
        <v>1509833</v>
      </c>
      <c r="G150">
        <f>IF(OR(_xlfn.XLOOKUP(A150,'LPG Fup'!D:D,'LPG Fup'!L:L,"",0)&gt;0.03,_xlfn.XLOOKUP(A150,'LPG Fup'!D:D,'LPG Fup'!L:L,"",0)&lt;-0.03),_xlfn.XLOOKUP(A150,'LPG Fup'!D:D,'LPG Fup'!L:L,0,0),0)</f>
        <v>0</v>
      </c>
      <c r="H150">
        <f>IF(_xlfn.XLOOKUP(A150,'LPG Fup'!D:D,'LPG Fup'!M:M,0,0)="",0,_xlfn.XLOOKUP(A150,'LPG Fup'!D:D,'LPG Fup'!M:M,0,0))</f>
        <v>0</v>
      </c>
      <c r="I150" s="109">
        <f>_xlfn.XLOOKUP(A150,'Rafineri Fiyatları'!A:A,'Rafineri Fiyatları'!B:B,"",0)</f>
        <v>4466.28</v>
      </c>
      <c r="J150">
        <f t="shared" si="8"/>
        <v>2020</v>
      </c>
      <c r="K150">
        <f t="shared" si="9"/>
        <v>10</v>
      </c>
      <c r="L150">
        <f t="shared" si="10"/>
        <v>27</v>
      </c>
      <c r="M150">
        <f t="shared" si="11"/>
        <v>3</v>
      </c>
      <c r="N150">
        <f>_xlfn.XLOOKUP(A150,tatiller!H:H,tatiller!I:I,0,0)</f>
        <v>0</v>
      </c>
      <c r="O150" cm="1">
        <f t="array" ref="O150">_xlfn.IFNA(_xlfn.IFS(L150=1,"A0",A150=EOMONTH(A150,0),"A-1",L150=2,"A+1"),0)</f>
        <v>0</v>
      </c>
      <c r="P150" t="str" cm="1">
        <f t="array" ref="P150">_xlfn.IFNA(_xlfn.IFS(AND(_xlfn.XLOOKUP(A150,'LPG Fup'!D:D,'LPG Fup'!M:M,"",0)&lt;&gt;"",_xlfn.XLOOKUP(A150,'LPG Fup'!D:D,'LPG Fup'!M:M,"",0)&gt;0),"Z-1", AND(_xlfn.XLOOKUP(A150+1,'LPG Fup'!D:D,'LPG Fup'!M:M,"",0)&lt;&gt;"",_xlfn.XLOOKUP(A150+1,'LPG Fup'!D:D,'LPG Fup'!M:M,"",0)&gt;0),"Z-2", AND(_xlfn.XLOOKUP(A150-1,'LPG Fup'!D:D,'LPG Fup'!M:M,"",0)&lt;&gt;"",_xlfn.XLOOKUP(A150-1,'LPG Fup'!D:D,'LPG Fup'!M:M,"",0)&gt;0),"Z", AND(_xlfn.XLOOKUP(A150-2,'LPG Fup'!D:D,'LPG Fup'!M:M,"",0)&lt;&gt;"",_xlfn.XLOOKUP(A150-2,'LPG Fup'!D:D,'LPG Fup'!M:M,"",0)&gt;0),"Z+1"),0)</f>
        <v>Z-2</v>
      </c>
      <c r="Q150" cm="1">
        <f t="array" ref="Q150">_xlfn.IFNA(_xlfn.IFS(AND(_xlfn.XLOOKUP(A150,'LPG Fup'!D:D,'LPG Fup'!M:M,"",0)&lt;&gt;"",_xlfn.XLOOKUP(A150,'LPG Fup'!D:D,'LPG Fup'!M:M,"",0)&lt;0),"I-1", AND(_xlfn.XLOOKUP(A150+1,'LPG Fup'!D:D,'LPG Fup'!M:M,"",0)&lt;&gt;"",_xlfn.XLOOKUP(A150+1,'LPG Fup'!D:D,'LPG Fup'!M:M,"",0)&lt;0),"I-2", AND(_xlfn.XLOOKUP(A150-1,'LPG Fup'!D:D,'LPG Fup'!M:M,"",0)&lt;&gt;"",_xlfn.XLOOKUP(A150-1,'LPG Fup'!D:D,'LPG Fup'!M:M,"",0)&lt;0),"I", AND(_xlfn.XLOOKUP(A150-2,'LPG Fup'!D:D,'LPG Fup'!M:M,"",0)&lt;&gt;"",_xlfn.XLOOKUP(A150-2,'LPG Fup'!D:D,'LPG Fup'!M:M,"",0)&lt;0),"I+1"),0)</f>
        <v>0</v>
      </c>
      <c r="R150">
        <f>_xlfn.XLOOKUP(A150,Covid!A:A,Covid!I:I,0,0)</f>
        <v>2209</v>
      </c>
      <c r="S150">
        <f>_xlfn.XLOOKUP(A150,Covid!A:A,Covid!K:K,0,0)</f>
        <v>76</v>
      </c>
      <c r="T150" s="145">
        <f>_xlfn.XLOOKUP(A150,Covid!A:A,Covid!K:K,0,0)/_xlfn.XLOOKUP(A150,Covid!A:A,Covid!L:L,0,0)</f>
        <v>5.0297816015883519E-2</v>
      </c>
    </row>
    <row r="151" spans="1:20" x14ac:dyDescent="0.55000000000000004">
      <c r="A151" s="157">
        <v>44132</v>
      </c>
      <c r="B151" s="13">
        <v>1330859</v>
      </c>
      <c r="C151" s="13">
        <v>568932</v>
      </c>
      <c r="D151" s="13">
        <v>3001</v>
      </c>
      <c r="E151" s="13">
        <v>476750</v>
      </c>
      <c r="F151" s="13">
        <v>2379542</v>
      </c>
      <c r="G151">
        <f>IF(OR(_xlfn.XLOOKUP(A151,'LPG Fup'!D:D,'LPG Fup'!L:L,"",0)&gt;0.03,_xlfn.XLOOKUP(A151,'LPG Fup'!D:D,'LPG Fup'!L:L,"",0)&lt;-0.03),_xlfn.XLOOKUP(A151,'LPG Fup'!D:D,'LPG Fup'!L:L,0,0),0)</f>
        <v>3.2106751003682946E-2</v>
      </c>
      <c r="H151">
        <f>IF(_xlfn.XLOOKUP(A151,'LPG Fup'!D:D,'LPG Fup'!M:M,0,0)="",0,_xlfn.XLOOKUP(A151,'LPG Fup'!D:D,'LPG Fup'!M:M,0,0))</f>
        <v>173.70204999999987</v>
      </c>
      <c r="I151" s="109">
        <f>_xlfn.XLOOKUP(A151,'Rafineri Fiyatları'!A:A,'Rafineri Fiyatları'!B:B,"",0)</f>
        <v>4466.28</v>
      </c>
      <c r="J151">
        <f t="shared" si="8"/>
        <v>2020</v>
      </c>
      <c r="K151">
        <f t="shared" si="9"/>
        <v>10</v>
      </c>
      <c r="L151">
        <f t="shared" si="10"/>
        <v>28</v>
      </c>
      <c r="M151">
        <f t="shared" si="11"/>
        <v>4</v>
      </c>
      <c r="N151" t="str">
        <f>_xlfn.XLOOKUP(A151,tatiller!H:H,tatiller!I:I,0,0)</f>
        <v>T</v>
      </c>
      <c r="O151" cm="1">
        <f t="array" ref="O151">_xlfn.IFNA(_xlfn.IFS(L151=1,"A0",A151=EOMONTH(A151,0),"A-1",L151=2,"A+1"),0)</f>
        <v>0</v>
      </c>
      <c r="P151" t="str" cm="1">
        <f t="array" ref="P151">_xlfn.IFNA(_xlfn.IFS(AND(_xlfn.XLOOKUP(A151,'LPG Fup'!D:D,'LPG Fup'!M:M,"",0)&lt;&gt;"",_xlfn.XLOOKUP(A151,'LPG Fup'!D:D,'LPG Fup'!M:M,"",0)&gt;0),"Z-1", AND(_xlfn.XLOOKUP(A151+1,'LPG Fup'!D:D,'LPG Fup'!M:M,"",0)&lt;&gt;"",_xlfn.XLOOKUP(A151+1,'LPG Fup'!D:D,'LPG Fup'!M:M,"",0)&gt;0),"Z-2", AND(_xlfn.XLOOKUP(A151-1,'LPG Fup'!D:D,'LPG Fup'!M:M,"",0)&lt;&gt;"",_xlfn.XLOOKUP(A151-1,'LPG Fup'!D:D,'LPG Fup'!M:M,"",0)&gt;0),"Z", AND(_xlfn.XLOOKUP(A151-2,'LPG Fup'!D:D,'LPG Fup'!M:M,"",0)&lt;&gt;"",_xlfn.XLOOKUP(A151-2,'LPG Fup'!D:D,'LPG Fup'!M:M,"",0)&gt;0),"Z+1"),0)</f>
        <v>Z-1</v>
      </c>
      <c r="Q151" cm="1">
        <f t="array" ref="Q151">_xlfn.IFNA(_xlfn.IFS(AND(_xlfn.XLOOKUP(A151,'LPG Fup'!D:D,'LPG Fup'!M:M,"",0)&lt;&gt;"",_xlfn.XLOOKUP(A151,'LPG Fup'!D:D,'LPG Fup'!M:M,"",0)&lt;0),"I-1", AND(_xlfn.XLOOKUP(A151+1,'LPG Fup'!D:D,'LPG Fup'!M:M,"",0)&lt;&gt;"",_xlfn.XLOOKUP(A151+1,'LPG Fup'!D:D,'LPG Fup'!M:M,"",0)&lt;0),"I-2", AND(_xlfn.XLOOKUP(A151-1,'LPG Fup'!D:D,'LPG Fup'!M:M,"",0)&lt;&gt;"",_xlfn.XLOOKUP(A151-1,'LPG Fup'!D:D,'LPG Fup'!M:M,"",0)&lt;0),"I", AND(_xlfn.XLOOKUP(A151-2,'LPG Fup'!D:D,'LPG Fup'!M:M,"",0)&lt;&gt;"",_xlfn.XLOOKUP(A151-2,'LPG Fup'!D:D,'LPG Fup'!M:M,"",0)&lt;0),"I+1"),0)</f>
        <v>0</v>
      </c>
      <c r="R151">
        <f>_xlfn.XLOOKUP(A151,Covid!A:A,Covid!I:I,0,0)</f>
        <v>2305</v>
      </c>
      <c r="S151">
        <f>_xlfn.XLOOKUP(A151,Covid!A:A,Covid!K:K,0,0)</f>
        <v>77</v>
      </c>
      <c r="T151" s="145">
        <f>_xlfn.XLOOKUP(A151,Covid!A:A,Covid!K:K,0,0)/_xlfn.XLOOKUP(A151,Covid!A:A,Covid!L:L,0,0)</f>
        <v>4.6329723225030081E-2</v>
      </c>
    </row>
    <row r="152" spans="1:20" x14ac:dyDescent="0.55000000000000004">
      <c r="A152" s="157">
        <v>44133</v>
      </c>
      <c r="B152" s="13">
        <v>484040</v>
      </c>
      <c r="C152" s="13">
        <v>305889</v>
      </c>
      <c r="D152" s="13">
        <v>7437</v>
      </c>
      <c r="E152" s="13">
        <v>455088</v>
      </c>
      <c r="F152" s="13">
        <v>1252454</v>
      </c>
      <c r="G152">
        <f>IF(OR(_xlfn.XLOOKUP(A152,'LPG Fup'!D:D,'LPG Fup'!L:L,"",0)&gt;0.03,_xlfn.XLOOKUP(A152,'LPG Fup'!D:D,'LPG Fup'!L:L,"",0)&lt;-0.03),_xlfn.XLOOKUP(A152,'LPG Fup'!D:D,'LPG Fup'!L:L,0,0),0)</f>
        <v>0</v>
      </c>
      <c r="H152">
        <f>IF(_xlfn.XLOOKUP(A152,'LPG Fup'!D:D,'LPG Fup'!M:M,0,0)="",0,_xlfn.XLOOKUP(A152,'LPG Fup'!D:D,'LPG Fup'!M:M,0,0))</f>
        <v>0</v>
      </c>
      <c r="I152" s="109">
        <f>_xlfn.XLOOKUP(A152,'Rafineri Fiyatları'!A:A,'Rafineri Fiyatları'!B:B,"",0)</f>
        <v>4466.28</v>
      </c>
      <c r="J152">
        <f t="shared" si="8"/>
        <v>2020</v>
      </c>
      <c r="K152">
        <f t="shared" si="9"/>
        <v>10</v>
      </c>
      <c r="L152">
        <f t="shared" si="10"/>
        <v>29</v>
      </c>
      <c r="M152">
        <f t="shared" si="11"/>
        <v>5</v>
      </c>
      <c r="N152" t="str">
        <f>_xlfn.XLOOKUP(A152,tatiller!H:H,tatiller!I:I,0,0)</f>
        <v>T</v>
      </c>
      <c r="O152" cm="1">
        <f t="array" ref="O152">_xlfn.IFNA(_xlfn.IFS(L152=1,"A0",A152=EOMONTH(A152,0),"A-1",L152=2,"A+1"),0)</f>
        <v>0</v>
      </c>
      <c r="P152" t="str" cm="1">
        <f t="array" ref="P152">_xlfn.IFNA(_xlfn.IFS(AND(_xlfn.XLOOKUP(A152,'LPG Fup'!D:D,'LPG Fup'!M:M,"",0)&lt;&gt;"",_xlfn.XLOOKUP(A152,'LPG Fup'!D:D,'LPG Fup'!M:M,"",0)&gt;0),"Z-1", AND(_xlfn.XLOOKUP(A152+1,'LPG Fup'!D:D,'LPG Fup'!M:M,"",0)&lt;&gt;"",_xlfn.XLOOKUP(A152+1,'LPG Fup'!D:D,'LPG Fup'!M:M,"",0)&gt;0),"Z-2", AND(_xlfn.XLOOKUP(A152-1,'LPG Fup'!D:D,'LPG Fup'!M:M,"",0)&lt;&gt;"",_xlfn.XLOOKUP(A152-1,'LPG Fup'!D:D,'LPG Fup'!M:M,"",0)&gt;0),"Z", AND(_xlfn.XLOOKUP(A152-2,'LPG Fup'!D:D,'LPG Fup'!M:M,"",0)&lt;&gt;"",_xlfn.XLOOKUP(A152-2,'LPG Fup'!D:D,'LPG Fup'!M:M,"",0)&gt;0),"Z+1"),0)</f>
        <v>Z</v>
      </c>
      <c r="Q152" cm="1">
        <f t="array" ref="Q152">_xlfn.IFNA(_xlfn.IFS(AND(_xlfn.XLOOKUP(A152,'LPG Fup'!D:D,'LPG Fup'!M:M,"",0)&lt;&gt;"",_xlfn.XLOOKUP(A152,'LPG Fup'!D:D,'LPG Fup'!M:M,"",0)&lt;0),"I-1", AND(_xlfn.XLOOKUP(A152+1,'LPG Fup'!D:D,'LPG Fup'!M:M,"",0)&lt;&gt;"",_xlfn.XLOOKUP(A152+1,'LPG Fup'!D:D,'LPG Fup'!M:M,"",0)&lt;0),"I-2", AND(_xlfn.XLOOKUP(A152-1,'LPG Fup'!D:D,'LPG Fup'!M:M,"",0)&lt;&gt;"",_xlfn.XLOOKUP(A152-1,'LPG Fup'!D:D,'LPG Fup'!M:M,"",0)&lt;0),"I", AND(_xlfn.XLOOKUP(A152-2,'LPG Fup'!D:D,'LPG Fup'!M:M,"",0)&lt;&gt;"",_xlfn.XLOOKUP(A152-2,'LPG Fup'!D:D,'LPG Fup'!M:M,"",0)&lt;0),"I+1"),0)</f>
        <v>0</v>
      </c>
      <c r="R152">
        <f>_xlfn.XLOOKUP(A152,Covid!A:A,Covid!I:I,0,0)</f>
        <v>2319</v>
      </c>
      <c r="S152">
        <f>_xlfn.XLOOKUP(A152,Covid!A:A,Covid!K:K,0,0)</f>
        <v>72</v>
      </c>
      <c r="T152" s="145">
        <f>_xlfn.XLOOKUP(A152,Covid!A:A,Covid!K:K,0,0)/_xlfn.XLOOKUP(A152,Covid!A:A,Covid!L:L,0,0)</f>
        <v>4.5540796963946868E-2</v>
      </c>
    </row>
    <row r="153" spans="1:20" x14ac:dyDescent="0.55000000000000004">
      <c r="A153" s="157">
        <v>44134</v>
      </c>
      <c r="B153" s="13">
        <v>269660</v>
      </c>
      <c r="C153" s="13">
        <v>651427</v>
      </c>
      <c r="D153" s="13">
        <v>7228</v>
      </c>
      <c r="E153" s="13">
        <v>508788</v>
      </c>
      <c r="F153" s="13">
        <v>1437103</v>
      </c>
      <c r="G153">
        <f>IF(OR(_xlfn.XLOOKUP(A153,'LPG Fup'!D:D,'LPG Fup'!L:L,"",0)&gt;0.03,_xlfn.XLOOKUP(A153,'LPG Fup'!D:D,'LPG Fup'!L:L,"",0)&lt;-0.03),_xlfn.XLOOKUP(A153,'LPG Fup'!D:D,'LPG Fup'!L:L,0,0),0)</f>
        <v>0</v>
      </c>
      <c r="H153">
        <f>IF(_xlfn.XLOOKUP(A153,'LPG Fup'!D:D,'LPG Fup'!M:M,0,0)="",0,_xlfn.XLOOKUP(A153,'LPG Fup'!D:D,'LPG Fup'!M:M,0,0))</f>
        <v>0</v>
      </c>
      <c r="I153" s="109">
        <f>_xlfn.XLOOKUP(A153,'Rafineri Fiyatları'!A:A,'Rafineri Fiyatları'!B:B,"",0)</f>
        <v>4466.28</v>
      </c>
      <c r="J153">
        <f t="shared" si="8"/>
        <v>2020</v>
      </c>
      <c r="K153">
        <f t="shared" si="9"/>
        <v>10</v>
      </c>
      <c r="L153">
        <f t="shared" si="10"/>
        <v>30</v>
      </c>
      <c r="M153">
        <f t="shared" si="11"/>
        <v>6</v>
      </c>
      <c r="N153">
        <f>_xlfn.XLOOKUP(A153,tatiller!H:H,tatiller!I:I,0,0)</f>
        <v>0</v>
      </c>
      <c r="O153" cm="1">
        <f t="array" ref="O153">_xlfn.IFNA(_xlfn.IFS(L153=1,"A0",A153=EOMONTH(A153,0),"A-1",L153=2,"A+1"),0)</f>
        <v>0</v>
      </c>
      <c r="P153" t="str" cm="1">
        <f t="array" ref="P153">_xlfn.IFNA(_xlfn.IFS(AND(_xlfn.XLOOKUP(A153,'LPG Fup'!D:D,'LPG Fup'!M:M,"",0)&lt;&gt;"",_xlfn.XLOOKUP(A153,'LPG Fup'!D:D,'LPG Fup'!M:M,"",0)&gt;0),"Z-1", AND(_xlfn.XLOOKUP(A153+1,'LPG Fup'!D:D,'LPG Fup'!M:M,"",0)&lt;&gt;"",_xlfn.XLOOKUP(A153+1,'LPG Fup'!D:D,'LPG Fup'!M:M,"",0)&gt;0),"Z-2", AND(_xlfn.XLOOKUP(A153-1,'LPG Fup'!D:D,'LPG Fup'!M:M,"",0)&lt;&gt;"",_xlfn.XLOOKUP(A153-1,'LPG Fup'!D:D,'LPG Fup'!M:M,"",0)&gt;0),"Z", AND(_xlfn.XLOOKUP(A153-2,'LPG Fup'!D:D,'LPG Fup'!M:M,"",0)&lt;&gt;"",_xlfn.XLOOKUP(A153-2,'LPG Fup'!D:D,'LPG Fup'!M:M,"",0)&gt;0),"Z+1"),0)</f>
        <v>Z+1</v>
      </c>
      <c r="Q153" cm="1">
        <f t="array" ref="Q153">_xlfn.IFNA(_xlfn.IFS(AND(_xlfn.XLOOKUP(A153,'LPG Fup'!D:D,'LPG Fup'!M:M,"",0)&lt;&gt;"",_xlfn.XLOOKUP(A153,'LPG Fup'!D:D,'LPG Fup'!M:M,"",0)&lt;0),"I-1", AND(_xlfn.XLOOKUP(A153+1,'LPG Fup'!D:D,'LPG Fup'!M:M,"",0)&lt;&gt;"",_xlfn.XLOOKUP(A153+1,'LPG Fup'!D:D,'LPG Fup'!M:M,"",0)&lt;0),"I-2", AND(_xlfn.XLOOKUP(A153-1,'LPG Fup'!D:D,'LPG Fup'!M:M,"",0)&lt;&gt;"",_xlfn.XLOOKUP(A153-1,'LPG Fup'!D:D,'LPG Fup'!M:M,"",0)&lt;0),"I", AND(_xlfn.XLOOKUP(A153-2,'LPG Fup'!D:D,'LPG Fup'!M:M,"",0)&lt;&gt;"",_xlfn.XLOOKUP(A153-2,'LPG Fup'!D:D,'LPG Fup'!M:M,"",0)&lt;0),"I+1"),0)</f>
        <v>0</v>
      </c>
      <c r="R153">
        <f>_xlfn.XLOOKUP(A153,Covid!A:A,Covid!I:I,0,0)</f>
        <v>2322</v>
      </c>
      <c r="S153">
        <f>_xlfn.XLOOKUP(A153,Covid!A:A,Covid!K:K,0,0)</f>
        <v>78</v>
      </c>
      <c r="T153" s="145">
        <f>_xlfn.XLOOKUP(A153,Covid!A:A,Covid!K:K,0,0)/_xlfn.XLOOKUP(A153,Covid!A:A,Covid!L:L,0,0)</f>
        <v>4.5801526717557252E-2</v>
      </c>
    </row>
    <row r="154" spans="1:20" x14ac:dyDescent="0.55000000000000004">
      <c r="A154" s="157">
        <v>44135</v>
      </c>
      <c r="B154" s="13">
        <v>446560</v>
      </c>
      <c r="C154" s="13">
        <v>506285</v>
      </c>
      <c r="D154" s="13">
        <v>3849</v>
      </c>
      <c r="E154" s="13">
        <v>622795</v>
      </c>
      <c r="F154" s="13">
        <v>1579489</v>
      </c>
      <c r="G154">
        <f>IF(OR(_xlfn.XLOOKUP(A154,'LPG Fup'!D:D,'LPG Fup'!L:L,"",0)&gt;0.03,_xlfn.XLOOKUP(A154,'LPG Fup'!D:D,'LPG Fup'!L:L,"",0)&lt;-0.03),_xlfn.XLOOKUP(A154,'LPG Fup'!D:D,'LPG Fup'!L:L,0,0),0)</f>
        <v>0</v>
      </c>
      <c r="H154">
        <f>IF(_xlfn.XLOOKUP(A154,'LPG Fup'!D:D,'LPG Fup'!M:M,0,0)="",0,_xlfn.XLOOKUP(A154,'LPG Fup'!D:D,'LPG Fup'!M:M,0,0))</f>
        <v>0</v>
      </c>
      <c r="I154" s="109">
        <f>_xlfn.XLOOKUP(A154,'Rafineri Fiyatları'!A:A,'Rafineri Fiyatları'!B:B,"",0)</f>
        <v>4466.28</v>
      </c>
      <c r="J154">
        <f t="shared" si="8"/>
        <v>2020</v>
      </c>
      <c r="K154">
        <f t="shared" si="9"/>
        <v>10</v>
      </c>
      <c r="L154">
        <f t="shared" si="10"/>
        <v>31</v>
      </c>
      <c r="M154">
        <f t="shared" si="11"/>
        <v>7</v>
      </c>
      <c r="N154">
        <f>_xlfn.XLOOKUP(A154,tatiller!H:H,tatiller!I:I,0,0)</f>
        <v>0</v>
      </c>
      <c r="O154" t="str" cm="1">
        <f t="array" ref="O154">_xlfn.IFNA(_xlfn.IFS(L154=1,"A0",A154=EOMONTH(A154,0),"A-1",L154=2,"A+1"),0)</f>
        <v>A-1</v>
      </c>
      <c r="P154" cm="1">
        <f t="array" ref="P154">_xlfn.IFNA(_xlfn.IFS(AND(_xlfn.XLOOKUP(A154,'LPG Fup'!D:D,'LPG Fup'!M:M,"",0)&lt;&gt;"",_xlfn.XLOOKUP(A154,'LPG Fup'!D:D,'LPG Fup'!M:M,"",0)&gt;0),"Z-1", AND(_xlfn.XLOOKUP(A154+1,'LPG Fup'!D:D,'LPG Fup'!M:M,"",0)&lt;&gt;"",_xlfn.XLOOKUP(A154+1,'LPG Fup'!D:D,'LPG Fup'!M:M,"",0)&gt;0),"Z-2", AND(_xlfn.XLOOKUP(A154-1,'LPG Fup'!D:D,'LPG Fup'!M:M,"",0)&lt;&gt;"",_xlfn.XLOOKUP(A154-1,'LPG Fup'!D:D,'LPG Fup'!M:M,"",0)&gt;0),"Z", AND(_xlfn.XLOOKUP(A154-2,'LPG Fup'!D:D,'LPG Fup'!M:M,"",0)&lt;&gt;"",_xlfn.XLOOKUP(A154-2,'LPG Fup'!D:D,'LPG Fup'!M:M,"",0)&gt;0),"Z+1"),0)</f>
        <v>0</v>
      </c>
      <c r="Q154" cm="1">
        <f t="array" ref="Q154">_xlfn.IFNA(_xlfn.IFS(AND(_xlfn.XLOOKUP(A154,'LPG Fup'!D:D,'LPG Fup'!M:M,"",0)&lt;&gt;"",_xlfn.XLOOKUP(A154,'LPG Fup'!D:D,'LPG Fup'!M:M,"",0)&lt;0),"I-1", AND(_xlfn.XLOOKUP(A154+1,'LPG Fup'!D:D,'LPG Fup'!M:M,"",0)&lt;&gt;"",_xlfn.XLOOKUP(A154+1,'LPG Fup'!D:D,'LPG Fup'!M:M,"",0)&lt;0),"I-2", AND(_xlfn.XLOOKUP(A154-1,'LPG Fup'!D:D,'LPG Fup'!M:M,"",0)&lt;&gt;"",_xlfn.XLOOKUP(A154-1,'LPG Fup'!D:D,'LPG Fup'!M:M,"",0)&lt;0),"I", AND(_xlfn.XLOOKUP(A154-2,'LPG Fup'!D:D,'LPG Fup'!M:M,"",0)&lt;&gt;"",_xlfn.XLOOKUP(A154-2,'LPG Fup'!D:D,'LPG Fup'!M:M,"",0)&lt;0),"I+1"),0)</f>
        <v>0</v>
      </c>
      <c r="R154">
        <f>_xlfn.XLOOKUP(A154,Covid!A:A,Covid!I:I,0,0)</f>
        <v>2213</v>
      </c>
      <c r="S154">
        <f>_xlfn.XLOOKUP(A154,Covid!A:A,Covid!K:K,0,0)</f>
        <v>75</v>
      </c>
      <c r="T154" s="145">
        <f>_xlfn.XLOOKUP(A154,Covid!A:A,Covid!K:K,0,0)/_xlfn.XLOOKUP(A154,Covid!A:A,Covid!L:L,0,0)</f>
        <v>4.9800796812749001E-2</v>
      </c>
    </row>
    <row r="155" spans="1:20" x14ac:dyDescent="0.55000000000000004">
      <c r="A155" s="157">
        <v>44136</v>
      </c>
      <c r="B155" s="13">
        <v>355060</v>
      </c>
      <c r="C155" s="13">
        <v>670</v>
      </c>
      <c r="D155" s="13">
        <v>0</v>
      </c>
      <c r="E155" s="13">
        <v>324290</v>
      </c>
      <c r="F155" s="13">
        <v>680020</v>
      </c>
      <c r="G155">
        <f>IF(OR(_xlfn.XLOOKUP(A155,'LPG Fup'!D:D,'LPG Fup'!L:L,"",0)&gt;0.03,_xlfn.XLOOKUP(A155,'LPG Fup'!D:D,'LPG Fup'!L:L,"",0)&lt;-0.03),_xlfn.XLOOKUP(A155,'LPG Fup'!D:D,'LPG Fup'!L:L,0,0),0)</f>
        <v>0</v>
      </c>
      <c r="H155">
        <f>IF(_xlfn.XLOOKUP(A155,'LPG Fup'!D:D,'LPG Fup'!M:M,0,0)="",0,_xlfn.XLOOKUP(A155,'LPG Fup'!D:D,'LPG Fup'!M:M,0,0))</f>
        <v>0</v>
      </c>
      <c r="I155" s="109">
        <f>_xlfn.XLOOKUP(A155,'Rafineri Fiyatları'!A:A,'Rafineri Fiyatları'!B:B,"",0)</f>
        <v>4466.28</v>
      </c>
      <c r="J155">
        <f t="shared" si="8"/>
        <v>2020</v>
      </c>
      <c r="K155">
        <f t="shared" si="9"/>
        <v>11</v>
      </c>
      <c r="L155">
        <f t="shared" si="10"/>
        <v>1</v>
      </c>
      <c r="M155">
        <f t="shared" si="11"/>
        <v>1</v>
      </c>
      <c r="N155">
        <f>_xlfn.XLOOKUP(A155,tatiller!H:H,tatiller!I:I,0,0)</f>
        <v>0</v>
      </c>
      <c r="O155" t="str" cm="1">
        <f t="array" ref="O155">_xlfn.IFNA(_xlfn.IFS(L155=1,"A0",A155=EOMONTH(A155,0),"A-1",L155=2,"A+1"),0)</f>
        <v>A0</v>
      </c>
      <c r="P155" cm="1">
        <f t="array" ref="P155">_xlfn.IFNA(_xlfn.IFS(AND(_xlfn.XLOOKUP(A155,'LPG Fup'!D:D,'LPG Fup'!M:M,"",0)&lt;&gt;"",_xlfn.XLOOKUP(A155,'LPG Fup'!D:D,'LPG Fup'!M:M,"",0)&gt;0),"Z-1", AND(_xlfn.XLOOKUP(A155+1,'LPG Fup'!D:D,'LPG Fup'!M:M,"",0)&lt;&gt;"",_xlfn.XLOOKUP(A155+1,'LPG Fup'!D:D,'LPG Fup'!M:M,"",0)&gt;0),"Z-2", AND(_xlfn.XLOOKUP(A155-1,'LPG Fup'!D:D,'LPG Fup'!M:M,"",0)&lt;&gt;"",_xlfn.XLOOKUP(A155-1,'LPG Fup'!D:D,'LPG Fup'!M:M,"",0)&gt;0),"Z", AND(_xlfn.XLOOKUP(A155-2,'LPG Fup'!D:D,'LPG Fup'!M:M,"",0)&lt;&gt;"",_xlfn.XLOOKUP(A155-2,'LPG Fup'!D:D,'LPG Fup'!M:M,"",0)&gt;0),"Z+1"),0)</f>
        <v>0</v>
      </c>
      <c r="Q155" cm="1">
        <f t="array" ref="Q155">_xlfn.IFNA(_xlfn.IFS(AND(_xlfn.XLOOKUP(A155,'LPG Fup'!D:D,'LPG Fup'!M:M,"",0)&lt;&gt;"",_xlfn.XLOOKUP(A155,'LPG Fup'!D:D,'LPG Fup'!M:M,"",0)&lt;0),"I-1", AND(_xlfn.XLOOKUP(A155+1,'LPG Fup'!D:D,'LPG Fup'!M:M,"",0)&lt;&gt;"",_xlfn.XLOOKUP(A155+1,'LPG Fup'!D:D,'LPG Fup'!M:M,"",0)&lt;0),"I-2", AND(_xlfn.XLOOKUP(A155-1,'LPG Fup'!D:D,'LPG Fup'!M:M,"",0)&lt;&gt;"",_xlfn.XLOOKUP(A155-1,'LPG Fup'!D:D,'LPG Fup'!M:M,"",0)&lt;0),"I", AND(_xlfn.XLOOKUP(A155-2,'LPG Fup'!D:D,'LPG Fup'!M:M,"",0)&lt;&gt;"",_xlfn.XLOOKUP(A155-2,'LPG Fup'!D:D,'LPG Fup'!M:M,"",0)&lt;0),"I+1"),0)</f>
        <v>0</v>
      </c>
      <c r="R155">
        <f>_xlfn.XLOOKUP(A155,Covid!A:A,Covid!I:I,0,0)</f>
        <v>2106</v>
      </c>
      <c r="S155">
        <f>_xlfn.XLOOKUP(A155,Covid!A:A,Covid!K:K,0,0)</f>
        <v>74</v>
      </c>
      <c r="T155" s="145">
        <f>_xlfn.XLOOKUP(A155,Covid!A:A,Covid!K:K,0,0)/_xlfn.XLOOKUP(A155,Covid!A:A,Covid!L:L,0,0)</f>
        <v>4.8844884488448842E-2</v>
      </c>
    </row>
    <row r="156" spans="1:20" x14ac:dyDescent="0.55000000000000004">
      <c r="A156" s="157">
        <v>44137</v>
      </c>
      <c r="B156" s="13">
        <v>404280</v>
      </c>
      <c r="C156" s="13">
        <v>433435</v>
      </c>
      <c r="D156" s="13">
        <v>15138</v>
      </c>
      <c r="E156" s="13">
        <v>499599</v>
      </c>
      <c r="F156" s="13">
        <v>2347802</v>
      </c>
      <c r="G156">
        <f>IF(OR(_xlfn.XLOOKUP(A156,'LPG Fup'!D:D,'LPG Fup'!L:L,"",0)&gt;0.03,_xlfn.XLOOKUP(A156,'LPG Fup'!D:D,'LPG Fup'!L:L,"",0)&lt;-0.03),_xlfn.XLOOKUP(A156,'LPG Fup'!D:D,'LPG Fup'!L:L,0,0),0)</f>
        <v>0</v>
      </c>
      <c r="H156">
        <f>IF(_xlfn.XLOOKUP(A156,'LPG Fup'!D:D,'LPG Fup'!M:M,0,0)="",0,_xlfn.XLOOKUP(A156,'LPG Fup'!D:D,'LPG Fup'!M:M,0,0))</f>
        <v>0</v>
      </c>
      <c r="I156" s="109">
        <f>_xlfn.XLOOKUP(A156,'Rafineri Fiyatları'!A:A,'Rafineri Fiyatları'!B:B,"",0)</f>
        <v>4466.28</v>
      </c>
      <c r="J156">
        <f t="shared" si="8"/>
        <v>2020</v>
      </c>
      <c r="K156">
        <f t="shared" si="9"/>
        <v>11</v>
      </c>
      <c r="L156">
        <f t="shared" si="10"/>
        <v>2</v>
      </c>
      <c r="M156">
        <f t="shared" si="11"/>
        <v>2</v>
      </c>
      <c r="N156">
        <f>_xlfn.XLOOKUP(A156,tatiller!H:H,tatiller!I:I,0,0)</f>
        <v>0</v>
      </c>
      <c r="O156" t="str" cm="1">
        <f t="array" ref="O156">_xlfn.IFNA(_xlfn.IFS(L156=1,"A0",A156=EOMONTH(A156,0),"A-1",L156=2,"A+1"),0)</f>
        <v>A+1</v>
      </c>
      <c r="P156" t="str" cm="1">
        <f t="array" ref="P156">_xlfn.IFNA(_xlfn.IFS(AND(_xlfn.XLOOKUP(A156,'LPG Fup'!D:D,'LPG Fup'!M:M,"",0)&lt;&gt;"",_xlfn.XLOOKUP(A156,'LPG Fup'!D:D,'LPG Fup'!M:M,"",0)&gt;0),"Z-1", AND(_xlfn.XLOOKUP(A156+1,'LPG Fup'!D:D,'LPG Fup'!M:M,"",0)&lt;&gt;"",_xlfn.XLOOKUP(A156+1,'LPG Fup'!D:D,'LPG Fup'!M:M,"",0)&gt;0),"Z-2", AND(_xlfn.XLOOKUP(A156-1,'LPG Fup'!D:D,'LPG Fup'!M:M,"",0)&lt;&gt;"",_xlfn.XLOOKUP(A156-1,'LPG Fup'!D:D,'LPG Fup'!M:M,"",0)&gt;0),"Z", AND(_xlfn.XLOOKUP(A156-2,'LPG Fup'!D:D,'LPG Fup'!M:M,"",0)&lt;&gt;"",_xlfn.XLOOKUP(A156-2,'LPG Fup'!D:D,'LPG Fup'!M:M,"",0)&gt;0),"Z+1"),0)</f>
        <v>Z-2</v>
      </c>
      <c r="Q156" cm="1">
        <f t="array" ref="Q156">_xlfn.IFNA(_xlfn.IFS(AND(_xlfn.XLOOKUP(A156,'LPG Fup'!D:D,'LPG Fup'!M:M,"",0)&lt;&gt;"",_xlfn.XLOOKUP(A156,'LPG Fup'!D:D,'LPG Fup'!M:M,"",0)&lt;0),"I-1", AND(_xlfn.XLOOKUP(A156+1,'LPG Fup'!D:D,'LPG Fup'!M:M,"",0)&lt;&gt;"",_xlfn.XLOOKUP(A156+1,'LPG Fup'!D:D,'LPG Fup'!M:M,"",0)&lt;0),"I-2", AND(_xlfn.XLOOKUP(A156-1,'LPG Fup'!D:D,'LPG Fup'!M:M,"",0)&lt;&gt;"",_xlfn.XLOOKUP(A156-1,'LPG Fup'!D:D,'LPG Fup'!M:M,"",0)&lt;0),"I", AND(_xlfn.XLOOKUP(A156-2,'LPG Fup'!D:D,'LPG Fup'!M:M,"",0)&lt;&gt;"",_xlfn.XLOOKUP(A156-2,'LPG Fup'!D:D,'LPG Fup'!M:M,"",0)&lt;0),"I+1"),0)</f>
        <v>0</v>
      </c>
      <c r="R156">
        <f>_xlfn.XLOOKUP(A156,Covid!A:A,Covid!I:I,0,0)</f>
        <v>2302</v>
      </c>
      <c r="S156">
        <f>_xlfn.XLOOKUP(A156,Covid!A:A,Covid!K:K,0,0)</f>
        <v>76</v>
      </c>
      <c r="T156" s="145">
        <f>_xlfn.XLOOKUP(A156,Covid!A:A,Covid!K:K,0,0)/_xlfn.XLOOKUP(A156,Covid!A:A,Covid!L:L,0,0)</f>
        <v>4.9967126890203814E-2</v>
      </c>
    </row>
    <row r="157" spans="1:20" x14ac:dyDescent="0.55000000000000004">
      <c r="A157" s="157">
        <v>44138</v>
      </c>
      <c r="B157" s="13">
        <v>330820</v>
      </c>
      <c r="C157" s="13">
        <v>426478</v>
      </c>
      <c r="D157" s="13">
        <v>9151</v>
      </c>
      <c r="E157" s="13">
        <v>539122</v>
      </c>
      <c r="F157" s="13">
        <v>1305571</v>
      </c>
      <c r="G157">
        <f>IF(OR(_xlfn.XLOOKUP(A157,'LPG Fup'!D:D,'LPG Fup'!L:L,"",0)&gt;0.03,_xlfn.XLOOKUP(A157,'LPG Fup'!D:D,'LPG Fup'!L:L,"",0)&lt;-0.03),_xlfn.XLOOKUP(A157,'LPG Fup'!D:D,'LPG Fup'!L:L,0,0),0)</f>
        <v>4.0774861637034109E-2</v>
      </c>
      <c r="H157">
        <f>IF(_xlfn.XLOOKUP(A157,'LPG Fup'!D:D,'LPG Fup'!M:M,0,0)="",0,_xlfn.XLOOKUP(A157,'LPG Fup'!D:D,'LPG Fup'!M:M,0,0))</f>
        <v>284.19795000000022</v>
      </c>
      <c r="I157" s="109">
        <f>_xlfn.XLOOKUP(A157,'Rafineri Fiyatları'!A:A,'Rafineri Fiyatları'!B:B,"",0)</f>
        <v>4466.28</v>
      </c>
      <c r="J157">
        <f t="shared" si="8"/>
        <v>2020</v>
      </c>
      <c r="K157">
        <f t="shared" si="9"/>
        <v>11</v>
      </c>
      <c r="L157">
        <f t="shared" si="10"/>
        <v>3</v>
      </c>
      <c r="M157">
        <f t="shared" si="11"/>
        <v>3</v>
      </c>
      <c r="N157">
        <f>_xlfn.XLOOKUP(A157,tatiller!H:H,tatiller!I:I,0,0)</f>
        <v>0</v>
      </c>
      <c r="O157" cm="1">
        <f t="array" ref="O157">_xlfn.IFNA(_xlfn.IFS(L157=1,"A0",A157=EOMONTH(A157,0),"A-1",L157=2,"A+1"),0)</f>
        <v>0</v>
      </c>
      <c r="P157" t="str" cm="1">
        <f t="array" ref="P157">_xlfn.IFNA(_xlfn.IFS(AND(_xlfn.XLOOKUP(A157,'LPG Fup'!D:D,'LPG Fup'!M:M,"",0)&lt;&gt;"",_xlfn.XLOOKUP(A157,'LPG Fup'!D:D,'LPG Fup'!M:M,"",0)&gt;0),"Z-1", AND(_xlfn.XLOOKUP(A157+1,'LPG Fup'!D:D,'LPG Fup'!M:M,"",0)&lt;&gt;"",_xlfn.XLOOKUP(A157+1,'LPG Fup'!D:D,'LPG Fup'!M:M,"",0)&gt;0),"Z-2", AND(_xlfn.XLOOKUP(A157-1,'LPG Fup'!D:D,'LPG Fup'!M:M,"",0)&lt;&gt;"",_xlfn.XLOOKUP(A157-1,'LPG Fup'!D:D,'LPG Fup'!M:M,"",0)&gt;0),"Z", AND(_xlfn.XLOOKUP(A157-2,'LPG Fup'!D:D,'LPG Fup'!M:M,"",0)&lt;&gt;"",_xlfn.XLOOKUP(A157-2,'LPG Fup'!D:D,'LPG Fup'!M:M,"",0)&gt;0),"Z+1"),0)</f>
        <v>Z-1</v>
      </c>
      <c r="Q157" cm="1">
        <f t="array" ref="Q157">_xlfn.IFNA(_xlfn.IFS(AND(_xlfn.XLOOKUP(A157,'LPG Fup'!D:D,'LPG Fup'!M:M,"",0)&lt;&gt;"",_xlfn.XLOOKUP(A157,'LPG Fup'!D:D,'LPG Fup'!M:M,"",0)&lt;0),"I-1", AND(_xlfn.XLOOKUP(A157+1,'LPG Fup'!D:D,'LPG Fup'!M:M,"",0)&lt;&gt;"",_xlfn.XLOOKUP(A157+1,'LPG Fup'!D:D,'LPG Fup'!M:M,"",0)&lt;0),"I-2", AND(_xlfn.XLOOKUP(A157-1,'LPG Fup'!D:D,'LPG Fup'!M:M,"",0)&lt;&gt;"",_xlfn.XLOOKUP(A157-1,'LPG Fup'!D:D,'LPG Fup'!M:M,"",0)&lt;0),"I", AND(_xlfn.XLOOKUP(A157-2,'LPG Fup'!D:D,'LPG Fup'!M:M,"",0)&lt;&gt;"",_xlfn.XLOOKUP(A157-2,'LPG Fup'!D:D,'LPG Fup'!M:M,"",0)&lt;0),"I+1"),0)</f>
        <v>0</v>
      </c>
      <c r="R157">
        <f>_xlfn.XLOOKUP(A157,Covid!A:A,Covid!I:I,0,0)</f>
        <v>2343</v>
      </c>
      <c r="S157">
        <f>_xlfn.XLOOKUP(A157,Covid!A:A,Covid!K:K,0,0)</f>
        <v>79</v>
      </c>
      <c r="T157" s="145">
        <f>_xlfn.XLOOKUP(A157,Covid!A:A,Covid!K:K,0,0)/_xlfn.XLOOKUP(A157,Covid!A:A,Covid!L:L,0,0)</f>
        <v>4.3478260869565216E-2</v>
      </c>
    </row>
    <row r="158" spans="1:20" x14ac:dyDescent="0.55000000000000004">
      <c r="A158" s="157">
        <v>44139</v>
      </c>
      <c r="B158" s="13">
        <v>304560</v>
      </c>
      <c r="C158" s="13">
        <v>402126</v>
      </c>
      <c r="D158" s="13">
        <v>14340</v>
      </c>
      <c r="E158" s="13">
        <v>454725</v>
      </c>
      <c r="F158" s="13">
        <v>1175751</v>
      </c>
      <c r="G158">
        <f>IF(OR(_xlfn.XLOOKUP(A158,'LPG Fup'!D:D,'LPG Fup'!L:L,"",0)&gt;0.03,_xlfn.XLOOKUP(A158,'LPG Fup'!D:D,'LPG Fup'!L:L,"",0)&lt;-0.03),_xlfn.XLOOKUP(A158,'LPG Fup'!D:D,'LPG Fup'!L:L,0,0),0)</f>
        <v>0</v>
      </c>
      <c r="H158">
        <f>IF(_xlfn.XLOOKUP(A158,'LPG Fup'!D:D,'LPG Fup'!M:M,0,0)="",0,_xlfn.XLOOKUP(A158,'LPG Fup'!D:D,'LPG Fup'!M:M,0,0))</f>
        <v>0</v>
      </c>
      <c r="I158" s="109">
        <f>_xlfn.XLOOKUP(A158,'Rafineri Fiyatları'!A:A,'Rafineri Fiyatları'!B:B,"",0)</f>
        <v>4466.2799999999988</v>
      </c>
      <c r="J158">
        <f t="shared" si="8"/>
        <v>2020</v>
      </c>
      <c r="K158">
        <f t="shared" si="9"/>
        <v>11</v>
      </c>
      <c r="L158">
        <f t="shared" si="10"/>
        <v>4</v>
      </c>
      <c r="M158">
        <f t="shared" si="11"/>
        <v>4</v>
      </c>
      <c r="N158">
        <f>_xlfn.XLOOKUP(A158,tatiller!H:H,tatiller!I:I,0,0)</f>
        <v>0</v>
      </c>
      <c r="O158" cm="1">
        <f t="array" ref="O158">_xlfn.IFNA(_xlfn.IFS(L158=1,"A0",A158=EOMONTH(A158,0),"A-1",L158=2,"A+1"),0)</f>
        <v>0</v>
      </c>
      <c r="P158" t="str" cm="1">
        <f t="array" ref="P158">_xlfn.IFNA(_xlfn.IFS(AND(_xlfn.XLOOKUP(A158,'LPG Fup'!D:D,'LPG Fup'!M:M,"",0)&lt;&gt;"",_xlfn.XLOOKUP(A158,'LPG Fup'!D:D,'LPG Fup'!M:M,"",0)&gt;0),"Z-1", AND(_xlfn.XLOOKUP(A158+1,'LPG Fup'!D:D,'LPG Fup'!M:M,"",0)&lt;&gt;"",_xlfn.XLOOKUP(A158+1,'LPG Fup'!D:D,'LPG Fup'!M:M,"",0)&gt;0),"Z-2", AND(_xlfn.XLOOKUP(A158-1,'LPG Fup'!D:D,'LPG Fup'!M:M,"",0)&lt;&gt;"",_xlfn.XLOOKUP(A158-1,'LPG Fup'!D:D,'LPG Fup'!M:M,"",0)&gt;0),"Z", AND(_xlfn.XLOOKUP(A158-2,'LPG Fup'!D:D,'LPG Fup'!M:M,"",0)&lt;&gt;"",_xlfn.XLOOKUP(A158-2,'LPG Fup'!D:D,'LPG Fup'!M:M,"",0)&gt;0),"Z+1"),0)</f>
        <v>Z</v>
      </c>
      <c r="Q158" cm="1">
        <f t="array" ref="Q158">_xlfn.IFNA(_xlfn.IFS(AND(_xlfn.XLOOKUP(A158,'LPG Fup'!D:D,'LPG Fup'!M:M,"",0)&lt;&gt;"",_xlfn.XLOOKUP(A158,'LPG Fup'!D:D,'LPG Fup'!M:M,"",0)&lt;0),"I-1", AND(_xlfn.XLOOKUP(A158+1,'LPG Fup'!D:D,'LPG Fup'!M:M,"",0)&lt;&gt;"",_xlfn.XLOOKUP(A158+1,'LPG Fup'!D:D,'LPG Fup'!M:M,"",0)&lt;0),"I-2", AND(_xlfn.XLOOKUP(A158-1,'LPG Fup'!D:D,'LPG Fup'!M:M,"",0)&lt;&gt;"",_xlfn.XLOOKUP(A158-1,'LPG Fup'!D:D,'LPG Fup'!M:M,"",0)&lt;0),"I", AND(_xlfn.XLOOKUP(A158-2,'LPG Fup'!D:D,'LPG Fup'!M:M,"",0)&lt;&gt;"",_xlfn.XLOOKUP(A158-2,'LPG Fup'!D:D,'LPG Fup'!M:M,"",0)&lt;0),"I+1"),0)</f>
        <v>0</v>
      </c>
      <c r="R158">
        <f>_xlfn.XLOOKUP(A158,Covid!A:A,Covid!I:I,0,0)</f>
        <v>2391</v>
      </c>
      <c r="S158">
        <f>_xlfn.XLOOKUP(A158,Covid!A:A,Covid!K:K,0,0)</f>
        <v>77</v>
      </c>
      <c r="T158" s="145">
        <f>_xlfn.XLOOKUP(A158,Covid!A:A,Covid!K:K,0,0)/_xlfn.XLOOKUP(A158,Covid!A:A,Covid!L:L,0,0)</f>
        <v>4.1825095057034217E-2</v>
      </c>
    </row>
    <row r="159" spans="1:20" x14ac:dyDescent="0.55000000000000004">
      <c r="A159" s="157">
        <v>44140</v>
      </c>
      <c r="B159" s="13">
        <v>360040</v>
      </c>
      <c r="C159" s="13">
        <v>392474</v>
      </c>
      <c r="D159" s="13">
        <v>13756</v>
      </c>
      <c r="E159" s="13">
        <v>451337</v>
      </c>
      <c r="F159" s="13">
        <v>1217607</v>
      </c>
      <c r="G159">
        <f>IF(OR(_xlfn.XLOOKUP(A159,'LPG Fup'!D:D,'LPG Fup'!L:L,"",0)&gt;0.03,_xlfn.XLOOKUP(A159,'LPG Fup'!D:D,'LPG Fup'!L:L,"",0)&lt;-0.03),_xlfn.XLOOKUP(A159,'LPG Fup'!D:D,'LPG Fup'!L:L,0,0),0)</f>
        <v>0</v>
      </c>
      <c r="H159">
        <f>IF(_xlfn.XLOOKUP(A159,'LPG Fup'!D:D,'LPG Fup'!M:M,0,0)="",0,_xlfn.XLOOKUP(A159,'LPG Fup'!D:D,'LPG Fup'!M:M,0,0))</f>
        <v>0</v>
      </c>
      <c r="I159" s="109">
        <f>_xlfn.XLOOKUP(A159,'Rafineri Fiyatları'!A:A,'Rafineri Fiyatları'!B:B,"",0)</f>
        <v>4466.2799999999988</v>
      </c>
      <c r="J159">
        <f t="shared" si="8"/>
        <v>2020</v>
      </c>
      <c r="K159">
        <f t="shared" si="9"/>
        <v>11</v>
      </c>
      <c r="L159">
        <f t="shared" si="10"/>
        <v>5</v>
      </c>
      <c r="M159">
        <f t="shared" si="11"/>
        <v>5</v>
      </c>
      <c r="N159">
        <f>_xlfn.XLOOKUP(A159,tatiller!H:H,tatiller!I:I,0,0)</f>
        <v>0</v>
      </c>
      <c r="O159" cm="1">
        <f t="array" ref="O159">_xlfn.IFNA(_xlfn.IFS(L159=1,"A0",A159=EOMONTH(A159,0),"A-1",L159=2,"A+1"),0)</f>
        <v>0</v>
      </c>
      <c r="P159" t="str" cm="1">
        <f t="array" ref="P159">_xlfn.IFNA(_xlfn.IFS(AND(_xlfn.XLOOKUP(A159,'LPG Fup'!D:D,'LPG Fup'!M:M,"",0)&lt;&gt;"",_xlfn.XLOOKUP(A159,'LPG Fup'!D:D,'LPG Fup'!M:M,"",0)&gt;0),"Z-1", AND(_xlfn.XLOOKUP(A159+1,'LPG Fup'!D:D,'LPG Fup'!M:M,"",0)&lt;&gt;"",_xlfn.XLOOKUP(A159+1,'LPG Fup'!D:D,'LPG Fup'!M:M,"",0)&gt;0),"Z-2", AND(_xlfn.XLOOKUP(A159-1,'LPG Fup'!D:D,'LPG Fup'!M:M,"",0)&lt;&gt;"",_xlfn.XLOOKUP(A159-1,'LPG Fup'!D:D,'LPG Fup'!M:M,"",0)&gt;0),"Z", AND(_xlfn.XLOOKUP(A159-2,'LPG Fup'!D:D,'LPG Fup'!M:M,"",0)&lt;&gt;"",_xlfn.XLOOKUP(A159-2,'LPG Fup'!D:D,'LPG Fup'!M:M,"",0)&gt;0),"Z+1"),0)</f>
        <v>Z+1</v>
      </c>
      <c r="Q159" cm="1">
        <f t="array" ref="Q159">_xlfn.IFNA(_xlfn.IFS(AND(_xlfn.XLOOKUP(A159,'LPG Fup'!D:D,'LPG Fup'!M:M,"",0)&lt;&gt;"",_xlfn.XLOOKUP(A159,'LPG Fup'!D:D,'LPG Fup'!M:M,"",0)&lt;0),"I-1", AND(_xlfn.XLOOKUP(A159+1,'LPG Fup'!D:D,'LPG Fup'!M:M,"",0)&lt;&gt;"",_xlfn.XLOOKUP(A159+1,'LPG Fup'!D:D,'LPG Fup'!M:M,"",0)&lt;0),"I-2", AND(_xlfn.XLOOKUP(A159-1,'LPG Fup'!D:D,'LPG Fup'!M:M,"",0)&lt;&gt;"",_xlfn.XLOOKUP(A159-1,'LPG Fup'!D:D,'LPG Fup'!M:M,"",0)&lt;0),"I", AND(_xlfn.XLOOKUP(A159-2,'LPG Fup'!D:D,'LPG Fup'!M:M,"",0)&lt;&gt;"",_xlfn.XLOOKUP(A159-2,'LPG Fup'!D:D,'LPG Fup'!M:M,"",0)&lt;0),"I+1"),0)</f>
        <v>0</v>
      </c>
      <c r="R159">
        <f>_xlfn.XLOOKUP(A159,Covid!A:A,Covid!I:I,0,0)</f>
        <v>2311</v>
      </c>
      <c r="S159">
        <f>_xlfn.XLOOKUP(A159,Covid!A:A,Covid!K:K,0,0)</f>
        <v>81</v>
      </c>
      <c r="T159" s="145">
        <f>_xlfn.XLOOKUP(A159,Covid!A:A,Covid!K:K,0,0)/_xlfn.XLOOKUP(A159,Covid!A:A,Covid!L:L,0,0)</f>
        <v>4.7257876312718786E-2</v>
      </c>
    </row>
    <row r="160" spans="1:20" x14ac:dyDescent="0.55000000000000004">
      <c r="A160" s="157">
        <v>44141</v>
      </c>
      <c r="B160" s="13">
        <v>371400</v>
      </c>
      <c r="C160" s="13">
        <v>482668</v>
      </c>
      <c r="D160" s="13">
        <v>21877</v>
      </c>
      <c r="E160" s="13">
        <v>506624</v>
      </c>
      <c r="F160" s="13">
        <v>1382569</v>
      </c>
      <c r="G160">
        <f>IF(OR(_xlfn.XLOOKUP(A160,'LPG Fup'!D:D,'LPG Fup'!L:L,"",0)&gt;0.03,_xlfn.XLOOKUP(A160,'LPG Fup'!D:D,'LPG Fup'!L:L,"",0)&lt;-0.03),_xlfn.XLOOKUP(A160,'LPG Fup'!D:D,'LPG Fup'!L:L,0,0),0)</f>
        <v>0</v>
      </c>
      <c r="H160">
        <f>IF(_xlfn.XLOOKUP(A160,'LPG Fup'!D:D,'LPG Fup'!M:M,0,0)="",0,_xlfn.XLOOKUP(A160,'LPG Fup'!D:D,'LPG Fup'!M:M,0,0))</f>
        <v>0</v>
      </c>
      <c r="I160" s="109">
        <f>_xlfn.XLOOKUP(A160,'Rafineri Fiyatları'!A:A,'Rafineri Fiyatları'!B:B,"",0)</f>
        <v>4466.2799999999988</v>
      </c>
      <c r="J160">
        <f t="shared" si="8"/>
        <v>2020</v>
      </c>
      <c r="K160">
        <f t="shared" si="9"/>
        <v>11</v>
      </c>
      <c r="L160">
        <f t="shared" si="10"/>
        <v>6</v>
      </c>
      <c r="M160">
        <f t="shared" si="11"/>
        <v>6</v>
      </c>
      <c r="N160">
        <f>_xlfn.XLOOKUP(A160,tatiller!H:H,tatiller!I:I,0,0)</f>
        <v>0</v>
      </c>
      <c r="O160" cm="1">
        <f t="array" ref="O160">_xlfn.IFNA(_xlfn.IFS(L160=1,"A0",A160=EOMONTH(A160,0),"A-1",L160=2,"A+1"),0)</f>
        <v>0</v>
      </c>
      <c r="P160" cm="1">
        <f t="array" ref="P160">_xlfn.IFNA(_xlfn.IFS(AND(_xlfn.XLOOKUP(A160,'LPG Fup'!D:D,'LPG Fup'!M:M,"",0)&lt;&gt;"",_xlfn.XLOOKUP(A160,'LPG Fup'!D:D,'LPG Fup'!M:M,"",0)&gt;0),"Z-1", AND(_xlfn.XLOOKUP(A160+1,'LPG Fup'!D:D,'LPG Fup'!M:M,"",0)&lt;&gt;"",_xlfn.XLOOKUP(A160+1,'LPG Fup'!D:D,'LPG Fup'!M:M,"",0)&gt;0),"Z-2", AND(_xlfn.XLOOKUP(A160-1,'LPG Fup'!D:D,'LPG Fup'!M:M,"",0)&lt;&gt;"",_xlfn.XLOOKUP(A160-1,'LPG Fup'!D:D,'LPG Fup'!M:M,"",0)&gt;0),"Z", AND(_xlfn.XLOOKUP(A160-2,'LPG Fup'!D:D,'LPG Fup'!M:M,"",0)&lt;&gt;"",_xlfn.XLOOKUP(A160-2,'LPG Fup'!D:D,'LPG Fup'!M:M,"",0)&gt;0),"Z+1"),0)</f>
        <v>0</v>
      </c>
      <c r="Q160" cm="1">
        <f t="array" ref="Q160">_xlfn.IFNA(_xlfn.IFS(AND(_xlfn.XLOOKUP(A160,'LPG Fup'!D:D,'LPG Fup'!M:M,"",0)&lt;&gt;"",_xlfn.XLOOKUP(A160,'LPG Fup'!D:D,'LPG Fup'!M:M,"",0)&lt;0),"I-1", AND(_xlfn.XLOOKUP(A160+1,'LPG Fup'!D:D,'LPG Fup'!M:M,"",0)&lt;&gt;"",_xlfn.XLOOKUP(A160+1,'LPG Fup'!D:D,'LPG Fup'!M:M,"",0)&lt;0),"I-2", AND(_xlfn.XLOOKUP(A160-1,'LPG Fup'!D:D,'LPG Fup'!M:M,"",0)&lt;&gt;"",_xlfn.XLOOKUP(A160-1,'LPG Fup'!D:D,'LPG Fup'!M:M,"",0)&lt;0),"I", AND(_xlfn.XLOOKUP(A160-2,'LPG Fup'!D:D,'LPG Fup'!M:M,"",0)&lt;&gt;"",_xlfn.XLOOKUP(A160-2,'LPG Fup'!D:D,'LPG Fup'!M:M,"",0)&lt;0),"I+1"),0)</f>
        <v>0</v>
      </c>
      <c r="R160">
        <f>_xlfn.XLOOKUP(A160,Covid!A:A,Covid!I:I,0,0)</f>
        <v>2436</v>
      </c>
      <c r="S160">
        <f>_xlfn.XLOOKUP(A160,Covid!A:A,Covid!K:K,0,0)</f>
        <v>83</v>
      </c>
      <c r="T160" s="145">
        <f>_xlfn.XLOOKUP(A160,Covid!A:A,Covid!K:K,0,0)/_xlfn.XLOOKUP(A160,Covid!A:A,Covid!L:L,0,0)</f>
        <v>4.336468129571578E-2</v>
      </c>
    </row>
    <row r="161" spans="1:20" x14ac:dyDescent="0.55000000000000004">
      <c r="A161" s="157">
        <v>44142</v>
      </c>
      <c r="B161" s="13">
        <v>466400</v>
      </c>
      <c r="C161" s="13">
        <v>330721</v>
      </c>
      <c r="D161" s="13">
        <v>0</v>
      </c>
      <c r="E161" s="13">
        <v>476181</v>
      </c>
      <c r="F161" s="13">
        <v>1273302</v>
      </c>
      <c r="G161">
        <f>IF(OR(_xlfn.XLOOKUP(A161,'LPG Fup'!D:D,'LPG Fup'!L:L,"",0)&gt;0.03,_xlfn.XLOOKUP(A161,'LPG Fup'!D:D,'LPG Fup'!L:L,"",0)&lt;-0.03),_xlfn.XLOOKUP(A161,'LPG Fup'!D:D,'LPG Fup'!L:L,0,0),0)</f>
        <v>0</v>
      </c>
      <c r="H161">
        <f>IF(_xlfn.XLOOKUP(A161,'LPG Fup'!D:D,'LPG Fup'!M:M,0,0)="",0,_xlfn.XLOOKUP(A161,'LPG Fup'!D:D,'LPG Fup'!M:M,0,0))</f>
        <v>0</v>
      </c>
      <c r="I161" s="109">
        <f>_xlfn.XLOOKUP(A161,'Rafineri Fiyatları'!A:A,'Rafineri Fiyatları'!B:B,"",0)</f>
        <v>4466.2799999999988</v>
      </c>
      <c r="J161">
        <f t="shared" si="8"/>
        <v>2020</v>
      </c>
      <c r="K161">
        <f t="shared" si="9"/>
        <v>11</v>
      </c>
      <c r="L161">
        <f t="shared" si="10"/>
        <v>7</v>
      </c>
      <c r="M161">
        <f t="shared" si="11"/>
        <v>7</v>
      </c>
      <c r="N161">
        <f>_xlfn.XLOOKUP(A161,tatiller!H:H,tatiller!I:I,0,0)</f>
        <v>0</v>
      </c>
      <c r="O161" cm="1">
        <f t="array" ref="O161">_xlfn.IFNA(_xlfn.IFS(L161=1,"A0",A161=EOMONTH(A161,0),"A-1",L161=2,"A+1"),0)</f>
        <v>0</v>
      </c>
      <c r="P161" cm="1">
        <f t="array" ref="P161">_xlfn.IFNA(_xlfn.IFS(AND(_xlfn.XLOOKUP(A161,'LPG Fup'!D:D,'LPG Fup'!M:M,"",0)&lt;&gt;"",_xlfn.XLOOKUP(A161,'LPG Fup'!D:D,'LPG Fup'!M:M,"",0)&gt;0),"Z-1", AND(_xlfn.XLOOKUP(A161+1,'LPG Fup'!D:D,'LPG Fup'!M:M,"",0)&lt;&gt;"",_xlfn.XLOOKUP(A161+1,'LPG Fup'!D:D,'LPG Fup'!M:M,"",0)&gt;0),"Z-2", AND(_xlfn.XLOOKUP(A161-1,'LPG Fup'!D:D,'LPG Fup'!M:M,"",0)&lt;&gt;"",_xlfn.XLOOKUP(A161-1,'LPG Fup'!D:D,'LPG Fup'!M:M,"",0)&gt;0),"Z", AND(_xlfn.XLOOKUP(A161-2,'LPG Fup'!D:D,'LPG Fup'!M:M,"",0)&lt;&gt;"",_xlfn.XLOOKUP(A161-2,'LPG Fup'!D:D,'LPG Fup'!M:M,"",0)&gt;0),"Z+1"),0)</f>
        <v>0</v>
      </c>
      <c r="Q161" cm="1">
        <f t="array" ref="Q161">_xlfn.IFNA(_xlfn.IFS(AND(_xlfn.XLOOKUP(A161,'LPG Fup'!D:D,'LPG Fup'!M:M,"",0)&lt;&gt;"",_xlfn.XLOOKUP(A161,'LPG Fup'!D:D,'LPG Fup'!M:M,"",0)&lt;0),"I-1", AND(_xlfn.XLOOKUP(A161+1,'LPG Fup'!D:D,'LPG Fup'!M:M,"",0)&lt;&gt;"",_xlfn.XLOOKUP(A161+1,'LPG Fup'!D:D,'LPG Fup'!M:M,"",0)&lt;0),"I-2", AND(_xlfn.XLOOKUP(A161-1,'LPG Fup'!D:D,'LPG Fup'!M:M,"",0)&lt;&gt;"",_xlfn.XLOOKUP(A161-1,'LPG Fup'!D:D,'LPG Fup'!M:M,"",0)&lt;0),"I", AND(_xlfn.XLOOKUP(A161-2,'LPG Fup'!D:D,'LPG Fup'!M:M,"",0)&lt;&gt;"",_xlfn.XLOOKUP(A161-2,'LPG Fup'!D:D,'LPG Fup'!M:M,"",0)&lt;0),"I+1"),0)</f>
        <v>0</v>
      </c>
      <c r="R161">
        <f>_xlfn.XLOOKUP(A161,Covid!A:A,Covid!I:I,0,0)</f>
        <v>2483</v>
      </c>
      <c r="S161">
        <f>_xlfn.XLOOKUP(A161,Covid!A:A,Covid!K:K,0,0)</f>
        <v>81</v>
      </c>
      <c r="T161" s="145">
        <f>_xlfn.XLOOKUP(A161,Covid!A:A,Covid!K:K,0,0)/_xlfn.XLOOKUP(A161,Covid!A:A,Covid!L:L,0,0)</f>
        <v>4.2012448132780086E-2</v>
      </c>
    </row>
    <row r="162" spans="1:20" x14ac:dyDescent="0.55000000000000004">
      <c r="A162" s="157">
        <v>44143</v>
      </c>
      <c r="B162" s="13">
        <v>297040</v>
      </c>
      <c r="C162" s="13">
        <v>402</v>
      </c>
      <c r="D162" s="13">
        <v>0</v>
      </c>
      <c r="E162" s="13">
        <v>417838</v>
      </c>
      <c r="F162" s="13">
        <v>715280</v>
      </c>
      <c r="G162">
        <f>IF(OR(_xlfn.XLOOKUP(A162,'LPG Fup'!D:D,'LPG Fup'!L:L,"",0)&gt;0.03,_xlfn.XLOOKUP(A162,'LPG Fup'!D:D,'LPG Fup'!L:L,"",0)&lt;-0.03),_xlfn.XLOOKUP(A162,'LPG Fup'!D:D,'LPG Fup'!L:L,0,0),0)</f>
        <v>0</v>
      </c>
      <c r="H162">
        <f>IF(_xlfn.XLOOKUP(A162,'LPG Fup'!D:D,'LPG Fup'!M:M,0,0)="",0,_xlfn.XLOOKUP(A162,'LPG Fup'!D:D,'LPG Fup'!M:M,0,0))</f>
        <v>0</v>
      </c>
      <c r="I162" s="109">
        <f>_xlfn.XLOOKUP(A162,'Rafineri Fiyatları'!A:A,'Rafineri Fiyatları'!B:B,"",0)</f>
        <v>4466.2799999999988</v>
      </c>
      <c r="J162">
        <f t="shared" si="8"/>
        <v>2020</v>
      </c>
      <c r="K162">
        <f t="shared" si="9"/>
        <v>11</v>
      </c>
      <c r="L162">
        <f t="shared" si="10"/>
        <v>8</v>
      </c>
      <c r="M162">
        <f t="shared" si="11"/>
        <v>1</v>
      </c>
      <c r="N162">
        <f>_xlfn.XLOOKUP(A162,tatiller!H:H,tatiller!I:I,0,0)</f>
        <v>0</v>
      </c>
      <c r="O162" cm="1">
        <f t="array" ref="O162">_xlfn.IFNA(_xlfn.IFS(L162=1,"A0",A162=EOMONTH(A162,0),"A-1",L162=2,"A+1"),0)</f>
        <v>0</v>
      </c>
      <c r="P162" cm="1">
        <f t="array" ref="P162">_xlfn.IFNA(_xlfn.IFS(AND(_xlfn.XLOOKUP(A162,'LPG Fup'!D:D,'LPG Fup'!M:M,"",0)&lt;&gt;"",_xlfn.XLOOKUP(A162,'LPG Fup'!D:D,'LPG Fup'!M:M,"",0)&gt;0),"Z-1", AND(_xlfn.XLOOKUP(A162+1,'LPG Fup'!D:D,'LPG Fup'!M:M,"",0)&lt;&gt;"",_xlfn.XLOOKUP(A162+1,'LPG Fup'!D:D,'LPG Fup'!M:M,"",0)&gt;0),"Z-2", AND(_xlfn.XLOOKUP(A162-1,'LPG Fup'!D:D,'LPG Fup'!M:M,"",0)&lt;&gt;"",_xlfn.XLOOKUP(A162-1,'LPG Fup'!D:D,'LPG Fup'!M:M,"",0)&gt;0),"Z", AND(_xlfn.XLOOKUP(A162-2,'LPG Fup'!D:D,'LPG Fup'!M:M,"",0)&lt;&gt;"",_xlfn.XLOOKUP(A162-2,'LPG Fup'!D:D,'LPG Fup'!M:M,"",0)&gt;0),"Z+1"),0)</f>
        <v>0</v>
      </c>
      <c r="Q162" cm="1">
        <f t="array" ref="Q162">_xlfn.IFNA(_xlfn.IFS(AND(_xlfn.XLOOKUP(A162,'LPG Fup'!D:D,'LPG Fup'!M:M,"",0)&lt;&gt;"",_xlfn.XLOOKUP(A162,'LPG Fup'!D:D,'LPG Fup'!M:M,"",0)&lt;0),"I-1", AND(_xlfn.XLOOKUP(A162+1,'LPG Fup'!D:D,'LPG Fup'!M:M,"",0)&lt;&gt;"",_xlfn.XLOOKUP(A162+1,'LPG Fup'!D:D,'LPG Fup'!M:M,"",0)&lt;0),"I-2", AND(_xlfn.XLOOKUP(A162-1,'LPG Fup'!D:D,'LPG Fup'!M:M,"",0)&lt;&gt;"",_xlfn.XLOOKUP(A162-1,'LPG Fup'!D:D,'LPG Fup'!M:M,"",0)&lt;0),"I", AND(_xlfn.XLOOKUP(A162-2,'LPG Fup'!D:D,'LPG Fup'!M:M,"",0)&lt;&gt;"",_xlfn.XLOOKUP(A162-2,'LPG Fup'!D:D,'LPG Fup'!M:M,"",0)&lt;0),"I+1"),0)</f>
        <v>0</v>
      </c>
      <c r="R162">
        <f>_xlfn.XLOOKUP(A162,Covid!A:A,Covid!I:I,0,0)</f>
        <v>2516</v>
      </c>
      <c r="S162">
        <f>_xlfn.XLOOKUP(A162,Covid!A:A,Covid!K:K,0,0)</f>
        <v>84</v>
      </c>
      <c r="T162" s="145">
        <f>_xlfn.XLOOKUP(A162,Covid!A:A,Covid!K:K,0,0)/_xlfn.XLOOKUP(A162,Covid!A:A,Covid!L:L,0,0)</f>
        <v>4.1625371655104063E-2</v>
      </c>
    </row>
    <row r="163" spans="1:20" x14ac:dyDescent="0.55000000000000004">
      <c r="A163" s="157">
        <v>44144</v>
      </c>
      <c r="B163" s="13">
        <v>371600</v>
      </c>
      <c r="C163" s="13">
        <v>488033</v>
      </c>
      <c r="D163" s="13">
        <v>14984</v>
      </c>
      <c r="E163" s="13">
        <v>559247</v>
      </c>
      <c r="F163" s="13">
        <v>1433864</v>
      </c>
      <c r="G163">
        <f>IF(OR(_xlfn.XLOOKUP(A163,'LPG Fup'!D:D,'LPG Fup'!L:L,"",0)&gt;0.03,_xlfn.XLOOKUP(A163,'LPG Fup'!D:D,'LPG Fup'!L:L,"",0)&lt;-0.03),_xlfn.XLOOKUP(A163,'LPG Fup'!D:D,'LPG Fup'!L:L,0,0),0)</f>
        <v>0</v>
      </c>
      <c r="H163">
        <f>IF(_xlfn.XLOOKUP(A163,'LPG Fup'!D:D,'LPG Fup'!M:M,0,0)="",0,_xlfn.XLOOKUP(A163,'LPG Fup'!D:D,'LPG Fup'!M:M,0,0))</f>
        <v>0</v>
      </c>
      <c r="I163" s="109">
        <f>_xlfn.XLOOKUP(A163,'Rafineri Fiyatları'!A:A,'Rafineri Fiyatları'!B:B,"",0)</f>
        <v>4466.2799999999988</v>
      </c>
      <c r="J163">
        <f t="shared" si="8"/>
        <v>2020</v>
      </c>
      <c r="K163">
        <f t="shared" si="9"/>
        <v>11</v>
      </c>
      <c r="L163">
        <f t="shared" si="10"/>
        <v>9</v>
      </c>
      <c r="M163">
        <f t="shared" si="11"/>
        <v>2</v>
      </c>
      <c r="N163">
        <f>_xlfn.XLOOKUP(A163,tatiller!H:H,tatiller!I:I,0,0)</f>
        <v>0</v>
      </c>
      <c r="O163" cm="1">
        <f t="array" ref="O163">_xlfn.IFNA(_xlfn.IFS(L163=1,"A0",A163=EOMONTH(A163,0),"A-1",L163=2,"A+1"),0)</f>
        <v>0</v>
      </c>
      <c r="P163" cm="1">
        <f t="array" ref="P163">_xlfn.IFNA(_xlfn.IFS(AND(_xlfn.XLOOKUP(A163,'LPG Fup'!D:D,'LPG Fup'!M:M,"",0)&lt;&gt;"",_xlfn.XLOOKUP(A163,'LPG Fup'!D:D,'LPG Fup'!M:M,"",0)&gt;0),"Z-1", AND(_xlfn.XLOOKUP(A163+1,'LPG Fup'!D:D,'LPG Fup'!M:M,"",0)&lt;&gt;"",_xlfn.XLOOKUP(A163+1,'LPG Fup'!D:D,'LPG Fup'!M:M,"",0)&gt;0),"Z-2", AND(_xlfn.XLOOKUP(A163-1,'LPG Fup'!D:D,'LPG Fup'!M:M,"",0)&lt;&gt;"",_xlfn.XLOOKUP(A163-1,'LPG Fup'!D:D,'LPG Fup'!M:M,"",0)&gt;0),"Z", AND(_xlfn.XLOOKUP(A163-2,'LPG Fup'!D:D,'LPG Fup'!M:M,"",0)&lt;&gt;"",_xlfn.XLOOKUP(A163-2,'LPG Fup'!D:D,'LPG Fup'!M:M,"",0)&gt;0),"Z+1"),0)</f>
        <v>0</v>
      </c>
      <c r="Q163" cm="1">
        <f t="array" ref="Q163">_xlfn.IFNA(_xlfn.IFS(AND(_xlfn.XLOOKUP(A163,'LPG Fup'!D:D,'LPG Fup'!M:M,"",0)&lt;&gt;"",_xlfn.XLOOKUP(A163,'LPG Fup'!D:D,'LPG Fup'!M:M,"",0)&lt;0),"I-1", AND(_xlfn.XLOOKUP(A163+1,'LPG Fup'!D:D,'LPG Fup'!M:M,"",0)&lt;&gt;"",_xlfn.XLOOKUP(A163+1,'LPG Fup'!D:D,'LPG Fup'!M:M,"",0)&lt;0),"I-2", AND(_xlfn.XLOOKUP(A163-1,'LPG Fup'!D:D,'LPG Fup'!M:M,"",0)&lt;&gt;"",_xlfn.XLOOKUP(A163-1,'LPG Fup'!D:D,'LPG Fup'!M:M,"",0)&lt;0),"I", AND(_xlfn.XLOOKUP(A163-2,'LPG Fup'!D:D,'LPG Fup'!M:M,"",0)&lt;&gt;"",_xlfn.XLOOKUP(A163-2,'LPG Fup'!D:D,'LPG Fup'!M:M,"",0)&lt;0),"I+1"),0)</f>
        <v>0</v>
      </c>
      <c r="R163">
        <f>_xlfn.XLOOKUP(A163,Covid!A:A,Covid!I:I,0,0)</f>
        <v>2576</v>
      </c>
      <c r="S163">
        <f>_xlfn.XLOOKUP(A163,Covid!A:A,Covid!K:K,0,0)</f>
        <v>85</v>
      </c>
      <c r="T163" s="145">
        <f>_xlfn.XLOOKUP(A163,Covid!A:A,Covid!K:K,0,0)/_xlfn.XLOOKUP(A163,Covid!A:A,Covid!L:L,0,0)</f>
        <v>4.1524181729360038E-2</v>
      </c>
    </row>
    <row r="164" spans="1:20" x14ac:dyDescent="0.55000000000000004">
      <c r="A164" s="157">
        <v>44145</v>
      </c>
      <c r="B164" s="13">
        <v>377740</v>
      </c>
      <c r="C164" s="13">
        <v>426971</v>
      </c>
      <c r="D164" s="13">
        <v>5612</v>
      </c>
      <c r="E164" s="13">
        <v>496452</v>
      </c>
      <c r="F164" s="13">
        <v>1306775</v>
      </c>
      <c r="G164">
        <f>IF(OR(_xlfn.XLOOKUP(A164,'LPG Fup'!D:D,'LPG Fup'!L:L,"",0)&gt;0.03,_xlfn.XLOOKUP(A164,'LPG Fup'!D:D,'LPG Fup'!L:L,"",0)&lt;-0.03),_xlfn.XLOOKUP(A164,'LPG Fup'!D:D,'LPG Fup'!L:L,0,0),0)</f>
        <v>0</v>
      </c>
      <c r="H164">
        <f>IF(_xlfn.XLOOKUP(A164,'LPG Fup'!D:D,'LPG Fup'!M:M,0,0)="",0,_xlfn.XLOOKUP(A164,'LPG Fup'!D:D,'LPG Fup'!M:M,0,0))</f>
        <v>0</v>
      </c>
      <c r="I164" s="109">
        <f>_xlfn.XLOOKUP(A164,'Rafineri Fiyatları'!A:A,'Rafineri Fiyatları'!B:B,"",0)</f>
        <v>4466.2799999999988</v>
      </c>
      <c r="J164">
        <f t="shared" si="8"/>
        <v>2020</v>
      </c>
      <c r="K164">
        <f t="shared" si="9"/>
        <v>11</v>
      </c>
      <c r="L164">
        <f t="shared" si="10"/>
        <v>10</v>
      </c>
      <c r="M164">
        <f t="shared" si="11"/>
        <v>3</v>
      </c>
      <c r="N164">
        <f>_xlfn.XLOOKUP(A164,tatiller!H:H,tatiller!I:I,0,0)</f>
        <v>0</v>
      </c>
      <c r="O164" cm="1">
        <f t="array" ref="O164">_xlfn.IFNA(_xlfn.IFS(L164=1,"A0",A164=EOMONTH(A164,0),"A-1",L164=2,"A+1"),0)</f>
        <v>0</v>
      </c>
      <c r="P164" cm="1">
        <f t="array" ref="P164">_xlfn.IFNA(_xlfn.IFS(AND(_xlfn.XLOOKUP(A164,'LPG Fup'!D:D,'LPG Fup'!M:M,"",0)&lt;&gt;"",_xlfn.XLOOKUP(A164,'LPG Fup'!D:D,'LPG Fup'!M:M,"",0)&gt;0),"Z-1", AND(_xlfn.XLOOKUP(A164+1,'LPG Fup'!D:D,'LPG Fup'!M:M,"",0)&lt;&gt;"",_xlfn.XLOOKUP(A164+1,'LPG Fup'!D:D,'LPG Fup'!M:M,"",0)&gt;0),"Z-2", AND(_xlfn.XLOOKUP(A164-1,'LPG Fup'!D:D,'LPG Fup'!M:M,"",0)&lt;&gt;"",_xlfn.XLOOKUP(A164-1,'LPG Fup'!D:D,'LPG Fup'!M:M,"",0)&gt;0),"Z", AND(_xlfn.XLOOKUP(A164-2,'LPG Fup'!D:D,'LPG Fup'!M:M,"",0)&lt;&gt;"",_xlfn.XLOOKUP(A164-2,'LPG Fup'!D:D,'LPG Fup'!M:M,"",0)&gt;0),"Z+1"),0)</f>
        <v>0</v>
      </c>
      <c r="Q164" cm="1">
        <f t="array" ref="Q164">_xlfn.IFNA(_xlfn.IFS(AND(_xlfn.XLOOKUP(A164,'LPG Fup'!D:D,'LPG Fup'!M:M,"",0)&lt;&gt;"",_xlfn.XLOOKUP(A164,'LPG Fup'!D:D,'LPG Fup'!M:M,"",0)&lt;0),"I-1", AND(_xlfn.XLOOKUP(A164+1,'LPG Fup'!D:D,'LPG Fup'!M:M,"",0)&lt;&gt;"",_xlfn.XLOOKUP(A164+1,'LPG Fup'!D:D,'LPG Fup'!M:M,"",0)&lt;0),"I-2", AND(_xlfn.XLOOKUP(A164-1,'LPG Fup'!D:D,'LPG Fup'!M:M,"",0)&lt;&gt;"",_xlfn.XLOOKUP(A164-1,'LPG Fup'!D:D,'LPG Fup'!M:M,"",0)&lt;0),"I", AND(_xlfn.XLOOKUP(A164-2,'LPG Fup'!D:D,'LPG Fup'!M:M,"",0)&lt;&gt;"",_xlfn.XLOOKUP(A164-2,'LPG Fup'!D:D,'LPG Fup'!M:M,"",0)&lt;0),"I+1"),0)</f>
        <v>0</v>
      </c>
      <c r="R164">
        <f>_xlfn.XLOOKUP(A164,Covid!A:A,Covid!I:I,0,0)</f>
        <v>2529</v>
      </c>
      <c r="S164">
        <f>_xlfn.XLOOKUP(A164,Covid!A:A,Covid!K:K,0,0)</f>
        <v>87</v>
      </c>
      <c r="T164" s="145">
        <f>_xlfn.XLOOKUP(A164,Covid!A:A,Covid!K:K,0,0)/_xlfn.XLOOKUP(A164,Covid!A:A,Covid!L:L,0,0)</f>
        <v>3.9277652370203163E-2</v>
      </c>
    </row>
    <row r="165" spans="1:20" x14ac:dyDescent="0.55000000000000004">
      <c r="A165" s="157">
        <v>44146</v>
      </c>
      <c r="B165" s="13">
        <v>299820</v>
      </c>
      <c r="C165" s="13">
        <v>464061</v>
      </c>
      <c r="D165" s="13">
        <v>3502</v>
      </c>
      <c r="E165" s="13">
        <v>376244</v>
      </c>
      <c r="F165" s="13">
        <v>1143627</v>
      </c>
      <c r="G165">
        <f>IF(OR(_xlfn.XLOOKUP(A165,'LPG Fup'!D:D,'LPG Fup'!L:L,"",0)&gt;0.03,_xlfn.XLOOKUP(A165,'LPG Fup'!D:D,'LPG Fup'!L:L,"",0)&lt;-0.03),_xlfn.XLOOKUP(A165,'LPG Fup'!D:D,'LPG Fup'!L:L,0,0),0)</f>
        <v>0</v>
      </c>
      <c r="H165">
        <f>IF(_xlfn.XLOOKUP(A165,'LPG Fup'!D:D,'LPG Fup'!M:M,0,0)="",0,_xlfn.XLOOKUP(A165,'LPG Fup'!D:D,'LPG Fup'!M:M,0,0))</f>
        <v>0</v>
      </c>
      <c r="I165" s="109">
        <f>_xlfn.XLOOKUP(A165,'Rafineri Fiyatları'!A:A,'Rafineri Fiyatları'!B:B,"",0)</f>
        <v>4466.2799999999988</v>
      </c>
      <c r="J165">
        <f t="shared" si="8"/>
        <v>2020</v>
      </c>
      <c r="K165">
        <f t="shared" si="9"/>
        <v>11</v>
      </c>
      <c r="L165">
        <f t="shared" si="10"/>
        <v>11</v>
      </c>
      <c r="M165">
        <f t="shared" si="11"/>
        <v>4</v>
      </c>
      <c r="N165">
        <f>_xlfn.XLOOKUP(A165,tatiller!H:H,tatiller!I:I,0,0)</f>
        <v>0</v>
      </c>
      <c r="O165" cm="1">
        <f t="array" ref="O165">_xlfn.IFNA(_xlfn.IFS(L165=1,"A0",A165=EOMONTH(A165,0),"A-1",L165=2,"A+1"),0)</f>
        <v>0</v>
      </c>
      <c r="P165" cm="1">
        <f t="array" ref="P165">_xlfn.IFNA(_xlfn.IFS(AND(_xlfn.XLOOKUP(A165,'LPG Fup'!D:D,'LPG Fup'!M:M,"",0)&lt;&gt;"",_xlfn.XLOOKUP(A165,'LPG Fup'!D:D,'LPG Fup'!M:M,"",0)&gt;0),"Z-1", AND(_xlfn.XLOOKUP(A165+1,'LPG Fup'!D:D,'LPG Fup'!M:M,"",0)&lt;&gt;"",_xlfn.XLOOKUP(A165+1,'LPG Fup'!D:D,'LPG Fup'!M:M,"",0)&gt;0),"Z-2", AND(_xlfn.XLOOKUP(A165-1,'LPG Fup'!D:D,'LPG Fup'!M:M,"",0)&lt;&gt;"",_xlfn.XLOOKUP(A165-1,'LPG Fup'!D:D,'LPG Fup'!M:M,"",0)&gt;0),"Z", AND(_xlfn.XLOOKUP(A165-2,'LPG Fup'!D:D,'LPG Fup'!M:M,"",0)&lt;&gt;"",_xlfn.XLOOKUP(A165-2,'LPG Fup'!D:D,'LPG Fup'!M:M,"",0)&gt;0),"Z+1"),0)</f>
        <v>0</v>
      </c>
      <c r="Q165" cm="1">
        <f t="array" ref="Q165">_xlfn.IFNA(_xlfn.IFS(AND(_xlfn.XLOOKUP(A165,'LPG Fup'!D:D,'LPG Fup'!M:M,"",0)&lt;&gt;"",_xlfn.XLOOKUP(A165,'LPG Fup'!D:D,'LPG Fup'!M:M,"",0)&lt;0),"I-1", AND(_xlfn.XLOOKUP(A165+1,'LPG Fup'!D:D,'LPG Fup'!M:M,"",0)&lt;&gt;"",_xlfn.XLOOKUP(A165+1,'LPG Fup'!D:D,'LPG Fup'!M:M,"",0)&lt;0),"I-2", AND(_xlfn.XLOOKUP(A165-1,'LPG Fup'!D:D,'LPG Fup'!M:M,"",0)&lt;&gt;"",_xlfn.XLOOKUP(A165-1,'LPG Fup'!D:D,'LPG Fup'!M:M,"",0)&lt;0),"I", AND(_xlfn.XLOOKUP(A165-2,'LPG Fup'!D:D,'LPG Fup'!M:M,"",0)&lt;&gt;"",_xlfn.XLOOKUP(A165-2,'LPG Fup'!D:D,'LPG Fup'!M:M,"",0)&lt;0),"I+1"),0)</f>
        <v>0</v>
      </c>
      <c r="R165">
        <f>_xlfn.XLOOKUP(A165,Covid!A:A,Covid!I:I,0,0)</f>
        <v>2693</v>
      </c>
      <c r="S165">
        <f>_xlfn.XLOOKUP(A165,Covid!A:A,Covid!K:K,0,0)</f>
        <v>86</v>
      </c>
      <c r="T165" s="145">
        <f>_xlfn.XLOOKUP(A165,Covid!A:A,Covid!K:K,0,0)/_xlfn.XLOOKUP(A165,Covid!A:A,Covid!L:L,0,0)</f>
        <v>4.0719696969696968E-2</v>
      </c>
    </row>
    <row r="166" spans="1:20" x14ac:dyDescent="0.55000000000000004">
      <c r="A166" s="157">
        <v>44147</v>
      </c>
      <c r="B166" s="13">
        <v>411942</v>
      </c>
      <c r="C166" s="13">
        <v>418897</v>
      </c>
      <c r="D166" s="13">
        <v>22149</v>
      </c>
      <c r="E166" s="13">
        <v>522877</v>
      </c>
      <c r="F166" s="13">
        <v>1375865</v>
      </c>
      <c r="G166">
        <f>IF(OR(_xlfn.XLOOKUP(A166,'LPG Fup'!D:D,'LPG Fup'!L:L,"",0)&gt;0.03,_xlfn.XLOOKUP(A166,'LPG Fup'!D:D,'LPG Fup'!L:L,"",0)&lt;-0.03),_xlfn.XLOOKUP(A166,'LPG Fup'!D:D,'LPG Fup'!L:L,0,0),0)</f>
        <v>0</v>
      </c>
      <c r="H166">
        <f>IF(_xlfn.XLOOKUP(A166,'LPG Fup'!D:D,'LPG Fup'!M:M,0,0)="",0,_xlfn.XLOOKUP(A166,'LPG Fup'!D:D,'LPG Fup'!M:M,0,0))</f>
        <v>0</v>
      </c>
      <c r="I166" s="109">
        <f>_xlfn.XLOOKUP(A166,'Rafineri Fiyatları'!A:A,'Rafineri Fiyatları'!B:B,"",0)</f>
        <v>4466.2799999999988</v>
      </c>
      <c r="J166">
        <f t="shared" si="8"/>
        <v>2020</v>
      </c>
      <c r="K166">
        <f t="shared" si="9"/>
        <v>11</v>
      </c>
      <c r="L166">
        <f t="shared" si="10"/>
        <v>12</v>
      </c>
      <c r="M166">
        <f t="shared" si="11"/>
        <v>5</v>
      </c>
      <c r="N166">
        <f>_xlfn.XLOOKUP(A166,tatiller!H:H,tatiller!I:I,0,0)</f>
        <v>0</v>
      </c>
      <c r="O166" cm="1">
        <f t="array" ref="O166">_xlfn.IFNA(_xlfn.IFS(L166=1,"A0",A166=EOMONTH(A166,0),"A-1",L166=2,"A+1"),0)</f>
        <v>0</v>
      </c>
      <c r="P166" cm="1">
        <f t="array" ref="P166">_xlfn.IFNA(_xlfn.IFS(AND(_xlfn.XLOOKUP(A166,'LPG Fup'!D:D,'LPG Fup'!M:M,"",0)&lt;&gt;"",_xlfn.XLOOKUP(A166,'LPG Fup'!D:D,'LPG Fup'!M:M,"",0)&gt;0),"Z-1", AND(_xlfn.XLOOKUP(A166+1,'LPG Fup'!D:D,'LPG Fup'!M:M,"",0)&lt;&gt;"",_xlfn.XLOOKUP(A166+1,'LPG Fup'!D:D,'LPG Fup'!M:M,"",0)&gt;0),"Z-2", AND(_xlfn.XLOOKUP(A166-1,'LPG Fup'!D:D,'LPG Fup'!M:M,"",0)&lt;&gt;"",_xlfn.XLOOKUP(A166-1,'LPG Fup'!D:D,'LPG Fup'!M:M,"",0)&gt;0),"Z", AND(_xlfn.XLOOKUP(A166-2,'LPG Fup'!D:D,'LPG Fup'!M:M,"",0)&lt;&gt;"",_xlfn.XLOOKUP(A166-2,'LPG Fup'!D:D,'LPG Fup'!M:M,"",0)&gt;0),"Z+1"),0)</f>
        <v>0</v>
      </c>
      <c r="Q166" cm="1">
        <f t="array" ref="Q166">_xlfn.IFNA(_xlfn.IFS(AND(_xlfn.XLOOKUP(A166,'LPG Fup'!D:D,'LPG Fup'!M:M,"",0)&lt;&gt;"",_xlfn.XLOOKUP(A166,'LPG Fup'!D:D,'LPG Fup'!M:M,"",0)&lt;0),"I-1", AND(_xlfn.XLOOKUP(A166+1,'LPG Fup'!D:D,'LPG Fup'!M:M,"",0)&lt;&gt;"",_xlfn.XLOOKUP(A166+1,'LPG Fup'!D:D,'LPG Fup'!M:M,"",0)&lt;0),"I-2", AND(_xlfn.XLOOKUP(A166-1,'LPG Fup'!D:D,'LPG Fup'!M:M,"",0)&lt;&gt;"",_xlfn.XLOOKUP(A166-1,'LPG Fup'!D:D,'LPG Fup'!M:M,"",0)&lt;0),"I", AND(_xlfn.XLOOKUP(A166-2,'LPG Fup'!D:D,'LPG Fup'!M:M,"",0)&lt;&gt;"",_xlfn.XLOOKUP(A166-2,'LPG Fup'!D:D,'LPG Fup'!M:M,"",0)&lt;0),"I+1"),0)</f>
        <v>0</v>
      </c>
      <c r="R166">
        <f>_xlfn.XLOOKUP(A166,Covid!A:A,Covid!I:I,0,0)</f>
        <v>2841</v>
      </c>
      <c r="S166">
        <f>_xlfn.XLOOKUP(A166,Covid!A:A,Covid!K:K,0,0)</f>
        <v>88</v>
      </c>
      <c r="T166" s="145">
        <f>_xlfn.XLOOKUP(A166,Covid!A:A,Covid!K:K,0,0)/_xlfn.XLOOKUP(A166,Covid!A:A,Covid!L:L,0,0)</f>
        <v>4.0348464007336084E-2</v>
      </c>
    </row>
    <row r="167" spans="1:20" x14ac:dyDescent="0.55000000000000004">
      <c r="A167" s="157">
        <v>44148</v>
      </c>
      <c r="B167" s="13">
        <v>400500</v>
      </c>
      <c r="C167" s="13">
        <v>422866</v>
      </c>
      <c r="D167" s="13">
        <v>18501</v>
      </c>
      <c r="E167" s="13">
        <v>461310</v>
      </c>
      <c r="F167" s="13">
        <v>1303177</v>
      </c>
      <c r="G167">
        <f>IF(OR(_xlfn.XLOOKUP(A167,'LPG Fup'!D:D,'LPG Fup'!L:L,"",0)&gt;0.03,_xlfn.XLOOKUP(A167,'LPG Fup'!D:D,'LPG Fup'!L:L,"",0)&lt;-0.03),_xlfn.XLOOKUP(A167,'LPG Fup'!D:D,'LPG Fup'!L:L,0,0),0)</f>
        <v>0</v>
      </c>
      <c r="H167">
        <f>IF(_xlfn.XLOOKUP(A167,'LPG Fup'!D:D,'LPG Fup'!M:M,0,0)="",0,_xlfn.XLOOKUP(A167,'LPG Fup'!D:D,'LPG Fup'!M:M,0,0))</f>
        <v>0</v>
      </c>
      <c r="I167" s="109">
        <f>_xlfn.XLOOKUP(A167,'Rafineri Fiyatları'!A:A,'Rafineri Fiyatları'!B:B,"",0)</f>
        <v>4466.2799999999988</v>
      </c>
      <c r="J167">
        <f t="shared" si="8"/>
        <v>2020</v>
      </c>
      <c r="K167">
        <f t="shared" si="9"/>
        <v>11</v>
      </c>
      <c r="L167">
        <f t="shared" si="10"/>
        <v>13</v>
      </c>
      <c r="M167">
        <f t="shared" si="11"/>
        <v>6</v>
      </c>
      <c r="N167">
        <f>_xlfn.XLOOKUP(A167,tatiller!H:H,tatiller!I:I,0,0)</f>
        <v>0</v>
      </c>
      <c r="O167" cm="1">
        <f t="array" ref="O167">_xlfn.IFNA(_xlfn.IFS(L167=1,"A0",A167=EOMONTH(A167,0),"A-1",L167=2,"A+1"),0)</f>
        <v>0</v>
      </c>
      <c r="P167" cm="1">
        <f t="array" ref="P167">_xlfn.IFNA(_xlfn.IFS(AND(_xlfn.XLOOKUP(A167,'LPG Fup'!D:D,'LPG Fup'!M:M,"",0)&lt;&gt;"",_xlfn.XLOOKUP(A167,'LPG Fup'!D:D,'LPG Fup'!M:M,"",0)&gt;0),"Z-1", AND(_xlfn.XLOOKUP(A167+1,'LPG Fup'!D:D,'LPG Fup'!M:M,"",0)&lt;&gt;"",_xlfn.XLOOKUP(A167+1,'LPG Fup'!D:D,'LPG Fup'!M:M,"",0)&gt;0),"Z-2", AND(_xlfn.XLOOKUP(A167-1,'LPG Fup'!D:D,'LPG Fup'!M:M,"",0)&lt;&gt;"",_xlfn.XLOOKUP(A167-1,'LPG Fup'!D:D,'LPG Fup'!M:M,"",0)&gt;0),"Z", AND(_xlfn.XLOOKUP(A167-2,'LPG Fup'!D:D,'LPG Fup'!M:M,"",0)&lt;&gt;"",_xlfn.XLOOKUP(A167-2,'LPG Fup'!D:D,'LPG Fup'!M:M,"",0)&gt;0),"Z+1"),0)</f>
        <v>0</v>
      </c>
      <c r="Q167" cm="1">
        <f t="array" ref="Q167">_xlfn.IFNA(_xlfn.IFS(AND(_xlfn.XLOOKUP(A167,'LPG Fup'!D:D,'LPG Fup'!M:M,"",0)&lt;&gt;"",_xlfn.XLOOKUP(A167,'LPG Fup'!D:D,'LPG Fup'!M:M,"",0)&lt;0),"I-1", AND(_xlfn.XLOOKUP(A167+1,'LPG Fup'!D:D,'LPG Fup'!M:M,"",0)&lt;&gt;"",_xlfn.XLOOKUP(A167+1,'LPG Fup'!D:D,'LPG Fup'!M:M,"",0)&lt;0),"I-2", AND(_xlfn.XLOOKUP(A167-1,'LPG Fup'!D:D,'LPG Fup'!M:M,"",0)&lt;&gt;"",_xlfn.XLOOKUP(A167-1,'LPG Fup'!D:D,'LPG Fup'!M:M,"",0)&lt;0),"I", AND(_xlfn.XLOOKUP(A167-2,'LPG Fup'!D:D,'LPG Fup'!M:M,"",0)&lt;&gt;"",_xlfn.XLOOKUP(A167-2,'LPG Fup'!D:D,'LPG Fup'!M:M,"",0)&lt;0),"I+1"),0)</f>
        <v>0</v>
      </c>
      <c r="R167">
        <f>_xlfn.XLOOKUP(A167,Covid!A:A,Covid!I:I,0,0)</f>
        <v>3045</v>
      </c>
      <c r="S167">
        <f>_xlfn.XLOOKUP(A167,Covid!A:A,Covid!K:K,0,0)</f>
        <v>93</v>
      </c>
      <c r="T167" s="145">
        <f>_xlfn.XLOOKUP(A167,Covid!A:A,Covid!K:K,0,0)/_xlfn.XLOOKUP(A167,Covid!A:A,Covid!L:L,0,0)</f>
        <v>4.6268656716417909E-2</v>
      </c>
    </row>
    <row r="168" spans="1:20" x14ac:dyDescent="0.55000000000000004">
      <c r="A168" s="157">
        <v>44149</v>
      </c>
      <c r="B168" s="13">
        <v>414620</v>
      </c>
      <c r="C168" s="13">
        <v>337238</v>
      </c>
      <c r="D168" s="13">
        <v>8858</v>
      </c>
      <c r="E168" s="13">
        <v>593545</v>
      </c>
      <c r="F168" s="13">
        <v>3496185</v>
      </c>
      <c r="G168">
        <f>IF(OR(_xlfn.XLOOKUP(A168,'LPG Fup'!D:D,'LPG Fup'!L:L,"",0)&gt;0.03,_xlfn.XLOOKUP(A168,'LPG Fup'!D:D,'LPG Fup'!L:L,"",0)&lt;-0.03),_xlfn.XLOOKUP(A168,'LPG Fup'!D:D,'LPG Fup'!L:L,0,0),0)</f>
        <v>0</v>
      </c>
      <c r="H168">
        <f>IF(_xlfn.XLOOKUP(A168,'LPG Fup'!D:D,'LPG Fup'!M:M,0,0)="",0,_xlfn.XLOOKUP(A168,'LPG Fup'!D:D,'LPG Fup'!M:M,0,0))</f>
        <v>0</v>
      </c>
      <c r="I168" s="109">
        <f>_xlfn.XLOOKUP(A168,'Rafineri Fiyatları'!A:A,'Rafineri Fiyatları'!B:B,"",0)</f>
        <v>4466.2799999999988</v>
      </c>
      <c r="J168">
        <f t="shared" si="8"/>
        <v>2020</v>
      </c>
      <c r="K168">
        <f t="shared" si="9"/>
        <v>11</v>
      </c>
      <c r="L168">
        <f t="shared" si="10"/>
        <v>14</v>
      </c>
      <c r="M168">
        <f t="shared" si="11"/>
        <v>7</v>
      </c>
      <c r="N168">
        <f>_xlfn.XLOOKUP(A168,tatiller!H:H,tatiller!I:I,0,0)</f>
        <v>0</v>
      </c>
      <c r="O168" cm="1">
        <f t="array" ref="O168">_xlfn.IFNA(_xlfn.IFS(L168=1,"A0",A168=EOMONTH(A168,0),"A-1",L168=2,"A+1"),0)</f>
        <v>0</v>
      </c>
      <c r="P168" cm="1">
        <f t="array" ref="P168">_xlfn.IFNA(_xlfn.IFS(AND(_xlfn.XLOOKUP(A168,'LPG Fup'!D:D,'LPG Fup'!M:M,"",0)&lt;&gt;"",_xlfn.XLOOKUP(A168,'LPG Fup'!D:D,'LPG Fup'!M:M,"",0)&gt;0),"Z-1", AND(_xlfn.XLOOKUP(A168+1,'LPG Fup'!D:D,'LPG Fup'!M:M,"",0)&lt;&gt;"",_xlfn.XLOOKUP(A168+1,'LPG Fup'!D:D,'LPG Fup'!M:M,"",0)&gt;0),"Z-2", AND(_xlfn.XLOOKUP(A168-1,'LPG Fup'!D:D,'LPG Fup'!M:M,"",0)&lt;&gt;"",_xlfn.XLOOKUP(A168-1,'LPG Fup'!D:D,'LPG Fup'!M:M,"",0)&gt;0),"Z", AND(_xlfn.XLOOKUP(A168-2,'LPG Fup'!D:D,'LPG Fup'!M:M,"",0)&lt;&gt;"",_xlfn.XLOOKUP(A168-2,'LPG Fup'!D:D,'LPG Fup'!M:M,"",0)&gt;0),"Z+1"),0)</f>
        <v>0</v>
      </c>
      <c r="Q168" cm="1">
        <f t="array" ref="Q168">_xlfn.IFNA(_xlfn.IFS(AND(_xlfn.XLOOKUP(A168,'LPG Fup'!D:D,'LPG Fup'!M:M,"",0)&lt;&gt;"",_xlfn.XLOOKUP(A168,'LPG Fup'!D:D,'LPG Fup'!M:M,"",0)&lt;0),"I-1", AND(_xlfn.XLOOKUP(A168+1,'LPG Fup'!D:D,'LPG Fup'!M:M,"",0)&lt;&gt;"",_xlfn.XLOOKUP(A168+1,'LPG Fup'!D:D,'LPG Fup'!M:M,"",0)&lt;0),"I-2", AND(_xlfn.XLOOKUP(A168-1,'LPG Fup'!D:D,'LPG Fup'!M:M,"",0)&lt;&gt;"",_xlfn.XLOOKUP(A168-1,'LPG Fup'!D:D,'LPG Fup'!M:M,"",0)&lt;0),"I", AND(_xlfn.XLOOKUP(A168-2,'LPG Fup'!D:D,'LPG Fup'!M:M,"",0)&lt;&gt;"",_xlfn.XLOOKUP(A168-2,'LPG Fup'!D:D,'LPG Fup'!M:M,"",0)&lt;0),"I+1"),0)</f>
        <v>0</v>
      </c>
      <c r="R168">
        <f>_xlfn.XLOOKUP(A168,Covid!A:A,Covid!I:I,0,0)</f>
        <v>3116</v>
      </c>
      <c r="S168">
        <f>_xlfn.XLOOKUP(A168,Covid!A:A,Covid!K:K,0,0)</f>
        <v>92</v>
      </c>
      <c r="T168" s="145">
        <f>_xlfn.XLOOKUP(A168,Covid!A:A,Covid!K:K,0,0)/_xlfn.XLOOKUP(A168,Covid!A:A,Covid!L:L,0,0)</f>
        <v>4.0034812880765887E-2</v>
      </c>
    </row>
    <row r="169" spans="1:20" x14ac:dyDescent="0.55000000000000004">
      <c r="A169" s="157">
        <v>44150</v>
      </c>
      <c r="B169" s="13">
        <v>474980</v>
      </c>
      <c r="C169" s="13">
        <v>682</v>
      </c>
      <c r="D169" s="13">
        <v>0</v>
      </c>
      <c r="E169" s="13">
        <v>339331</v>
      </c>
      <c r="F169" s="13">
        <v>814993</v>
      </c>
      <c r="G169">
        <f>IF(OR(_xlfn.XLOOKUP(A169,'LPG Fup'!D:D,'LPG Fup'!L:L,"",0)&gt;0.03,_xlfn.XLOOKUP(A169,'LPG Fup'!D:D,'LPG Fup'!L:L,"",0)&lt;-0.03),_xlfn.XLOOKUP(A169,'LPG Fup'!D:D,'LPG Fup'!L:L,0,0),0)</f>
        <v>0</v>
      </c>
      <c r="H169">
        <f>IF(_xlfn.XLOOKUP(A169,'LPG Fup'!D:D,'LPG Fup'!M:M,0,0)="",0,_xlfn.XLOOKUP(A169,'LPG Fup'!D:D,'LPG Fup'!M:M,0,0))</f>
        <v>0</v>
      </c>
      <c r="I169" s="109">
        <f>_xlfn.XLOOKUP(A169,'Rafineri Fiyatları'!A:A,'Rafineri Fiyatları'!B:B,"",0)</f>
        <v>4466.2799999999988</v>
      </c>
      <c r="J169">
        <f t="shared" si="8"/>
        <v>2020</v>
      </c>
      <c r="K169">
        <f t="shared" si="9"/>
        <v>11</v>
      </c>
      <c r="L169">
        <f t="shared" si="10"/>
        <v>15</v>
      </c>
      <c r="M169">
        <f t="shared" si="11"/>
        <v>1</v>
      </c>
      <c r="N169">
        <f>_xlfn.XLOOKUP(A169,tatiller!H:H,tatiller!I:I,0,0)</f>
        <v>0</v>
      </c>
      <c r="O169" cm="1">
        <f t="array" ref="O169">_xlfn.IFNA(_xlfn.IFS(L169=1,"A0",A169=EOMONTH(A169,0),"A-1",L169=2,"A+1"),0)</f>
        <v>0</v>
      </c>
      <c r="P169" cm="1">
        <f t="array" ref="P169">_xlfn.IFNA(_xlfn.IFS(AND(_xlfn.XLOOKUP(A169,'LPG Fup'!D:D,'LPG Fup'!M:M,"",0)&lt;&gt;"",_xlfn.XLOOKUP(A169,'LPG Fup'!D:D,'LPG Fup'!M:M,"",0)&gt;0),"Z-1", AND(_xlfn.XLOOKUP(A169+1,'LPG Fup'!D:D,'LPG Fup'!M:M,"",0)&lt;&gt;"",_xlfn.XLOOKUP(A169+1,'LPG Fup'!D:D,'LPG Fup'!M:M,"",0)&gt;0),"Z-2", AND(_xlfn.XLOOKUP(A169-1,'LPG Fup'!D:D,'LPG Fup'!M:M,"",0)&lt;&gt;"",_xlfn.XLOOKUP(A169-1,'LPG Fup'!D:D,'LPG Fup'!M:M,"",0)&gt;0),"Z", AND(_xlfn.XLOOKUP(A169-2,'LPG Fup'!D:D,'LPG Fup'!M:M,"",0)&lt;&gt;"",_xlfn.XLOOKUP(A169-2,'LPG Fup'!D:D,'LPG Fup'!M:M,"",0)&gt;0),"Z+1"),0)</f>
        <v>0</v>
      </c>
      <c r="Q169" t="str" cm="1">
        <f t="array" ref="Q169">_xlfn.IFNA(_xlfn.IFS(AND(_xlfn.XLOOKUP(A169,'LPG Fup'!D:D,'LPG Fup'!M:M,"",0)&lt;&gt;"",_xlfn.XLOOKUP(A169,'LPG Fup'!D:D,'LPG Fup'!M:M,"",0)&lt;0),"I-1", AND(_xlfn.XLOOKUP(A169+1,'LPG Fup'!D:D,'LPG Fup'!M:M,"",0)&lt;&gt;"",_xlfn.XLOOKUP(A169+1,'LPG Fup'!D:D,'LPG Fup'!M:M,"",0)&lt;0),"I-2", AND(_xlfn.XLOOKUP(A169-1,'LPG Fup'!D:D,'LPG Fup'!M:M,"",0)&lt;&gt;"",_xlfn.XLOOKUP(A169-1,'LPG Fup'!D:D,'LPG Fup'!M:M,"",0)&lt;0),"I", AND(_xlfn.XLOOKUP(A169-2,'LPG Fup'!D:D,'LPG Fup'!M:M,"",0)&lt;&gt;"",_xlfn.XLOOKUP(A169-2,'LPG Fup'!D:D,'LPG Fup'!M:M,"",0)&lt;0),"I+1"),0)</f>
        <v>I-2</v>
      </c>
      <c r="R169">
        <f>_xlfn.XLOOKUP(A169,Covid!A:A,Covid!I:I,0,0)</f>
        <v>3223</v>
      </c>
      <c r="S169">
        <f>_xlfn.XLOOKUP(A169,Covid!A:A,Covid!K:K,0,0)</f>
        <v>89</v>
      </c>
      <c r="T169" s="145">
        <f>_xlfn.XLOOKUP(A169,Covid!A:A,Covid!K:K,0,0)/_xlfn.XLOOKUP(A169,Covid!A:A,Covid!L:L,0,0)</f>
        <v>3.4752049980476374E-2</v>
      </c>
    </row>
    <row r="170" spans="1:20" x14ac:dyDescent="0.55000000000000004">
      <c r="A170" s="157">
        <v>44151</v>
      </c>
      <c r="B170" s="13">
        <v>1713014</v>
      </c>
      <c r="C170" s="13">
        <v>491205</v>
      </c>
      <c r="D170" s="13">
        <v>9433</v>
      </c>
      <c r="E170" s="13">
        <v>556557</v>
      </c>
      <c r="F170" s="13">
        <v>2770209</v>
      </c>
      <c r="G170">
        <f>IF(OR(_xlfn.XLOOKUP(A170,'LPG Fup'!D:D,'LPG Fup'!L:L,"",0)&gt;0.03,_xlfn.XLOOKUP(A170,'LPG Fup'!D:D,'LPG Fup'!L:L,"",0)&lt;-0.03),_xlfn.XLOOKUP(A170,'LPG Fup'!D:D,'LPG Fup'!L:L,0,0),0)</f>
        <v>-4.7731355252606314E-2</v>
      </c>
      <c r="H170">
        <f>IF(_xlfn.XLOOKUP(A170,'LPG Fup'!D:D,'LPG Fup'!M:M,0,0)="",0,_xlfn.XLOOKUP(A170,'LPG Fup'!D:D,'LPG Fup'!M:M,0,0))</f>
        <v>-320</v>
      </c>
      <c r="I170" s="109">
        <f>_xlfn.XLOOKUP(A170,'Rafineri Fiyatları'!A:A,'Rafineri Fiyatları'!B:B,"",0)</f>
        <v>4466.2799999999988</v>
      </c>
      <c r="J170">
        <f t="shared" si="8"/>
        <v>2020</v>
      </c>
      <c r="K170">
        <f t="shared" si="9"/>
        <v>11</v>
      </c>
      <c r="L170">
        <f t="shared" si="10"/>
        <v>16</v>
      </c>
      <c r="M170">
        <f t="shared" si="11"/>
        <v>2</v>
      </c>
      <c r="N170">
        <f>_xlfn.XLOOKUP(A170,tatiller!H:H,tatiller!I:I,0,0)</f>
        <v>0</v>
      </c>
      <c r="O170" cm="1">
        <f t="array" ref="O170">_xlfn.IFNA(_xlfn.IFS(L170=1,"A0",A170=EOMONTH(A170,0),"A-1",L170=2,"A+1"),0)</f>
        <v>0</v>
      </c>
      <c r="P170" cm="1">
        <f t="array" ref="P170">_xlfn.IFNA(_xlfn.IFS(AND(_xlfn.XLOOKUP(A170,'LPG Fup'!D:D,'LPG Fup'!M:M,"",0)&lt;&gt;"",_xlfn.XLOOKUP(A170,'LPG Fup'!D:D,'LPG Fup'!M:M,"",0)&gt;0),"Z-1", AND(_xlfn.XLOOKUP(A170+1,'LPG Fup'!D:D,'LPG Fup'!M:M,"",0)&lt;&gt;"",_xlfn.XLOOKUP(A170+1,'LPG Fup'!D:D,'LPG Fup'!M:M,"",0)&gt;0),"Z-2", AND(_xlfn.XLOOKUP(A170-1,'LPG Fup'!D:D,'LPG Fup'!M:M,"",0)&lt;&gt;"",_xlfn.XLOOKUP(A170-1,'LPG Fup'!D:D,'LPG Fup'!M:M,"",0)&gt;0),"Z", AND(_xlfn.XLOOKUP(A170-2,'LPG Fup'!D:D,'LPG Fup'!M:M,"",0)&lt;&gt;"",_xlfn.XLOOKUP(A170-2,'LPG Fup'!D:D,'LPG Fup'!M:M,"",0)&gt;0),"Z+1"),0)</f>
        <v>0</v>
      </c>
      <c r="Q170" t="str" cm="1">
        <f t="array" ref="Q170">_xlfn.IFNA(_xlfn.IFS(AND(_xlfn.XLOOKUP(A170,'LPG Fup'!D:D,'LPG Fup'!M:M,"",0)&lt;&gt;"",_xlfn.XLOOKUP(A170,'LPG Fup'!D:D,'LPG Fup'!M:M,"",0)&lt;0),"I-1", AND(_xlfn.XLOOKUP(A170+1,'LPG Fup'!D:D,'LPG Fup'!M:M,"",0)&lt;&gt;"",_xlfn.XLOOKUP(A170+1,'LPG Fup'!D:D,'LPG Fup'!M:M,"",0)&lt;0),"I-2", AND(_xlfn.XLOOKUP(A170-1,'LPG Fup'!D:D,'LPG Fup'!M:M,"",0)&lt;&gt;"",_xlfn.XLOOKUP(A170-1,'LPG Fup'!D:D,'LPG Fup'!M:M,"",0)&lt;0),"I", AND(_xlfn.XLOOKUP(A170-2,'LPG Fup'!D:D,'LPG Fup'!M:M,"",0)&lt;&gt;"",_xlfn.XLOOKUP(A170-2,'LPG Fup'!D:D,'LPG Fup'!M:M,"",0)&lt;0),"I+1"),0)</f>
        <v>I-1</v>
      </c>
      <c r="R170">
        <f>_xlfn.XLOOKUP(A170,Covid!A:A,Covid!I:I,0,0)</f>
        <v>3316</v>
      </c>
      <c r="S170">
        <f>_xlfn.XLOOKUP(A170,Covid!A:A,Covid!K:K,0,0)</f>
        <v>94</v>
      </c>
      <c r="T170" s="145">
        <f>_xlfn.XLOOKUP(A170,Covid!A:A,Covid!K:K,0,0)/_xlfn.XLOOKUP(A170,Covid!A:A,Covid!L:L,0,0)</f>
        <v>3.466076696165192E-2</v>
      </c>
    </row>
    <row r="171" spans="1:20" x14ac:dyDescent="0.55000000000000004">
      <c r="A171" s="157">
        <v>44152</v>
      </c>
      <c r="B171" s="13">
        <v>303700</v>
      </c>
      <c r="C171" s="13">
        <v>407673</v>
      </c>
      <c r="D171" s="13">
        <v>27473</v>
      </c>
      <c r="E171" s="13">
        <v>442227</v>
      </c>
      <c r="F171" s="13">
        <v>1181073</v>
      </c>
      <c r="G171">
        <f>IF(OR(_xlfn.XLOOKUP(A171,'LPG Fup'!D:D,'LPG Fup'!L:L,"",0)&gt;0.03,_xlfn.XLOOKUP(A171,'LPG Fup'!D:D,'LPG Fup'!L:L,"",0)&lt;-0.03),_xlfn.XLOOKUP(A171,'LPG Fup'!D:D,'LPG Fup'!L:L,0,0),0)</f>
        <v>0</v>
      </c>
      <c r="H171">
        <f>IF(_xlfn.XLOOKUP(A171,'LPG Fup'!D:D,'LPG Fup'!M:M,0,0)="",0,_xlfn.XLOOKUP(A171,'LPG Fup'!D:D,'LPG Fup'!M:M,0,0))</f>
        <v>0</v>
      </c>
      <c r="I171" s="109">
        <f>_xlfn.XLOOKUP(A171,'Rafineri Fiyatları'!A:A,'Rafineri Fiyatları'!B:B,"",0)</f>
        <v>4466.2799999999988</v>
      </c>
      <c r="J171">
        <f t="shared" si="8"/>
        <v>2020</v>
      </c>
      <c r="K171">
        <f t="shared" si="9"/>
        <v>11</v>
      </c>
      <c r="L171">
        <f t="shared" si="10"/>
        <v>17</v>
      </c>
      <c r="M171">
        <f t="shared" si="11"/>
        <v>3</v>
      </c>
      <c r="N171">
        <f>_xlfn.XLOOKUP(A171,tatiller!H:H,tatiller!I:I,0,0)</f>
        <v>0</v>
      </c>
      <c r="O171" cm="1">
        <f t="array" ref="O171">_xlfn.IFNA(_xlfn.IFS(L171=1,"A0",A171=EOMONTH(A171,0),"A-1",L171=2,"A+1"),0)</f>
        <v>0</v>
      </c>
      <c r="P171" cm="1">
        <f t="array" ref="P171">_xlfn.IFNA(_xlfn.IFS(AND(_xlfn.XLOOKUP(A171,'LPG Fup'!D:D,'LPG Fup'!M:M,"",0)&lt;&gt;"",_xlfn.XLOOKUP(A171,'LPG Fup'!D:D,'LPG Fup'!M:M,"",0)&gt;0),"Z-1", AND(_xlfn.XLOOKUP(A171+1,'LPG Fup'!D:D,'LPG Fup'!M:M,"",0)&lt;&gt;"",_xlfn.XLOOKUP(A171+1,'LPG Fup'!D:D,'LPG Fup'!M:M,"",0)&gt;0),"Z-2", AND(_xlfn.XLOOKUP(A171-1,'LPG Fup'!D:D,'LPG Fup'!M:M,"",0)&lt;&gt;"",_xlfn.XLOOKUP(A171-1,'LPG Fup'!D:D,'LPG Fup'!M:M,"",0)&gt;0),"Z", AND(_xlfn.XLOOKUP(A171-2,'LPG Fup'!D:D,'LPG Fup'!M:M,"",0)&lt;&gt;"",_xlfn.XLOOKUP(A171-2,'LPG Fup'!D:D,'LPG Fup'!M:M,"",0)&gt;0),"Z+1"),0)</f>
        <v>0</v>
      </c>
      <c r="Q171" t="str" cm="1">
        <f t="array" ref="Q171">_xlfn.IFNA(_xlfn.IFS(AND(_xlfn.XLOOKUP(A171,'LPG Fup'!D:D,'LPG Fup'!M:M,"",0)&lt;&gt;"",_xlfn.XLOOKUP(A171,'LPG Fup'!D:D,'LPG Fup'!M:M,"",0)&lt;0),"I-1", AND(_xlfn.XLOOKUP(A171+1,'LPG Fup'!D:D,'LPG Fup'!M:M,"",0)&lt;&gt;"",_xlfn.XLOOKUP(A171+1,'LPG Fup'!D:D,'LPG Fup'!M:M,"",0)&lt;0),"I-2", AND(_xlfn.XLOOKUP(A171-1,'LPG Fup'!D:D,'LPG Fup'!M:M,"",0)&lt;&gt;"",_xlfn.XLOOKUP(A171-1,'LPG Fup'!D:D,'LPG Fup'!M:M,"",0)&lt;0),"I", AND(_xlfn.XLOOKUP(A171-2,'LPG Fup'!D:D,'LPG Fup'!M:M,"",0)&lt;&gt;"",_xlfn.XLOOKUP(A171-2,'LPG Fup'!D:D,'LPG Fup'!M:M,"",0)&lt;0),"I+1"),0)</f>
        <v>I</v>
      </c>
      <c r="R171">
        <f>_xlfn.XLOOKUP(A171,Covid!A:A,Covid!I:I,0,0)</f>
        <v>3819</v>
      </c>
      <c r="S171">
        <f>_xlfn.XLOOKUP(A171,Covid!A:A,Covid!K:K,0,0)</f>
        <v>103</v>
      </c>
      <c r="T171" s="145">
        <f>_xlfn.XLOOKUP(A171,Covid!A:A,Covid!K:K,0,0)/_xlfn.XLOOKUP(A171,Covid!A:A,Covid!L:L,0,0)</f>
        <v>3.8318452380952384E-2</v>
      </c>
    </row>
    <row r="172" spans="1:20" x14ac:dyDescent="0.55000000000000004">
      <c r="A172" s="157">
        <v>44153</v>
      </c>
      <c r="B172" s="13">
        <v>417320</v>
      </c>
      <c r="C172" s="13">
        <v>429055</v>
      </c>
      <c r="D172" s="13">
        <v>5137</v>
      </c>
      <c r="E172" s="13">
        <v>543578</v>
      </c>
      <c r="F172" s="13">
        <v>1395090</v>
      </c>
      <c r="G172">
        <f>IF(OR(_xlfn.XLOOKUP(A172,'LPG Fup'!D:D,'LPG Fup'!L:L,"",0)&gt;0.03,_xlfn.XLOOKUP(A172,'LPG Fup'!D:D,'LPG Fup'!L:L,"",0)&lt;-0.03),_xlfn.XLOOKUP(A172,'LPG Fup'!D:D,'LPG Fup'!L:L,0,0),0)</f>
        <v>0</v>
      </c>
      <c r="H172">
        <f>IF(_xlfn.XLOOKUP(A172,'LPG Fup'!D:D,'LPG Fup'!M:M,0,0)="",0,_xlfn.XLOOKUP(A172,'LPG Fup'!D:D,'LPG Fup'!M:M,0,0))</f>
        <v>0</v>
      </c>
      <c r="I172" s="109">
        <f>_xlfn.XLOOKUP(A172,'Rafineri Fiyatları'!A:A,'Rafineri Fiyatları'!B:B,"",0)</f>
        <v>4466.2799999999988</v>
      </c>
      <c r="J172">
        <f t="shared" si="8"/>
        <v>2020</v>
      </c>
      <c r="K172">
        <f t="shared" si="9"/>
        <v>11</v>
      </c>
      <c r="L172">
        <f t="shared" si="10"/>
        <v>18</v>
      </c>
      <c r="M172">
        <f t="shared" si="11"/>
        <v>4</v>
      </c>
      <c r="N172">
        <f>_xlfn.XLOOKUP(A172,tatiller!H:H,tatiller!I:I,0,0)</f>
        <v>0</v>
      </c>
      <c r="O172" cm="1">
        <f t="array" ref="O172">_xlfn.IFNA(_xlfn.IFS(L172=1,"A0",A172=EOMONTH(A172,0),"A-1",L172=2,"A+1"),0)</f>
        <v>0</v>
      </c>
      <c r="P172" cm="1">
        <f t="array" ref="P172">_xlfn.IFNA(_xlfn.IFS(AND(_xlfn.XLOOKUP(A172,'LPG Fup'!D:D,'LPG Fup'!M:M,"",0)&lt;&gt;"",_xlfn.XLOOKUP(A172,'LPG Fup'!D:D,'LPG Fup'!M:M,"",0)&gt;0),"Z-1", AND(_xlfn.XLOOKUP(A172+1,'LPG Fup'!D:D,'LPG Fup'!M:M,"",0)&lt;&gt;"",_xlfn.XLOOKUP(A172+1,'LPG Fup'!D:D,'LPG Fup'!M:M,"",0)&gt;0),"Z-2", AND(_xlfn.XLOOKUP(A172-1,'LPG Fup'!D:D,'LPG Fup'!M:M,"",0)&lt;&gt;"",_xlfn.XLOOKUP(A172-1,'LPG Fup'!D:D,'LPG Fup'!M:M,"",0)&gt;0),"Z", AND(_xlfn.XLOOKUP(A172-2,'LPG Fup'!D:D,'LPG Fup'!M:M,"",0)&lt;&gt;"",_xlfn.XLOOKUP(A172-2,'LPG Fup'!D:D,'LPG Fup'!M:M,"",0)&gt;0),"Z+1"),0)</f>
        <v>0</v>
      </c>
      <c r="Q172" t="str" cm="1">
        <f t="array" ref="Q172">_xlfn.IFNA(_xlfn.IFS(AND(_xlfn.XLOOKUP(A172,'LPG Fup'!D:D,'LPG Fup'!M:M,"",0)&lt;&gt;"",_xlfn.XLOOKUP(A172,'LPG Fup'!D:D,'LPG Fup'!M:M,"",0)&lt;0),"I-1", AND(_xlfn.XLOOKUP(A172+1,'LPG Fup'!D:D,'LPG Fup'!M:M,"",0)&lt;&gt;"",_xlfn.XLOOKUP(A172+1,'LPG Fup'!D:D,'LPG Fup'!M:M,"",0)&lt;0),"I-2", AND(_xlfn.XLOOKUP(A172-1,'LPG Fup'!D:D,'LPG Fup'!M:M,"",0)&lt;&gt;"",_xlfn.XLOOKUP(A172-1,'LPG Fup'!D:D,'LPG Fup'!M:M,"",0)&lt;0),"I", AND(_xlfn.XLOOKUP(A172-2,'LPG Fup'!D:D,'LPG Fup'!M:M,"",0)&lt;&gt;"",_xlfn.XLOOKUP(A172-2,'LPG Fup'!D:D,'LPG Fup'!M:M,"",0)&lt;0),"I+1"),0)</f>
        <v>I+1</v>
      </c>
      <c r="R172">
        <f>_xlfn.XLOOKUP(A172,Covid!A:A,Covid!I:I,0,0)</f>
        <v>4215</v>
      </c>
      <c r="S172">
        <f>_xlfn.XLOOKUP(A172,Covid!A:A,Covid!K:K,0,0)</f>
        <v>116</v>
      </c>
      <c r="T172" s="145">
        <f>_xlfn.XLOOKUP(A172,Covid!A:A,Covid!K:K,0,0)/_xlfn.XLOOKUP(A172,Covid!A:A,Covid!L:L,0,0)</f>
        <v>4.4753086419753084E-2</v>
      </c>
    </row>
    <row r="173" spans="1:20" x14ac:dyDescent="0.55000000000000004">
      <c r="A173" s="157">
        <v>44154</v>
      </c>
      <c r="B173" s="13">
        <v>426100</v>
      </c>
      <c r="C173" s="13">
        <v>413857</v>
      </c>
      <c r="D173" s="13">
        <v>18829</v>
      </c>
      <c r="E173" s="13">
        <v>409284</v>
      </c>
      <c r="F173" s="13">
        <v>1268070</v>
      </c>
      <c r="G173">
        <f>IF(OR(_xlfn.XLOOKUP(A173,'LPG Fup'!D:D,'LPG Fup'!L:L,"",0)&gt;0.03,_xlfn.XLOOKUP(A173,'LPG Fup'!D:D,'LPG Fup'!L:L,"",0)&lt;-0.03),_xlfn.XLOOKUP(A173,'LPG Fup'!D:D,'LPG Fup'!L:L,0,0),0)</f>
        <v>0</v>
      </c>
      <c r="H173">
        <f>IF(_xlfn.XLOOKUP(A173,'LPG Fup'!D:D,'LPG Fup'!M:M,0,0)="",0,_xlfn.XLOOKUP(A173,'LPG Fup'!D:D,'LPG Fup'!M:M,0,0))</f>
        <v>0</v>
      </c>
      <c r="I173" s="109">
        <f>_xlfn.XLOOKUP(A173,'Rafineri Fiyatları'!A:A,'Rafineri Fiyatları'!B:B,"",0)</f>
        <v>4466.2799999999988</v>
      </c>
      <c r="J173">
        <f t="shared" si="8"/>
        <v>2020</v>
      </c>
      <c r="K173">
        <f t="shared" si="9"/>
        <v>11</v>
      </c>
      <c r="L173">
        <f t="shared" si="10"/>
        <v>19</v>
      </c>
      <c r="M173">
        <f t="shared" si="11"/>
        <v>5</v>
      </c>
      <c r="N173">
        <f>_xlfn.XLOOKUP(A173,tatiller!H:H,tatiller!I:I,0,0)</f>
        <v>0</v>
      </c>
      <c r="O173" cm="1">
        <f t="array" ref="O173">_xlfn.IFNA(_xlfn.IFS(L173=1,"A0",A173=EOMONTH(A173,0),"A-1",L173=2,"A+1"),0)</f>
        <v>0</v>
      </c>
      <c r="P173" cm="1">
        <f t="array" ref="P173">_xlfn.IFNA(_xlfn.IFS(AND(_xlfn.XLOOKUP(A173,'LPG Fup'!D:D,'LPG Fup'!M:M,"",0)&lt;&gt;"",_xlfn.XLOOKUP(A173,'LPG Fup'!D:D,'LPG Fup'!M:M,"",0)&gt;0),"Z-1", AND(_xlfn.XLOOKUP(A173+1,'LPG Fup'!D:D,'LPG Fup'!M:M,"",0)&lt;&gt;"",_xlfn.XLOOKUP(A173+1,'LPG Fup'!D:D,'LPG Fup'!M:M,"",0)&gt;0),"Z-2", AND(_xlfn.XLOOKUP(A173-1,'LPG Fup'!D:D,'LPG Fup'!M:M,"",0)&lt;&gt;"",_xlfn.XLOOKUP(A173-1,'LPG Fup'!D:D,'LPG Fup'!M:M,"",0)&gt;0),"Z", AND(_xlfn.XLOOKUP(A173-2,'LPG Fup'!D:D,'LPG Fup'!M:M,"",0)&lt;&gt;"",_xlfn.XLOOKUP(A173-2,'LPG Fup'!D:D,'LPG Fup'!M:M,"",0)&gt;0),"Z+1"),0)</f>
        <v>0</v>
      </c>
      <c r="Q173" cm="1">
        <f t="array" ref="Q173">_xlfn.IFNA(_xlfn.IFS(AND(_xlfn.XLOOKUP(A173,'LPG Fup'!D:D,'LPG Fup'!M:M,"",0)&lt;&gt;"",_xlfn.XLOOKUP(A173,'LPG Fup'!D:D,'LPG Fup'!M:M,"",0)&lt;0),"I-1", AND(_xlfn.XLOOKUP(A173+1,'LPG Fup'!D:D,'LPG Fup'!M:M,"",0)&lt;&gt;"",_xlfn.XLOOKUP(A173+1,'LPG Fup'!D:D,'LPG Fup'!M:M,"",0)&lt;0),"I-2", AND(_xlfn.XLOOKUP(A173-1,'LPG Fup'!D:D,'LPG Fup'!M:M,"",0)&lt;&gt;"",_xlfn.XLOOKUP(A173-1,'LPG Fup'!D:D,'LPG Fup'!M:M,"",0)&lt;0),"I", AND(_xlfn.XLOOKUP(A173-2,'LPG Fup'!D:D,'LPG Fup'!M:M,"",0)&lt;&gt;"",_xlfn.XLOOKUP(A173-2,'LPG Fup'!D:D,'LPG Fup'!M:M,"",0)&lt;0),"I+1"),0)</f>
        <v>0</v>
      </c>
      <c r="R173">
        <f>_xlfn.XLOOKUP(A173,Covid!A:A,Covid!I:I,0,0)</f>
        <v>4542</v>
      </c>
      <c r="S173">
        <f>_xlfn.XLOOKUP(A173,Covid!A:A,Covid!K:K,0,0)</f>
        <v>123</v>
      </c>
      <c r="T173" s="145">
        <f>_xlfn.XLOOKUP(A173,Covid!A:A,Covid!K:K,0,0)/_xlfn.XLOOKUP(A173,Covid!A:A,Covid!L:L,0,0)</f>
        <v>4.2152159013022619E-2</v>
      </c>
    </row>
    <row r="174" spans="1:20" x14ac:dyDescent="0.55000000000000004">
      <c r="A174" s="157">
        <v>44155</v>
      </c>
      <c r="B174" s="13">
        <v>347160</v>
      </c>
      <c r="C174" s="13">
        <v>363080</v>
      </c>
      <c r="D174" s="13">
        <v>16575</v>
      </c>
      <c r="E174" s="13">
        <v>460458</v>
      </c>
      <c r="F174" s="13">
        <v>1187273</v>
      </c>
      <c r="G174">
        <f>IF(OR(_xlfn.XLOOKUP(A174,'LPG Fup'!D:D,'LPG Fup'!L:L,"",0)&gt;0.03,_xlfn.XLOOKUP(A174,'LPG Fup'!D:D,'LPG Fup'!L:L,"",0)&lt;-0.03),_xlfn.XLOOKUP(A174,'LPG Fup'!D:D,'LPG Fup'!L:L,0,0),0)</f>
        <v>0</v>
      </c>
      <c r="H174">
        <f>IF(_xlfn.XLOOKUP(A174,'LPG Fup'!D:D,'LPG Fup'!M:M,0,0)="",0,_xlfn.XLOOKUP(A174,'LPG Fup'!D:D,'LPG Fup'!M:M,0,0))</f>
        <v>0</v>
      </c>
      <c r="I174" s="109">
        <f>_xlfn.XLOOKUP(A174,'Rafineri Fiyatları'!A:A,'Rafineri Fiyatları'!B:B,"",0)</f>
        <v>4466.2799999999988</v>
      </c>
      <c r="J174">
        <f t="shared" si="8"/>
        <v>2020</v>
      </c>
      <c r="K174">
        <f t="shared" si="9"/>
        <v>11</v>
      </c>
      <c r="L174">
        <f t="shared" si="10"/>
        <v>20</v>
      </c>
      <c r="M174">
        <f t="shared" si="11"/>
        <v>6</v>
      </c>
      <c r="N174">
        <f>_xlfn.XLOOKUP(A174,tatiller!H:H,tatiller!I:I,0,0)</f>
        <v>0</v>
      </c>
      <c r="O174" cm="1">
        <f t="array" ref="O174">_xlfn.IFNA(_xlfn.IFS(L174=1,"A0",A174=EOMONTH(A174,0),"A-1",L174=2,"A+1"),0)</f>
        <v>0</v>
      </c>
      <c r="P174" cm="1">
        <f t="array" ref="P174">_xlfn.IFNA(_xlfn.IFS(AND(_xlfn.XLOOKUP(A174,'LPG Fup'!D:D,'LPG Fup'!M:M,"",0)&lt;&gt;"",_xlfn.XLOOKUP(A174,'LPG Fup'!D:D,'LPG Fup'!M:M,"",0)&gt;0),"Z-1", AND(_xlfn.XLOOKUP(A174+1,'LPG Fup'!D:D,'LPG Fup'!M:M,"",0)&lt;&gt;"",_xlfn.XLOOKUP(A174+1,'LPG Fup'!D:D,'LPG Fup'!M:M,"",0)&gt;0),"Z-2", AND(_xlfn.XLOOKUP(A174-1,'LPG Fup'!D:D,'LPG Fup'!M:M,"",0)&lt;&gt;"",_xlfn.XLOOKUP(A174-1,'LPG Fup'!D:D,'LPG Fup'!M:M,"",0)&gt;0),"Z", AND(_xlfn.XLOOKUP(A174-2,'LPG Fup'!D:D,'LPG Fup'!M:M,"",0)&lt;&gt;"",_xlfn.XLOOKUP(A174-2,'LPG Fup'!D:D,'LPG Fup'!M:M,"",0)&gt;0),"Z+1"),0)</f>
        <v>0</v>
      </c>
      <c r="Q174" cm="1">
        <f t="array" ref="Q174">_xlfn.IFNA(_xlfn.IFS(AND(_xlfn.XLOOKUP(A174,'LPG Fup'!D:D,'LPG Fup'!M:M,"",0)&lt;&gt;"",_xlfn.XLOOKUP(A174,'LPG Fup'!D:D,'LPG Fup'!M:M,"",0)&lt;0),"I-1", AND(_xlfn.XLOOKUP(A174+1,'LPG Fup'!D:D,'LPG Fup'!M:M,"",0)&lt;&gt;"",_xlfn.XLOOKUP(A174+1,'LPG Fup'!D:D,'LPG Fup'!M:M,"",0)&lt;0),"I-2", AND(_xlfn.XLOOKUP(A174-1,'LPG Fup'!D:D,'LPG Fup'!M:M,"",0)&lt;&gt;"",_xlfn.XLOOKUP(A174-1,'LPG Fup'!D:D,'LPG Fup'!M:M,"",0)&lt;0),"I", AND(_xlfn.XLOOKUP(A174-2,'LPG Fup'!D:D,'LPG Fup'!M:M,"",0)&lt;&gt;"",_xlfn.XLOOKUP(A174-2,'LPG Fup'!D:D,'LPG Fup'!M:M,"",0)&lt;0),"I+1"),0)</f>
        <v>0</v>
      </c>
      <c r="R174">
        <f>_xlfn.XLOOKUP(A174,Covid!A:A,Covid!I:I,0,0)</f>
        <v>5103</v>
      </c>
      <c r="S174">
        <f>_xlfn.XLOOKUP(A174,Covid!A:A,Covid!K:K,0,0)</f>
        <v>141</v>
      </c>
      <c r="T174" s="145">
        <f>_xlfn.XLOOKUP(A174,Covid!A:A,Covid!K:K,0,0)/_xlfn.XLOOKUP(A174,Covid!A:A,Covid!L:L,0,0)</f>
        <v>4.6704206690957269E-2</v>
      </c>
    </row>
    <row r="175" spans="1:20" x14ac:dyDescent="0.55000000000000004">
      <c r="A175" s="157">
        <v>44156</v>
      </c>
      <c r="B175" s="13">
        <v>317200</v>
      </c>
      <c r="C175" s="13">
        <v>319343</v>
      </c>
      <c r="D175" s="13">
        <v>0</v>
      </c>
      <c r="E175" s="13">
        <v>488173</v>
      </c>
      <c r="F175" s="13">
        <v>1124716</v>
      </c>
      <c r="G175">
        <f>IF(OR(_xlfn.XLOOKUP(A175,'LPG Fup'!D:D,'LPG Fup'!L:L,"",0)&gt;0.03,_xlfn.XLOOKUP(A175,'LPG Fup'!D:D,'LPG Fup'!L:L,"",0)&lt;-0.03),_xlfn.XLOOKUP(A175,'LPG Fup'!D:D,'LPG Fup'!L:L,0,0),0)</f>
        <v>0</v>
      </c>
      <c r="H175">
        <f>IF(_xlfn.XLOOKUP(A175,'LPG Fup'!D:D,'LPG Fup'!M:M,0,0)="",0,_xlfn.XLOOKUP(A175,'LPG Fup'!D:D,'LPG Fup'!M:M,0,0))</f>
        <v>0</v>
      </c>
      <c r="I175" s="109">
        <f>_xlfn.XLOOKUP(A175,'Rafineri Fiyatları'!A:A,'Rafineri Fiyatları'!B:B,"",0)</f>
        <v>4466.2799999999988</v>
      </c>
      <c r="J175">
        <f t="shared" si="8"/>
        <v>2020</v>
      </c>
      <c r="K175">
        <f t="shared" si="9"/>
        <v>11</v>
      </c>
      <c r="L175">
        <f t="shared" si="10"/>
        <v>21</v>
      </c>
      <c r="M175">
        <f t="shared" si="11"/>
        <v>7</v>
      </c>
      <c r="N175">
        <f>_xlfn.XLOOKUP(A175,tatiller!H:H,tatiller!I:I,0,0)</f>
        <v>0</v>
      </c>
      <c r="O175" cm="1">
        <f t="array" ref="O175">_xlfn.IFNA(_xlfn.IFS(L175=1,"A0",A175=EOMONTH(A175,0),"A-1",L175=2,"A+1"),0)</f>
        <v>0</v>
      </c>
      <c r="P175" cm="1">
        <f t="array" ref="P175">_xlfn.IFNA(_xlfn.IFS(AND(_xlfn.XLOOKUP(A175,'LPG Fup'!D:D,'LPG Fup'!M:M,"",0)&lt;&gt;"",_xlfn.XLOOKUP(A175,'LPG Fup'!D:D,'LPG Fup'!M:M,"",0)&gt;0),"Z-1", AND(_xlfn.XLOOKUP(A175+1,'LPG Fup'!D:D,'LPG Fup'!M:M,"",0)&lt;&gt;"",_xlfn.XLOOKUP(A175+1,'LPG Fup'!D:D,'LPG Fup'!M:M,"",0)&gt;0),"Z-2", AND(_xlfn.XLOOKUP(A175-1,'LPG Fup'!D:D,'LPG Fup'!M:M,"",0)&lt;&gt;"",_xlfn.XLOOKUP(A175-1,'LPG Fup'!D:D,'LPG Fup'!M:M,"",0)&gt;0),"Z", AND(_xlfn.XLOOKUP(A175-2,'LPG Fup'!D:D,'LPG Fup'!M:M,"",0)&lt;&gt;"",_xlfn.XLOOKUP(A175-2,'LPG Fup'!D:D,'LPG Fup'!M:M,"",0)&gt;0),"Z+1"),0)</f>
        <v>0</v>
      </c>
      <c r="Q175" cm="1">
        <f t="array" ref="Q175">_xlfn.IFNA(_xlfn.IFS(AND(_xlfn.XLOOKUP(A175,'LPG Fup'!D:D,'LPG Fup'!M:M,"",0)&lt;&gt;"",_xlfn.XLOOKUP(A175,'LPG Fup'!D:D,'LPG Fup'!M:M,"",0)&lt;0),"I-1", AND(_xlfn.XLOOKUP(A175+1,'LPG Fup'!D:D,'LPG Fup'!M:M,"",0)&lt;&gt;"",_xlfn.XLOOKUP(A175+1,'LPG Fup'!D:D,'LPG Fup'!M:M,"",0)&lt;0),"I-2", AND(_xlfn.XLOOKUP(A175-1,'LPG Fup'!D:D,'LPG Fup'!M:M,"",0)&lt;&gt;"",_xlfn.XLOOKUP(A175-1,'LPG Fup'!D:D,'LPG Fup'!M:M,"",0)&lt;0),"I", AND(_xlfn.XLOOKUP(A175-2,'LPG Fup'!D:D,'LPG Fup'!M:M,"",0)&lt;&gt;"",_xlfn.XLOOKUP(A175-2,'LPG Fup'!D:D,'LPG Fup'!M:M,"",0)&lt;0),"I+1"),0)</f>
        <v>0</v>
      </c>
      <c r="R175">
        <f>_xlfn.XLOOKUP(A175,Covid!A:A,Covid!I:I,0,0)</f>
        <v>5532</v>
      </c>
      <c r="S175">
        <f>_xlfn.XLOOKUP(A175,Covid!A:A,Covid!K:K,0,0)</f>
        <v>135</v>
      </c>
      <c r="T175" s="145">
        <f>_xlfn.XLOOKUP(A175,Covid!A:A,Covid!K:K,0,0)/_xlfn.XLOOKUP(A175,Covid!A:A,Covid!L:L,0,0)</f>
        <v>4.1756882152799255E-2</v>
      </c>
    </row>
    <row r="176" spans="1:20" x14ac:dyDescent="0.55000000000000004">
      <c r="A176" s="157">
        <v>44157</v>
      </c>
      <c r="B176" s="13">
        <v>304140</v>
      </c>
      <c r="C176" s="13">
        <v>378</v>
      </c>
      <c r="D176" s="13">
        <v>0</v>
      </c>
      <c r="E176" s="13">
        <v>308446</v>
      </c>
      <c r="F176" s="13">
        <v>2753646</v>
      </c>
      <c r="G176">
        <f>IF(OR(_xlfn.XLOOKUP(A176,'LPG Fup'!D:D,'LPG Fup'!L:L,"",0)&gt;0.03,_xlfn.XLOOKUP(A176,'LPG Fup'!D:D,'LPG Fup'!L:L,"",0)&lt;-0.03),_xlfn.XLOOKUP(A176,'LPG Fup'!D:D,'LPG Fup'!L:L,0,0),0)</f>
        <v>0</v>
      </c>
      <c r="H176">
        <f>IF(_xlfn.XLOOKUP(A176,'LPG Fup'!D:D,'LPG Fup'!M:M,0,0)="",0,_xlfn.XLOOKUP(A176,'LPG Fup'!D:D,'LPG Fup'!M:M,0,0))</f>
        <v>0</v>
      </c>
      <c r="I176" s="109">
        <f>_xlfn.XLOOKUP(A176,'Rafineri Fiyatları'!A:A,'Rafineri Fiyatları'!B:B,"",0)</f>
        <v>4466.2799999999988</v>
      </c>
      <c r="J176">
        <f t="shared" si="8"/>
        <v>2020</v>
      </c>
      <c r="K176">
        <f t="shared" si="9"/>
        <v>11</v>
      </c>
      <c r="L176">
        <f t="shared" si="10"/>
        <v>22</v>
      </c>
      <c r="M176">
        <f t="shared" si="11"/>
        <v>1</v>
      </c>
      <c r="N176">
        <f>_xlfn.XLOOKUP(A176,tatiller!H:H,tatiller!I:I,0,0)</f>
        <v>0</v>
      </c>
      <c r="O176" cm="1">
        <f t="array" ref="O176">_xlfn.IFNA(_xlfn.IFS(L176=1,"A0",A176=EOMONTH(A176,0),"A-1",L176=2,"A+1"),0)</f>
        <v>0</v>
      </c>
      <c r="P176" cm="1">
        <f t="array" ref="P176">_xlfn.IFNA(_xlfn.IFS(AND(_xlfn.XLOOKUP(A176,'LPG Fup'!D:D,'LPG Fup'!M:M,"",0)&lt;&gt;"",_xlfn.XLOOKUP(A176,'LPG Fup'!D:D,'LPG Fup'!M:M,"",0)&gt;0),"Z-1", AND(_xlfn.XLOOKUP(A176+1,'LPG Fup'!D:D,'LPG Fup'!M:M,"",0)&lt;&gt;"",_xlfn.XLOOKUP(A176+1,'LPG Fup'!D:D,'LPG Fup'!M:M,"",0)&gt;0),"Z-2", AND(_xlfn.XLOOKUP(A176-1,'LPG Fup'!D:D,'LPG Fup'!M:M,"",0)&lt;&gt;"",_xlfn.XLOOKUP(A176-1,'LPG Fup'!D:D,'LPG Fup'!M:M,"",0)&gt;0),"Z", AND(_xlfn.XLOOKUP(A176-2,'LPG Fup'!D:D,'LPG Fup'!M:M,"",0)&lt;&gt;"",_xlfn.XLOOKUP(A176-2,'LPG Fup'!D:D,'LPG Fup'!M:M,"",0)&gt;0),"Z+1"),0)</f>
        <v>0</v>
      </c>
      <c r="Q176" cm="1">
        <f t="array" ref="Q176">_xlfn.IFNA(_xlfn.IFS(AND(_xlfn.XLOOKUP(A176,'LPG Fup'!D:D,'LPG Fup'!M:M,"",0)&lt;&gt;"",_xlfn.XLOOKUP(A176,'LPG Fup'!D:D,'LPG Fup'!M:M,"",0)&lt;0),"I-1", AND(_xlfn.XLOOKUP(A176+1,'LPG Fup'!D:D,'LPG Fup'!M:M,"",0)&lt;&gt;"",_xlfn.XLOOKUP(A176+1,'LPG Fup'!D:D,'LPG Fup'!M:M,"",0)&lt;0),"I-2", AND(_xlfn.XLOOKUP(A176-1,'LPG Fup'!D:D,'LPG Fup'!M:M,"",0)&lt;&gt;"",_xlfn.XLOOKUP(A176-1,'LPG Fup'!D:D,'LPG Fup'!M:M,"",0)&lt;0),"I", AND(_xlfn.XLOOKUP(A176-2,'LPG Fup'!D:D,'LPG Fup'!M:M,"",0)&lt;&gt;"",_xlfn.XLOOKUP(A176-2,'LPG Fup'!D:D,'LPG Fup'!M:M,"",0)&lt;0),"I+1"),0)</f>
        <v>0</v>
      </c>
      <c r="R176">
        <f>_xlfn.XLOOKUP(A176,Covid!A:A,Covid!I:I,0,0)</f>
        <v>6017</v>
      </c>
      <c r="S176">
        <f>_xlfn.XLOOKUP(A176,Covid!A:A,Covid!K:K,0,0)</f>
        <v>139</v>
      </c>
      <c r="T176" s="145">
        <f>_xlfn.XLOOKUP(A176,Covid!A:A,Covid!K:K,0,0)/_xlfn.XLOOKUP(A176,Covid!A:A,Covid!L:L,0,0)</f>
        <v>3.6463798530954876E-2</v>
      </c>
    </row>
    <row r="177" spans="1:20" x14ac:dyDescent="0.55000000000000004">
      <c r="A177" s="157">
        <v>44158</v>
      </c>
      <c r="B177" s="13">
        <v>382800</v>
      </c>
      <c r="C177" s="13">
        <v>508436</v>
      </c>
      <c r="D177" s="13">
        <v>19240</v>
      </c>
      <c r="E177" s="13">
        <v>455682</v>
      </c>
      <c r="F177" s="13">
        <v>1366158</v>
      </c>
      <c r="G177">
        <f>IF(OR(_xlfn.XLOOKUP(A177,'LPG Fup'!D:D,'LPG Fup'!L:L,"",0)&gt;0.03,_xlfn.XLOOKUP(A177,'LPG Fup'!D:D,'LPG Fup'!L:L,"",0)&lt;-0.03),_xlfn.XLOOKUP(A177,'LPG Fup'!D:D,'LPG Fup'!L:L,0,0),0)</f>
        <v>0</v>
      </c>
      <c r="H177">
        <f>IF(_xlfn.XLOOKUP(A177,'LPG Fup'!D:D,'LPG Fup'!M:M,0,0)="",0,_xlfn.XLOOKUP(A177,'LPG Fup'!D:D,'LPG Fup'!M:M,0,0))</f>
        <v>0</v>
      </c>
      <c r="I177" s="109">
        <f>_xlfn.XLOOKUP(A177,'Rafineri Fiyatları'!A:A,'Rafineri Fiyatları'!B:B,"",0)</f>
        <v>4466.2799999999988</v>
      </c>
      <c r="J177">
        <f t="shared" si="8"/>
        <v>2020</v>
      </c>
      <c r="K177">
        <f t="shared" si="9"/>
        <v>11</v>
      </c>
      <c r="L177">
        <f t="shared" si="10"/>
        <v>23</v>
      </c>
      <c r="M177">
        <f t="shared" si="11"/>
        <v>2</v>
      </c>
      <c r="N177">
        <f>_xlfn.XLOOKUP(A177,tatiller!H:H,tatiller!I:I,0,0)</f>
        <v>0</v>
      </c>
      <c r="O177" cm="1">
        <f t="array" ref="O177">_xlfn.IFNA(_xlfn.IFS(L177=1,"A0",A177=EOMONTH(A177,0),"A-1",L177=2,"A+1"),0)</f>
        <v>0</v>
      </c>
      <c r="P177" cm="1">
        <f t="array" ref="P177">_xlfn.IFNA(_xlfn.IFS(AND(_xlfn.XLOOKUP(A177,'LPG Fup'!D:D,'LPG Fup'!M:M,"",0)&lt;&gt;"",_xlfn.XLOOKUP(A177,'LPG Fup'!D:D,'LPG Fup'!M:M,"",0)&gt;0),"Z-1", AND(_xlfn.XLOOKUP(A177+1,'LPG Fup'!D:D,'LPG Fup'!M:M,"",0)&lt;&gt;"",_xlfn.XLOOKUP(A177+1,'LPG Fup'!D:D,'LPG Fup'!M:M,"",0)&gt;0),"Z-2", AND(_xlfn.XLOOKUP(A177-1,'LPG Fup'!D:D,'LPG Fup'!M:M,"",0)&lt;&gt;"",_xlfn.XLOOKUP(A177-1,'LPG Fup'!D:D,'LPG Fup'!M:M,"",0)&gt;0),"Z", AND(_xlfn.XLOOKUP(A177-2,'LPG Fup'!D:D,'LPG Fup'!M:M,"",0)&lt;&gt;"",_xlfn.XLOOKUP(A177-2,'LPG Fup'!D:D,'LPG Fup'!M:M,"",0)&gt;0),"Z+1"),0)</f>
        <v>0</v>
      </c>
      <c r="Q177" cm="1">
        <f t="array" ref="Q177">_xlfn.IFNA(_xlfn.IFS(AND(_xlfn.XLOOKUP(A177,'LPG Fup'!D:D,'LPG Fup'!M:M,"",0)&lt;&gt;"",_xlfn.XLOOKUP(A177,'LPG Fup'!D:D,'LPG Fup'!M:M,"",0)&lt;0),"I-1", AND(_xlfn.XLOOKUP(A177+1,'LPG Fup'!D:D,'LPG Fup'!M:M,"",0)&lt;&gt;"",_xlfn.XLOOKUP(A177+1,'LPG Fup'!D:D,'LPG Fup'!M:M,"",0)&lt;0),"I-2", AND(_xlfn.XLOOKUP(A177-1,'LPG Fup'!D:D,'LPG Fup'!M:M,"",0)&lt;&gt;"",_xlfn.XLOOKUP(A177-1,'LPG Fup'!D:D,'LPG Fup'!M:M,"",0)&lt;0),"I", AND(_xlfn.XLOOKUP(A177-2,'LPG Fup'!D:D,'LPG Fup'!M:M,"",0)&lt;&gt;"",_xlfn.XLOOKUP(A177-2,'LPG Fup'!D:D,'LPG Fup'!M:M,"",0)&lt;0),"I+1"),0)</f>
        <v>0</v>
      </c>
      <c r="R177">
        <f>_xlfn.XLOOKUP(A177,Covid!A:A,Covid!I:I,0,0)</f>
        <v>6713</v>
      </c>
      <c r="S177">
        <f>_xlfn.XLOOKUP(A177,Covid!A:A,Covid!K:K,0,0)</f>
        <v>153</v>
      </c>
      <c r="T177" s="145">
        <f>_xlfn.XLOOKUP(A177,Covid!A:A,Covid!K:K,0,0)/_xlfn.XLOOKUP(A177,Covid!A:A,Covid!L:L,0,0)</f>
        <v>4.701905347264905E-2</v>
      </c>
    </row>
    <row r="178" spans="1:20" x14ac:dyDescent="0.55000000000000004">
      <c r="A178" s="157">
        <v>44159</v>
      </c>
      <c r="B178" s="13">
        <v>311400</v>
      </c>
      <c r="C178" s="13">
        <v>391047</v>
      </c>
      <c r="D178" s="13">
        <v>5801</v>
      </c>
      <c r="E178" s="13">
        <v>411024</v>
      </c>
      <c r="F178" s="13">
        <v>1119272</v>
      </c>
      <c r="G178">
        <f>IF(OR(_xlfn.XLOOKUP(A178,'LPG Fup'!D:D,'LPG Fup'!L:L,"",0)&gt;0.03,_xlfn.XLOOKUP(A178,'LPG Fup'!D:D,'LPG Fup'!L:L,"",0)&lt;-0.03),_xlfn.XLOOKUP(A178,'LPG Fup'!D:D,'LPG Fup'!L:L,0,0),0)</f>
        <v>0</v>
      </c>
      <c r="H178">
        <f>IF(_xlfn.XLOOKUP(A178,'LPG Fup'!D:D,'LPG Fup'!M:M,0,0)="",0,_xlfn.XLOOKUP(A178,'LPG Fup'!D:D,'LPG Fup'!M:M,0,0))</f>
        <v>0</v>
      </c>
      <c r="I178" s="109">
        <f>_xlfn.XLOOKUP(A178,'Rafineri Fiyatları'!A:A,'Rafineri Fiyatları'!B:B,"",0)</f>
        <v>4466.2799999999988</v>
      </c>
      <c r="J178">
        <f t="shared" si="8"/>
        <v>2020</v>
      </c>
      <c r="K178">
        <f t="shared" si="9"/>
        <v>11</v>
      </c>
      <c r="L178">
        <f t="shared" si="10"/>
        <v>24</v>
      </c>
      <c r="M178">
        <f t="shared" si="11"/>
        <v>3</v>
      </c>
      <c r="N178">
        <f>_xlfn.XLOOKUP(A178,tatiller!H:H,tatiller!I:I,0,0)</f>
        <v>0</v>
      </c>
      <c r="O178" cm="1">
        <f t="array" ref="O178">_xlfn.IFNA(_xlfn.IFS(L178=1,"A0",A178=EOMONTH(A178,0),"A-1",L178=2,"A+1"),0)</f>
        <v>0</v>
      </c>
      <c r="P178" cm="1">
        <f t="array" ref="P178">_xlfn.IFNA(_xlfn.IFS(AND(_xlfn.XLOOKUP(A178,'LPG Fup'!D:D,'LPG Fup'!M:M,"",0)&lt;&gt;"",_xlfn.XLOOKUP(A178,'LPG Fup'!D:D,'LPG Fup'!M:M,"",0)&gt;0),"Z-1", AND(_xlfn.XLOOKUP(A178+1,'LPG Fup'!D:D,'LPG Fup'!M:M,"",0)&lt;&gt;"",_xlfn.XLOOKUP(A178+1,'LPG Fup'!D:D,'LPG Fup'!M:M,"",0)&gt;0),"Z-2", AND(_xlfn.XLOOKUP(A178-1,'LPG Fup'!D:D,'LPG Fup'!M:M,"",0)&lt;&gt;"",_xlfn.XLOOKUP(A178-1,'LPG Fup'!D:D,'LPG Fup'!M:M,"",0)&gt;0),"Z", AND(_xlfn.XLOOKUP(A178-2,'LPG Fup'!D:D,'LPG Fup'!M:M,"",0)&lt;&gt;"",_xlfn.XLOOKUP(A178-2,'LPG Fup'!D:D,'LPG Fup'!M:M,"",0)&gt;0),"Z+1"),0)</f>
        <v>0</v>
      </c>
      <c r="Q178" cm="1">
        <f t="array" ref="Q178">_xlfn.IFNA(_xlfn.IFS(AND(_xlfn.XLOOKUP(A178,'LPG Fup'!D:D,'LPG Fup'!M:M,"",0)&lt;&gt;"",_xlfn.XLOOKUP(A178,'LPG Fup'!D:D,'LPG Fup'!M:M,"",0)&lt;0),"I-1", AND(_xlfn.XLOOKUP(A178+1,'LPG Fup'!D:D,'LPG Fup'!M:M,"",0)&lt;&gt;"",_xlfn.XLOOKUP(A178+1,'LPG Fup'!D:D,'LPG Fup'!M:M,"",0)&lt;0),"I-2", AND(_xlfn.XLOOKUP(A178-1,'LPG Fup'!D:D,'LPG Fup'!M:M,"",0)&lt;&gt;"",_xlfn.XLOOKUP(A178-1,'LPG Fup'!D:D,'LPG Fup'!M:M,"",0)&lt;0),"I", AND(_xlfn.XLOOKUP(A178-2,'LPG Fup'!D:D,'LPG Fup'!M:M,"",0)&lt;&gt;"",_xlfn.XLOOKUP(A178-2,'LPG Fup'!D:D,'LPG Fup'!M:M,"",0)&lt;0),"I+1"),0)</f>
        <v>0</v>
      </c>
      <c r="R178">
        <f>_xlfn.XLOOKUP(A178,Covid!A:A,Covid!I:I,0,0)</f>
        <v>7381</v>
      </c>
      <c r="S178">
        <f>_xlfn.XLOOKUP(A178,Covid!A:A,Covid!K:K,0,0)</f>
        <v>161</v>
      </c>
      <c r="T178" s="145">
        <f>_xlfn.XLOOKUP(A178,Covid!A:A,Covid!K:K,0,0)/_xlfn.XLOOKUP(A178,Covid!A:A,Covid!L:L,0,0)</f>
        <v>4.3773790103317022E-2</v>
      </c>
    </row>
    <row r="179" spans="1:20" x14ac:dyDescent="0.55000000000000004">
      <c r="A179" s="157">
        <v>44160</v>
      </c>
      <c r="B179" s="13">
        <v>301940</v>
      </c>
      <c r="C179" s="13">
        <v>445621</v>
      </c>
      <c r="D179" s="13">
        <v>7464</v>
      </c>
      <c r="E179" s="13">
        <v>437296</v>
      </c>
      <c r="F179" s="13">
        <v>1192321</v>
      </c>
      <c r="G179">
        <f>IF(OR(_xlfn.XLOOKUP(A179,'LPG Fup'!D:D,'LPG Fup'!L:L,"",0)&gt;0.03,_xlfn.XLOOKUP(A179,'LPG Fup'!D:D,'LPG Fup'!L:L,"",0)&lt;-0.03),_xlfn.XLOOKUP(A179,'LPG Fup'!D:D,'LPG Fup'!L:L,0,0),0)</f>
        <v>0</v>
      </c>
      <c r="H179">
        <f>IF(_xlfn.XLOOKUP(A179,'LPG Fup'!D:D,'LPG Fup'!M:M,0,0)="",0,_xlfn.XLOOKUP(A179,'LPG Fup'!D:D,'LPG Fup'!M:M,0,0))</f>
        <v>0</v>
      </c>
      <c r="I179" s="109">
        <f>_xlfn.XLOOKUP(A179,'Rafineri Fiyatları'!A:A,'Rafineri Fiyatları'!B:B,"",0)</f>
        <v>4466.2799999999988</v>
      </c>
      <c r="J179">
        <f t="shared" si="8"/>
        <v>2020</v>
      </c>
      <c r="K179">
        <f t="shared" si="9"/>
        <v>11</v>
      </c>
      <c r="L179">
        <f t="shared" si="10"/>
        <v>25</v>
      </c>
      <c r="M179">
        <f t="shared" si="11"/>
        <v>4</v>
      </c>
      <c r="N179">
        <f>_xlfn.XLOOKUP(A179,tatiller!H:H,tatiller!I:I,0,0)</f>
        <v>0</v>
      </c>
      <c r="O179" cm="1">
        <f t="array" ref="O179">_xlfn.IFNA(_xlfn.IFS(L179=1,"A0",A179=EOMONTH(A179,0),"A-1",L179=2,"A+1"),0)</f>
        <v>0</v>
      </c>
      <c r="P179" cm="1">
        <f t="array" ref="P179">_xlfn.IFNA(_xlfn.IFS(AND(_xlfn.XLOOKUP(A179,'LPG Fup'!D:D,'LPG Fup'!M:M,"",0)&lt;&gt;"",_xlfn.XLOOKUP(A179,'LPG Fup'!D:D,'LPG Fup'!M:M,"",0)&gt;0),"Z-1", AND(_xlfn.XLOOKUP(A179+1,'LPG Fup'!D:D,'LPG Fup'!M:M,"",0)&lt;&gt;"",_xlfn.XLOOKUP(A179+1,'LPG Fup'!D:D,'LPG Fup'!M:M,"",0)&gt;0),"Z-2", AND(_xlfn.XLOOKUP(A179-1,'LPG Fup'!D:D,'LPG Fup'!M:M,"",0)&lt;&gt;"",_xlfn.XLOOKUP(A179-1,'LPG Fup'!D:D,'LPG Fup'!M:M,"",0)&gt;0),"Z", AND(_xlfn.XLOOKUP(A179-2,'LPG Fup'!D:D,'LPG Fup'!M:M,"",0)&lt;&gt;"",_xlfn.XLOOKUP(A179-2,'LPG Fup'!D:D,'LPG Fup'!M:M,"",0)&gt;0),"Z+1"),0)</f>
        <v>0</v>
      </c>
      <c r="Q179" cm="1">
        <f t="array" ref="Q179">_xlfn.IFNA(_xlfn.IFS(AND(_xlfn.XLOOKUP(A179,'LPG Fup'!D:D,'LPG Fup'!M:M,"",0)&lt;&gt;"",_xlfn.XLOOKUP(A179,'LPG Fup'!D:D,'LPG Fup'!M:M,"",0)&lt;0),"I-1", AND(_xlfn.XLOOKUP(A179+1,'LPG Fup'!D:D,'LPG Fup'!M:M,"",0)&lt;&gt;"",_xlfn.XLOOKUP(A179+1,'LPG Fup'!D:D,'LPG Fup'!M:M,"",0)&lt;0),"I-2", AND(_xlfn.XLOOKUP(A179-1,'LPG Fup'!D:D,'LPG Fup'!M:M,"",0)&lt;&gt;"",_xlfn.XLOOKUP(A179-1,'LPG Fup'!D:D,'LPG Fup'!M:M,"",0)&lt;0),"I", AND(_xlfn.XLOOKUP(A179-2,'LPG Fup'!D:D,'LPG Fup'!M:M,"",0)&lt;&gt;"",_xlfn.XLOOKUP(A179-2,'LPG Fup'!D:D,'LPG Fup'!M:M,"",0)&lt;0),"I+1"),0)</f>
        <v>0</v>
      </c>
      <c r="R179">
        <f>_xlfn.XLOOKUP(A179,Covid!A:A,Covid!I:I,0,0)</f>
        <v>6814</v>
      </c>
      <c r="S179">
        <f>_xlfn.XLOOKUP(A179,Covid!A:A,Covid!K:K,0,0)</f>
        <v>168</v>
      </c>
      <c r="T179" s="145">
        <f>_xlfn.XLOOKUP(A179,Covid!A:A,Covid!K:K,0,0)/_xlfn.XLOOKUP(A179,Covid!A:A,Covid!L:L,0,0)</f>
        <v>4.2955765788800816E-2</v>
      </c>
    </row>
    <row r="180" spans="1:20" x14ac:dyDescent="0.55000000000000004">
      <c r="A180" s="157">
        <v>44161</v>
      </c>
      <c r="B180" s="13">
        <v>300320</v>
      </c>
      <c r="C180" s="13">
        <v>420538</v>
      </c>
      <c r="D180" s="13">
        <v>9980</v>
      </c>
      <c r="E180" s="13">
        <v>412397</v>
      </c>
      <c r="F180" s="13">
        <v>6143235</v>
      </c>
      <c r="G180">
        <f>IF(OR(_xlfn.XLOOKUP(A180,'LPG Fup'!D:D,'LPG Fup'!L:L,"",0)&gt;0.03,_xlfn.XLOOKUP(A180,'LPG Fup'!D:D,'LPG Fup'!L:L,"",0)&lt;-0.03),_xlfn.XLOOKUP(A180,'LPG Fup'!D:D,'LPG Fup'!L:L,0,0),0)</f>
        <v>0</v>
      </c>
      <c r="H180">
        <f>IF(_xlfn.XLOOKUP(A180,'LPG Fup'!D:D,'LPG Fup'!M:M,0,0)="",0,_xlfn.XLOOKUP(A180,'LPG Fup'!D:D,'LPG Fup'!M:M,0,0))</f>
        <v>0</v>
      </c>
      <c r="I180" s="109">
        <f>_xlfn.XLOOKUP(A180,'Rafineri Fiyatları'!A:A,'Rafineri Fiyatları'!B:B,"",0)</f>
        <v>4466.2799999999988</v>
      </c>
      <c r="J180">
        <f t="shared" si="8"/>
        <v>2020</v>
      </c>
      <c r="K180">
        <f t="shared" si="9"/>
        <v>11</v>
      </c>
      <c r="L180">
        <f t="shared" si="10"/>
        <v>26</v>
      </c>
      <c r="M180">
        <f t="shared" si="11"/>
        <v>5</v>
      </c>
      <c r="N180">
        <f>_xlfn.XLOOKUP(A180,tatiller!H:H,tatiller!I:I,0,0)</f>
        <v>0</v>
      </c>
      <c r="O180" cm="1">
        <f t="array" ref="O180">_xlfn.IFNA(_xlfn.IFS(L180=1,"A0",A180=EOMONTH(A180,0),"A-1",L180=2,"A+1"),0)</f>
        <v>0</v>
      </c>
      <c r="P180" cm="1">
        <f t="array" ref="P180">_xlfn.IFNA(_xlfn.IFS(AND(_xlfn.XLOOKUP(A180,'LPG Fup'!D:D,'LPG Fup'!M:M,"",0)&lt;&gt;"",_xlfn.XLOOKUP(A180,'LPG Fup'!D:D,'LPG Fup'!M:M,"",0)&gt;0),"Z-1", AND(_xlfn.XLOOKUP(A180+1,'LPG Fup'!D:D,'LPG Fup'!M:M,"",0)&lt;&gt;"",_xlfn.XLOOKUP(A180+1,'LPG Fup'!D:D,'LPG Fup'!M:M,"",0)&gt;0),"Z-2", AND(_xlfn.XLOOKUP(A180-1,'LPG Fup'!D:D,'LPG Fup'!M:M,"",0)&lt;&gt;"",_xlfn.XLOOKUP(A180-1,'LPG Fup'!D:D,'LPG Fup'!M:M,"",0)&gt;0),"Z", AND(_xlfn.XLOOKUP(A180-2,'LPG Fup'!D:D,'LPG Fup'!M:M,"",0)&lt;&gt;"",_xlfn.XLOOKUP(A180-2,'LPG Fup'!D:D,'LPG Fup'!M:M,"",0)&gt;0),"Z+1"),0)</f>
        <v>0</v>
      </c>
      <c r="Q180" cm="1">
        <f t="array" ref="Q180">_xlfn.IFNA(_xlfn.IFS(AND(_xlfn.XLOOKUP(A180,'LPG Fup'!D:D,'LPG Fup'!M:M,"",0)&lt;&gt;"",_xlfn.XLOOKUP(A180,'LPG Fup'!D:D,'LPG Fup'!M:M,"",0)&lt;0),"I-1", AND(_xlfn.XLOOKUP(A180+1,'LPG Fup'!D:D,'LPG Fup'!M:M,"",0)&lt;&gt;"",_xlfn.XLOOKUP(A180+1,'LPG Fup'!D:D,'LPG Fup'!M:M,"",0)&lt;0),"I-2", AND(_xlfn.XLOOKUP(A180-1,'LPG Fup'!D:D,'LPG Fup'!M:M,"",0)&lt;&gt;"",_xlfn.XLOOKUP(A180-1,'LPG Fup'!D:D,'LPG Fup'!M:M,"",0)&lt;0),"I", AND(_xlfn.XLOOKUP(A180-2,'LPG Fup'!D:D,'LPG Fup'!M:M,"",0)&lt;&gt;"",_xlfn.XLOOKUP(A180-2,'LPG Fup'!D:D,'LPG Fup'!M:M,"",0)&lt;0),"I+1"),0)</f>
        <v>0</v>
      </c>
      <c r="R180">
        <f>_xlfn.XLOOKUP(A180,Covid!A:A,Covid!I:I,0,0)</f>
        <v>6876</v>
      </c>
      <c r="S180">
        <f>_xlfn.XLOOKUP(A180,Covid!A:A,Covid!K:K,0,0)</f>
        <v>174</v>
      </c>
      <c r="T180" s="145">
        <f>_xlfn.XLOOKUP(A180,Covid!A:A,Covid!K:K,0,0)/_xlfn.XLOOKUP(A180,Covid!A:A,Covid!L:L,0,0)</f>
        <v>5.2871467639015499E-2</v>
      </c>
    </row>
    <row r="181" spans="1:20" x14ac:dyDescent="0.55000000000000004">
      <c r="A181" s="157">
        <v>44162</v>
      </c>
      <c r="B181" s="13">
        <v>460520</v>
      </c>
      <c r="C181" s="13">
        <v>437517</v>
      </c>
      <c r="D181" s="13">
        <v>14738</v>
      </c>
      <c r="E181" s="13">
        <v>475063</v>
      </c>
      <c r="F181" s="13">
        <v>1387838</v>
      </c>
      <c r="G181">
        <f>IF(OR(_xlfn.XLOOKUP(A181,'LPG Fup'!D:D,'LPG Fup'!L:L,"",0)&gt;0.03,_xlfn.XLOOKUP(A181,'LPG Fup'!D:D,'LPG Fup'!L:L,"",0)&lt;-0.03),_xlfn.XLOOKUP(A181,'LPG Fup'!D:D,'LPG Fup'!L:L,0,0),0)</f>
        <v>0</v>
      </c>
      <c r="H181">
        <f>IF(_xlfn.XLOOKUP(A181,'LPG Fup'!D:D,'LPG Fup'!M:M,0,0)="",0,_xlfn.XLOOKUP(A181,'LPG Fup'!D:D,'LPG Fup'!M:M,0,0))</f>
        <v>0</v>
      </c>
      <c r="I181" s="109">
        <f>_xlfn.XLOOKUP(A181,'Rafineri Fiyatları'!A:A,'Rafineri Fiyatları'!B:B,"",0)</f>
        <v>4466.2799999999988</v>
      </c>
      <c r="J181">
        <f t="shared" si="8"/>
        <v>2020</v>
      </c>
      <c r="K181">
        <f t="shared" si="9"/>
        <v>11</v>
      </c>
      <c r="L181">
        <f t="shared" si="10"/>
        <v>27</v>
      </c>
      <c r="M181">
        <f t="shared" si="11"/>
        <v>6</v>
      </c>
      <c r="N181">
        <f>_xlfn.XLOOKUP(A181,tatiller!H:H,tatiller!I:I,0,0)</f>
        <v>0</v>
      </c>
      <c r="O181" cm="1">
        <f t="array" ref="O181">_xlfn.IFNA(_xlfn.IFS(L181=1,"A0",A181=EOMONTH(A181,0),"A-1",L181=2,"A+1"),0)</f>
        <v>0</v>
      </c>
      <c r="P181" cm="1">
        <f t="array" ref="P181">_xlfn.IFNA(_xlfn.IFS(AND(_xlfn.XLOOKUP(A181,'LPG Fup'!D:D,'LPG Fup'!M:M,"",0)&lt;&gt;"",_xlfn.XLOOKUP(A181,'LPG Fup'!D:D,'LPG Fup'!M:M,"",0)&gt;0),"Z-1", AND(_xlfn.XLOOKUP(A181+1,'LPG Fup'!D:D,'LPG Fup'!M:M,"",0)&lt;&gt;"",_xlfn.XLOOKUP(A181+1,'LPG Fup'!D:D,'LPG Fup'!M:M,"",0)&gt;0),"Z-2", AND(_xlfn.XLOOKUP(A181-1,'LPG Fup'!D:D,'LPG Fup'!M:M,"",0)&lt;&gt;"",_xlfn.XLOOKUP(A181-1,'LPG Fup'!D:D,'LPG Fup'!M:M,"",0)&gt;0),"Z", AND(_xlfn.XLOOKUP(A181-2,'LPG Fup'!D:D,'LPG Fup'!M:M,"",0)&lt;&gt;"",_xlfn.XLOOKUP(A181-2,'LPG Fup'!D:D,'LPG Fup'!M:M,"",0)&gt;0),"Z+1"),0)</f>
        <v>0</v>
      </c>
      <c r="Q181" cm="1">
        <f t="array" ref="Q181">_xlfn.IFNA(_xlfn.IFS(AND(_xlfn.XLOOKUP(A181,'LPG Fup'!D:D,'LPG Fup'!M:M,"",0)&lt;&gt;"",_xlfn.XLOOKUP(A181,'LPG Fup'!D:D,'LPG Fup'!M:M,"",0)&lt;0),"I-1", AND(_xlfn.XLOOKUP(A181+1,'LPG Fup'!D:D,'LPG Fup'!M:M,"",0)&lt;&gt;"",_xlfn.XLOOKUP(A181+1,'LPG Fup'!D:D,'LPG Fup'!M:M,"",0)&lt;0),"I-2", AND(_xlfn.XLOOKUP(A181-1,'LPG Fup'!D:D,'LPG Fup'!M:M,"",0)&lt;&gt;"",_xlfn.XLOOKUP(A181-1,'LPG Fup'!D:D,'LPG Fup'!M:M,"",0)&lt;0),"I", AND(_xlfn.XLOOKUP(A181-2,'LPG Fup'!D:D,'LPG Fup'!M:M,"",0)&lt;&gt;"",_xlfn.XLOOKUP(A181-2,'LPG Fup'!D:D,'LPG Fup'!M:M,"",0)&lt;0),"I+1"),0)</f>
        <v>0</v>
      </c>
      <c r="R181">
        <f>_xlfn.XLOOKUP(A181,Covid!A:A,Covid!I:I,0,0)</f>
        <v>6592</v>
      </c>
      <c r="S181">
        <f>_xlfn.XLOOKUP(A181,Covid!A:A,Covid!K:K,0,0)</f>
        <v>177</v>
      </c>
      <c r="T181" s="145">
        <f>_xlfn.XLOOKUP(A181,Covid!A:A,Covid!K:K,0,0)/_xlfn.XLOOKUP(A181,Covid!A:A,Covid!L:L,0,0)</f>
        <v>4.6033810143042912E-2</v>
      </c>
    </row>
    <row r="182" spans="1:20" x14ac:dyDescent="0.55000000000000004">
      <c r="A182" s="157">
        <v>44163</v>
      </c>
      <c r="B182" s="13">
        <v>242380</v>
      </c>
      <c r="C182" s="13">
        <v>313695</v>
      </c>
      <c r="D182" s="13">
        <v>2000</v>
      </c>
      <c r="E182" s="13">
        <v>474870</v>
      </c>
      <c r="F182" s="13">
        <v>1032945</v>
      </c>
      <c r="G182">
        <f>IF(OR(_xlfn.XLOOKUP(A182,'LPG Fup'!D:D,'LPG Fup'!L:L,"",0)&gt;0.03,_xlfn.XLOOKUP(A182,'LPG Fup'!D:D,'LPG Fup'!L:L,"",0)&lt;-0.03),_xlfn.XLOOKUP(A182,'LPG Fup'!D:D,'LPG Fup'!L:L,0,0),0)</f>
        <v>0</v>
      </c>
      <c r="H182">
        <f>IF(_xlfn.XLOOKUP(A182,'LPG Fup'!D:D,'LPG Fup'!M:M,0,0)="",0,_xlfn.XLOOKUP(A182,'LPG Fup'!D:D,'LPG Fup'!M:M,0,0))</f>
        <v>0</v>
      </c>
      <c r="I182" s="109">
        <f>_xlfn.XLOOKUP(A182,'Rafineri Fiyatları'!A:A,'Rafineri Fiyatları'!B:B,"",0)</f>
        <v>4466.2799999999988</v>
      </c>
      <c r="J182">
        <f t="shared" si="8"/>
        <v>2020</v>
      </c>
      <c r="K182">
        <f t="shared" si="9"/>
        <v>11</v>
      </c>
      <c r="L182">
        <f t="shared" si="10"/>
        <v>28</v>
      </c>
      <c r="M182">
        <f t="shared" si="11"/>
        <v>7</v>
      </c>
      <c r="N182">
        <f>_xlfn.XLOOKUP(A182,tatiller!H:H,tatiller!I:I,0,0)</f>
        <v>0</v>
      </c>
      <c r="O182" cm="1">
        <f t="array" ref="O182">_xlfn.IFNA(_xlfn.IFS(L182=1,"A0",A182=EOMONTH(A182,0),"A-1",L182=2,"A+1"),0)</f>
        <v>0</v>
      </c>
      <c r="P182" cm="1">
        <f t="array" ref="P182">_xlfn.IFNA(_xlfn.IFS(AND(_xlfn.XLOOKUP(A182,'LPG Fup'!D:D,'LPG Fup'!M:M,"",0)&lt;&gt;"",_xlfn.XLOOKUP(A182,'LPG Fup'!D:D,'LPG Fup'!M:M,"",0)&gt;0),"Z-1", AND(_xlfn.XLOOKUP(A182+1,'LPG Fup'!D:D,'LPG Fup'!M:M,"",0)&lt;&gt;"",_xlfn.XLOOKUP(A182+1,'LPG Fup'!D:D,'LPG Fup'!M:M,"",0)&gt;0),"Z-2", AND(_xlfn.XLOOKUP(A182-1,'LPG Fup'!D:D,'LPG Fup'!M:M,"",0)&lt;&gt;"",_xlfn.XLOOKUP(A182-1,'LPG Fup'!D:D,'LPG Fup'!M:M,"",0)&gt;0),"Z", AND(_xlfn.XLOOKUP(A182-2,'LPG Fup'!D:D,'LPG Fup'!M:M,"",0)&lt;&gt;"",_xlfn.XLOOKUP(A182-2,'LPG Fup'!D:D,'LPG Fup'!M:M,"",0)&gt;0),"Z+1"),0)</f>
        <v>0</v>
      </c>
      <c r="Q182" cm="1">
        <f t="array" ref="Q182">_xlfn.IFNA(_xlfn.IFS(AND(_xlfn.XLOOKUP(A182,'LPG Fup'!D:D,'LPG Fup'!M:M,"",0)&lt;&gt;"",_xlfn.XLOOKUP(A182,'LPG Fup'!D:D,'LPG Fup'!M:M,"",0)&lt;0),"I-1", AND(_xlfn.XLOOKUP(A182+1,'LPG Fup'!D:D,'LPG Fup'!M:M,"",0)&lt;&gt;"",_xlfn.XLOOKUP(A182+1,'LPG Fup'!D:D,'LPG Fup'!M:M,"",0)&lt;0),"I-2", AND(_xlfn.XLOOKUP(A182-1,'LPG Fup'!D:D,'LPG Fup'!M:M,"",0)&lt;&gt;"",_xlfn.XLOOKUP(A182-1,'LPG Fup'!D:D,'LPG Fup'!M:M,"",0)&lt;0),"I", AND(_xlfn.XLOOKUP(A182-2,'LPG Fup'!D:D,'LPG Fup'!M:M,"",0)&lt;&gt;"",_xlfn.XLOOKUP(A182-2,'LPG Fup'!D:D,'LPG Fup'!M:M,"",0)&lt;0),"I+1"),0)</f>
        <v>0</v>
      </c>
      <c r="R182">
        <f>_xlfn.XLOOKUP(A182,Covid!A:A,Covid!I:I,0,0)</f>
        <v>6714</v>
      </c>
      <c r="S182">
        <f>_xlfn.XLOOKUP(A182,Covid!A:A,Covid!K:K,0,0)</f>
        <v>182</v>
      </c>
      <c r="T182" s="145">
        <f>_xlfn.XLOOKUP(A182,Covid!A:A,Covid!K:K,0,0)/_xlfn.XLOOKUP(A182,Covid!A:A,Covid!L:L,0,0)</f>
        <v>5.0401550816948214E-2</v>
      </c>
    </row>
    <row r="183" spans="1:20" x14ac:dyDescent="0.55000000000000004">
      <c r="A183" s="157">
        <v>44164</v>
      </c>
      <c r="B183" s="13">
        <v>329460</v>
      </c>
      <c r="C183" s="13">
        <v>348</v>
      </c>
      <c r="D183" s="13">
        <v>2014</v>
      </c>
      <c r="E183" s="13">
        <v>360779</v>
      </c>
      <c r="F183" s="13">
        <v>692601</v>
      </c>
      <c r="G183">
        <f>IF(OR(_xlfn.XLOOKUP(A183,'LPG Fup'!D:D,'LPG Fup'!L:L,"",0)&gt;0.03,_xlfn.XLOOKUP(A183,'LPG Fup'!D:D,'LPG Fup'!L:L,"",0)&lt;-0.03),_xlfn.XLOOKUP(A183,'LPG Fup'!D:D,'LPG Fup'!L:L,0,0),0)</f>
        <v>0</v>
      </c>
      <c r="H183">
        <f>IF(_xlfn.XLOOKUP(A183,'LPG Fup'!D:D,'LPG Fup'!M:M,0,0)="",0,_xlfn.XLOOKUP(A183,'LPG Fup'!D:D,'LPG Fup'!M:M,0,0))</f>
        <v>0</v>
      </c>
      <c r="I183" s="109">
        <f>_xlfn.XLOOKUP(A183,'Rafineri Fiyatları'!A:A,'Rafineri Fiyatları'!B:B,"",0)</f>
        <v>4466.2799999999988</v>
      </c>
      <c r="J183">
        <f t="shared" si="8"/>
        <v>2020</v>
      </c>
      <c r="K183">
        <f t="shared" si="9"/>
        <v>11</v>
      </c>
      <c r="L183">
        <f t="shared" si="10"/>
        <v>29</v>
      </c>
      <c r="M183">
        <f t="shared" si="11"/>
        <v>1</v>
      </c>
      <c r="N183">
        <f>_xlfn.XLOOKUP(A183,tatiller!H:H,tatiller!I:I,0,0)</f>
        <v>0</v>
      </c>
      <c r="O183" cm="1">
        <f t="array" ref="O183">_xlfn.IFNA(_xlfn.IFS(L183=1,"A0",A183=EOMONTH(A183,0),"A-1",L183=2,"A+1"),0)</f>
        <v>0</v>
      </c>
      <c r="P183" t="str" cm="1">
        <f t="array" ref="P183">_xlfn.IFNA(_xlfn.IFS(AND(_xlfn.XLOOKUP(A183,'LPG Fup'!D:D,'LPG Fup'!M:M,"",0)&lt;&gt;"",_xlfn.XLOOKUP(A183,'LPG Fup'!D:D,'LPG Fup'!M:M,"",0)&gt;0),"Z-1", AND(_xlfn.XLOOKUP(A183+1,'LPG Fup'!D:D,'LPG Fup'!M:M,"",0)&lt;&gt;"",_xlfn.XLOOKUP(A183+1,'LPG Fup'!D:D,'LPG Fup'!M:M,"",0)&gt;0),"Z-2", AND(_xlfn.XLOOKUP(A183-1,'LPG Fup'!D:D,'LPG Fup'!M:M,"",0)&lt;&gt;"",_xlfn.XLOOKUP(A183-1,'LPG Fup'!D:D,'LPG Fup'!M:M,"",0)&gt;0),"Z", AND(_xlfn.XLOOKUP(A183-2,'LPG Fup'!D:D,'LPG Fup'!M:M,"",0)&lt;&gt;"",_xlfn.XLOOKUP(A183-2,'LPG Fup'!D:D,'LPG Fup'!M:M,"",0)&gt;0),"Z+1"),0)</f>
        <v>Z-2</v>
      </c>
      <c r="Q183" cm="1">
        <f t="array" ref="Q183">_xlfn.IFNA(_xlfn.IFS(AND(_xlfn.XLOOKUP(A183,'LPG Fup'!D:D,'LPG Fup'!M:M,"",0)&lt;&gt;"",_xlfn.XLOOKUP(A183,'LPG Fup'!D:D,'LPG Fup'!M:M,"",0)&lt;0),"I-1", AND(_xlfn.XLOOKUP(A183+1,'LPG Fup'!D:D,'LPG Fup'!M:M,"",0)&lt;&gt;"",_xlfn.XLOOKUP(A183+1,'LPG Fup'!D:D,'LPG Fup'!M:M,"",0)&lt;0),"I-2", AND(_xlfn.XLOOKUP(A183-1,'LPG Fup'!D:D,'LPG Fup'!M:M,"",0)&lt;&gt;"",_xlfn.XLOOKUP(A183-1,'LPG Fup'!D:D,'LPG Fup'!M:M,"",0)&lt;0),"I", AND(_xlfn.XLOOKUP(A183-2,'LPG Fup'!D:D,'LPG Fup'!M:M,"",0)&lt;&gt;"",_xlfn.XLOOKUP(A183-2,'LPG Fup'!D:D,'LPG Fup'!M:M,"",0)&lt;0),"I+1"),0)</f>
        <v>0</v>
      </c>
      <c r="R183">
        <f>_xlfn.XLOOKUP(A183,Covid!A:A,Covid!I:I,0,0)</f>
        <v>6439</v>
      </c>
      <c r="S183">
        <f>_xlfn.XLOOKUP(A183,Covid!A:A,Covid!K:K,0,0)</f>
        <v>185</v>
      </c>
      <c r="T183" s="145">
        <f>_xlfn.XLOOKUP(A183,Covid!A:A,Covid!K:K,0,0)/_xlfn.XLOOKUP(A183,Covid!A:A,Covid!L:L,0,0)</f>
        <v>4.6077210460772101E-2</v>
      </c>
    </row>
    <row r="184" spans="1:20" x14ac:dyDescent="0.55000000000000004">
      <c r="A184" s="157">
        <v>44165</v>
      </c>
      <c r="B184" s="13">
        <v>441600</v>
      </c>
      <c r="C184" s="13">
        <v>769542</v>
      </c>
      <c r="D184" s="13">
        <v>96098</v>
      </c>
      <c r="E184" s="13">
        <v>509546</v>
      </c>
      <c r="F184" s="13">
        <v>1816786</v>
      </c>
      <c r="G184">
        <f>IF(OR(_xlfn.XLOOKUP(A184,'LPG Fup'!D:D,'LPG Fup'!L:L,"",0)&gt;0.03,_xlfn.XLOOKUP(A184,'LPG Fup'!D:D,'LPG Fup'!L:L,"",0)&lt;-0.03),_xlfn.XLOOKUP(A184,'LPG Fup'!D:D,'LPG Fup'!L:L,0,0),0)</f>
        <v>3.0457204343147838E-2</v>
      </c>
      <c r="H184">
        <f>IF(_xlfn.XLOOKUP(A184,'LPG Fup'!D:D,'LPG Fup'!M:M,0,0)="",0,_xlfn.XLOOKUP(A184,'LPG Fup'!D:D,'LPG Fup'!M:M,0,0))</f>
        <v>72.004800000000159</v>
      </c>
      <c r="I184" s="109">
        <f>_xlfn.XLOOKUP(A184,'Rafineri Fiyatları'!A:A,'Rafineri Fiyatları'!B:B,"",0)</f>
        <v>4466.2799999999988</v>
      </c>
      <c r="J184">
        <f t="shared" si="8"/>
        <v>2020</v>
      </c>
      <c r="K184">
        <f t="shared" si="9"/>
        <v>11</v>
      </c>
      <c r="L184">
        <f t="shared" si="10"/>
        <v>30</v>
      </c>
      <c r="M184">
        <f t="shared" si="11"/>
        <v>2</v>
      </c>
      <c r="N184">
        <f>_xlfn.XLOOKUP(A184,tatiller!H:H,tatiller!I:I,0,0)</f>
        <v>0</v>
      </c>
      <c r="O184" t="str" cm="1">
        <f t="array" ref="O184">_xlfn.IFNA(_xlfn.IFS(L184=1,"A0",A184=EOMONTH(A184,0),"A-1",L184=2,"A+1"),0)</f>
        <v>A-1</v>
      </c>
      <c r="P184" t="str" cm="1">
        <f t="array" ref="P184">_xlfn.IFNA(_xlfn.IFS(AND(_xlfn.XLOOKUP(A184,'LPG Fup'!D:D,'LPG Fup'!M:M,"",0)&lt;&gt;"",_xlfn.XLOOKUP(A184,'LPG Fup'!D:D,'LPG Fup'!M:M,"",0)&gt;0),"Z-1", AND(_xlfn.XLOOKUP(A184+1,'LPG Fup'!D:D,'LPG Fup'!M:M,"",0)&lt;&gt;"",_xlfn.XLOOKUP(A184+1,'LPG Fup'!D:D,'LPG Fup'!M:M,"",0)&gt;0),"Z-2", AND(_xlfn.XLOOKUP(A184-1,'LPG Fup'!D:D,'LPG Fup'!M:M,"",0)&lt;&gt;"",_xlfn.XLOOKUP(A184-1,'LPG Fup'!D:D,'LPG Fup'!M:M,"",0)&gt;0),"Z", AND(_xlfn.XLOOKUP(A184-2,'LPG Fup'!D:D,'LPG Fup'!M:M,"",0)&lt;&gt;"",_xlfn.XLOOKUP(A184-2,'LPG Fup'!D:D,'LPG Fup'!M:M,"",0)&gt;0),"Z+1"),0)</f>
        <v>Z-1</v>
      </c>
      <c r="Q184" cm="1">
        <f t="array" ref="Q184">_xlfn.IFNA(_xlfn.IFS(AND(_xlfn.XLOOKUP(A184,'LPG Fup'!D:D,'LPG Fup'!M:M,"",0)&lt;&gt;"",_xlfn.XLOOKUP(A184,'LPG Fup'!D:D,'LPG Fup'!M:M,"",0)&lt;0),"I-1", AND(_xlfn.XLOOKUP(A184+1,'LPG Fup'!D:D,'LPG Fup'!M:M,"",0)&lt;&gt;"",_xlfn.XLOOKUP(A184+1,'LPG Fup'!D:D,'LPG Fup'!M:M,"",0)&lt;0),"I-2", AND(_xlfn.XLOOKUP(A184-1,'LPG Fup'!D:D,'LPG Fup'!M:M,"",0)&lt;&gt;"",_xlfn.XLOOKUP(A184-1,'LPG Fup'!D:D,'LPG Fup'!M:M,"",0)&lt;0),"I", AND(_xlfn.XLOOKUP(A184-2,'LPG Fup'!D:D,'LPG Fup'!M:M,"",0)&lt;&gt;"",_xlfn.XLOOKUP(A184-2,'LPG Fup'!D:D,'LPG Fup'!M:M,"",0)&lt;0),"I+1"),0)</f>
        <v>0</v>
      </c>
      <c r="R184">
        <f>_xlfn.XLOOKUP(A184,Covid!A:A,Covid!I:I,0,0)</f>
        <v>6514</v>
      </c>
      <c r="S184">
        <f>_xlfn.XLOOKUP(A184,Covid!A:A,Covid!K:K,0,0)</f>
        <v>188</v>
      </c>
      <c r="T184" s="145">
        <f>_xlfn.XLOOKUP(A184,Covid!A:A,Covid!K:K,0,0)/_xlfn.XLOOKUP(A184,Covid!A:A,Covid!L:L,0,0)</f>
        <v>4.1917502787068003E-2</v>
      </c>
    </row>
    <row r="185" spans="1:20" x14ac:dyDescent="0.55000000000000004">
      <c r="A185" s="157">
        <v>44166</v>
      </c>
      <c r="B185" s="13">
        <v>215480</v>
      </c>
      <c r="C185" s="13">
        <v>329036</v>
      </c>
      <c r="D185" s="13">
        <v>10001</v>
      </c>
      <c r="E185" s="13">
        <v>292941</v>
      </c>
      <c r="F185" s="13">
        <v>847458</v>
      </c>
      <c r="G185">
        <f>IF(OR(_xlfn.XLOOKUP(A185,'LPG Fup'!D:D,'LPG Fup'!L:L,"",0)&gt;0.03,_xlfn.XLOOKUP(A185,'LPG Fup'!D:D,'LPG Fup'!L:L,"",0)&lt;-0.03),_xlfn.XLOOKUP(A185,'LPG Fup'!D:D,'LPG Fup'!L:L,0,0),0)</f>
        <v>4.2102495067244727E-2</v>
      </c>
      <c r="H185">
        <f>IF(_xlfn.XLOOKUP(A185,'LPG Fup'!D:D,'LPG Fup'!M:M,0,0)="",0,_xlfn.XLOOKUP(A185,'LPG Fup'!D:D,'LPG Fup'!M:M,0,0))</f>
        <v>139.69519999999966</v>
      </c>
      <c r="I185" s="109">
        <f>_xlfn.XLOOKUP(A185,'Rafineri Fiyatları'!A:A,'Rafineri Fiyatları'!B:B,"",0)</f>
        <v>4466.2799999999988</v>
      </c>
      <c r="J185">
        <f t="shared" si="8"/>
        <v>2020</v>
      </c>
      <c r="K185">
        <f t="shared" si="9"/>
        <v>12</v>
      </c>
      <c r="L185">
        <f t="shared" si="10"/>
        <v>1</v>
      </c>
      <c r="M185">
        <f t="shared" si="11"/>
        <v>3</v>
      </c>
      <c r="N185">
        <f>_xlfn.XLOOKUP(A185,tatiller!H:H,tatiller!I:I,0,0)</f>
        <v>0</v>
      </c>
      <c r="O185" t="str" cm="1">
        <f t="array" ref="O185">_xlfn.IFNA(_xlfn.IFS(L185=1,"A0",A185=EOMONTH(A185,0),"A-1",L185=2,"A+1"),0)</f>
        <v>A0</v>
      </c>
      <c r="P185" t="str" cm="1">
        <f t="array" ref="P185">_xlfn.IFNA(_xlfn.IFS(AND(_xlfn.XLOOKUP(A185,'LPG Fup'!D:D,'LPG Fup'!M:M,"",0)&lt;&gt;"",_xlfn.XLOOKUP(A185,'LPG Fup'!D:D,'LPG Fup'!M:M,"",0)&gt;0),"Z-1", AND(_xlfn.XLOOKUP(A185+1,'LPG Fup'!D:D,'LPG Fup'!M:M,"",0)&lt;&gt;"",_xlfn.XLOOKUP(A185+1,'LPG Fup'!D:D,'LPG Fup'!M:M,"",0)&gt;0),"Z-2", AND(_xlfn.XLOOKUP(A185-1,'LPG Fup'!D:D,'LPG Fup'!M:M,"",0)&lt;&gt;"",_xlfn.XLOOKUP(A185-1,'LPG Fup'!D:D,'LPG Fup'!M:M,"",0)&gt;0),"Z", AND(_xlfn.XLOOKUP(A185-2,'LPG Fup'!D:D,'LPG Fup'!M:M,"",0)&lt;&gt;"",_xlfn.XLOOKUP(A185-2,'LPG Fup'!D:D,'LPG Fup'!M:M,"",0)&gt;0),"Z+1"),0)</f>
        <v>Z-1</v>
      </c>
      <c r="Q185" cm="1">
        <f t="array" ref="Q185">_xlfn.IFNA(_xlfn.IFS(AND(_xlfn.XLOOKUP(A185,'LPG Fup'!D:D,'LPG Fup'!M:M,"",0)&lt;&gt;"",_xlfn.XLOOKUP(A185,'LPG Fup'!D:D,'LPG Fup'!M:M,"",0)&lt;0),"I-1", AND(_xlfn.XLOOKUP(A185+1,'LPG Fup'!D:D,'LPG Fup'!M:M,"",0)&lt;&gt;"",_xlfn.XLOOKUP(A185+1,'LPG Fup'!D:D,'LPG Fup'!M:M,"",0)&lt;0),"I-2", AND(_xlfn.XLOOKUP(A185-1,'LPG Fup'!D:D,'LPG Fup'!M:M,"",0)&lt;&gt;"",_xlfn.XLOOKUP(A185-1,'LPG Fup'!D:D,'LPG Fup'!M:M,"",0)&lt;0),"I", AND(_xlfn.XLOOKUP(A185-2,'LPG Fup'!D:D,'LPG Fup'!M:M,"",0)&lt;&gt;"",_xlfn.XLOOKUP(A185-2,'LPG Fup'!D:D,'LPG Fup'!M:M,"",0)&lt;0),"I+1"),0)</f>
        <v>0</v>
      </c>
      <c r="R185">
        <f>_xlfn.XLOOKUP(A185,Covid!A:A,Covid!I:I,0,0)</f>
        <v>6101</v>
      </c>
      <c r="S185">
        <f>_xlfn.XLOOKUP(A185,Covid!A:A,Covid!K:K,0,0)</f>
        <v>190</v>
      </c>
      <c r="T185" s="145">
        <f>_xlfn.XLOOKUP(A185,Covid!A:A,Covid!K:K,0,0)/_xlfn.XLOOKUP(A185,Covid!A:A,Covid!L:L,0,0)</f>
        <v>4.1367298062268673E-2</v>
      </c>
    </row>
    <row r="186" spans="1:20" x14ac:dyDescent="0.55000000000000004">
      <c r="A186" s="157">
        <v>44167</v>
      </c>
      <c r="B186" s="13">
        <v>373520</v>
      </c>
      <c r="C186" s="13">
        <v>390748</v>
      </c>
      <c r="D186" s="13">
        <v>5001</v>
      </c>
      <c r="E186" s="13">
        <v>384936</v>
      </c>
      <c r="F186" s="13">
        <v>3292081</v>
      </c>
      <c r="G186">
        <f>IF(OR(_xlfn.XLOOKUP(A186,'LPG Fup'!D:D,'LPG Fup'!L:L,"",0)&gt;0.03,_xlfn.XLOOKUP(A186,'LPG Fup'!D:D,'LPG Fup'!L:L,"",0)&lt;-0.03),_xlfn.XLOOKUP(A186,'LPG Fup'!D:D,'LPG Fup'!L:L,0,0),0)</f>
        <v>0</v>
      </c>
      <c r="H186">
        <f>IF(_xlfn.XLOOKUP(A186,'LPG Fup'!D:D,'LPG Fup'!M:M,0,0)="",0,_xlfn.XLOOKUP(A186,'LPG Fup'!D:D,'LPG Fup'!M:M,0,0))</f>
        <v>0</v>
      </c>
      <c r="I186" s="109">
        <f>_xlfn.XLOOKUP(A186,'Rafineri Fiyatları'!A:A,'Rafineri Fiyatları'!B:B,"",0)</f>
        <v>4466.2799999999988</v>
      </c>
      <c r="J186">
        <f t="shared" si="8"/>
        <v>2020</v>
      </c>
      <c r="K186">
        <f t="shared" si="9"/>
        <v>12</v>
      </c>
      <c r="L186">
        <f t="shared" si="10"/>
        <v>2</v>
      </c>
      <c r="M186">
        <f t="shared" si="11"/>
        <v>4</v>
      </c>
      <c r="N186">
        <f>_xlfn.XLOOKUP(A186,tatiller!H:H,tatiller!I:I,0,0)</f>
        <v>0</v>
      </c>
      <c r="O186" t="str" cm="1">
        <f t="array" ref="O186">_xlfn.IFNA(_xlfn.IFS(L186=1,"A0",A186=EOMONTH(A186,0),"A-1",L186=2,"A+1"),0)</f>
        <v>A+1</v>
      </c>
      <c r="P186" t="str" cm="1">
        <f t="array" ref="P186">_xlfn.IFNA(_xlfn.IFS(AND(_xlfn.XLOOKUP(A186,'LPG Fup'!D:D,'LPG Fup'!M:M,"",0)&lt;&gt;"",_xlfn.XLOOKUP(A186,'LPG Fup'!D:D,'LPG Fup'!M:M,"",0)&gt;0),"Z-1", AND(_xlfn.XLOOKUP(A186+1,'LPG Fup'!D:D,'LPG Fup'!M:M,"",0)&lt;&gt;"",_xlfn.XLOOKUP(A186+1,'LPG Fup'!D:D,'LPG Fup'!M:M,"",0)&gt;0),"Z-2", AND(_xlfn.XLOOKUP(A186-1,'LPG Fup'!D:D,'LPG Fup'!M:M,"",0)&lt;&gt;"",_xlfn.XLOOKUP(A186-1,'LPG Fup'!D:D,'LPG Fup'!M:M,"",0)&gt;0),"Z", AND(_xlfn.XLOOKUP(A186-2,'LPG Fup'!D:D,'LPG Fup'!M:M,"",0)&lt;&gt;"",_xlfn.XLOOKUP(A186-2,'LPG Fup'!D:D,'LPG Fup'!M:M,"",0)&gt;0),"Z+1"),0)</f>
        <v>Z</v>
      </c>
      <c r="Q186" cm="1">
        <f t="array" ref="Q186">_xlfn.IFNA(_xlfn.IFS(AND(_xlfn.XLOOKUP(A186,'LPG Fup'!D:D,'LPG Fup'!M:M,"",0)&lt;&gt;"",_xlfn.XLOOKUP(A186,'LPG Fup'!D:D,'LPG Fup'!M:M,"",0)&lt;0),"I-1", AND(_xlfn.XLOOKUP(A186+1,'LPG Fup'!D:D,'LPG Fup'!M:M,"",0)&lt;&gt;"",_xlfn.XLOOKUP(A186+1,'LPG Fup'!D:D,'LPG Fup'!M:M,"",0)&lt;0),"I-2", AND(_xlfn.XLOOKUP(A186-1,'LPG Fup'!D:D,'LPG Fup'!M:M,"",0)&lt;&gt;"",_xlfn.XLOOKUP(A186-1,'LPG Fup'!D:D,'LPG Fup'!M:M,"",0)&lt;0),"I", AND(_xlfn.XLOOKUP(A186-2,'LPG Fup'!D:D,'LPG Fup'!M:M,"",0)&lt;&gt;"",_xlfn.XLOOKUP(A186-2,'LPG Fup'!D:D,'LPG Fup'!M:M,"",0)&lt;0),"I+1"),0)</f>
        <v>0</v>
      </c>
      <c r="R186">
        <f>_xlfn.XLOOKUP(A186,Covid!A:A,Covid!I:I,0,0)</f>
        <v>6690</v>
      </c>
      <c r="S186">
        <f>_xlfn.XLOOKUP(A186,Covid!A:A,Covid!K:K,0,0)</f>
        <v>193</v>
      </c>
      <c r="T186" s="145">
        <f>_xlfn.XLOOKUP(A186,Covid!A:A,Covid!K:K,0,0)/_xlfn.XLOOKUP(A186,Covid!A:A,Covid!L:L,0,0)</f>
        <v>4.0033188135241649E-2</v>
      </c>
    </row>
    <row r="187" spans="1:20" x14ac:dyDescent="0.55000000000000004">
      <c r="A187" s="157">
        <v>44168</v>
      </c>
      <c r="B187" s="13">
        <v>213180</v>
      </c>
      <c r="C187" s="13">
        <v>365690</v>
      </c>
      <c r="D187" s="13">
        <v>0</v>
      </c>
      <c r="E187" s="13">
        <v>359142</v>
      </c>
      <c r="F187" s="13">
        <v>938012</v>
      </c>
      <c r="G187">
        <f>IF(OR(_xlfn.XLOOKUP(A187,'LPG Fup'!D:D,'LPG Fup'!L:L,"",0)&gt;0.03,_xlfn.XLOOKUP(A187,'LPG Fup'!D:D,'LPG Fup'!L:L,"",0)&lt;-0.03),_xlfn.XLOOKUP(A187,'LPG Fup'!D:D,'LPG Fup'!L:L,0,0),0)</f>
        <v>0</v>
      </c>
      <c r="H187">
        <f>IF(_xlfn.XLOOKUP(A187,'LPG Fup'!D:D,'LPG Fup'!M:M,0,0)="",0,_xlfn.XLOOKUP(A187,'LPG Fup'!D:D,'LPG Fup'!M:M,0,0))</f>
        <v>0</v>
      </c>
      <c r="I187" s="109">
        <f>_xlfn.XLOOKUP(A187,'Rafineri Fiyatları'!A:A,'Rafineri Fiyatları'!B:B,"",0)</f>
        <v>4466.2799999999988</v>
      </c>
      <c r="J187">
        <f t="shared" si="8"/>
        <v>2020</v>
      </c>
      <c r="K187">
        <f t="shared" si="9"/>
        <v>12</v>
      </c>
      <c r="L187">
        <f t="shared" si="10"/>
        <v>3</v>
      </c>
      <c r="M187">
        <f t="shared" si="11"/>
        <v>5</v>
      </c>
      <c r="N187">
        <f>_xlfn.XLOOKUP(A187,tatiller!H:H,tatiller!I:I,0,0)</f>
        <v>0</v>
      </c>
      <c r="O187" cm="1">
        <f t="array" ref="O187">_xlfn.IFNA(_xlfn.IFS(L187=1,"A0",A187=EOMONTH(A187,0),"A-1",L187=2,"A+1"),0)</f>
        <v>0</v>
      </c>
      <c r="P187" t="str" cm="1">
        <f t="array" ref="P187">_xlfn.IFNA(_xlfn.IFS(AND(_xlfn.XLOOKUP(A187,'LPG Fup'!D:D,'LPG Fup'!M:M,"",0)&lt;&gt;"",_xlfn.XLOOKUP(A187,'LPG Fup'!D:D,'LPG Fup'!M:M,"",0)&gt;0),"Z-1", AND(_xlfn.XLOOKUP(A187+1,'LPG Fup'!D:D,'LPG Fup'!M:M,"",0)&lt;&gt;"",_xlfn.XLOOKUP(A187+1,'LPG Fup'!D:D,'LPG Fup'!M:M,"",0)&gt;0),"Z-2", AND(_xlfn.XLOOKUP(A187-1,'LPG Fup'!D:D,'LPG Fup'!M:M,"",0)&lt;&gt;"",_xlfn.XLOOKUP(A187-1,'LPG Fup'!D:D,'LPG Fup'!M:M,"",0)&gt;0),"Z", AND(_xlfn.XLOOKUP(A187-2,'LPG Fup'!D:D,'LPG Fup'!M:M,"",0)&lt;&gt;"",_xlfn.XLOOKUP(A187-2,'LPG Fup'!D:D,'LPG Fup'!M:M,"",0)&gt;0),"Z+1"),0)</f>
        <v>Z+1</v>
      </c>
      <c r="Q187" cm="1">
        <f t="array" ref="Q187">_xlfn.IFNA(_xlfn.IFS(AND(_xlfn.XLOOKUP(A187,'LPG Fup'!D:D,'LPG Fup'!M:M,"",0)&lt;&gt;"",_xlfn.XLOOKUP(A187,'LPG Fup'!D:D,'LPG Fup'!M:M,"",0)&lt;0),"I-1", AND(_xlfn.XLOOKUP(A187+1,'LPG Fup'!D:D,'LPG Fup'!M:M,"",0)&lt;&gt;"",_xlfn.XLOOKUP(A187+1,'LPG Fup'!D:D,'LPG Fup'!M:M,"",0)&lt;0),"I-2", AND(_xlfn.XLOOKUP(A187-1,'LPG Fup'!D:D,'LPG Fup'!M:M,"",0)&lt;&gt;"",_xlfn.XLOOKUP(A187-1,'LPG Fup'!D:D,'LPG Fup'!M:M,"",0)&lt;0),"I", AND(_xlfn.XLOOKUP(A187-2,'LPG Fup'!D:D,'LPG Fup'!M:M,"",0)&lt;&gt;"",_xlfn.XLOOKUP(A187-2,'LPG Fup'!D:D,'LPG Fup'!M:M,"",0)&lt;0),"I+1"),0)</f>
        <v>0</v>
      </c>
      <c r="R187">
        <f>_xlfn.XLOOKUP(A187,Covid!A:A,Covid!I:I,0,0)</f>
        <v>6511</v>
      </c>
      <c r="S187">
        <f>_xlfn.XLOOKUP(A187,Covid!A:A,Covid!K:K,0,0)</f>
        <v>187</v>
      </c>
      <c r="T187" s="145">
        <f>_xlfn.XLOOKUP(A187,Covid!A:A,Covid!K:K,0,0)/_xlfn.XLOOKUP(A187,Covid!A:A,Covid!L:L,0,0)</f>
        <v>4.4630071599045348E-2</v>
      </c>
    </row>
    <row r="188" spans="1:20" x14ac:dyDescent="0.55000000000000004">
      <c r="A188" s="157">
        <v>44169</v>
      </c>
      <c r="B188" s="13">
        <v>293040</v>
      </c>
      <c r="C188" s="13">
        <v>445173</v>
      </c>
      <c r="D188" s="13">
        <v>18010</v>
      </c>
      <c r="E188" s="13">
        <v>437376</v>
      </c>
      <c r="F188" s="13">
        <v>1193599</v>
      </c>
      <c r="G188">
        <f>IF(OR(_xlfn.XLOOKUP(A188,'LPG Fup'!D:D,'LPG Fup'!L:L,"",0)&gt;0.03,_xlfn.XLOOKUP(A188,'LPG Fup'!D:D,'LPG Fup'!L:L,"",0)&lt;-0.03),_xlfn.XLOOKUP(A188,'LPG Fup'!D:D,'LPG Fup'!L:L,0,0),0)</f>
        <v>0</v>
      </c>
      <c r="H188">
        <f>IF(_xlfn.XLOOKUP(A188,'LPG Fup'!D:D,'LPG Fup'!M:M,0,0)="",0,_xlfn.XLOOKUP(A188,'LPG Fup'!D:D,'LPG Fup'!M:M,0,0))</f>
        <v>0</v>
      </c>
      <c r="I188" s="109">
        <f>_xlfn.XLOOKUP(A188,'Rafineri Fiyatları'!A:A,'Rafineri Fiyatları'!B:B,"",0)</f>
        <v>4466.2799999999988</v>
      </c>
      <c r="J188">
        <f t="shared" si="8"/>
        <v>2020</v>
      </c>
      <c r="K188">
        <f t="shared" si="9"/>
        <v>12</v>
      </c>
      <c r="L188">
        <f t="shared" si="10"/>
        <v>4</v>
      </c>
      <c r="M188">
        <f t="shared" si="11"/>
        <v>6</v>
      </c>
      <c r="N188">
        <f>_xlfn.XLOOKUP(A188,tatiller!H:H,tatiller!I:I,0,0)</f>
        <v>0</v>
      </c>
      <c r="O188" cm="1">
        <f t="array" ref="O188">_xlfn.IFNA(_xlfn.IFS(L188=1,"A0",A188=EOMONTH(A188,0),"A-1",L188=2,"A+1"),0)</f>
        <v>0</v>
      </c>
      <c r="P188" cm="1">
        <f t="array" ref="P188">_xlfn.IFNA(_xlfn.IFS(AND(_xlfn.XLOOKUP(A188,'LPG Fup'!D:D,'LPG Fup'!M:M,"",0)&lt;&gt;"",_xlfn.XLOOKUP(A188,'LPG Fup'!D:D,'LPG Fup'!M:M,"",0)&gt;0),"Z-1", AND(_xlfn.XLOOKUP(A188+1,'LPG Fup'!D:D,'LPG Fup'!M:M,"",0)&lt;&gt;"",_xlfn.XLOOKUP(A188+1,'LPG Fup'!D:D,'LPG Fup'!M:M,"",0)&gt;0),"Z-2", AND(_xlfn.XLOOKUP(A188-1,'LPG Fup'!D:D,'LPG Fup'!M:M,"",0)&lt;&gt;"",_xlfn.XLOOKUP(A188-1,'LPG Fup'!D:D,'LPG Fup'!M:M,"",0)&gt;0),"Z", AND(_xlfn.XLOOKUP(A188-2,'LPG Fup'!D:D,'LPG Fup'!M:M,"",0)&lt;&gt;"",_xlfn.XLOOKUP(A188-2,'LPG Fup'!D:D,'LPG Fup'!M:M,"",0)&gt;0),"Z+1"),0)</f>
        <v>0</v>
      </c>
      <c r="Q188" cm="1">
        <f t="array" ref="Q188">_xlfn.IFNA(_xlfn.IFS(AND(_xlfn.XLOOKUP(A188,'LPG Fup'!D:D,'LPG Fup'!M:M,"",0)&lt;&gt;"",_xlfn.XLOOKUP(A188,'LPG Fup'!D:D,'LPG Fup'!M:M,"",0)&lt;0),"I-1", AND(_xlfn.XLOOKUP(A188+1,'LPG Fup'!D:D,'LPG Fup'!M:M,"",0)&lt;&gt;"",_xlfn.XLOOKUP(A188+1,'LPG Fup'!D:D,'LPG Fup'!M:M,"",0)&lt;0),"I-2", AND(_xlfn.XLOOKUP(A188-1,'LPG Fup'!D:D,'LPG Fup'!M:M,"",0)&lt;&gt;"",_xlfn.XLOOKUP(A188-1,'LPG Fup'!D:D,'LPG Fup'!M:M,"",0)&lt;0),"I", AND(_xlfn.XLOOKUP(A188-2,'LPG Fup'!D:D,'LPG Fup'!M:M,"",0)&lt;&gt;"",_xlfn.XLOOKUP(A188-2,'LPG Fup'!D:D,'LPG Fup'!M:M,"",0)&lt;0),"I+1"),0)</f>
        <v>0</v>
      </c>
      <c r="R188">
        <f>_xlfn.XLOOKUP(A188,Covid!A:A,Covid!I:I,0,0)</f>
        <v>6903</v>
      </c>
      <c r="S188">
        <f>_xlfn.XLOOKUP(A188,Covid!A:A,Covid!K:K,0,0)</f>
        <v>193</v>
      </c>
      <c r="T188" s="145">
        <f>_xlfn.XLOOKUP(A188,Covid!A:A,Covid!K:K,0,0)/_xlfn.XLOOKUP(A188,Covid!A:A,Covid!L:L,0,0)</f>
        <v>4.0116399916857205E-2</v>
      </c>
    </row>
    <row r="189" spans="1:20" x14ac:dyDescent="0.55000000000000004">
      <c r="A189" s="157">
        <v>44170</v>
      </c>
      <c r="B189" s="13">
        <v>165500</v>
      </c>
      <c r="C189" s="13">
        <v>241574</v>
      </c>
      <c r="D189" s="13">
        <v>5364</v>
      </c>
      <c r="E189" s="13">
        <v>264069</v>
      </c>
      <c r="F189" s="13">
        <v>676507</v>
      </c>
      <c r="G189">
        <f>IF(OR(_xlfn.XLOOKUP(A189,'LPG Fup'!D:D,'LPG Fup'!L:L,"",0)&gt;0.03,_xlfn.XLOOKUP(A189,'LPG Fup'!D:D,'LPG Fup'!L:L,"",0)&lt;-0.03),_xlfn.XLOOKUP(A189,'LPG Fup'!D:D,'LPG Fup'!L:L,0,0),0)</f>
        <v>0</v>
      </c>
      <c r="H189">
        <f>IF(_xlfn.XLOOKUP(A189,'LPG Fup'!D:D,'LPG Fup'!M:M,0,0)="",0,_xlfn.XLOOKUP(A189,'LPG Fup'!D:D,'LPG Fup'!M:M,0,0))</f>
        <v>0</v>
      </c>
      <c r="I189" s="109">
        <f>_xlfn.XLOOKUP(A189,'Rafineri Fiyatları'!A:A,'Rafineri Fiyatları'!B:B,"",0)</f>
        <v>4466.2799999999988</v>
      </c>
      <c r="J189">
        <f t="shared" si="8"/>
        <v>2020</v>
      </c>
      <c r="K189">
        <f t="shared" si="9"/>
        <v>12</v>
      </c>
      <c r="L189">
        <f t="shared" si="10"/>
        <v>5</v>
      </c>
      <c r="M189">
        <f t="shared" si="11"/>
        <v>7</v>
      </c>
      <c r="N189">
        <f>_xlfn.XLOOKUP(A189,tatiller!H:H,tatiller!I:I,0,0)</f>
        <v>0</v>
      </c>
      <c r="O189" cm="1">
        <f t="array" ref="O189">_xlfn.IFNA(_xlfn.IFS(L189=1,"A0",A189=EOMONTH(A189,0),"A-1",L189=2,"A+1"),0)</f>
        <v>0</v>
      </c>
      <c r="P189" cm="1">
        <f t="array" ref="P189">_xlfn.IFNA(_xlfn.IFS(AND(_xlfn.XLOOKUP(A189,'LPG Fup'!D:D,'LPG Fup'!M:M,"",0)&lt;&gt;"",_xlfn.XLOOKUP(A189,'LPG Fup'!D:D,'LPG Fup'!M:M,"",0)&gt;0),"Z-1", AND(_xlfn.XLOOKUP(A189+1,'LPG Fup'!D:D,'LPG Fup'!M:M,"",0)&lt;&gt;"",_xlfn.XLOOKUP(A189+1,'LPG Fup'!D:D,'LPG Fup'!M:M,"",0)&gt;0),"Z-2", AND(_xlfn.XLOOKUP(A189-1,'LPG Fup'!D:D,'LPG Fup'!M:M,"",0)&lt;&gt;"",_xlfn.XLOOKUP(A189-1,'LPG Fup'!D:D,'LPG Fup'!M:M,"",0)&gt;0),"Z", AND(_xlfn.XLOOKUP(A189-2,'LPG Fup'!D:D,'LPG Fup'!M:M,"",0)&lt;&gt;"",_xlfn.XLOOKUP(A189-2,'LPG Fup'!D:D,'LPG Fup'!M:M,"",0)&gt;0),"Z+1"),0)</f>
        <v>0</v>
      </c>
      <c r="Q189" cm="1">
        <f t="array" ref="Q189">_xlfn.IFNA(_xlfn.IFS(AND(_xlfn.XLOOKUP(A189,'LPG Fup'!D:D,'LPG Fup'!M:M,"",0)&lt;&gt;"",_xlfn.XLOOKUP(A189,'LPG Fup'!D:D,'LPG Fup'!M:M,"",0)&lt;0),"I-1", AND(_xlfn.XLOOKUP(A189+1,'LPG Fup'!D:D,'LPG Fup'!M:M,"",0)&lt;&gt;"",_xlfn.XLOOKUP(A189+1,'LPG Fup'!D:D,'LPG Fup'!M:M,"",0)&lt;0),"I-2", AND(_xlfn.XLOOKUP(A189-1,'LPG Fup'!D:D,'LPG Fup'!M:M,"",0)&lt;&gt;"",_xlfn.XLOOKUP(A189-1,'LPG Fup'!D:D,'LPG Fup'!M:M,"",0)&lt;0),"I", AND(_xlfn.XLOOKUP(A189-2,'LPG Fup'!D:D,'LPG Fup'!M:M,"",0)&lt;&gt;"",_xlfn.XLOOKUP(A189-2,'LPG Fup'!D:D,'LPG Fup'!M:M,"",0)&lt;0),"I+1"),0)</f>
        <v>0</v>
      </c>
      <c r="R189">
        <f>_xlfn.XLOOKUP(A189,Covid!A:A,Covid!I:I,0,0)</f>
        <v>6128</v>
      </c>
      <c r="S189">
        <f>_xlfn.XLOOKUP(A189,Covid!A:A,Covid!K:K,0,0)</f>
        <v>196</v>
      </c>
      <c r="T189" s="145">
        <f>_xlfn.XLOOKUP(A189,Covid!A:A,Covid!K:K,0,0)/_xlfn.XLOOKUP(A189,Covid!A:A,Covid!L:L,0,0)</f>
        <v>4.7804878048780489E-2</v>
      </c>
    </row>
    <row r="190" spans="1:20" x14ac:dyDescent="0.55000000000000004">
      <c r="A190" s="157">
        <v>44171</v>
      </c>
      <c r="B190" s="13">
        <v>225240</v>
      </c>
      <c r="C190" s="13">
        <v>450</v>
      </c>
      <c r="D190" s="13">
        <v>0</v>
      </c>
      <c r="E190" s="13">
        <v>116370</v>
      </c>
      <c r="F190" s="13">
        <v>342060</v>
      </c>
      <c r="G190">
        <f>IF(OR(_xlfn.XLOOKUP(A190,'LPG Fup'!D:D,'LPG Fup'!L:L,"",0)&gt;0.03,_xlfn.XLOOKUP(A190,'LPG Fup'!D:D,'LPG Fup'!L:L,"",0)&lt;-0.03),_xlfn.XLOOKUP(A190,'LPG Fup'!D:D,'LPG Fup'!L:L,0,0),0)</f>
        <v>0</v>
      </c>
      <c r="H190">
        <f>IF(_xlfn.XLOOKUP(A190,'LPG Fup'!D:D,'LPG Fup'!M:M,0,0)="",0,_xlfn.XLOOKUP(A190,'LPG Fup'!D:D,'LPG Fup'!M:M,0,0))</f>
        <v>0</v>
      </c>
      <c r="I190" s="109">
        <f>_xlfn.XLOOKUP(A190,'Rafineri Fiyatları'!A:A,'Rafineri Fiyatları'!B:B,"",0)</f>
        <v>4466.2799999999988</v>
      </c>
      <c r="J190">
        <f t="shared" si="8"/>
        <v>2020</v>
      </c>
      <c r="K190">
        <f t="shared" si="9"/>
        <v>12</v>
      </c>
      <c r="L190">
        <f t="shared" si="10"/>
        <v>6</v>
      </c>
      <c r="M190">
        <f t="shared" si="11"/>
        <v>1</v>
      </c>
      <c r="N190">
        <f>_xlfn.XLOOKUP(A190,tatiller!H:H,tatiller!I:I,0,0)</f>
        <v>0</v>
      </c>
      <c r="O190" cm="1">
        <f t="array" ref="O190">_xlfn.IFNA(_xlfn.IFS(L190=1,"A0",A190=EOMONTH(A190,0),"A-1",L190=2,"A+1"),0)</f>
        <v>0</v>
      </c>
      <c r="P190" cm="1">
        <f t="array" ref="P190">_xlfn.IFNA(_xlfn.IFS(AND(_xlfn.XLOOKUP(A190,'LPG Fup'!D:D,'LPG Fup'!M:M,"",0)&lt;&gt;"",_xlfn.XLOOKUP(A190,'LPG Fup'!D:D,'LPG Fup'!M:M,"",0)&gt;0),"Z-1", AND(_xlfn.XLOOKUP(A190+1,'LPG Fup'!D:D,'LPG Fup'!M:M,"",0)&lt;&gt;"",_xlfn.XLOOKUP(A190+1,'LPG Fup'!D:D,'LPG Fup'!M:M,"",0)&gt;0),"Z-2", AND(_xlfn.XLOOKUP(A190-1,'LPG Fup'!D:D,'LPG Fup'!M:M,"",0)&lt;&gt;"",_xlfn.XLOOKUP(A190-1,'LPG Fup'!D:D,'LPG Fup'!M:M,"",0)&gt;0),"Z", AND(_xlfn.XLOOKUP(A190-2,'LPG Fup'!D:D,'LPG Fup'!M:M,"",0)&lt;&gt;"",_xlfn.XLOOKUP(A190-2,'LPG Fup'!D:D,'LPG Fup'!M:M,"",0)&gt;0),"Z+1"),0)</f>
        <v>0</v>
      </c>
      <c r="Q190" cm="1">
        <f t="array" ref="Q190">_xlfn.IFNA(_xlfn.IFS(AND(_xlfn.XLOOKUP(A190,'LPG Fup'!D:D,'LPG Fup'!M:M,"",0)&lt;&gt;"",_xlfn.XLOOKUP(A190,'LPG Fup'!D:D,'LPG Fup'!M:M,"",0)&lt;0),"I-1", AND(_xlfn.XLOOKUP(A190+1,'LPG Fup'!D:D,'LPG Fup'!M:M,"",0)&lt;&gt;"",_xlfn.XLOOKUP(A190+1,'LPG Fup'!D:D,'LPG Fup'!M:M,"",0)&lt;0),"I-2", AND(_xlfn.XLOOKUP(A190-1,'LPG Fup'!D:D,'LPG Fup'!M:M,"",0)&lt;&gt;"",_xlfn.XLOOKUP(A190-1,'LPG Fup'!D:D,'LPG Fup'!M:M,"",0)&lt;0),"I", AND(_xlfn.XLOOKUP(A190-2,'LPG Fup'!D:D,'LPG Fup'!M:M,"",0)&lt;&gt;"",_xlfn.XLOOKUP(A190-2,'LPG Fup'!D:D,'LPG Fup'!M:M,"",0)&lt;0),"I+1"),0)</f>
        <v>0</v>
      </c>
      <c r="R190">
        <f>_xlfn.XLOOKUP(A190,Covid!A:A,Covid!I:I,0,0)</f>
        <v>6093</v>
      </c>
      <c r="S190">
        <f>_xlfn.XLOOKUP(A190,Covid!A:A,Covid!K:K,0,0)</f>
        <v>195</v>
      </c>
      <c r="T190" s="145">
        <f>_xlfn.XLOOKUP(A190,Covid!A:A,Covid!K:K,0,0)/_xlfn.XLOOKUP(A190,Covid!A:A,Covid!L:L,0,0)</f>
        <v>4.8616305160807775E-2</v>
      </c>
    </row>
    <row r="191" spans="1:20" x14ac:dyDescent="0.55000000000000004">
      <c r="A191" s="157">
        <v>44172</v>
      </c>
      <c r="B191" s="13">
        <v>149760</v>
      </c>
      <c r="C191" s="13">
        <v>425404</v>
      </c>
      <c r="D191" s="13">
        <v>699</v>
      </c>
      <c r="E191" s="13">
        <v>246031</v>
      </c>
      <c r="F191" s="13">
        <v>821894</v>
      </c>
      <c r="G191">
        <f>IF(OR(_xlfn.XLOOKUP(A191,'LPG Fup'!D:D,'LPG Fup'!L:L,"",0)&gt;0.03,_xlfn.XLOOKUP(A191,'LPG Fup'!D:D,'LPG Fup'!L:L,"",0)&lt;-0.03),_xlfn.XLOOKUP(A191,'LPG Fup'!D:D,'LPG Fup'!L:L,0,0),0)</f>
        <v>0</v>
      </c>
      <c r="H191">
        <f>IF(_xlfn.XLOOKUP(A191,'LPG Fup'!D:D,'LPG Fup'!M:M,0,0)="",0,_xlfn.XLOOKUP(A191,'LPG Fup'!D:D,'LPG Fup'!M:M,0,0))</f>
        <v>0</v>
      </c>
      <c r="I191" s="109">
        <f>_xlfn.XLOOKUP(A191,'Rafineri Fiyatları'!A:A,'Rafineri Fiyatları'!B:B,"",0)</f>
        <v>4466.2799999999988</v>
      </c>
      <c r="J191">
        <f t="shared" si="8"/>
        <v>2020</v>
      </c>
      <c r="K191">
        <f t="shared" si="9"/>
        <v>12</v>
      </c>
      <c r="L191">
        <f t="shared" si="10"/>
        <v>7</v>
      </c>
      <c r="M191">
        <f t="shared" si="11"/>
        <v>2</v>
      </c>
      <c r="N191">
        <f>_xlfn.XLOOKUP(A191,tatiller!H:H,tatiller!I:I,0,0)</f>
        <v>0</v>
      </c>
      <c r="O191" cm="1">
        <f t="array" ref="O191">_xlfn.IFNA(_xlfn.IFS(L191=1,"A0",A191=EOMONTH(A191,0),"A-1",L191=2,"A+1"),0)</f>
        <v>0</v>
      </c>
      <c r="P191" cm="1">
        <f t="array" ref="P191">_xlfn.IFNA(_xlfn.IFS(AND(_xlfn.XLOOKUP(A191,'LPG Fup'!D:D,'LPG Fup'!M:M,"",0)&lt;&gt;"",_xlfn.XLOOKUP(A191,'LPG Fup'!D:D,'LPG Fup'!M:M,"",0)&gt;0),"Z-1", AND(_xlfn.XLOOKUP(A191+1,'LPG Fup'!D:D,'LPG Fup'!M:M,"",0)&lt;&gt;"",_xlfn.XLOOKUP(A191+1,'LPG Fup'!D:D,'LPG Fup'!M:M,"",0)&gt;0),"Z-2", AND(_xlfn.XLOOKUP(A191-1,'LPG Fup'!D:D,'LPG Fup'!M:M,"",0)&lt;&gt;"",_xlfn.XLOOKUP(A191-1,'LPG Fup'!D:D,'LPG Fup'!M:M,"",0)&gt;0),"Z", AND(_xlfn.XLOOKUP(A191-2,'LPG Fup'!D:D,'LPG Fup'!M:M,"",0)&lt;&gt;"",_xlfn.XLOOKUP(A191-2,'LPG Fup'!D:D,'LPG Fup'!M:M,"",0)&gt;0),"Z+1"),0)</f>
        <v>0</v>
      </c>
      <c r="Q191" cm="1">
        <f t="array" ref="Q191">_xlfn.IFNA(_xlfn.IFS(AND(_xlfn.XLOOKUP(A191,'LPG Fup'!D:D,'LPG Fup'!M:M,"",0)&lt;&gt;"",_xlfn.XLOOKUP(A191,'LPG Fup'!D:D,'LPG Fup'!M:M,"",0)&lt;0),"I-1", AND(_xlfn.XLOOKUP(A191+1,'LPG Fup'!D:D,'LPG Fup'!M:M,"",0)&lt;&gt;"",_xlfn.XLOOKUP(A191+1,'LPG Fup'!D:D,'LPG Fup'!M:M,"",0)&lt;0),"I-2", AND(_xlfn.XLOOKUP(A191-1,'LPG Fup'!D:D,'LPG Fup'!M:M,"",0)&lt;&gt;"",_xlfn.XLOOKUP(A191-1,'LPG Fup'!D:D,'LPG Fup'!M:M,"",0)&lt;0),"I", AND(_xlfn.XLOOKUP(A191-2,'LPG Fup'!D:D,'LPG Fup'!M:M,"",0)&lt;&gt;"",_xlfn.XLOOKUP(A191-2,'LPG Fup'!D:D,'LPG Fup'!M:M,"",0)&lt;0),"I+1"),0)</f>
        <v>0</v>
      </c>
      <c r="R191">
        <f>_xlfn.XLOOKUP(A191,Covid!A:A,Covid!I:I,0,0)</f>
        <v>6420</v>
      </c>
      <c r="S191">
        <f>_xlfn.XLOOKUP(A191,Covid!A:A,Covid!K:K,0,0)</f>
        <v>203</v>
      </c>
      <c r="T191" s="145">
        <f>_xlfn.XLOOKUP(A191,Covid!A:A,Covid!K:K,0,0)/_xlfn.XLOOKUP(A191,Covid!A:A,Covid!L:L,0,0)</f>
        <v>4.046242774566474E-2</v>
      </c>
    </row>
    <row r="192" spans="1:20" x14ac:dyDescent="0.55000000000000004">
      <c r="A192" s="157">
        <v>44173</v>
      </c>
      <c r="B192" s="13">
        <v>230740</v>
      </c>
      <c r="C192" s="13">
        <v>341989</v>
      </c>
      <c r="D192" s="13">
        <v>14409</v>
      </c>
      <c r="E192" s="13">
        <v>487516</v>
      </c>
      <c r="F192" s="13">
        <v>1074654</v>
      </c>
      <c r="G192">
        <f>IF(OR(_xlfn.XLOOKUP(A192,'LPG Fup'!D:D,'LPG Fup'!L:L,"",0)&gt;0.03,_xlfn.XLOOKUP(A192,'LPG Fup'!D:D,'LPG Fup'!L:L,"",0)&lt;-0.03),_xlfn.XLOOKUP(A192,'LPG Fup'!D:D,'LPG Fup'!L:L,0,0),0)</f>
        <v>0</v>
      </c>
      <c r="H192">
        <f>IF(_xlfn.XLOOKUP(A192,'LPG Fup'!D:D,'LPG Fup'!M:M,0,0)="",0,_xlfn.XLOOKUP(A192,'LPG Fup'!D:D,'LPG Fup'!M:M,0,0))</f>
        <v>0</v>
      </c>
      <c r="I192" s="109">
        <f>_xlfn.XLOOKUP(A192,'Rafineri Fiyatları'!A:A,'Rafineri Fiyatları'!B:B,"",0)</f>
        <v>4466.2799999999988</v>
      </c>
      <c r="J192">
        <f t="shared" si="8"/>
        <v>2020</v>
      </c>
      <c r="K192">
        <f t="shared" si="9"/>
        <v>12</v>
      </c>
      <c r="L192">
        <f t="shared" si="10"/>
        <v>8</v>
      </c>
      <c r="M192">
        <f t="shared" si="11"/>
        <v>3</v>
      </c>
      <c r="N192">
        <f>_xlfn.XLOOKUP(A192,tatiller!H:H,tatiller!I:I,0,0)</f>
        <v>0</v>
      </c>
      <c r="O192" cm="1">
        <f t="array" ref="O192">_xlfn.IFNA(_xlfn.IFS(L192=1,"A0",A192=EOMONTH(A192,0),"A-1",L192=2,"A+1"),0)</f>
        <v>0</v>
      </c>
      <c r="P192" cm="1">
        <f t="array" ref="P192">_xlfn.IFNA(_xlfn.IFS(AND(_xlfn.XLOOKUP(A192,'LPG Fup'!D:D,'LPG Fup'!M:M,"",0)&lt;&gt;"",_xlfn.XLOOKUP(A192,'LPG Fup'!D:D,'LPG Fup'!M:M,"",0)&gt;0),"Z-1", AND(_xlfn.XLOOKUP(A192+1,'LPG Fup'!D:D,'LPG Fup'!M:M,"",0)&lt;&gt;"",_xlfn.XLOOKUP(A192+1,'LPG Fup'!D:D,'LPG Fup'!M:M,"",0)&gt;0),"Z-2", AND(_xlfn.XLOOKUP(A192-1,'LPG Fup'!D:D,'LPG Fup'!M:M,"",0)&lt;&gt;"",_xlfn.XLOOKUP(A192-1,'LPG Fup'!D:D,'LPG Fup'!M:M,"",0)&gt;0),"Z", AND(_xlfn.XLOOKUP(A192-2,'LPG Fup'!D:D,'LPG Fup'!M:M,"",0)&lt;&gt;"",_xlfn.XLOOKUP(A192-2,'LPG Fup'!D:D,'LPG Fup'!M:M,"",0)&gt;0),"Z+1"),0)</f>
        <v>0</v>
      </c>
      <c r="Q192" cm="1">
        <f t="array" ref="Q192">_xlfn.IFNA(_xlfn.IFS(AND(_xlfn.XLOOKUP(A192,'LPG Fup'!D:D,'LPG Fup'!M:M,"",0)&lt;&gt;"",_xlfn.XLOOKUP(A192,'LPG Fup'!D:D,'LPG Fup'!M:M,"",0)&lt;0),"I-1", AND(_xlfn.XLOOKUP(A192+1,'LPG Fup'!D:D,'LPG Fup'!M:M,"",0)&lt;&gt;"",_xlfn.XLOOKUP(A192+1,'LPG Fup'!D:D,'LPG Fup'!M:M,"",0)&lt;0),"I-2", AND(_xlfn.XLOOKUP(A192-1,'LPG Fup'!D:D,'LPG Fup'!M:M,"",0)&lt;&gt;"",_xlfn.XLOOKUP(A192-1,'LPG Fup'!D:D,'LPG Fup'!M:M,"",0)&lt;0),"I", AND(_xlfn.XLOOKUP(A192-2,'LPG Fup'!D:D,'LPG Fup'!M:M,"",0)&lt;&gt;"",_xlfn.XLOOKUP(A192-2,'LPG Fup'!D:D,'LPG Fup'!M:M,"",0)&lt;0),"I+1"),0)</f>
        <v>0</v>
      </c>
      <c r="R192">
        <f>_xlfn.XLOOKUP(A192,Covid!A:A,Covid!I:I,0,0)</f>
        <v>6593</v>
      </c>
      <c r="S192">
        <f>_xlfn.XLOOKUP(A192,Covid!A:A,Covid!K:K,0,0)</f>
        <v>211</v>
      </c>
      <c r="T192" s="145">
        <f>_xlfn.XLOOKUP(A192,Covid!A:A,Covid!K:K,0,0)/_xlfn.XLOOKUP(A192,Covid!A:A,Covid!L:L,0,0)</f>
        <v>4.0228789323164919E-2</v>
      </c>
    </row>
    <row r="193" spans="1:20" x14ac:dyDescent="0.55000000000000004">
      <c r="A193" s="157">
        <v>44174</v>
      </c>
      <c r="B193" s="13">
        <v>187180</v>
      </c>
      <c r="C193" s="13">
        <v>380214</v>
      </c>
      <c r="D193" s="13">
        <v>12002</v>
      </c>
      <c r="E193" s="13">
        <v>383502</v>
      </c>
      <c r="F193" s="13">
        <v>962898</v>
      </c>
      <c r="G193">
        <f>IF(OR(_xlfn.XLOOKUP(A193,'LPG Fup'!D:D,'LPG Fup'!L:L,"",0)&gt;0.03,_xlfn.XLOOKUP(A193,'LPG Fup'!D:D,'LPG Fup'!L:L,"",0)&lt;-0.03),_xlfn.XLOOKUP(A193,'LPG Fup'!D:D,'LPG Fup'!L:L,0,0),0)</f>
        <v>0</v>
      </c>
      <c r="H193">
        <f>IF(_xlfn.XLOOKUP(A193,'LPG Fup'!D:D,'LPG Fup'!M:M,0,0)="",0,_xlfn.XLOOKUP(A193,'LPG Fup'!D:D,'LPG Fup'!M:M,0,0))</f>
        <v>0</v>
      </c>
      <c r="I193" s="109">
        <f>_xlfn.XLOOKUP(A193,'Rafineri Fiyatları'!A:A,'Rafineri Fiyatları'!B:B,"",0)</f>
        <v>4466.2799999999988</v>
      </c>
      <c r="J193">
        <f t="shared" si="8"/>
        <v>2020</v>
      </c>
      <c r="K193">
        <f t="shared" si="9"/>
        <v>12</v>
      </c>
      <c r="L193">
        <f t="shared" si="10"/>
        <v>9</v>
      </c>
      <c r="M193">
        <f t="shared" si="11"/>
        <v>4</v>
      </c>
      <c r="N193">
        <f>_xlfn.XLOOKUP(A193,tatiller!H:H,tatiller!I:I,0,0)</f>
        <v>0</v>
      </c>
      <c r="O193" cm="1">
        <f t="array" ref="O193">_xlfn.IFNA(_xlfn.IFS(L193=1,"A0",A193=EOMONTH(A193,0),"A-1",L193=2,"A+1"),0)</f>
        <v>0</v>
      </c>
      <c r="P193" cm="1">
        <f t="array" ref="P193">_xlfn.IFNA(_xlfn.IFS(AND(_xlfn.XLOOKUP(A193,'LPG Fup'!D:D,'LPG Fup'!M:M,"",0)&lt;&gt;"",_xlfn.XLOOKUP(A193,'LPG Fup'!D:D,'LPG Fup'!M:M,"",0)&gt;0),"Z-1", AND(_xlfn.XLOOKUP(A193+1,'LPG Fup'!D:D,'LPG Fup'!M:M,"",0)&lt;&gt;"",_xlfn.XLOOKUP(A193+1,'LPG Fup'!D:D,'LPG Fup'!M:M,"",0)&gt;0),"Z-2", AND(_xlfn.XLOOKUP(A193-1,'LPG Fup'!D:D,'LPG Fup'!M:M,"",0)&lt;&gt;"",_xlfn.XLOOKUP(A193-1,'LPG Fup'!D:D,'LPG Fup'!M:M,"",0)&gt;0),"Z", AND(_xlfn.XLOOKUP(A193-2,'LPG Fup'!D:D,'LPG Fup'!M:M,"",0)&lt;&gt;"",_xlfn.XLOOKUP(A193-2,'LPG Fup'!D:D,'LPG Fup'!M:M,"",0)&gt;0),"Z+1"),0)</f>
        <v>0</v>
      </c>
      <c r="Q193" cm="1">
        <f t="array" ref="Q193">_xlfn.IFNA(_xlfn.IFS(AND(_xlfn.XLOOKUP(A193,'LPG Fup'!D:D,'LPG Fup'!M:M,"",0)&lt;&gt;"",_xlfn.XLOOKUP(A193,'LPG Fup'!D:D,'LPG Fup'!M:M,"",0)&lt;0),"I-1", AND(_xlfn.XLOOKUP(A193+1,'LPG Fup'!D:D,'LPG Fup'!M:M,"",0)&lt;&gt;"",_xlfn.XLOOKUP(A193+1,'LPG Fup'!D:D,'LPG Fup'!M:M,"",0)&lt;0),"I-2", AND(_xlfn.XLOOKUP(A193-1,'LPG Fup'!D:D,'LPG Fup'!M:M,"",0)&lt;&gt;"",_xlfn.XLOOKUP(A193-1,'LPG Fup'!D:D,'LPG Fup'!M:M,"",0)&lt;0),"I", AND(_xlfn.XLOOKUP(A193-2,'LPG Fup'!D:D,'LPG Fup'!M:M,"",0)&lt;&gt;"",_xlfn.XLOOKUP(A193-2,'LPG Fup'!D:D,'LPG Fup'!M:M,"",0)&lt;0),"I+1"),0)</f>
        <v>0</v>
      </c>
      <c r="R193">
        <f>_xlfn.XLOOKUP(A193,Covid!A:A,Covid!I:I,0,0)</f>
        <v>6213</v>
      </c>
      <c r="S193">
        <f>_xlfn.XLOOKUP(A193,Covid!A:A,Covid!K:K,0,0)</f>
        <v>217</v>
      </c>
      <c r="T193" s="145">
        <f>_xlfn.XLOOKUP(A193,Covid!A:A,Covid!K:K,0,0)/_xlfn.XLOOKUP(A193,Covid!A:A,Covid!L:L,0,0)</f>
        <v>3.7119397878891548E-2</v>
      </c>
    </row>
    <row r="194" spans="1:20" x14ac:dyDescent="0.55000000000000004">
      <c r="A194" s="157">
        <v>44175</v>
      </c>
      <c r="B194" s="13">
        <v>307220</v>
      </c>
      <c r="C194" s="13">
        <v>446841</v>
      </c>
      <c r="D194" s="13">
        <v>10074</v>
      </c>
      <c r="E194" s="13">
        <v>356593</v>
      </c>
      <c r="F194" s="13">
        <v>1120728</v>
      </c>
      <c r="G194">
        <f>IF(OR(_xlfn.XLOOKUP(A194,'LPG Fup'!D:D,'LPG Fup'!L:L,"",0)&gt;0.03,_xlfn.XLOOKUP(A194,'LPG Fup'!D:D,'LPG Fup'!L:L,"",0)&lt;-0.03),_xlfn.XLOOKUP(A194,'LPG Fup'!D:D,'LPG Fup'!L:L,0,0),0)</f>
        <v>0</v>
      </c>
      <c r="H194">
        <f>IF(_xlfn.XLOOKUP(A194,'LPG Fup'!D:D,'LPG Fup'!M:M,0,0)="",0,_xlfn.XLOOKUP(A194,'LPG Fup'!D:D,'LPG Fup'!M:M,0,0))</f>
        <v>0</v>
      </c>
      <c r="I194" s="109">
        <f>_xlfn.XLOOKUP(A194,'Rafineri Fiyatları'!A:A,'Rafineri Fiyatları'!B:B,"",0)</f>
        <v>4466.2799999999988</v>
      </c>
      <c r="J194">
        <f t="shared" ref="J194:J257" si="12">YEAR(A194)</f>
        <v>2020</v>
      </c>
      <c r="K194">
        <f t="shared" ref="K194:K257" si="13">MONTH(A194)</f>
        <v>12</v>
      </c>
      <c r="L194">
        <f t="shared" ref="L194:L257" si="14">DAY(A194)</f>
        <v>10</v>
      </c>
      <c r="M194">
        <f t="shared" ref="M194:M257" si="15">WEEKDAY(A194)</f>
        <v>5</v>
      </c>
      <c r="N194">
        <f>_xlfn.XLOOKUP(A194,tatiller!H:H,tatiller!I:I,0,0)</f>
        <v>0</v>
      </c>
      <c r="O194" cm="1">
        <f t="array" ref="O194">_xlfn.IFNA(_xlfn.IFS(L194=1,"A0",A194=EOMONTH(A194,0),"A-1",L194=2,"A+1"),0)</f>
        <v>0</v>
      </c>
      <c r="P194" cm="1">
        <f t="array" ref="P194">_xlfn.IFNA(_xlfn.IFS(AND(_xlfn.XLOOKUP(A194,'LPG Fup'!D:D,'LPG Fup'!M:M,"",0)&lt;&gt;"",_xlfn.XLOOKUP(A194,'LPG Fup'!D:D,'LPG Fup'!M:M,"",0)&gt;0),"Z-1", AND(_xlfn.XLOOKUP(A194+1,'LPG Fup'!D:D,'LPG Fup'!M:M,"",0)&lt;&gt;"",_xlfn.XLOOKUP(A194+1,'LPG Fup'!D:D,'LPG Fup'!M:M,"",0)&gt;0),"Z-2", AND(_xlfn.XLOOKUP(A194-1,'LPG Fup'!D:D,'LPG Fup'!M:M,"",0)&lt;&gt;"",_xlfn.XLOOKUP(A194-1,'LPG Fup'!D:D,'LPG Fup'!M:M,"",0)&gt;0),"Z", AND(_xlfn.XLOOKUP(A194-2,'LPG Fup'!D:D,'LPG Fup'!M:M,"",0)&lt;&gt;"",_xlfn.XLOOKUP(A194-2,'LPG Fup'!D:D,'LPG Fup'!M:M,"",0)&gt;0),"Z+1"),0)</f>
        <v>0</v>
      </c>
      <c r="Q194" cm="1">
        <f t="array" ref="Q194">_xlfn.IFNA(_xlfn.IFS(AND(_xlfn.XLOOKUP(A194,'LPG Fup'!D:D,'LPG Fup'!M:M,"",0)&lt;&gt;"",_xlfn.XLOOKUP(A194,'LPG Fup'!D:D,'LPG Fup'!M:M,"",0)&lt;0),"I-1", AND(_xlfn.XLOOKUP(A194+1,'LPG Fup'!D:D,'LPG Fup'!M:M,"",0)&lt;&gt;"",_xlfn.XLOOKUP(A194+1,'LPG Fup'!D:D,'LPG Fup'!M:M,"",0)&lt;0),"I-2", AND(_xlfn.XLOOKUP(A194-1,'LPG Fup'!D:D,'LPG Fup'!M:M,"",0)&lt;&gt;"",_xlfn.XLOOKUP(A194-1,'LPG Fup'!D:D,'LPG Fup'!M:M,"",0)&lt;0),"I", AND(_xlfn.XLOOKUP(A194-2,'LPG Fup'!D:D,'LPG Fup'!M:M,"",0)&lt;&gt;"",_xlfn.XLOOKUP(A194-2,'LPG Fup'!D:D,'LPG Fup'!M:M,"",0)&lt;0),"I+1"),0)</f>
        <v>0</v>
      </c>
      <c r="R194">
        <f>_xlfn.XLOOKUP(A194,Covid!A:A,Covid!I:I,0,0)</f>
        <v>5918</v>
      </c>
      <c r="S194">
        <f>_xlfn.XLOOKUP(A194,Covid!A:A,Covid!K:K,0,0)</f>
        <v>220</v>
      </c>
      <c r="T194" s="145">
        <f>_xlfn.XLOOKUP(A194,Covid!A:A,Covid!K:K,0,0)/_xlfn.XLOOKUP(A194,Covid!A:A,Covid!L:L,0,0)</f>
        <v>4.2048929663608563E-2</v>
      </c>
    </row>
    <row r="195" spans="1:20" x14ac:dyDescent="0.55000000000000004">
      <c r="A195" s="157">
        <v>44176</v>
      </c>
      <c r="B195" s="13">
        <v>2284683</v>
      </c>
      <c r="C195" s="13">
        <v>348400</v>
      </c>
      <c r="D195" s="13">
        <v>19889</v>
      </c>
      <c r="E195" s="13">
        <v>391591</v>
      </c>
      <c r="F195" s="13">
        <v>3044563</v>
      </c>
      <c r="G195">
        <f>IF(OR(_xlfn.XLOOKUP(A195,'LPG Fup'!D:D,'LPG Fup'!L:L,"",0)&gt;0.03,_xlfn.XLOOKUP(A195,'LPG Fup'!D:D,'LPG Fup'!L:L,"",0)&lt;-0.03),_xlfn.XLOOKUP(A195,'LPG Fup'!D:D,'LPG Fup'!L:L,0,0),0)</f>
        <v>0</v>
      </c>
      <c r="H195">
        <f>IF(_xlfn.XLOOKUP(A195,'LPG Fup'!D:D,'LPG Fup'!M:M,0,0)="",0,_xlfn.XLOOKUP(A195,'LPG Fup'!D:D,'LPG Fup'!M:M,0,0))</f>
        <v>0</v>
      </c>
      <c r="I195" s="109">
        <f>_xlfn.XLOOKUP(A195,'Rafineri Fiyatları'!A:A,'Rafineri Fiyatları'!B:B,"",0)</f>
        <v>4466.2799999999988</v>
      </c>
      <c r="J195">
        <f t="shared" si="12"/>
        <v>2020</v>
      </c>
      <c r="K195">
        <f t="shared" si="13"/>
        <v>12</v>
      </c>
      <c r="L195">
        <f t="shared" si="14"/>
        <v>11</v>
      </c>
      <c r="M195">
        <f t="shared" si="15"/>
        <v>6</v>
      </c>
      <c r="N195">
        <f>_xlfn.XLOOKUP(A195,tatiller!H:H,tatiller!I:I,0,0)</f>
        <v>0</v>
      </c>
      <c r="O195" cm="1">
        <f t="array" ref="O195">_xlfn.IFNA(_xlfn.IFS(L195=1,"A0",A195=EOMONTH(A195,0),"A-1",L195=2,"A+1"),0)</f>
        <v>0</v>
      </c>
      <c r="P195" cm="1">
        <f t="array" ref="P195">_xlfn.IFNA(_xlfn.IFS(AND(_xlfn.XLOOKUP(A195,'LPG Fup'!D:D,'LPG Fup'!M:M,"",0)&lt;&gt;"",_xlfn.XLOOKUP(A195,'LPG Fup'!D:D,'LPG Fup'!M:M,"",0)&gt;0),"Z-1", AND(_xlfn.XLOOKUP(A195+1,'LPG Fup'!D:D,'LPG Fup'!M:M,"",0)&lt;&gt;"",_xlfn.XLOOKUP(A195+1,'LPG Fup'!D:D,'LPG Fup'!M:M,"",0)&gt;0),"Z-2", AND(_xlfn.XLOOKUP(A195-1,'LPG Fup'!D:D,'LPG Fup'!M:M,"",0)&lt;&gt;"",_xlfn.XLOOKUP(A195-1,'LPG Fup'!D:D,'LPG Fup'!M:M,"",0)&gt;0),"Z", AND(_xlfn.XLOOKUP(A195-2,'LPG Fup'!D:D,'LPG Fup'!M:M,"",0)&lt;&gt;"",_xlfn.XLOOKUP(A195-2,'LPG Fup'!D:D,'LPG Fup'!M:M,"",0)&gt;0),"Z+1"),0)</f>
        <v>0</v>
      </c>
      <c r="Q195" cm="1">
        <f t="array" ref="Q195">_xlfn.IFNA(_xlfn.IFS(AND(_xlfn.XLOOKUP(A195,'LPG Fup'!D:D,'LPG Fup'!M:M,"",0)&lt;&gt;"",_xlfn.XLOOKUP(A195,'LPG Fup'!D:D,'LPG Fup'!M:M,"",0)&lt;0),"I-1", AND(_xlfn.XLOOKUP(A195+1,'LPG Fup'!D:D,'LPG Fup'!M:M,"",0)&lt;&gt;"",_xlfn.XLOOKUP(A195+1,'LPG Fup'!D:D,'LPG Fup'!M:M,"",0)&lt;0),"I-2", AND(_xlfn.XLOOKUP(A195-1,'LPG Fup'!D:D,'LPG Fup'!M:M,"",0)&lt;&gt;"",_xlfn.XLOOKUP(A195-1,'LPG Fup'!D:D,'LPG Fup'!M:M,"",0)&lt;0),"I", AND(_xlfn.XLOOKUP(A195-2,'LPG Fup'!D:D,'LPG Fup'!M:M,"",0)&lt;&gt;"",_xlfn.XLOOKUP(A195-2,'LPG Fup'!D:D,'LPG Fup'!M:M,"",0)&lt;0),"I+1"),0)</f>
        <v>0</v>
      </c>
      <c r="R195">
        <f>_xlfn.XLOOKUP(A195,Covid!A:A,Covid!I:I,0,0)</f>
        <v>5607</v>
      </c>
      <c r="S195">
        <f>_xlfn.XLOOKUP(A195,Covid!A:A,Covid!K:K,0,0)</f>
        <v>226</v>
      </c>
      <c r="T195" s="145">
        <f>_xlfn.XLOOKUP(A195,Covid!A:A,Covid!K:K,0,0)/_xlfn.XLOOKUP(A195,Covid!A:A,Covid!L:L,0,0)</f>
        <v>4.0971718636693258E-2</v>
      </c>
    </row>
    <row r="196" spans="1:20" x14ac:dyDescent="0.55000000000000004">
      <c r="A196" s="157">
        <v>44177</v>
      </c>
      <c r="B196" s="13">
        <v>191260</v>
      </c>
      <c r="C196" s="13">
        <v>352116</v>
      </c>
      <c r="D196" s="13">
        <v>13521</v>
      </c>
      <c r="E196" s="13">
        <v>293781</v>
      </c>
      <c r="F196" s="13">
        <v>850678</v>
      </c>
      <c r="G196">
        <f>IF(OR(_xlfn.XLOOKUP(A196,'LPG Fup'!D:D,'LPG Fup'!L:L,"",0)&gt;0.03,_xlfn.XLOOKUP(A196,'LPG Fup'!D:D,'LPG Fup'!L:L,"",0)&lt;-0.03),_xlfn.XLOOKUP(A196,'LPG Fup'!D:D,'LPG Fup'!L:L,0,0),0)</f>
        <v>0</v>
      </c>
      <c r="H196">
        <f>IF(_xlfn.XLOOKUP(A196,'LPG Fup'!D:D,'LPG Fup'!M:M,0,0)="",0,_xlfn.XLOOKUP(A196,'LPG Fup'!D:D,'LPG Fup'!M:M,0,0))</f>
        <v>0</v>
      </c>
      <c r="I196" s="109">
        <f>_xlfn.XLOOKUP(A196,'Rafineri Fiyatları'!A:A,'Rafineri Fiyatları'!B:B,"",0)</f>
        <v>4466.2799999999988</v>
      </c>
      <c r="J196">
        <f t="shared" si="12"/>
        <v>2020</v>
      </c>
      <c r="K196">
        <f t="shared" si="13"/>
        <v>12</v>
      </c>
      <c r="L196">
        <f t="shared" si="14"/>
        <v>12</v>
      </c>
      <c r="M196">
        <f t="shared" si="15"/>
        <v>7</v>
      </c>
      <c r="N196">
        <f>_xlfn.XLOOKUP(A196,tatiller!H:H,tatiller!I:I,0,0)</f>
        <v>0</v>
      </c>
      <c r="O196" cm="1">
        <f t="array" ref="O196">_xlfn.IFNA(_xlfn.IFS(L196=1,"A0",A196=EOMONTH(A196,0),"A-1",L196=2,"A+1"),0)</f>
        <v>0</v>
      </c>
      <c r="P196" cm="1">
        <f t="array" ref="P196">_xlfn.IFNA(_xlfn.IFS(AND(_xlfn.XLOOKUP(A196,'LPG Fup'!D:D,'LPG Fup'!M:M,"",0)&lt;&gt;"",_xlfn.XLOOKUP(A196,'LPG Fup'!D:D,'LPG Fup'!M:M,"",0)&gt;0),"Z-1", AND(_xlfn.XLOOKUP(A196+1,'LPG Fup'!D:D,'LPG Fup'!M:M,"",0)&lt;&gt;"",_xlfn.XLOOKUP(A196+1,'LPG Fup'!D:D,'LPG Fup'!M:M,"",0)&gt;0),"Z-2", AND(_xlfn.XLOOKUP(A196-1,'LPG Fup'!D:D,'LPG Fup'!M:M,"",0)&lt;&gt;"",_xlfn.XLOOKUP(A196-1,'LPG Fup'!D:D,'LPG Fup'!M:M,"",0)&gt;0),"Z", AND(_xlfn.XLOOKUP(A196-2,'LPG Fup'!D:D,'LPG Fup'!M:M,"",0)&lt;&gt;"",_xlfn.XLOOKUP(A196-2,'LPG Fup'!D:D,'LPG Fup'!M:M,"",0)&gt;0),"Z+1"),0)</f>
        <v>0</v>
      </c>
      <c r="Q196" cm="1">
        <f t="array" ref="Q196">_xlfn.IFNA(_xlfn.IFS(AND(_xlfn.XLOOKUP(A196,'LPG Fup'!D:D,'LPG Fup'!M:M,"",0)&lt;&gt;"",_xlfn.XLOOKUP(A196,'LPG Fup'!D:D,'LPG Fup'!M:M,"",0)&lt;0),"I-1", AND(_xlfn.XLOOKUP(A196+1,'LPG Fup'!D:D,'LPG Fup'!M:M,"",0)&lt;&gt;"",_xlfn.XLOOKUP(A196+1,'LPG Fup'!D:D,'LPG Fup'!M:M,"",0)&lt;0),"I-2", AND(_xlfn.XLOOKUP(A196-1,'LPG Fup'!D:D,'LPG Fup'!M:M,"",0)&lt;&gt;"",_xlfn.XLOOKUP(A196-1,'LPG Fup'!D:D,'LPG Fup'!M:M,"",0)&lt;0),"I", AND(_xlfn.XLOOKUP(A196-2,'LPG Fup'!D:D,'LPG Fup'!M:M,"",0)&lt;&gt;"",_xlfn.XLOOKUP(A196-2,'LPG Fup'!D:D,'LPG Fup'!M:M,"",0)&lt;0),"I+1"),0)</f>
        <v>0</v>
      </c>
      <c r="R196">
        <f>_xlfn.XLOOKUP(A196,Covid!A:A,Covid!I:I,0,0)</f>
        <v>5203</v>
      </c>
      <c r="S196">
        <f>_xlfn.XLOOKUP(A196,Covid!A:A,Covid!K:K,0,0)</f>
        <v>222</v>
      </c>
      <c r="T196" s="145">
        <f>_xlfn.XLOOKUP(A196,Covid!A:A,Covid!K:K,0,0)/_xlfn.XLOOKUP(A196,Covid!A:A,Covid!L:L,0,0)</f>
        <v>1.0994997771284236E-2</v>
      </c>
    </row>
    <row r="197" spans="1:20" x14ac:dyDescent="0.55000000000000004">
      <c r="A197" s="157">
        <v>44178</v>
      </c>
      <c r="B197" s="13">
        <v>100300</v>
      </c>
      <c r="C197" s="13">
        <v>180</v>
      </c>
      <c r="D197" s="13">
        <v>0</v>
      </c>
      <c r="E197" s="13">
        <v>40151</v>
      </c>
      <c r="F197" s="13">
        <v>2259115</v>
      </c>
      <c r="G197">
        <f>IF(OR(_xlfn.XLOOKUP(A197,'LPG Fup'!D:D,'LPG Fup'!L:L,"",0)&gt;0.03,_xlfn.XLOOKUP(A197,'LPG Fup'!D:D,'LPG Fup'!L:L,"",0)&lt;-0.03),_xlfn.XLOOKUP(A197,'LPG Fup'!D:D,'LPG Fup'!L:L,0,0),0)</f>
        <v>0</v>
      </c>
      <c r="H197">
        <f>IF(_xlfn.XLOOKUP(A197,'LPG Fup'!D:D,'LPG Fup'!M:M,0,0)="",0,_xlfn.XLOOKUP(A197,'LPG Fup'!D:D,'LPG Fup'!M:M,0,0))</f>
        <v>0</v>
      </c>
      <c r="I197" s="109">
        <f>_xlfn.XLOOKUP(A197,'Rafineri Fiyatları'!A:A,'Rafineri Fiyatları'!B:B,"",0)</f>
        <v>4466.2799999999988</v>
      </c>
      <c r="J197">
        <f t="shared" si="12"/>
        <v>2020</v>
      </c>
      <c r="K197">
        <f t="shared" si="13"/>
        <v>12</v>
      </c>
      <c r="L197">
        <f t="shared" si="14"/>
        <v>13</v>
      </c>
      <c r="M197">
        <f t="shared" si="15"/>
        <v>1</v>
      </c>
      <c r="N197">
        <f>_xlfn.XLOOKUP(A197,tatiller!H:H,tatiller!I:I,0,0)</f>
        <v>0</v>
      </c>
      <c r="O197" cm="1">
        <f t="array" ref="O197">_xlfn.IFNA(_xlfn.IFS(L197=1,"A0",A197=EOMONTH(A197,0),"A-1",L197=2,"A+1"),0)</f>
        <v>0</v>
      </c>
      <c r="P197" cm="1">
        <f t="array" ref="P197">_xlfn.IFNA(_xlfn.IFS(AND(_xlfn.XLOOKUP(A197,'LPG Fup'!D:D,'LPG Fup'!M:M,"",0)&lt;&gt;"",_xlfn.XLOOKUP(A197,'LPG Fup'!D:D,'LPG Fup'!M:M,"",0)&gt;0),"Z-1", AND(_xlfn.XLOOKUP(A197+1,'LPG Fup'!D:D,'LPG Fup'!M:M,"",0)&lt;&gt;"",_xlfn.XLOOKUP(A197+1,'LPG Fup'!D:D,'LPG Fup'!M:M,"",0)&gt;0),"Z-2", AND(_xlfn.XLOOKUP(A197-1,'LPG Fup'!D:D,'LPG Fup'!M:M,"",0)&lt;&gt;"",_xlfn.XLOOKUP(A197-1,'LPG Fup'!D:D,'LPG Fup'!M:M,"",0)&gt;0),"Z", AND(_xlfn.XLOOKUP(A197-2,'LPG Fup'!D:D,'LPG Fup'!M:M,"",0)&lt;&gt;"",_xlfn.XLOOKUP(A197-2,'LPG Fup'!D:D,'LPG Fup'!M:M,"",0)&gt;0),"Z+1"),0)</f>
        <v>0</v>
      </c>
      <c r="Q197" cm="1">
        <f t="array" ref="Q197">_xlfn.IFNA(_xlfn.IFS(AND(_xlfn.XLOOKUP(A197,'LPG Fup'!D:D,'LPG Fup'!M:M,"",0)&lt;&gt;"",_xlfn.XLOOKUP(A197,'LPG Fup'!D:D,'LPG Fup'!M:M,"",0)&lt;0),"I-1", AND(_xlfn.XLOOKUP(A197+1,'LPG Fup'!D:D,'LPG Fup'!M:M,"",0)&lt;&gt;"",_xlfn.XLOOKUP(A197+1,'LPG Fup'!D:D,'LPG Fup'!M:M,"",0)&lt;0),"I-2", AND(_xlfn.XLOOKUP(A197-1,'LPG Fup'!D:D,'LPG Fup'!M:M,"",0)&lt;&gt;"",_xlfn.XLOOKUP(A197-1,'LPG Fup'!D:D,'LPG Fup'!M:M,"",0)&lt;0),"I", AND(_xlfn.XLOOKUP(A197-2,'LPG Fup'!D:D,'LPG Fup'!M:M,"",0)&lt;&gt;"",_xlfn.XLOOKUP(A197-2,'LPG Fup'!D:D,'LPG Fup'!M:M,"",0)&lt;0),"I+1"),0)</f>
        <v>0</v>
      </c>
      <c r="R197">
        <f>_xlfn.XLOOKUP(A197,Covid!A:A,Covid!I:I,0,0)</f>
        <v>5103</v>
      </c>
      <c r="S197">
        <f>_xlfn.XLOOKUP(A197,Covid!A:A,Covid!K:K,0,0)</f>
        <v>218</v>
      </c>
      <c r="T197" s="145">
        <f>_xlfn.XLOOKUP(A197,Covid!A:A,Covid!K:K,0,0)/_xlfn.XLOOKUP(A197,Covid!A:A,Covid!L:L,0,0)</f>
        <v>9.8131892865181182E-3</v>
      </c>
    </row>
    <row r="198" spans="1:20" x14ac:dyDescent="0.55000000000000004">
      <c r="A198" s="157">
        <v>44179</v>
      </c>
      <c r="B198" s="13">
        <v>214620</v>
      </c>
      <c r="C198" s="13">
        <v>462715</v>
      </c>
      <c r="D198" s="13">
        <v>14398</v>
      </c>
      <c r="E198" s="13">
        <v>376343</v>
      </c>
      <c r="F198" s="13">
        <v>1068076</v>
      </c>
      <c r="G198">
        <f>IF(OR(_xlfn.XLOOKUP(A198,'LPG Fup'!D:D,'LPG Fup'!L:L,"",0)&gt;0.03,_xlfn.XLOOKUP(A198,'LPG Fup'!D:D,'LPG Fup'!L:L,"",0)&lt;-0.03),_xlfn.XLOOKUP(A198,'LPG Fup'!D:D,'LPG Fup'!L:L,0,0),0)</f>
        <v>0</v>
      </c>
      <c r="H198">
        <f>IF(_xlfn.XLOOKUP(A198,'LPG Fup'!D:D,'LPG Fup'!M:M,0,0)="",0,_xlfn.XLOOKUP(A198,'LPG Fup'!D:D,'LPG Fup'!M:M,0,0))</f>
        <v>0</v>
      </c>
      <c r="I198" s="109">
        <f>_xlfn.XLOOKUP(A198,'Rafineri Fiyatları'!A:A,'Rafineri Fiyatları'!B:B,"",0)</f>
        <v>4466.2799999999988</v>
      </c>
      <c r="J198">
        <f t="shared" si="12"/>
        <v>2020</v>
      </c>
      <c r="K198">
        <f t="shared" si="13"/>
        <v>12</v>
      </c>
      <c r="L198">
        <f t="shared" si="14"/>
        <v>14</v>
      </c>
      <c r="M198">
        <f t="shared" si="15"/>
        <v>2</v>
      </c>
      <c r="N198">
        <f>_xlfn.XLOOKUP(A198,tatiller!H:H,tatiller!I:I,0,0)</f>
        <v>0</v>
      </c>
      <c r="O198" cm="1">
        <f t="array" ref="O198">_xlfn.IFNA(_xlfn.IFS(L198=1,"A0",A198=EOMONTH(A198,0),"A-1",L198=2,"A+1"),0)</f>
        <v>0</v>
      </c>
      <c r="P198" cm="1">
        <f t="array" ref="P198">_xlfn.IFNA(_xlfn.IFS(AND(_xlfn.XLOOKUP(A198,'LPG Fup'!D:D,'LPG Fup'!M:M,"",0)&lt;&gt;"",_xlfn.XLOOKUP(A198,'LPG Fup'!D:D,'LPG Fup'!M:M,"",0)&gt;0),"Z-1", AND(_xlfn.XLOOKUP(A198+1,'LPG Fup'!D:D,'LPG Fup'!M:M,"",0)&lt;&gt;"",_xlfn.XLOOKUP(A198+1,'LPG Fup'!D:D,'LPG Fup'!M:M,"",0)&gt;0),"Z-2", AND(_xlfn.XLOOKUP(A198-1,'LPG Fup'!D:D,'LPG Fup'!M:M,"",0)&lt;&gt;"",_xlfn.XLOOKUP(A198-1,'LPG Fup'!D:D,'LPG Fup'!M:M,"",0)&gt;0),"Z", AND(_xlfn.XLOOKUP(A198-2,'LPG Fup'!D:D,'LPG Fup'!M:M,"",0)&lt;&gt;"",_xlfn.XLOOKUP(A198-2,'LPG Fup'!D:D,'LPG Fup'!M:M,"",0)&gt;0),"Z+1"),0)</f>
        <v>0</v>
      </c>
      <c r="Q198" cm="1">
        <f t="array" ref="Q198">_xlfn.IFNA(_xlfn.IFS(AND(_xlfn.XLOOKUP(A198,'LPG Fup'!D:D,'LPG Fup'!M:M,"",0)&lt;&gt;"",_xlfn.XLOOKUP(A198,'LPG Fup'!D:D,'LPG Fup'!M:M,"",0)&lt;0),"I-1", AND(_xlfn.XLOOKUP(A198+1,'LPG Fup'!D:D,'LPG Fup'!M:M,"",0)&lt;&gt;"",_xlfn.XLOOKUP(A198+1,'LPG Fup'!D:D,'LPG Fup'!M:M,"",0)&lt;0),"I-2", AND(_xlfn.XLOOKUP(A198-1,'LPG Fup'!D:D,'LPG Fup'!M:M,"",0)&lt;&gt;"",_xlfn.XLOOKUP(A198-1,'LPG Fup'!D:D,'LPG Fup'!M:M,"",0)&lt;0),"I", AND(_xlfn.XLOOKUP(A198-2,'LPG Fup'!D:D,'LPG Fup'!M:M,"",0)&lt;&gt;"",_xlfn.XLOOKUP(A198-2,'LPG Fup'!D:D,'LPG Fup'!M:M,"",0)&lt;0),"I+1"),0)</f>
        <v>0</v>
      </c>
      <c r="R198">
        <f>_xlfn.XLOOKUP(A198,Covid!A:A,Covid!I:I,0,0)</f>
        <v>5064</v>
      </c>
      <c r="S198">
        <f>_xlfn.XLOOKUP(A198,Covid!A:A,Covid!K:K,0,0)</f>
        <v>229</v>
      </c>
      <c r="T198" s="145">
        <f>_xlfn.XLOOKUP(A198,Covid!A:A,Covid!K:K,0,0)/_xlfn.XLOOKUP(A198,Covid!A:A,Covid!L:L,0,0)</f>
        <v>8.1309473086209338E-3</v>
      </c>
    </row>
    <row r="199" spans="1:20" x14ac:dyDescent="0.55000000000000004">
      <c r="A199" s="157">
        <v>44180</v>
      </c>
      <c r="B199" s="13">
        <v>207400</v>
      </c>
      <c r="C199" s="13">
        <v>383988</v>
      </c>
      <c r="D199" s="13">
        <v>7427</v>
      </c>
      <c r="E199" s="13">
        <v>429113</v>
      </c>
      <c r="F199" s="13">
        <v>1027928</v>
      </c>
      <c r="G199">
        <f>IF(OR(_xlfn.XLOOKUP(A199,'LPG Fup'!D:D,'LPG Fup'!L:L,"",0)&gt;0.03,_xlfn.XLOOKUP(A199,'LPG Fup'!D:D,'LPG Fup'!L:L,"",0)&lt;-0.03),_xlfn.XLOOKUP(A199,'LPG Fup'!D:D,'LPG Fup'!L:L,0,0),0)</f>
        <v>0</v>
      </c>
      <c r="H199">
        <f>IF(_xlfn.XLOOKUP(A199,'LPG Fup'!D:D,'LPG Fup'!M:M,0,0)="",0,_xlfn.XLOOKUP(A199,'LPG Fup'!D:D,'LPG Fup'!M:M,0,0))</f>
        <v>0</v>
      </c>
      <c r="I199" s="109">
        <f>_xlfn.XLOOKUP(A199,'Rafineri Fiyatları'!A:A,'Rafineri Fiyatları'!B:B,"",0)</f>
        <v>4466.2799999999988</v>
      </c>
      <c r="J199">
        <f t="shared" si="12"/>
        <v>2020</v>
      </c>
      <c r="K199">
        <f t="shared" si="13"/>
        <v>12</v>
      </c>
      <c r="L199">
        <f t="shared" si="14"/>
        <v>15</v>
      </c>
      <c r="M199">
        <f t="shared" si="15"/>
        <v>3</v>
      </c>
      <c r="N199">
        <f>_xlfn.XLOOKUP(A199,tatiller!H:H,tatiller!I:I,0,0)</f>
        <v>0</v>
      </c>
      <c r="O199" cm="1">
        <f t="array" ref="O199">_xlfn.IFNA(_xlfn.IFS(L199=1,"A0",A199=EOMONTH(A199,0),"A-1",L199=2,"A+1"),0)</f>
        <v>0</v>
      </c>
      <c r="P199" cm="1">
        <f t="array" ref="P199">_xlfn.IFNA(_xlfn.IFS(AND(_xlfn.XLOOKUP(A199,'LPG Fup'!D:D,'LPG Fup'!M:M,"",0)&lt;&gt;"",_xlfn.XLOOKUP(A199,'LPG Fup'!D:D,'LPG Fup'!M:M,"",0)&gt;0),"Z-1", AND(_xlfn.XLOOKUP(A199+1,'LPG Fup'!D:D,'LPG Fup'!M:M,"",0)&lt;&gt;"",_xlfn.XLOOKUP(A199+1,'LPG Fup'!D:D,'LPG Fup'!M:M,"",0)&gt;0),"Z-2", AND(_xlfn.XLOOKUP(A199-1,'LPG Fup'!D:D,'LPG Fup'!M:M,"",0)&lt;&gt;"",_xlfn.XLOOKUP(A199-1,'LPG Fup'!D:D,'LPG Fup'!M:M,"",0)&gt;0),"Z", AND(_xlfn.XLOOKUP(A199-2,'LPG Fup'!D:D,'LPG Fup'!M:M,"",0)&lt;&gt;"",_xlfn.XLOOKUP(A199-2,'LPG Fup'!D:D,'LPG Fup'!M:M,"",0)&gt;0),"Z+1"),0)</f>
        <v>0</v>
      </c>
      <c r="Q199" cm="1">
        <f t="array" ref="Q199">_xlfn.IFNA(_xlfn.IFS(AND(_xlfn.XLOOKUP(A199,'LPG Fup'!D:D,'LPG Fup'!M:M,"",0)&lt;&gt;"",_xlfn.XLOOKUP(A199,'LPG Fup'!D:D,'LPG Fup'!M:M,"",0)&lt;0),"I-1", AND(_xlfn.XLOOKUP(A199+1,'LPG Fup'!D:D,'LPG Fup'!M:M,"",0)&lt;&gt;"",_xlfn.XLOOKUP(A199+1,'LPG Fup'!D:D,'LPG Fup'!M:M,"",0)&lt;0),"I-2", AND(_xlfn.XLOOKUP(A199-1,'LPG Fup'!D:D,'LPG Fup'!M:M,"",0)&lt;&gt;"",_xlfn.XLOOKUP(A199-1,'LPG Fup'!D:D,'LPG Fup'!M:M,"",0)&lt;0),"I", AND(_xlfn.XLOOKUP(A199-2,'LPG Fup'!D:D,'LPG Fup'!M:M,"",0)&lt;&gt;"",_xlfn.XLOOKUP(A199-2,'LPG Fup'!D:D,'LPG Fup'!M:M,"",0)&lt;0),"I+1"),0)</f>
        <v>0</v>
      </c>
      <c r="R199">
        <f>_xlfn.XLOOKUP(A199,Covid!A:A,Covid!I:I,0,0)</f>
        <v>5105</v>
      </c>
      <c r="S199">
        <f>_xlfn.XLOOKUP(A199,Covid!A:A,Covid!K:K,0,0)</f>
        <v>235</v>
      </c>
      <c r="T199" s="145">
        <f>_xlfn.XLOOKUP(A199,Covid!A:A,Covid!K:K,0,0)/_xlfn.XLOOKUP(A199,Covid!A:A,Covid!L:L,0,0)</f>
        <v>8.0350121379970593E-3</v>
      </c>
    </row>
    <row r="200" spans="1:20" x14ac:dyDescent="0.55000000000000004">
      <c r="A200" s="157">
        <v>44181</v>
      </c>
      <c r="B200" s="13">
        <v>289780</v>
      </c>
      <c r="C200" s="13">
        <v>430949</v>
      </c>
      <c r="D200" s="13">
        <v>10265</v>
      </c>
      <c r="E200" s="13">
        <v>410742</v>
      </c>
      <c r="F200" s="13">
        <v>1141736</v>
      </c>
      <c r="G200">
        <f>IF(OR(_xlfn.XLOOKUP(A200,'LPG Fup'!D:D,'LPG Fup'!L:L,"",0)&gt;0.03,_xlfn.XLOOKUP(A200,'LPG Fup'!D:D,'LPG Fup'!L:L,"",0)&lt;-0.03),_xlfn.XLOOKUP(A200,'LPG Fup'!D:D,'LPG Fup'!L:L,0,0),0)</f>
        <v>0</v>
      </c>
      <c r="H200">
        <f>IF(_xlfn.XLOOKUP(A200,'LPG Fup'!D:D,'LPG Fup'!M:M,0,0)="",0,_xlfn.XLOOKUP(A200,'LPG Fup'!D:D,'LPG Fup'!M:M,0,0))</f>
        <v>0</v>
      </c>
      <c r="I200" s="109">
        <f>_xlfn.XLOOKUP(A200,'Rafineri Fiyatları'!A:A,'Rafineri Fiyatları'!B:B,"",0)</f>
        <v>4466.2799999999988</v>
      </c>
      <c r="J200">
        <f t="shared" si="12"/>
        <v>2020</v>
      </c>
      <c r="K200">
        <f t="shared" si="13"/>
        <v>12</v>
      </c>
      <c r="L200">
        <f t="shared" si="14"/>
        <v>16</v>
      </c>
      <c r="M200">
        <f t="shared" si="15"/>
        <v>4</v>
      </c>
      <c r="N200">
        <f>_xlfn.XLOOKUP(A200,tatiller!H:H,tatiller!I:I,0,0)</f>
        <v>0</v>
      </c>
      <c r="O200" cm="1">
        <f t="array" ref="O200">_xlfn.IFNA(_xlfn.IFS(L200=1,"A0",A200=EOMONTH(A200,0),"A-1",L200=2,"A+1"),0)</f>
        <v>0</v>
      </c>
      <c r="P200" cm="1">
        <f t="array" ref="P200">_xlfn.IFNA(_xlfn.IFS(AND(_xlfn.XLOOKUP(A200,'LPG Fup'!D:D,'LPG Fup'!M:M,"",0)&lt;&gt;"",_xlfn.XLOOKUP(A200,'LPG Fup'!D:D,'LPG Fup'!M:M,"",0)&gt;0),"Z-1", AND(_xlfn.XLOOKUP(A200+1,'LPG Fup'!D:D,'LPG Fup'!M:M,"",0)&lt;&gt;"",_xlfn.XLOOKUP(A200+1,'LPG Fup'!D:D,'LPG Fup'!M:M,"",0)&gt;0),"Z-2", AND(_xlfn.XLOOKUP(A200-1,'LPG Fup'!D:D,'LPG Fup'!M:M,"",0)&lt;&gt;"",_xlfn.XLOOKUP(A200-1,'LPG Fup'!D:D,'LPG Fup'!M:M,"",0)&gt;0),"Z", AND(_xlfn.XLOOKUP(A200-2,'LPG Fup'!D:D,'LPG Fup'!M:M,"",0)&lt;&gt;"",_xlfn.XLOOKUP(A200-2,'LPG Fup'!D:D,'LPG Fup'!M:M,"",0)&gt;0),"Z+1"),0)</f>
        <v>0</v>
      </c>
      <c r="Q200" cm="1">
        <f t="array" ref="Q200">_xlfn.IFNA(_xlfn.IFS(AND(_xlfn.XLOOKUP(A200,'LPG Fup'!D:D,'LPG Fup'!M:M,"",0)&lt;&gt;"",_xlfn.XLOOKUP(A200,'LPG Fup'!D:D,'LPG Fup'!M:M,"",0)&lt;0),"I-1", AND(_xlfn.XLOOKUP(A200+1,'LPG Fup'!D:D,'LPG Fup'!M:M,"",0)&lt;&gt;"",_xlfn.XLOOKUP(A200+1,'LPG Fup'!D:D,'LPG Fup'!M:M,"",0)&lt;0),"I-2", AND(_xlfn.XLOOKUP(A200-1,'LPG Fup'!D:D,'LPG Fup'!M:M,"",0)&lt;&gt;"",_xlfn.XLOOKUP(A200-1,'LPG Fup'!D:D,'LPG Fup'!M:M,"",0)&lt;0),"I", AND(_xlfn.XLOOKUP(A200-2,'LPG Fup'!D:D,'LPG Fup'!M:M,"",0)&lt;&gt;"",_xlfn.XLOOKUP(A200-2,'LPG Fup'!D:D,'LPG Fup'!M:M,"",0)&lt;0),"I+1"),0)</f>
        <v>0</v>
      </c>
      <c r="R200">
        <f>_xlfn.XLOOKUP(A200,Covid!A:A,Covid!I:I,0,0)</f>
        <v>4893</v>
      </c>
      <c r="S200">
        <f>_xlfn.XLOOKUP(A200,Covid!A:A,Covid!K:K,0,0)</f>
        <v>240</v>
      </c>
      <c r="T200" s="145">
        <f>_xlfn.XLOOKUP(A200,Covid!A:A,Covid!K:K,0,0)/_xlfn.XLOOKUP(A200,Covid!A:A,Covid!L:L,0,0)</f>
        <v>8.0208542209745329E-3</v>
      </c>
    </row>
    <row r="201" spans="1:20" x14ac:dyDescent="0.55000000000000004">
      <c r="A201" s="157">
        <v>44182</v>
      </c>
      <c r="B201" s="13">
        <v>367080</v>
      </c>
      <c r="C201" s="13">
        <v>354653</v>
      </c>
      <c r="D201" s="13">
        <v>8708</v>
      </c>
      <c r="E201" s="13">
        <v>316511</v>
      </c>
      <c r="F201" s="13">
        <v>1046952</v>
      </c>
      <c r="G201">
        <f>IF(OR(_xlfn.XLOOKUP(A201,'LPG Fup'!D:D,'LPG Fup'!L:L,"",0)&gt;0.03,_xlfn.XLOOKUP(A201,'LPG Fup'!D:D,'LPG Fup'!L:L,"",0)&lt;-0.03),_xlfn.XLOOKUP(A201,'LPG Fup'!D:D,'LPG Fup'!L:L,0,0),0)</f>
        <v>0</v>
      </c>
      <c r="H201">
        <f>IF(_xlfn.XLOOKUP(A201,'LPG Fup'!D:D,'LPG Fup'!M:M,0,0)="",0,_xlfn.XLOOKUP(A201,'LPG Fup'!D:D,'LPG Fup'!M:M,0,0))</f>
        <v>0</v>
      </c>
      <c r="I201" s="109">
        <f>_xlfn.XLOOKUP(A201,'Rafineri Fiyatları'!A:A,'Rafineri Fiyatları'!B:B,"",0)</f>
        <v>4466.2799999999988</v>
      </c>
      <c r="J201">
        <f t="shared" si="12"/>
        <v>2020</v>
      </c>
      <c r="K201">
        <f t="shared" si="13"/>
        <v>12</v>
      </c>
      <c r="L201">
        <f t="shared" si="14"/>
        <v>17</v>
      </c>
      <c r="M201">
        <f t="shared" si="15"/>
        <v>5</v>
      </c>
      <c r="N201">
        <f>_xlfn.XLOOKUP(A201,tatiller!H:H,tatiller!I:I,0,0)</f>
        <v>0</v>
      </c>
      <c r="O201" cm="1">
        <f t="array" ref="O201">_xlfn.IFNA(_xlfn.IFS(L201=1,"A0",A201=EOMONTH(A201,0),"A-1",L201=2,"A+1"),0)</f>
        <v>0</v>
      </c>
      <c r="P201" cm="1">
        <f t="array" ref="P201">_xlfn.IFNA(_xlfn.IFS(AND(_xlfn.XLOOKUP(A201,'LPG Fup'!D:D,'LPG Fup'!M:M,"",0)&lt;&gt;"",_xlfn.XLOOKUP(A201,'LPG Fup'!D:D,'LPG Fup'!M:M,"",0)&gt;0),"Z-1", AND(_xlfn.XLOOKUP(A201+1,'LPG Fup'!D:D,'LPG Fup'!M:M,"",0)&lt;&gt;"",_xlfn.XLOOKUP(A201+1,'LPG Fup'!D:D,'LPG Fup'!M:M,"",0)&gt;0),"Z-2", AND(_xlfn.XLOOKUP(A201-1,'LPG Fup'!D:D,'LPG Fup'!M:M,"",0)&lt;&gt;"",_xlfn.XLOOKUP(A201-1,'LPG Fup'!D:D,'LPG Fup'!M:M,"",0)&gt;0),"Z", AND(_xlfn.XLOOKUP(A201-2,'LPG Fup'!D:D,'LPG Fup'!M:M,"",0)&lt;&gt;"",_xlfn.XLOOKUP(A201-2,'LPG Fup'!D:D,'LPG Fup'!M:M,"",0)&gt;0),"Z+1"),0)</f>
        <v>0</v>
      </c>
      <c r="Q201" cm="1">
        <f t="array" ref="Q201">_xlfn.IFNA(_xlfn.IFS(AND(_xlfn.XLOOKUP(A201,'LPG Fup'!D:D,'LPG Fup'!M:M,"",0)&lt;&gt;"",_xlfn.XLOOKUP(A201,'LPG Fup'!D:D,'LPG Fup'!M:M,"",0)&lt;0),"I-1", AND(_xlfn.XLOOKUP(A201+1,'LPG Fup'!D:D,'LPG Fup'!M:M,"",0)&lt;&gt;"",_xlfn.XLOOKUP(A201+1,'LPG Fup'!D:D,'LPG Fup'!M:M,"",0)&lt;0),"I-2", AND(_xlfn.XLOOKUP(A201-1,'LPG Fup'!D:D,'LPG Fup'!M:M,"",0)&lt;&gt;"",_xlfn.XLOOKUP(A201-1,'LPG Fup'!D:D,'LPG Fup'!M:M,"",0)&lt;0),"I", AND(_xlfn.XLOOKUP(A201-2,'LPG Fup'!D:D,'LPG Fup'!M:M,"",0)&lt;&gt;"",_xlfn.XLOOKUP(A201-2,'LPG Fup'!D:D,'LPG Fup'!M:M,"",0)&lt;0),"I+1"),0)</f>
        <v>0</v>
      </c>
      <c r="R201">
        <f>_xlfn.XLOOKUP(A201,Covid!A:A,Covid!I:I,0,0)</f>
        <v>4209</v>
      </c>
      <c r="S201">
        <f>_xlfn.XLOOKUP(A201,Covid!A:A,Covid!K:K,0,0)</f>
        <v>243</v>
      </c>
      <c r="T201" s="145">
        <f>_xlfn.XLOOKUP(A201,Covid!A:A,Covid!K:K,0,0)/_xlfn.XLOOKUP(A201,Covid!A:A,Covid!L:L,0,0)</f>
        <v>7.96878074375287E-3</v>
      </c>
    </row>
    <row r="202" spans="1:20" x14ac:dyDescent="0.55000000000000004">
      <c r="A202" s="157">
        <v>44183</v>
      </c>
      <c r="B202" s="13">
        <v>259380</v>
      </c>
      <c r="C202" s="13">
        <v>354322</v>
      </c>
      <c r="D202" s="13">
        <v>4632</v>
      </c>
      <c r="E202" s="13">
        <v>537687</v>
      </c>
      <c r="F202" s="13">
        <v>1156021</v>
      </c>
      <c r="G202">
        <f>IF(OR(_xlfn.XLOOKUP(A202,'LPG Fup'!D:D,'LPG Fup'!L:L,"",0)&gt;0.03,_xlfn.XLOOKUP(A202,'LPG Fup'!D:D,'LPG Fup'!L:L,"",0)&lt;-0.03),_xlfn.XLOOKUP(A202,'LPG Fup'!D:D,'LPG Fup'!L:L,0,0),0)</f>
        <v>0</v>
      </c>
      <c r="H202">
        <f>IF(_xlfn.XLOOKUP(A202,'LPG Fup'!D:D,'LPG Fup'!M:M,0,0)="",0,_xlfn.XLOOKUP(A202,'LPG Fup'!D:D,'LPG Fup'!M:M,0,0))</f>
        <v>0</v>
      </c>
      <c r="I202" s="109">
        <f>_xlfn.XLOOKUP(A202,'Rafineri Fiyatları'!A:A,'Rafineri Fiyatları'!B:B,"",0)</f>
        <v>4466.2799999999988</v>
      </c>
      <c r="J202">
        <f t="shared" si="12"/>
        <v>2020</v>
      </c>
      <c r="K202">
        <f t="shared" si="13"/>
        <v>12</v>
      </c>
      <c r="L202">
        <f t="shared" si="14"/>
        <v>18</v>
      </c>
      <c r="M202">
        <f t="shared" si="15"/>
        <v>6</v>
      </c>
      <c r="N202">
        <f>_xlfn.XLOOKUP(A202,tatiller!H:H,tatiller!I:I,0,0)</f>
        <v>0</v>
      </c>
      <c r="O202" cm="1">
        <f t="array" ref="O202">_xlfn.IFNA(_xlfn.IFS(L202=1,"A0",A202=EOMONTH(A202,0),"A-1",L202=2,"A+1"),0)</f>
        <v>0</v>
      </c>
      <c r="P202" cm="1">
        <f t="array" ref="P202">_xlfn.IFNA(_xlfn.IFS(AND(_xlfn.XLOOKUP(A202,'LPG Fup'!D:D,'LPG Fup'!M:M,"",0)&lt;&gt;"",_xlfn.XLOOKUP(A202,'LPG Fup'!D:D,'LPG Fup'!M:M,"",0)&gt;0),"Z-1", AND(_xlfn.XLOOKUP(A202+1,'LPG Fup'!D:D,'LPG Fup'!M:M,"",0)&lt;&gt;"",_xlfn.XLOOKUP(A202+1,'LPG Fup'!D:D,'LPG Fup'!M:M,"",0)&gt;0),"Z-2", AND(_xlfn.XLOOKUP(A202-1,'LPG Fup'!D:D,'LPG Fup'!M:M,"",0)&lt;&gt;"",_xlfn.XLOOKUP(A202-1,'LPG Fup'!D:D,'LPG Fup'!M:M,"",0)&gt;0),"Z", AND(_xlfn.XLOOKUP(A202-2,'LPG Fup'!D:D,'LPG Fup'!M:M,"",0)&lt;&gt;"",_xlfn.XLOOKUP(A202-2,'LPG Fup'!D:D,'LPG Fup'!M:M,"",0)&gt;0),"Z+1"),0)</f>
        <v>0</v>
      </c>
      <c r="Q202" cm="1">
        <f t="array" ref="Q202">_xlfn.IFNA(_xlfn.IFS(AND(_xlfn.XLOOKUP(A202,'LPG Fup'!D:D,'LPG Fup'!M:M,"",0)&lt;&gt;"",_xlfn.XLOOKUP(A202,'LPG Fup'!D:D,'LPG Fup'!M:M,"",0)&lt;0),"I-1", AND(_xlfn.XLOOKUP(A202+1,'LPG Fup'!D:D,'LPG Fup'!M:M,"",0)&lt;&gt;"",_xlfn.XLOOKUP(A202+1,'LPG Fup'!D:D,'LPG Fup'!M:M,"",0)&lt;0),"I-2", AND(_xlfn.XLOOKUP(A202-1,'LPG Fup'!D:D,'LPG Fup'!M:M,"",0)&lt;&gt;"",_xlfn.XLOOKUP(A202-1,'LPG Fup'!D:D,'LPG Fup'!M:M,"",0)&lt;0),"I", AND(_xlfn.XLOOKUP(A202-2,'LPG Fup'!D:D,'LPG Fup'!M:M,"",0)&lt;&gt;"",_xlfn.XLOOKUP(A202-2,'LPG Fup'!D:D,'LPG Fup'!M:M,"",0)&lt;0),"I+1"),0)</f>
        <v>0</v>
      </c>
      <c r="R202">
        <f>_xlfn.XLOOKUP(A202,Covid!A:A,Covid!I:I,0,0)</f>
        <v>4103</v>
      </c>
      <c r="S202">
        <f>_xlfn.XLOOKUP(A202,Covid!A:A,Covid!K:K,0,0)</f>
        <v>246</v>
      </c>
      <c r="T202" s="145">
        <f>_xlfn.XLOOKUP(A202,Covid!A:A,Covid!K:K,0,0)/_xlfn.XLOOKUP(A202,Covid!A:A,Covid!L:L,0,0)</f>
        <v>7.7007356393801844E-3</v>
      </c>
    </row>
    <row r="203" spans="1:20" x14ac:dyDescent="0.55000000000000004">
      <c r="A203" s="157">
        <v>44184</v>
      </c>
      <c r="B203" s="13">
        <v>254360</v>
      </c>
      <c r="C203" s="13">
        <v>289153</v>
      </c>
      <c r="D203" s="13">
        <v>4321</v>
      </c>
      <c r="E203" s="13">
        <v>262414</v>
      </c>
      <c r="F203" s="13">
        <v>810248</v>
      </c>
      <c r="G203">
        <f>IF(OR(_xlfn.XLOOKUP(A203,'LPG Fup'!D:D,'LPG Fup'!L:L,"",0)&gt;0.03,_xlfn.XLOOKUP(A203,'LPG Fup'!D:D,'LPG Fup'!L:L,"",0)&lt;-0.03),_xlfn.XLOOKUP(A203,'LPG Fup'!D:D,'LPG Fup'!L:L,0,0),0)</f>
        <v>0</v>
      </c>
      <c r="H203">
        <f>IF(_xlfn.XLOOKUP(A203,'LPG Fup'!D:D,'LPG Fup'!M:M,0,0)="",0,_xlfn.XLOOKUP(A203,'LPG Fup'!D:D,'LPG Fup'!M:M,0,0))</f>
        <v>0</v>
      </c>
      <c r="I203" s="109">
        <f>_xlfn.XLOOKUP(A203,'Rafineri Fiyatları'!A:A,'Rafineri Fiyatları'!B:B,"",0)</f>
        <v>4466.2799999999988</v>
      </c>
      <c r="J203">
        <f t="shared" si="12"/>
        <v>2020</v>
      </c>
      <c r="K203">
        <f t="shared" si="13"/>
        <v>12</v>
      </c>
      <c r="L203">
        <f t="shared" si="14"/>
        <v>19</v>
      </c>
      <c r="M203">
        <f t="shared" si="15"/>
        <v>7</v>
      </c>
      <c r="N203">
        <f>_xlfn.XLOOKUP(A203,tatiller!H:H,tatiller!I:I,0,0)</f>
        <v>0</v>
      </c>
      <c r="O203" cm="1">
        <f t="array" ref="O203">_xlfn.IFNA(_xlfn.IFS(L203=1,"A0",A203=EOMONTH(A203,0),"A-1",L203=2,"A+1"),0)</f>
        <v>0</v>
      </c>
      <c r="P203" cm="1">
        <f t="array" ref="P203">_xlfn.IFNA(_xlfn.IFS(AND(_xlfn.XLOOKUP(A203,'LPG Fup'!D:D,'LPG Fup'!M:M,"",0)&lt;&gt;"",_xlfn.XLOOKUP(A203,'LPG Fup'!D:D,'LPG Fup'!M:M,"",0)&gt;0),"Z-1", AND(_xlfn.XLOOKUP(A203+1,'LPG Fup'!D:D,'LPG Fup'!M:M,"",0)&lt;&gt;"",_xlfn.XLOOKUP(A203+1,'LPG Fup'!D:D,'LPG Fup'!M:M,"",0)&gt;0),"Z-2", AND(_xlfn.XLOOKUP(A203-1,'LPG Fup'!D:D,'LPG Fup'!M:M,"",0)&lt;&gt;"",_xlfn.XLOOKUP(A203-1,'LPG Fup'!D:D,'LPG Fup'!M:M,"",0)&gt;0),"Z", AND(_xlfn.XLOOKUP(A203-2,'LPG Fup'!D:D,'LPG Fup'!M:M,"",0)&lt;&gt;"",_xlfn.XLOOKUP(A203-2,'LPG Fup'!D:D,'LPG Fup'!M:M,"",0)&gt;0),"Z+1"),0)</f>
        <v>0</v>
      </c>
      <c r="Q203" cm="1">
        <f t="array" ref="Q203">_xlfn.IFNA(_xlfn.IFS(AND(_xlfn.XLOOKUP(A203,'LPG Fup'!D:D,'LPG Fup'!M:M,"",0)&lt;&gt;"",_xlfn.XLOOKUP(A203,'LPG Fup'!D:D,'LPG Fup'!M:M,"",0)&lt;0),"I-1", AND(_xlfn.XLOOKUP(A203+1,'LPG Fup'!D:D,'LPG Fup'!M:M,"",0)&lt;&gt;"",_xlfn.XLOOKUP(A203+1,'LPG Fup'!D:D,'LPG Fup'!M:M,"",0)&lt;0),"I-2", AND(_xlfn.XLOOKUP(A203-1,'LPG Fup'!D:D,'LPG Fup'!M:M,"",0)&lt;&gt;"",_xlfn.XLOOKUP(A203-1,'LPG Fup'!D:D,'LPG Fup'!M:M,"",0)&lt;0),"I", AND(_xlfn.XLOOKUP(A203-2,'LPG Fup'!D:D,'LPG Fup'!M:M,"",0)&lt;&gt;"",_xlfn.XLOOKUP(A203-2,'LPG Fup'!D:D,'LPG Fup'!M:M,"",0)&lt;0),"I+1"),0)</f>
        <v>0</v>
      </c>
      <c r="R203">
        <f>_xlfn.XLOOKUP(A203,Covid!A:A,Covid!I:I,0,0)</f>
        <v>4002</v>
      </c>
      <c r="S203">
        <f>_xlfn.XLOOKUP(A203,Covid!A:A,Covid!K:K,0,0)</f>
        <v>241</v>
      </c>
      <c r="T203" s="145">
        <f>_xlfn.XLOOKUP(A203,Covid!A:A,Covid!K:K,0,0)/_xlfn.XLOOKUP(A203,Covid!A:A,Covid!L:L,0,0)</f>
        <v>9.4450540837121809E-3</v>
      </c>
    </row>
    <row r="204" spans="1:20" x14ac:dyDescent="0.55000000000000004">
      <c r="A204" s="157">
        <v>44185</v>
      </c>
      <c r="B204" s="13">
        <v>135340</v>
      </c>
      <c r="C204" s="13">
        <v>306</v>
      </c>
      <c r="D204" s="13">
        <v>0</v>
      </c>
      <c r="E204" s="13">
        <v>103373</v>
      </c>
      <c r="F204" s="13">
        <v>239019</v>
      </c>
      <c r="G204">
        <f>IF(OR(_xlfn.XLOOKUP(A204,'LPG Fup'!D:D,'LPG Fup'!L:L,"",0)&gt;0.03,_xlfn.XLOOKUP(A204,'LPG Fup'!D:D,'LPG Fup'!L:L,"",0)&lt;-0.03),_xlfn.XLOOKUP(A204,'LPG Fup'!D:D,'LPG Fup'!L:L,0,0),0)</f>
        <v>0</v>
      </c>
      <c r="H204">
        <f>IF(_xlfn.XLOOKUP(A204,'LPG Fup'!D:D,'LPG Fup'!M:M,0,0)="",0,_xlfn.XLOOKUP(A204,'LPG Fup'!D:D,'LPG Fup'!M:M,0,0))</f>
        <v>0</v>
      </c>
      <c r="I204" s="109">
        <f>_xlfn.XLOOKUP(A204,'Rafineri Fiyatları'!A:A,'Rafineri Fiyatları'!B:B,"",0)</f>
        <v>4466.2799999999988</v>
      </c>
      <c r="J204">
        <f t="shared" si="12"/>
        <v>2020</v>
      </c>
      <c r="K204">
        <f t="shared" si="13"/>
        <v>12</v>
      </c>
      <c r="L204">
        <f t="shared" si="14"/>
        <v>20</v>
      </c>
      <c r="M204">
        <f t="shared" si="15"/>
        <v>1</v>
      </c>
      <c r="N204">
        <f>_xlfn.XLOOKUP(A204,tatiller!H:H,tatiller!I:I,0,0)</f>
        <v>0</v>
      </c>
      <c r="O204" cm="1">
        <f t="array" ref="O204">_xlfn.IFNA(_xlfn.IFS(L204=1,"A0",A204=EOMONTH(A204,0),"A-1",L204=2,"A+1"),0)</f>
        <v>0</v>
      </c>
      <c r="P204" cm="1">
        <f t="array" ref="P204">_xlfn.IFNA(_xlfn.IFS(AND(_xlfn.XLOOKUP(A204,'LPG Fup'!D:D,'LPG Fup'!M:M,"",0)&lt;&gt;"",_xlfn.XLOOKUP(A204,'LPG Fup'!D:D,'LPG Fup'!M:M,"",0)&gt;0),"Z-1", AND(_xlfn.XLOOKUP(A204+1,'LPG Fup'!D:D,'LPG Fup'!M:M,"",0)&lt;&gt;"",_xlfn.XLOOKUP(A204+1,'LPG Fup'!D:D,'LPG Fup'!M:M,"",0)&gt;0),"Z-2", AND(_xlfn.XLOOKUP(A204-1,'LPG Fup'!D:D,'LPG Fup'!M:M,"",0)&lt;&gt;"",_xlfn.XLOOKUP(A204-1,'LPG Fup'!D:D,'LPG Fup'!M:M,"",0)&gt;0),"Z", AND(_xlfn.XLOOKUP(A204-2,'LPG Fup'!D:D,'LPG Fup'!M:M,"",0)&lt;&gt;"",_xlfn.XLOOKUP(A204-2,'LPG Fup'!D:D,'LPG Fup'!M:M,"",0)&gt;0),"Z+1"),0)</f>
        <v>0</v>
      </c>
      <c r="Q204" cm="1">
        <f t="array" ref="Q204">_xlfn.IFNA(_xlfn.IFS(AND(_xlfn.XLOOKUP(A204,'LPG Fup'!D:D,'LPG Fup'!M:M,"",0)&lt;&gt;"",_xlfn.XLOOKUP(A204,'LPG Fup'!D:D,'LPG Fup'!M:M,"",0)&lt;0),"I-1", AND(_xlfn.XLOOKUP(A204+1,'LPG Fup'!D:D,'LPG Fup'!M:M,"",0)&lt;&gt;"",_xlfn.XLOOKUP(A204+1,'LPG Fup'!D:D,'LPG Fup'!M:M,"",0)&lt;0),"I-2", AND(_xlfn.XLOOKUP(A204-1,'LPG Fup'!D:D,'LPG Fup'!M:M,"",0)&lt;&gt;"",_xlfn.XLOOKUP(A204-1,'LPG Fup'!D:D,'LPG Fup'!M:M,"",0)&lt;0),"I", AND(_xlfn.XLOOKUP(A204-2,'LPG Fup'!D:D,'LPG Fup'!M:M,"",0)&lt;&gt;"",_xlfn.XLOOKUP(A204-2,'LPG Fup'!D:D,'LPG Fup'!M:M,"",0)&lt;0),"I+1"),0)</f>
        <v>0</v>
      </c>
      <c r="R204">
        <f>_xlfn.XLOOKUP(A204,Covid!A:A,Covid!I:I,0,0)</f>
        <v>3546</v>
      </c>
      <c r="S204">
        <f>_xlfn.XLOOKUP(A204,Covid!A:A,Covid!K:K,0,0)</f>
        <v>246</v>
      </c>
      <c r="T204" s="145">
        <f>_xlfn.XLOOKUP(A204,Covid!A:A,Covid!K:K,0,0)/_xlfn.XLOOKUP(A204,Covid!A:A,Covid!L:L,0,0)</f>
        <v>1.1593929682345178E-2</v>
      </c>
    </row>
    <row r="205" spans="1:20" x14ac:dyDescent="0.55000000000000004">
      <c r="A205" s="157">
        <v>44186</v>
      </c>
      <c r="B205" s="13">
        <v>258440</v>
      </c>
      <c r="C205" s="13">
        <v>411327</v>
      </c>
      <c r="D205" s="13">
        <v>6907</v>
      </c>
      <c r="E205" s="13">
        <v>325076</v>
      </c>
      <c r="F205" s="13">
        <v>1001750</v>
      </c>
      <c r="G205">
        <f>IF(OR(_xlfn.XLOOKUP(A205,'LPG Fup'!D:D,'LPG Fup'!L:L,"",0)&gt;0.03,_xlfn.XLOOKUP(A205,'LPG Fup'!D:D,'LPG Fup'!L:L,"",0)&lt;-0.03),_xlfn.XLOOKUP(A205,'LPG Fup'!D:D,'LPG Fup'!L:L,0,0),0)</f>
        <v>0</v>
      </c>
      <c r="H205">
        <f>IF(_xlfn.XLOOKUP(A205,'LPG Fup'!D:D,'LPG Fup'!M:M,0,0)="",0,_xlfn.XLOOKUP(A205,'LPG Fup'!D:D,'LPG Fup'!M:M,0,0))</f>
        <v>0</v>
      </c>
      <c r="I205" s="109">
        <f>_xlfn.XLOOKUP(A205,'Rafineri Fiyatları'!A:A,'Rafineri Fiyatları'!B:B,"",0)</f>
        <v>4466.2799999999988</v>
      </c>
      <c r="J205">
        <f t="shared" si="12"/>
        <v>2020</v>
      </c>
      <c r="K205">
        <f t="shared" si="13"/>
        <v>12</v>
      </c>
      <c r="L205">
        <f t="shared" si="14"/>
        <v>21</v>
      </c>
      <c r="M205">
        <f t="shared" si="15"/>
        <v>2</v>
      </c>
      <c r="N205">
        <f>_xlfn.XLOOKUP(A205,tatiller!H:H,tatiller!I:I,0,0)</f>
        <v>0</v>
      </c>
      <c r="O205" cm="1">
        <f t="array" ref="O205">_xlfn.IFNA(_xlfn.IFS(L205=1,"A0",A205=EOMONTH(A205,0),"A-1",L205=2,"A+1"),0)</f>
        <v>0</v>
      </c>
      <c r="P205" cm="1">
        <f t="array" ref="P205">_xlfn.IFNA(_xlfn.IFS(AND(_xlfn.XLOOKUP(A205,'LPG Fup'!D:D,'LPG Fup'!M:M,"",0)&lt;&gt;"",_xlfn.XLOOKUP(A205,'LPG Fup'!D:D,'LPG Fup'!M:M,"",0)&gt;0),"Z-1", AND(_xlfn.XLOOKUP(A205+1,'LPG Fup'!D:D,'LPG Fup'!M:M,"",0)&lt;&gt;"",_xlfn.XLOOKUP(A205+1,'LPG Fup'!D:D,'LPG Fup'!M:M,"",0)&gt;0),"Z-2", AND(_xlfn.XLOOKUP(A205-1,'LPG Fup'!D:D,'LPG Fup'!M:M,"",0)&lt;&gt;"",_xlfn.XLOOKUP(A205-1,'LPG Fup'!D:D,'LPG Fup'!M:M,"",0)&gt;0),"Z", AND(_xlfn.XLOOKUP(A205-2,'LPG Fup'!D:D,'LPG Fup'!M:M,"",0)&lt;&gt;"",_xlfn.XLOOKUP(A205-2,'LPG Fup'!D:D,'LPG Fup'!M:M,"",0)&gt;0),"Z+1"),0)</f>
        <v>0</v>
      </c>
      <c r="Q205" cm="1">
        <f t="array" ref="Q205">_xlfn.IFNA(_xlfn.IFS(AND(_xlfn.XLOOKUP(A205,'LPG Fup'!D:D,'LPG Fup'!M:M,"",0)&lt;&gt;"",_xlfn.XLOOKUP(A205,'LPG Fup'!D:D,'LPG Fup'!M:M,"",0)&lt;0),"I-1", AND(_xlfn.XLOOKUP(A205+1,'LPG Fup'!D:D,'LPG Fup'!M:M,"",0)&lt;&gt;"",_xlfn.XLOOKUP(A205+1,'LPG Fup'!D:D,'LPG Fup'!M:M,"",0)&lt;0),"I-2", AND(_xlfn.XLOOKUP(A205-1,'LPG Fup'!D:D,'LPG Fup'!M:M,"",0)&lt;&gt;"",_xlfn.XLOOKUP(A205-1,'LPG Fup'!D:D,'LPG Fup'!M:M,"",0)&lt;0),"I", AND(_xlfn.XLOOKUP(A205-2,'LPG Fup'!D:D,'LPG Fup'!M:M,"",0)&lt;&gt;"",_xlfn.XLOOKUP(A205-2,'LPG Fup'!D:D,'LPG Fup'!M:M,"",0)&lt;0),"I+1"),0)</f>
        <v>0</v>
      </c>
      <c r="R205">
        <f>_xlfn.XLOOKUP(A205,Covid!A:A,Covid!I:I,0,0)</f>
        <v>3412</v>
      </c>
      <c r="S205">
        <f>_xlfn.XLOOKUP(A205,Covid!A:A,Covid!K:K,0,0)</f>
        <v>254</v>
      </c>
      <c r="T205" s="145">
        <f>_xlfn.XLOOKUP(A205,Covid!A:A,Covid!K:K,0,0)/_xlfn.XLOOKUP(A205,Covid!A:A,Covid!L:L,0,0)</f>
        <v>7.3796449635375808E-3</v>
      </c>
    </row>
    <row r="206" spans="1:20" x14ac:dyDescent="0.55000000000000004">
      <c r="A206" s="157">
        <v>44187</v>
      </c>
      <c r="B206" s="13">
        <v>175560</v>
      </c>
      <c r="C206" s="13">
        <v>354485</v>
      </c>
      <c r="D206" s="13">
        <v>13468</v>
      </c>
      <c r="E206" s="13">
        <v>505690</v>
      </c>
      <c r="F206" s="13">
        <v>3254803</v>
      </c>
      <c r="G206">
        <f>IF(OR(_xlfn.XLOOKUP(A206,'LPG Fup'!D:D,'LPG Fup'!L:L,"",0)&gt;0.03,_xlfn.XLOOKUP(A206,'LPG Fup'!D:D,'LPG Fup'!L:L,"",0)&lt;-0.03),_xlfn.XLOOKUP(A206,'LPG Fup'!D:D,'LPG Fup'!L:L,0,0),0)</f>
        <v>0</v>
      </c>
      <c r="H206">
        <f>IF(_xlfn.XLOOKUP(A206,'LPG Fup'!D:D,'LPG Fup'!M:M,0,0)="",0,_xlfn.XLOOKUP(A206,'LPG Fup'!D:D,'LPG Fup'!M:M,0,0))</f>
        <v>0</v>
      </c>
      <c r="I206" s="109">
        <f>_xlfn.XLOOKUP(A206,'Rafineri Fiyatları'!A:A,'Rafineri Fiyatları'!B:B,"",0)</f>
        <v>4466.2799999999988</v>
      </c>
      <c r="J206">
        <f t="shared" si="12"/>
        <v>2020</v>
      </c>
      <c r="K206">
        <f t="shared" si="13"/>
        <v>12</v>
      </c>
      <c r="L206">
        <f t="shared" si="14"/>
        <v>22</v>
      </c>
      <c r="M206">
        <f t="shared" si="15"/>
        <v>3</v>
      </c>
      <c r="N206">
        <f>_xlfn.XLOOKUP(A206,tatiller!H:H,tatiller!I:I,0,0)</f>
        <v>0</v>
      </c>
      <c r="O206" cm="1">
        <f t="array" ref="O206">_xlfn.IFNA(_xlfn.IFS(L206=1,"A0",A206=EOMONTH(A206,0),"A-1",L206=2,"A+1"),0)</f>
        <v>0</v>
      </c>
      <c r="P206" cm="1">
        <f t="array" ref="P206">_xlfn.IFNA(_xlfn.IFS(AND(_xlfn.XLOOKUP(A206,'LPG Fup'!D:D,'LPG Fup'!M:M,"",0)&lt;&gt;"",_xlfn.XLOOKUP(A206,'LPG Fup'!D:D,'LPG Fup'!M:M,"",0)&gt;0),"Z-1", AND(_xlfn.XLOOKUP(A206+1,'LPG Fup'!D:D,'LPG Fup'!M:M,"",0)&lt;&gt;"",_xlfn.XLOOKUP(A206+1,'LPG Fup'!D:D,'LPG Fup'!M:M,"",0)&gt;0),"Z-2", AND(_xlfn.XLOOKUP(A206-1,'LPG Fup'!D:D,'LPG Fup'!M:M,"",0)&lt;&gt;"",_xlfn.XLOOKUP(A206-1,'LPG Fup'!D:D,'LPG Fup'!M:M,"",0)&gt;0),"Z", AND(_xlfn.XLOOKUP(A206-2,'LPG Fup'!D:D,'LPG Fup'!M:M,"",0)&lt;&gt;"",_xlfn.XLOOKUP(A206-2,'LPG Fup'!D:D,'LPG Fup'!M:M,"",0)&gt;0),"Z+1"),0)</f>
        <v>0</v>
      </c>
      <c r="Q206" cm="1">
        <f t="array" ref="Q206">_xlfn.IFNA(_xlfn.IFS(AND(_xlfn.XLOOKUP(A206,'LPG Fup'!D:D,'LPG Fup'!M:M,"",0)&lt;&gt;"",_xlfn.XLOOKUP(A206,'LPG Fup'!D:D,'LPG Fup'!M:M,"",0)&lt;0),"I-1", AND(_xlfn.XLOOKUP(A206+1,'LPG Fup'!D:D,'LPG Fup'!M:M,"",0)&lt;&gt;"",_xlfn.XLOOKUP(A206+1,'LPG Fup'!D:D,'LPG Fup'!M:M,"",0)&lt;0),"I-2", AND(_xlfn.XLOOKUP(A206-1,'LPG Fup'!D:D,'LPG Fup'!M:M,"",0)&lt;&gt;"",_xlfn.XLOOKUP(A206-1,'LPG Fup'!D:D,'LPG Fup'!M:M,"",0)&lt;0),"I", AND(_xlfn.XLOOKUP(A206-2,'LPG Fup'!D:D,'LPG Fup'!M:M,"",0)&lt;&gt;"",_xlfn.XLOOKUP(A206-2,'LPG Fup'!D:D,'LPG Fup'!M:M,"",0)&lt;0),"I+1"),0)</f>
        <v>0</v>
      </c>
      <c r="R206">
        <f>_xlfn.XLOOKUP(A206,Covid!A:A,Covid!I:I,0,0)</f>
        <v>3309</v>
      </c>
      <c r="S206">
        <f>_xlfn.XLOOKUP(A206,Covid!A:A,Covid!K:K,0,0)</f>
        <v>251</v>
      </c>
      <c r="T206" s="145">
        <f>_xlfn.XLOOKUP(A206,Covid!A:A,Covid!K:K,0,0)/_xlfn.XLOOKUP(A206,Covid!A:A,Covid!L:L,0,0)</f>
        <v>7.8168794767985057E-3</v>
      </c>
    </row>
    <row r="207" spans="1:20" x14ac:dyDescent="0.55000000000000004">
      <c r="A207" s="157">
        <v>44188</v>
      </c>
      <c r="B207" s="13">
        <v>334760</v>
      </c>
      <c r="C207" s="13">
        <v>393362</v>
      </c>
      <c r="D207" s="13">
        <v>19002</v>
      </c>
      <c r="E207" s="13">
        <v>383678</v>
      </c>
      <c r="F207" s="13">
        <v>1130802</v>
      </c>
      <c r="G207">
        <f>IF(OR(_xlfn.XLOOKUP(A207,'LPG Fup'!D:D,'LPG Fup'!L:L,"",0)&gt;0.03,_xlfn.XLOOKUP(A207,'LPG Fup'!D:D,'LPG Fup'!L:L,"",0)&lt;-0.03),_xlfn.XLOOKUP(A207,'LPG Fup'!D:D,'LPG Fup'!L:L,0,0),0)</f>
        <v>0</v>
      </c>
      <c r="H207">
        <f>IF(_xlfn.XLOOKUP(A207,'LPG Fup'!D:D,'LPG Fup'!M:M,0,0)="",0,_xlfn.XLOOKUP(A207,'LPG Fup'!D:D,'LPG Fup'!M:M,0,0))</f>
        <v>0</v>
      </c>
      <c r="I207" s="109">
        <f>_xlfn.XLOOKUP(A207,'Rafineri Fiyatları'!A:A,'Rafineri Fiyatları'!B:B,"",0)</f>
        <v>4466.2799999999988</v>
      </c>
      <c r="J207">
        <f t="shared" si="12"/>
        <v>2020</v>
      </c>
      <c r="K207">
        <f t="shared" si="13"/>
        <v>12</v>
      </c>
      <c r="L207">
        <f t="shared" si="14"/>
        <v>23</v>
      </c>
      <c r="M207">
        <f t="shared" si="15"/>
        <v>4</v>
      </c>
      <c r="N207">
        <f>_xlfn.XLOOKUP(A207,tatiller!H:H,tatiller!I:I,0,0)</f>
        <v>0</v>
      </c>
      <c r="O207" cm="1">
        <f t="array" ref="O207">_xlfn.IFNA(_xlfn.IFS(L207=1,"A0",A207=EOMONTH(A207,0),"A-1",L207=2,"A+1"),0)</f>
        <v>0</v>
      </c>
      <c r="P207" cm="1">
        <f t="array" ref="P207">_xlfn.IFNA(_xlfn.IFS(AND(_xlfn.XLOOKUP(A207,'LPG Fup'!D:D,'LPG Fup'!M:M,"",0)&lt;&gt;"",_xlfn.XLOOKUP(A207,'LPG Fup'!D:D,'LPG Fup'!M:M,"",0)&gt;0),"Z-1", AND(_xlfn.XLOOKUP(A207+1,'LPG Fup'!D:D,'LPG Fup'!M:M,"",0)&lt;&gt;"",_xlfn.XLOOKUP(A207+1,'LPG Fup'!D:D,'LPG Fup'!M:M,"",0)&gt;0),"Z-2", AND(_xlfn.XLOOKUP(A207-1,'LPG Fup'!D:D,'LPG Fup'!M:M,"",0)&lt;&gt;"",_xlfn.XLOOKUP(A207-1,'LPG Fup'!D:D,'LPG Fup'!M:M,"",0)&gt;0),"Z", AND(_xlfn.XLOOKUP(A207-2,'LPG Fup'!D:D,'LPG Fup'!M:M,"",0)&lt;&gt;"",_xlfn.XLOOKUP(A207-2,'LPG Fup'!D:D,'LPG Fup'!M:M,"",0)&gt;0),"Z+1"),0)</f>
        <v>0</v>
      </c>
      <c r="Q207" cm="1">
        <f t="array" ref="Q207">_xlfn.IFNA(_xlfn.IFS(AND(_xlfn.XLOOKUP(A207,'LPG Fup'!D:D,'LPG Fup'!M:M,"",0)&lt;&gt;"",_xlfn.XLOOKUP(A207,'LPG Fup'!D:D,'LPG Fup'!M:M,"",0)&lt;0),"I-1", AND(_xlfn.XLOOKUP(A207+1,'LPG Fup'!D:D,'LPG Fup'!M:M,"",0)&lt;&gt;"",_xlfn.XLOOKUP(A207+1,'LPG Fup'!D:D,'LPG Fup'!M:M,"",0)&lt;0),"I-2", AND(_xlfn.XLOOKUP(A207-1,'LPG Fup'!D:D,'LPG Fup'!M:M,"",0)&lt;&gt;"",_xlfn.XLOOKUP(A207-1,'LPG Fup'!D:D,'LPG Fup'!M:M,"",0)&lt;0),"I", AND(_xlfn.XLOOKUP(A207-2,'LPG Fup'!D:D,'LPG Fup'!M:M,"",0)&lt;&gt;"",_xlfn.XLOOKUP(A207-2,'LPG Fup'!D:D,'LPG Fup'!M:M,"",0)&lt;0),"I+1"),0)</f>
        <v>0</v>
      </c>
      <c r="R207">
        <f>_xlfn.XLOOKUP(A207,Covid!A:A,Covid!I:I,0,0)</f>
        <v>3192</v>
      </c>
      <c r="S207">
        <f>_xlfn.XLOOKUP(A207,Covid!A:A,Covid!K:K,0,0)</f>
        <v>259</v>
      </c>
      <c r="T207" s="145">
        <f>_xlfn.XLOOKUP(A207,Covid!A:A,Covid!K:K,0,0)/_xlfn.XLOOKUP(A207,Covid!A:A,Covid!L:L,0,0)</f>
        <v>7.508987591325525E-3</v>
      </c>
    </row>
    <row r="208" spans="1:20" x14ac:dyDescent="0.55000000000000004">
      <c r="A208" s="157">
        <v>44189</v>
      </c>
      <c r="B208" s="13">
        <v>562720</v>
      </c>
      <c r="C208" s="13">
        <v>403138</v>
      </c>
      <c r="D208" s="13">
        <v>13069</v>
      </c>
      <c r="E208" s="13">
        <v>422847</v>
      </c>
      <c r="F208" s="13">
        <v>1401774</v>
      </c>
      <c r="G208">
        <f>IF(OR(_xlfn.XLOOKUP(A208,'LPG Fup'!D:D,'LPG Fup'!L:L,"",0)&gt;0.03,_xlfn.XLOOKUP(A208,'LPG Fup'!D:D,'LPG Fup'!L:L,"",0)&lt;-0.03),_xlfn.XLOOKUP(A208,'LPG Fup'!D:D,'LPG Fup'!L:L,0,0),0)</f>
        <v>0</v>
      </c>
      <c r="H208">
        <f>IF(_xlfn.XLOOKUP(A208,'LPG Fup'!D:D,'LPG Fup'!M:M,0,0)="",0,_xlfn.XLOOKUP(A208,'LPG Fup'!D:D,'LPG Fup'!M:M,0,0))</f>
        <v>0</v>
      </c>
      <c r="I208" s="109">
        <f>_xlfn.XLOOKUP(A208,'Rafineri Fiyatları'!A:A,'Rafineri Fiyatları'!B:B,"",0)</f>
        <v>4466.2799999999988</v>
      </c>
      <c r="J208">
        <f t="shared" si="12"/>
        <v>2020</v>
      </c>
      <c r="K208">
        <f t="shared" si="13"/>
        <v>12</v>
      </c>
      <c r="L208">
        <f t="shared" si="14"/>
        <v>24</v>
      </c>
      <c r="M208">
        <f t="shared" si="15"/>
        <v>5</v>
      </c>
      <c r="N208">
        <f>_xlfn.XLOOKUP(A208,tatiller!H:H,tatiller!I:I,0,0)</f>
        <v>0</v>
      </c>
      <c r="O208" cm="1">
        <f t="array" ref="O208">_xlfn.IFNA(_xlfn.IFS(L208=1,"A0",A208=EOMONTH(A208,0),"A-1",L208=2,"A+1"),0)</f>
        <v>0</v>
      </c>
      <c r="P208" cm="1">
        <f t="array" ref="P208">_xlfn.IFNA(_xlfn.IFS(AND(_xlfn.XLOOKUP(A208,'LPG Fup'!D:D,'LPG Fup'!M:M,"",0)&lt;&gt;"",_xlfn.XLOOKUP(A208,'LPG Fup'!D:D,'LPG Fup'!M:M,"",0)&gt;0),"Z-1", AND(_xlfn.XLOOKUP(A208+1,'LPG Fup'!D:D,'LPG Fup'!M:M,"",0)&lt;&gt;"",_xlfn.XLOOKUP(A208+1,'LPG Fup'!D:D,'LPG Fup'!M:M,"",0)&gt;0),"Z-2", AND(_xlfn.XLOOKUP(A208-1,'LPG Fup'!D:D,'LPG Fup'!M:M,"",0)&lt;&gt;"",_xlfn.XLOOKUP(A208-1,'LPG Fup'!D:D,'LPG Fup'!M:M,"",0)&gt;0),"Z", AND(_xlfn.XLOOKUP(A208-2,'LPG Fup'!D:D,'LPG Fup'!M:M,"",0)&lt;&gt;"",_xlfn.XLOOKUP(A208-2,'LPG Fup'!D:D,'LPG Fup'!M:M,"",0)&gt;0),"Z+1"),0)</f>
        <v>0</v>
      </c>
      <c r="Q208" cm="1">
        <f t="array" ref="Q208">_xlfn.IFNA(_xlfn.IFS(AND(_xlfn.XLOOKUP(A208,'LPG Fup'!D:D,'LPG Fup'!M:M,"",0)&lt;&gt;"",_xlfn.XLOOKUP(A208,'LPG Fup'!D:D,'LPG Fup'!M:M,"",0)&lt;0),"I-1", AND(_xlfn.XLOOKUP(A208+1,'LPG Fup'!D:D,'LPG Fup'!M:M,"",0)&lt;&gt;"",_xlfn.XLOOKUP(A208+1,'LPG Fup'!D:D,'LPG Fup'!M:M,"",0)&lt;0),"I-2", AND(_xlfn.XLOOKUP(A208-1,'LPG Fup'!D:D,'LPG Fup'!M:M,"",0)&lt;&gt;"",_xlfn.XLOOKUP(A208-1,'LPG Fup'!D:D,'LPG Fup'!M:M,"",0)&lt;0),"I", AND(_xlfn.XLOOKUP(A208-2,'LPG Fup'!D:D,'LPG Fup'!M:M,"",0)&lt;&gt;"",_xlfn.XLOOKUP(A208-2,'LPG Fup'!D:D,'LPG Fup'!M:M,"",0)&lt;0),"I+1"),0)</f>
        <v>0</v>
      </c>
      <c r="R208">
        <f>_xlfn.XLOOKUP(A208,Covid!A:A,Covid!I:I,0,0)</f>
        <v>3218</v>
      </c>
      <c r="S208">
        <f>_xlfn.XLOOKUP(A208,Covid!A:A,Covid!K:K,0,0)</f>
        <v>254</v>
      </c>
      <c r="T208" s="145">
        <f>_xlfn.XLOOKUP(A208,Covid!A:A,Covid!K:K,0,0)/_xlfn.XLOOKUP(A208,Covid!A:A,Covid!L:L,0,0)</f>
        <v>7.4738855377372371E-3</v>
      </c>
    </row>
    <row r="209" spans="1:20" x14ac:dyDescent="0.55000000000000004">
      <c r="A209" s="157">
        <v>44190</v>
      </c>
      <c r="B209" s="13">
        <v>377720</v>
      </c>
      <c r="C209" s="13">
        <v>438102</v>
      </c>
      <c r="D209" s="13">
        <v>11086</v>
      </c>
      <c r="E209" s="13">
        <v>451420</v>
      </c>
      <c r="F209" s="13">
        <v>1278328</v>
      </c>
      <c r="G209">
        <f>IF(OR(_xlfn.XLOOKUP(A209,'LPG Fup'!D:D,'LPG Fup'!L:L,"",0)&gt;0.03,_xlfn.XLOOKUP(A209,'LPG Fup'!D:D,'LPG Fup'!L:L,"",0)&lt;-0.03),_xlfn.XLOOKUP(A209,'LPG Fup'!D:D,'LPG Fup'!L:L,0,0),0)</f>
        <v>0</v>
      </c>
      <c r="H209">
        <f>IF(_xlfn.XLOOKUP(A209,'LPG Fup'!D:D,'LPG Fup'!M:M,0,0)="",0,_xlfn.XLOOKUP(A209,'LPG Fup'!D:D,'LPG Fup'!M:M,0,0))</f>
        <v>0</v>
      </c>
      <c r="I209" s="109">
        <f>_xlfn.XLOOKUP(A209,'Rafineri Fiyatları'!A:A,'Rafineri Fiyatları'!B:B,"",0)</f>
        <v>4466.2799999999988</v>
      </c>
      <c r="J209">
        <f t="shared" si="12"/>
        <v>2020</v>
      </c>
      <c r="K209">
        <f t="shared" si="13"/>
        <v>12</v>
      </c>
      <c r="L209">
        <f t="shared" si="14"/>
        <v>25</v>
      </c>
      <c r="M209">
        <f t="shared" si="15"/>
        <v>6</v>
      </c>
      <c r="N209">
        <f>_xlfn.XLOOKUP(A209,tatiller!H:H,tatiller!I:I,0,0)</f>
        <v>0</v>
      </c>
      <c r="O209" cm="1">
        <f t="array" ref="O209">_xlfn.IFNA(_xlfn.IFS(L209=1,"A0",A209=EOMONTH(A209,0),"A-1",L209=2,"A+1"),0)</f>
        <v>0</v>
      </c>
      <c r="P209" cm="1">
        <f t="array" ref="P209">_xlfn.IFNA(_xlfn.IFS(AND(_xlfn.XLOOKUP(A209,'LPG Fup'!D:D,'LPG Fup'!M:M,"",0)&lt;&gt;"",_xlfn.XLOOKUP(A209,'LPG Fup'!D:D,'LPG Fup'!M:M,"",0)&gt;0),"Z-1", AND(_xlfn.XLOOKUP(A209+1,'LPG Fup'!D:D,'LPG Fup'!M:M,"",0)&lt;&gt;"",_xlfn.XLOOKUP(A209+1,'LPG Fup'!D:D,'LPG Fup'!M:M,"",0)&gt;0),"Z-2", AND(_xlfn.XLOOKUP(A209-1,'LPG Fup'!D:D,'LPG Fup'!M:M,"",0)&lt;&gt;"",_xlfn.XLOOKUP(A209-1,'LPG Fup'!D:D,'LPG Fup'!M:M,"",0)&gt;0),"Z", AND(_xlfn.XLOOKUP(A209-2,'LPG Fup'!D:D,'LPG Fup'!M:M,"",0)&lt;&gt;"",_xlfn.XLOOKUP(A209-2,'LPG Fup'!D:D,'LPG Fup'!M:M,"",0)&gt;0),"Z+1"),0)</f>
        <v>0</v>
      </c>
      <c r="Q209" cm="1">
        <f t="array" ref="Q209">_xlfn.IFNA(_xlfn.IFS(AND(_xlfn.XLOOKUP(A209,'LPG Fup'!D:D,'LPG Fup'!M:M,"",0)&lt;&gt;"",_xlfn.XLOOKUP(A209,'LPG Fup'!D:D,'LPG Fup'!M:M,"",0)&lt;0),"I-1", AND(_xlfn.XLOOKUP(A209+1,'LPG Fup'!D:D,'LPG Fup'!M:M,"",0)&lt;&gt;"",_xlfn.XLOOKUP(A209+1,'LPG Fup'!D:D,'LPG Fup'!M:M,"",0)&lt;0),"I-2", AND(_xlfn.XLOOKUP(A209-1,'LPG Fup'!D:D,'LPG Fup'!M:M,"",0)&lt;&gt;"",_xlfn.XLOOKUP(A209-1,'LPG Fup'!D:D,'LPG Fup'!M:M,"",0)&lt;0),"I", AND(_xlfn.XLOOKUP(A209-2,'LPG Fup'!D:D,'LPG Fup'!M:M,"",0)&lt;&gt;"",_xlfn.XLOOKUP(A209-2,'LPG Fup'!D:D,'LPG Fup'!M:M,"",0)&lt;0),"I+1"),0)</f>
        <v>0</v>
      </c>
      <c r="R209">
        <f>_xlfn.XLOOKUP(A209,Covid!A:A,Covid!I:I,0,0)</f>
        <v>3199</v>
      </c>
      <c r="S209">
        <f>_xlfn.XLOOKUP(A209,Covid!A:A,Covid!K:K,0,0)</f>
        <v>256</v>
      </c>
      <c r="T209" s="145">
        <f>_xlfn.XLOOKUP(A209,Covid!A:A,Covid!K:K,0,0)/_xlfn.XLOOKUP(A209,Covid!A:A,Covid!L:L,0,0)</f>
        <v>7.2090338205063218E-3</v>
      </c>
    </row>
    <row r="210" spans="1:20" x14ac:dyDescent="0.55000000000000004">
      <c r="A210" s="157">
        <v>44191</v>
      </c>
      <c r="B210" s="13">
        <v>326260</v>
      </c>
      <c r="C210" s="13">
        <v>298570</v>
      </c>
      <c r="D210" s="13">
        <v>3985</v>
      </c>
      <c r="E210" s="13">
        <v>254583</v>
      </c>
      <c r="F210" s="13">
        <v>883398</v>
      </c>
      <c r="G210">
        <f>IF(OR(_xlfn.XLOOKUP(A210,'LPG Fup'!D:D,'LPG Fup'!L:L,"",0)&gt;0.03,_xlfn.XLOOKUP(A210,'LPG Fup'!D:D,'LPG Fup'!L:L,"",0)&lt;-0.03),_xlfn.XLOOKUP(A210,'LPG Fup'!D:D,'LPG Fup'!L:L,0,0),0)</f>
        <v>0</v>
      </c>
      <c r="H210">
        <f>IF(_xlfn.XLOOKUP(A210,'LPG Fup'!D:D,'LPG Fup'!M:M,0,0)="",0,_xlfn.XLOOKUP(A210,'LPG Fup'!D:D,'LPG Fup'!M:M,0,0))</f>
        <v>0</v>
      </c>
      <c r="I210" s="109">
        <f>_xlfn.XLOOKUP(A210,'Rafineri Fiyatları'!A:A,'Rafineri Fiyatları'!B:B,"",0)</f>
        <v>4466.2799999999988</v>
      </c>
      <c r="J210">
        <f t="shared" si="12"/>
        <v>2020</v>
      </c>
      <c r="K210">
        <f t="shared" si="13"/>
        <v>12</v>
      </c>
      <c r="L210">
        <f t="shared" si="14"/>
        <v>26</v>
      </c>
      <c r="M210">
        <f t="shared" si="15"/>
        <v>7</v>
      </c>
      <c r="N210">
        <f>_xlfn.XLOOKUP(A210,tatiller!H:H,tatiller!I:I,0,0)</f>
        <v>0</v>
      </c>
      <c r="O210" cm="1">
        <f t="array" ref="O210">_xlfn.IFNA(_xlfn.IFS(L210=1,"A0",A210=EOMONTH(A210,0),"A-1",L210=2,"A+1"),0)</f>
        <v>0</v>
      </c>
      <c r="P210" cm="1">
        <f t="array" ref="P210">_xlfn.IFNA(_xlfn.IFS(AND(_xlfn.XLOOKUP(A210,'LPG Fup'!D:D,'LPG Fup'!M:M,"",0)&lt;&gt;"",_xlfn.XLOOKUP(A210,'LPG Fup'!D:D,'LPG Fup'!M:M,"",0)&gt;0),"Z-1", AND(_xlfn.XLOOKUP(A210+1,'LPG Fup'!D:D,'LPG Fup'!M:M,"",0)&lt;&gt;"",_xlfn.XLOOKUP(A210+1,'LPG Fup'!D:D,'LPG Fup'!M:M,"",0)&gt;0),"Z-2", AND(_xlfn.XLOOKUP(A210-1,'LPG Fup'!D:D,'LPG Fup'!M:M,"",0)&lt;&gt;"",_xlfn.XLOOKUP(A210-1,'LPG Fup'!D:D,'LPG Fup'!M:M,"",0)&gt;0),"Z", AND(_xlfn.XLOOKUP(A210-2,'LPG Fup'!D:D,'LPG Fup'!M:M,"",0)&lt;&gt;"",_xlfn.XLOOKUP(A210-2,'LPG Fup'!D:D,'LPG Fup'!M:M,"",0)&gt;0),"Z+1"),0)</f>
        <v>0</v>
      </c>
      <c r="Q210" cm="1">
        <f t="array" ref="Q210">_xlfn.IFNA(_xlfn.IFS(AND(_xlfn.XLOOKUP(A210,'LPG Fup'!D:D,'LPG Fup'!M:M,"",0)&lt;&gt;"",_xlfn.XLOOKUP(A210,'LPG Fup'!D:D,'LPG Fup'!M:M,"",0)&lt;0),"I-1", AND(_xlfn.XLOOKUP(A210+1,'LPG Fup'!D:D,'LPG Fup'!M:M,"",0)&lt;&gt;"",_xlfn.XLOOKUP(A210+1,'LPG Fup'!D:D,'LPG Fup'!M:M,"",0)&lt;0),"I-2", AND(_xlfn.XLOOKUP(A210-1,'LPG Fup'!D:D,'LPG Fup'!M:M,"",0)&lt;&gt;"",_xlfn.XLOOKUP(A210-1,'LPG Fup'!D:D,'LPG Fup'!M:M,"",0)&lt;0),"I", AND(_xlfn.XLOOKUP(A210-2,'LPG Fup'!D:D,'LPG Fup'!M:M,"",0)&lt;&gt;"",_xlfn.XLOOKUP(A210-2,'LPG Fup'!D:D,'LPG Fup'!M:M,"",0)&lt;0),"I+1"),0)</f>
        <v>0</v>
      </c>
      <c r="R210">
        <f>_xlfn.XLOOKUP(A210,Covid!A:A,Covid!I:I,0,0)</f>
        <v>3002</v>
      </c>
      <c r="S210">
        <f>_xlfn.XLOOKUP(A210,Covid!A:A,Covid!K:K,0,0)</f>
        <v>253</v>
      </c>
      <c r="T210" s="145">
        <f>_xlfn.XLOOKUP(A210,Covid!A:A,Covid!K:K,0,0)/_xlfn.XLOOKUP(A210,Covid!A:A,Covid!L:L,0,0)</f>
        <v>1.0890620291851406E-2</v>
      </c>
    </row>
    <row r="211" spans="1:20" x14ac:dyDescent="0.55000000000000004">
      <c r="A211" s="157">
        <v>44192</v>
      </c>
      <c r="B211" s="13">
        <v>169120</v>
      </c>
      <c r="C211" s="13">
        <v>146</v>
      </c>
      <c r="D211" s="13">
        <v>0</v>
      </c>
      <c r="E211" s="13">
        <v>96245</v>
      </c>
      <c r="F211" s="13">
        <v>265511</v>
      </c>
      <c r="G211">
        <f>IF(OR(_xlfn.XLOOKUP(A211,'LPG Fup'!D:D,'LPG Fup'!L:L,"",0)&gt;0.03,_xlfn.XLOOKUP(A211,'LPG Fup'!D:D,'LPG Fup'!L:L,"",0)&lt;-0.03),_xlfn.XLOOKUP(A211,'LPG Fup'!D:D,'LPG Fup'!L:L,0,0),0)</f>
        <v>0</v>
      </c>
      <c r="H211">
        <f>IF(_xlfn.XLOOKUP(A211,'LPG Fup'!D:D,'LPG Fup'!M:M,0,0)="",0,_xlfn.XLOOKUP(A211,'LPG Fup'!D:D,'LPG Fup'!M:M,0,0))</f>
        <v>0</v>
      </c>
      <c r="I211" s="109">
        <f>_xlfn.XLOOKUP(A211,'Rafineri Fiyatları'!A:A,'Rafineri Fiyatları'!B:B,"",0)</f>
        <v>4466.2799999999988</v>
      </c>
      <c r="J211">
        <f t="shared" si="12"/>
        <v>2020</v>
      </c>
      <c r="K211">
        <f t="shared" si="13"/>
        <v>12</v>
      </c>
      <c r="L211">
        <f t="shared" si="14"/>
        <v>27</v>
      </c>
      <c r="M211">
        <f t="shared" si="15"/>
        <v>1</v>
      </c>
      <c r="N211">
        <f>_xlfn.XLOOKUP(A211,tatiller!H:H,tatiller!I:I,0,0)</f>
        <v>0</v>
      </c>
      <c r="O211" cm="1">
        <f t="array" ref="O211">_xlfn.IFNA(_xlfn.IFS(L211=1,"A0",A211=EOMONTH(A211,0),"A-1",L211=2,"A+1"),0)</f>
        <v>0</v>
      </c>
      <c r="P211" cm="1">
        <f t="array" ref="P211">_xlfn.IFNA(_xlfn.IFS(AND(_xlfn.XLOOKUP(A211,'LPG Fup'!D:D,'LPG Fup'!M:M,"",0)&lt;&gt;"",_xlfn.XLOOKUP(A211,'LPG Fup'!D:D,'LPG Fup'!M:M,"",0)&gt;0),"Z-1", AND(_xlfn.XLOOKUP(A211+1,'LPG Fup'!D:D,'LPG Fup'!M:M,"",0)&lt;&gt;"",_xlfn.XLOOKUP(A211+1,'LPG Fup'!D:D,'LPG Fup'!M:M,"",0)&gt;0),"Z-2", AND(_xlfn.XLOOKUP(A211-1,'LPG Fup'!D:D,'LPG Fup'!M:M,"",0)&lt;&gt;"",_xlfn.XLOOKUP(A211-1,'LPG Fup'!D:D,'LPG Fup'!M:M,"",0)&gt;0),"Z", AND(_xlfn.XLOOKUP(A211-2,'LPG Fup'!D:D,'LPG Fup'!M:M,"",0)&lt;&gt;"",_xlfn.XLOOKUP(A211-2,'LPG Fup'!D:D,'LPG Fup'!M:M,"",0)&gt;0),"Z+1"),0)</f>
        <v>0</v>
      </c>
      <c r="Q211" cm="1">
        <f t="array" ref="Q211">_xlfn.IFNA(_xlfn.IFS(AND(_xlfn.XLOOKUP(A211,'LPG Fup'!D:D,'LPG Fup'!M:M,"",0)&lt;&gt;"",_xlfn.XLOOKUP(A211,'LPG Fup'!D:D,'LPG Fup'!M:M,"",0)&lt;0),"I-1", AND(_xlfn.XLOOKUP(A211+1,'LPG Fup'!D:D,'LPG Fup'!M:M,"",0)&lt;&gt;"",_xlfn.XLOOKUP(A211+1,'LPG Fup'!D:D,'LPG Fup'!M:M,"",0)&lt;0),"I-2", AND(_xlfn.XLOOKUP(A211-1,'LPG Fup'!D:D,'LPG Fup'!M:M,"",0)&lt;&gt;"",_xlfn.XLOOKUP(A211-1,'LPG Fup'!D:D,'LPG Fup'!M:M,"",0)&lt;0),"I", AND(_xlfn.XLOOKUP(A211-2,'LPG Fup'!D:D,'LPG Fup'!M:M,"",0)&lt;&gt;"",_xlfn.XLOOKUP(A211-2,'LPG Fup'!D:D,'LPG Fup'!M:M,"",0)&lt;0),"I+1"),0)</f>
        <v>0</v>
      </c>
      <c r="R211">
        <f>_xlfn.XLOOKUP(A211,Covid!A:A,Covid!I:I,0,0)</f>
        <v>2806</v>
      </c>
      <c r="S211">
        <f>_xlfn.XLOOKUP(A211,Covid!A:A,Covid!K:K,0,0)</f>
        <v>254</v>
      </c>
      <c r="T211" s="145">
        <f>_xlfn.XLOOKUP(A211,Covid!A:A,Covid!K:K,0,0)/_xlfn.XLOOKUP(A211,Covid!A:A,Covid!L:L,0,0)</f>
        <v>1.1983393093036422E-2</v>
      </c>
    </row>
    <row r="212" spans="1:20" x14ac:dyDescent="0.55000000000000004">
      <c r="A212" s="157">
        <v>44193</v>
      </c>
      <c r="B212" s="13">
        <v>301340</v>
      </c>
      <c r="C212" s="13">
        <v>477905</v>
      </c>
      <c r="D212" s="13">
        <v>1610</v>
      </c>
      <c r="E212" s="13">
        <v>339657</v>
      </c>
      <c r="F212" s="13">
        <v>1120512</v>
      </c>
      <c r="G212">
        <f>IF(OR(_xlfn.XLOOKUP(A212,'LPG Fup'!D:D,'LPG Fup'!L:L,"",0)&gt;0.03,_xlfn.XLOOKUP(A212,'LPG Fup'!D:D,'LPG Fup'!L:L,"",0)&lt;-0.03),_xlfn.XLOOKUP(A212,'LPG Fup'!D:D,'LPG Fup'!L:L,0,0),0)</f>
        <v>0</v>
      </c>
      <c r="H212">
        <f>IF(_xlfn.XLOOKUP(A212,'LPG Fup'!D:D,'LPG Fup'!M:M,0,0)="",0,_xlfn.XLOOKUP(A212,'LPG Fup'!D:D,'LPG Fup'!M:M,0,0))</f>
        <v>0</v>
      </c>
      <c r="I212" s="109">
        <f>_xlfn.XLOOKUP(A212,'Rafineri Fiyatları'!A:A,'Rafineri Fiyatları'!B:B,"",0)</f>
        <v>4466.2799999999988</v>
      </c>
      <c r="J212">
        <f t="shared" si="12"/>
        <v>2020</v>
      </c>
      <c r="K212">
        <f t="shared" si="13"/>
        <v>12</v>
      </c>
      <c r="L212">
        <f t="shared" si="14"/>
        <v>28</v>
      </c>
      <c r="M212">
        <f t="shared" si="15"/>
        <v>2</v>
      </c>
      <c r="N212">
        <f>_xlfn.XLOOKUP(A212,tatiller!H:H,tatiller!I:I,0,0)</f>
        <v>0</v>
      </c>
      <c r="O212" cm="1">
        <f t="array" ref="O212">_xlfn.IFNA(_xlfn.IFS(L212=1,"A0",A212=EOMONTH(A212,0),"A-1",L212=2,"A+1"),0)</f>
        <v>0</v>
      </c>
      <c r="P212" cm="1">
        <f t="array" ref="P212">_xlfn.IFNA(_xlfn.IFS(AND(_xlfn.XLOOKUP(A212,'LPG Fup'!D:D,'LPG Fup'!M:M,"",0)&lt;&gt;"",_xlfn.XLOOKUP(A212,'LPG Fup'!D:D,'LPG Fup'!M:M,"",0)&gt;0),"Z-1", AND(_xlfn.XLOOKUP(A212+1,'LPG Fup'!D:D,'LPG Fup'!M:M,"",0)&lt;&gt;"",_xlfn.XLOOKUP(A212+1,'LPG Fup'!D:D,'LPG Fup'!M:M,"",0)&gt;0),"Z-2", AND(_xlfn.XLOOKUP(A212-1,'LPG Fup'!D:D,'LPG Fup'!M:M,"",0)&lt;&gt;"",_xlfn.XLOOKUP(A212-1,'LPG Fup'!D:D,'LPG Fup'!M:M,"",0)&gt;0),"Z", AND(_xlfn.XLOOKUP(A212-2,'LPG Fup'!D:D,'LPG Fup'!M:M,"",0)&lt;&gt;"",_xlfn.XLOOKUP(A212-2,'LPG Fup'!D:D,'LPG Fup'!M:M,"",0)&gt;0),"Z+1"),0)</f>
        <v>0</v>
      </c>
      <c r="Q212" cm="1">
        <f t="array" ref="Q212">_xlfn.IFNA(_xlfn.IFS(AND(_xlfn.XLOOKUP(A212,'LPG Fup'!D:D,'LPG Fup'!M:M,"",0)&lt;&gt;"",_xlfn.XLOOKUP(A212,'LPG Fup'!D:D,'LPG Fup'!M:M,"",0)&lt;0),"I-1", AND(_xlfn.XLOOKUP(A212+1,'LPG Fup'!D:D,'LPG Fup'!M:M,"",0)&lt;&gt;"",_xlfn.XLOOKUP(A212+1,'LPG Fup'!D:D,'LPG Fup'!M:M,"",0)&lt;0),"I-2", AND(_xlfn.XLOOKUP(A212-1,'LPG Fup'!D:D,'LPG Fup'!M:M,"",0)&lt;&gt;"",_xlfn.XLOOKUP(A212-1,'LPG Fup'!D:D,'LPG Fup'!M:M,"",0)&lt;0),"I", AND(_xlfn.XLOOKUP(A212-2,'LPG Fup'!D:D,'LPG Fup'!M:M,"",0)&lt;&gt;"",_xlfn.XLOOKUP(A212-2,'LPG Fup'!D:D,'LPG Fup'!M:M,"",0)&lt;0),"I+1"),0)</f>
        <v>0</v>
      </c>
      <c r="R212">
        <f>_xlfn.XLOOKUP(A212,Covid!A:A,Covid!I:I,0,0)</f>
        <v>2816</v>
      </c>
      <c r="S212">
        <f>_xlfn.XLOOKUP(A212,Covid!A:A,Covid!K:K,0,0)</f>
        <v>257</v>
      </c>
      <c r="T212" s="145">
        <f>_xlfn.XLOOKUP(A212,Covid!A:A,Covid!K:K,0,0)/_xlfn.XLOOKUP(A212,Covid!A:A,Covid!L:L,0,0)</f>
        <v>1.1575012385713642E-2</v>
      </c>
    </row>
    <row r="213" spans="1:20" x14ac:dyDescent="0.55000000000000004">
      <c r="A213" s="157">
        <v>44194</v>
      </c>
      <c r="B213" s="13">
        <v>574580</v>
      </c>
      <c r="C213" s="13">
        <v>494750</v>
      </c>
      <c r="D213" s="13">
        <v>12511</v>
      </c>
      <c r="E213" s="13">
        <v>482965</v>
      </c>
      <c r="F213" s="13">
        <v>1564806</v>
      </c>
      <c r="G213">
        <f>IF(OR(_xlfn.XLOOKUP(A213,'LPG Fup'!D:D,'LPG Fup'!L:L,"",0)&gt;0.03,_xlfn.XLOOKUP(A213,'LPG Fup'!D:D,'LPG Fup'!L:L,"",0)&lt;-0.03),_xlfn.XLOOKUP(A213,'LPG Fup'!D:D,'LPG Fup'!L:L,0,0),0)</f>
        <v>0</v>
      </c>
      <c r="H213">
        <f>IF(_xlfn.XLOOKUP(A213,'LPG Fup'!D:D,'LPG Fup'!M:M,0,0)="",0,_xlfn.XLOOKUP(A213,'LPG Fup'!D:D,'LPG Fup'!M:M,0,0))</f>
        <v>0</v>
      </c>
      <c r="I213" s="109">
        <f>_xlfn.XLOOKUP(A213,'Rafineri Fiyatları'!A:A,'Rafineri Fiyatları'!B:B,"",0)</f>
        <v>4466.2799999999988</v>
      </c>
      <c r="J213">
        <f t="shared" si="12"/>
        <v>2020</v>
      </c>
      <c r="K213">
        <f t="shared" si="13"/>
        <v>12</v>
      </c>
      <c r="L213">
        <f t="shared" si="14"/>
        <v>29</v>
      </c>
      <c r="M213">
        <f t="shared" si="15"/>
        <v>3</v>
      </c>
      <c r="N213">
        <f>_xlfn.XLOOKUP(A213,tatiller!H:H,tatiller!I:I,0,0)</f>
        <v>0</v>
      </c>
      <c r="O213" cm="1">
        <f t="array" ref="O213">_xlfn.IFNA(_xlfn.IFS(L213=1,"A0",A213=EOMONTH(A213,0),"A-1",L213=2,"A+1"),0)</f>
        <v>0</v>
      </c>
      <c r="P213" cm="1">
        <f t="array" ref="P213">_xlfn.IFNA(_xlfn.IFS(AND(_xlfn.XLOOKUP(A213,'LPG Fup'!D:D,'LPG Fup'!M:M,"",0)&lt;&gt;"",_xlfn.XLOOKUP(A213,'LPG Fup'!D:D,'LPG Fup'!M:M,"",0)&gt;0),"Z-1", AND(_xlfn.XLOOKUP(A213+1,'LPG Fup'!D:D,'LPG Fup'!M:M,"",0)&lt;&gt;"",_xlfn.XLOOKUP(A213+1,'LPG Fup'!D:D,'LPG Fup'!M:M,"",0)&gt;0),"Z-2", AND(_xlfn.XLOOKUP(A213-1,'LPG Fup'!D:D,'LPG Fup'!M:M,"",0)&lt;&gt;"",_xlfn.XLOOKUP(A213-1,'LPG Fup'!D:D,'LPG Fup'!M:M,"",0)&gt;0),"Z", AND(_xlfn.XLOOKUP(A213-2,'LPG Fup'!D:D,'LPG Fup'!M:M,"",0)&lt;&gt;"",_xlfn.XLOOKUP(A213-2,'LPG Fup'!D:D,'LPG Fup'!M:M,"",0)&gt;0),"Z+1"),0)</f>
        <v>0</v>
      </c>
      <c r="Q213" t="str" cm="1">
        <f t="array" ref="Q213">_xlfn.IFNA(_xlfn.IFS(AND(_xlfn.XLOOKUP(A213,'LPG Fup'!D:D,'LPG Fup'!M:M,"",0)&lt;&gt;"",_xlfn.XLOOKUP(A213,'LPG Fup'!D:D,'LPG Fup'!M:M,"",0)&lt;0),"I-1", AND(_xlfn.XLOOKUP(A213+1,'LPG Fup'!D:D,'LPG Fup'!M:M,"",0)&lt;&gt;"",_xlfn.XLOOKUP(A213+1,'LPG Fup'!D:D,'LPG Fup'!M:M,"",0)&lt;0),"I-2", AND(_xlfn.XLOOKUP(A213-1,'LPG Fup'!D:D,'LPG Fup'!M:M,"",0)&lt;&gt;"",_xlfn.XLOOKUP(A213-1,'LPG Fup'!D:D,'LPG Fup'!M:M,"",0)&lt;0),"I", AND(_xlfn.XLOOKUP(A213-2,'LPG Fup'!D:D,'LPG Fup'!M:M,"",0)&lt;&gt;"",_xlfn.XLOOKUP(A213-2,'LPG Fup'!D:D,'LPG Fup'!M:M,"",0)&lt;0),"I+1"),0)</f>
        <v>I-2</v>
      </c>
      <c r="R213">
        <f>_xlfn.XLOOKUP(A213,Covid!A:A,Covid!I:I,0,0)</f>
        <v>2783</v>
      </c>
      <c r="S213">
        <f>_xlfn.XLOOKUP(A213,Covid!A:A,Covid!K:K,0,0)</f>
        <v>253</v>
      </c>
      <c r="T213" s="145">
        <f>_xlfn.XLOOKUP(A213,Covid!A:A,Covid!K:K,0,0)/_xlfn.XLOOKUP(A213,Covid!A:A,Covid!L:L,0,0)</f>
        <v>1.2045324700057132E-2</v>
      </c>
    </row>
    <row r="214" spans="1:20" x14ac:dyDescent="0.55000000000000004">
      <c r="A214" s="157">
        <v>44195</v>
      </c>
      <c r="B214" s="13">
        <v>252020</v>
      </c>
      <c r="C214" s="13">
        <v>520650</v>
      </c>
      <c r="D214" s="13">
        <v>284016</v>
      </c>
      <c r="E214" s="13">
        <v>564898</v>
      </c>
      <c r="F214" s="13">
        <v>1621584</v>
      </c>
      <c r="G214">
        <f>IF(OR(_xlfn.XLOOKUP(A214,'LPG Fup'!D:D,'LPG Fup'!L:L,"",0)&gt;0.03,_xlfn.XLOOKUP(A214,'LPG Fup'!D:D,'LPG Fup'!L:L,"",0)&lt;-0.03),_xlfn.XLOOKUP(A214,'LPG Fup'!D:D,'LPG Fup'!L:L,0,0),0)</f>
        <v>-3.2361561385678084E-2</v>
      </c>
      <c r="H214">
        <f>IF(_xlfn.XLOOKUP(A214,'LPG Fup'!D:D,'LPG Fup'!M:M,0,0)="",0,_xlfn.XLOOKUP(A214,'LPG Fup'!D:D,'LPG Fup'!M:M,0,0))</f>
        <v>-170.19999999999982</v>
      </c>
      <c r="I214" s="109">
        <f>_xlfn.XLOOKUP(A214,'Rafineri Fiyatları'!A:A,'Rafineri Fiyatları'!B:B,"",0)</f>
        <v>4466.2799999999988</v>
      </c>
      <c r="J214">
        <f t="shared" si="12"/>
        <v>2020</v>
      </c>
      <c r="K214">
        <f t="shared" si="13"/>
        <v>12</v>
      </c>
      <c r="L214">
        <f t="shared" si="14"/>
        <v>30</v>
      </c>
      <c r="M214">
        <f t="shared" si="15"/>
        <v>4</v>
      </c>
      <c r="N214">
        <f>_xlfn.XLOOKUP(A214,tatiller!H:H,tatiller!I:I,0,0)</f>
        <v>0</v>
      </c>
      <c r="O214" cm="1">
        <f t="array" ref="O214">_xlfn.IFNA(_xlfn.IFS(L214=1,"A0",A214=EOMONTH(A214,0),"A-1",L214=2,"A+1"),0)</f>
        <v>0</v>
      </c>
      <c r="P214" cm="1">
        <f t="array" ref="P214">_xlfn.IFNA(_xlfn.IFS(AND(_xlfn.XLOOKUP(A214,'LPG Fup'!D:D,'LPG Fup'!M:M,"",0)&lt;&gt;"",_xlfn.XLOOKUP(A214,'LPG Fup'!D:D,'LPG Fup'!M:M,"",0)&gt;0),"Z-1", AND(_xlfn.XLOOKUP(A214+1,'LPG Fup'!D:D,'LPG Fup'!M:M,"",0)&lt;&gt;"",_xlfn.XLOOKUP(A214+1,'LPG Fup'!D:D,'LPG Fup'!M:M,"",0)&gt;0),"Z-2", AND(_xlfn.XLOOKUP(A214-1,'LPG Fup'!D:D,'LPG Fup'!M:M,"",0)&lt;&gt;"",_xlfn.XLOOKUP(A214-1,'LPG Fup'!D:D,'LPG Fup'!M:M,"",0)&gt;0),"Z", AND(_xlfn.XLOOKUP(A214-2,'LPG Fup'!D:D,'LPG Fup'!M:M,"",0)&lt;&gt;"",_xlfn.XLOOKUP(A214-2,'LPG Fup'!D:D,'LPG Fup'!M:M,"",0)&gt;0),"Z+1"),0)</f>
        <v>0</v>
      </c>
      <c r="Q214" t="str" cm="1">
        <f t="array" ref="Q214">_xlfn.IFNA(_xlfn.IFS(AND(_xlfn.XLOOKUP(A214,'LPG Fup'!D:D,'LPG Fup'!M:M,"",0)&lt;&gt;"",_xlfn.XLOOKUP(A214,'LPG Fup'!D:D,'LPG Fup'!M:M,"",0)&lt;0),"I-1", AND(_xlfn.XLOOKUP(A214+1,'LPG Fup'!D:D,'LPG Fup'!M:M,"",0)&lt;&gt;"",_xlfn.XLOOKUP(A214+1,'LPG Fup'!D:D,'LPG Fup'!M:M,"",0)&lt;0),"I-2", AND(_xlfn.XLOOKUP(A214-1,'LPG Fup'!D:D,'LPG Fup'!M:M,"",0)&lt;&gt;"",_xlfn.XLOOKUP(A214-1,'LPG Fup'!D:D,'LPG Fup'!M:M,"",0)&lt;0),"I", AND(_xlfn.XLOOKUP(A214-2,'LPG Fup'!D:D,'LPG Fup'!M:M,"",0)&lt;&gt;"",_xlfn.XLOOKUP(A214-2,'LPG Fup'!D:D,'LPG Fup'!M:M,"",0)&lt;0),"I+1"),0)</f>
        <v>I-1</v>
      </c>
      <c r="R214">
        <f>_xlfn.XLOOKUP(A214,Covid!A:A,Covid!I:I,0,0)</f>
        <v>2612</v>
      </c>
      <c r="S214">
        <f>_xlfn.XLOOKUP(A214,Covid!A:A,Covid!K:K,0,0)</f>
        <v>254</v>
      </c>
      <c r="T214" s="145">
        <f>_xlfn.XLOOKUP(A214,Covid!A:A,Covid!K:K,0,0)/_xlfn.XLOOKUP(A214,Covid!A:A,Covid!L:L,0,0)</f>
        <v>1.2579239302694136E-2</v>
      </c>
    </row>
    <row r="215" spans="1:20" x14ac:dyDescent="0.55000000000000004">
      <c r="A215" s="157">
        <v>44196</v>
      </c>
      <c r="B215" s="13">
        <v>484820</v>
      </c>
      <c r="C215" s="13">
        <v>604026</v>
      </c>
      <c r="D215" s="13">
        <v>58430</v>
      </c>
      <c r="E215" s="13">
        <v>590230</v>
      </c>
      <c r="F215" s="13">
        <v>1737506</v>
      </c>
      <c r="G215">
        <f>IF(OR(_xlfn.XLOOKUP(A215,'LPG Fup'!D:D,'LPG Fup'!L:L,"",0)&gt;0.03,_xlfn.XLOOKUP(A215,'LPG Fup'!D:D,'LPG Fup'!L:L,"",0)&lt;-0.03),_xlfn.XLOOKUP(A215,'LPG Fup'!D:D,'LPG Fup'!L:L,0,0),0)</f>
        <v>0</v>
      </c>
      <c r="H215">
        <f>IF(_xlfn.XLOOKUP(A215,'LPG Fup'!D:D,'LPG Fup'!M:M,0,0)="",0,_xlfn.XLOOKUP(A215,'LPG Fup'!D:D,'LPG Fup'!M:M,0,0))</f>
        <v>0</v>
      </c>
      <c r="I215" s="109">
        <f>_xlfn.XLOOKUP(A215,'Rafineri Fiyatları'!A:A,'Rafineri Fiyatları'!B:B,"",0)</f>
        <v>4466.2799999999988</v>
      </c>
      <c r="J215">
        <f t="shared" si="12"/>
        <v>2020</v>
      </c>
      <c r="K215">
        <f t="shared" si="13"/>
        <v>12</v>
      </c>
      <c r="L215">
        <f t="shared" si="14"/>
        <v>31</v>
      </c>
      <c r="M215">
        <f t="shared" si="15"/>
        <v>5</v>
      </c>
      <c r="N215" t="str">
        <f>_xlfn.XLOOKUP(A215,tatiller!H:H,tatiller!I:I,0,0)</f>
        <v>Y-1</v>
      </c>
      <c r="O215" t="str" cm="1">
        <f t="array" ref="O215">_xlfn.IFNA(_xlfn.IFS(L215=1,"A0",A215=EOMONTH(A215,0),"A-1",L215=2,"A+1"),0)</f>
        <v>A-1</v>
      </c>
      <c r="P215" cm="1">
        <f t="array" ref="P215">_xlfn.IFNA(_xlfn.IFS(AND(_xlfn.XLOOKUP(A215,'LPG Fup'!D:D,'LPG Fup'!M:M,"",0)&lt;&gt;"",_xlfn.XLOOKUP(A215,'LPG Fup'!D:D,'LPG Fup'!M:M,"",0)&gt;0),"Z-1", AND(_xlfn.XLOOKUP(A215+1,'LPG Fup'!D:D,'LPG Fup'!M:M,"",0)&lt;&gt;"",_xlfn.XLOOKUP(A215+1,'LPG Fup'!D:D,'LPG Fup'!M:M,"",0)&gt;0),"Z-2", AND(_xlfn.XLOOKUP(A215-1,'LPG Fup'!D:D,'LPG Fup'!M:M,"",0)&lt;&gt;"",_xlfn.XLOOKUP(A215-1,'LPG Fup'!D:D,'LPG Fup'!M:M,"",0)&gt;0),"Z", AND(_xlfn.XLOOKUP(A215-2,'LPG Fup'!D:D,'LPG Fup'!M:M,"",0)&lt;&gt;"",_xlfn.XLOOKUP(A215-2,'LPG Fup'!D:D,'LPG Fup'!M:M,"",0)&gt;0),"Z+1"),0)</f>
        <v>0</v>
      </c>
      <c r="Q215" t="str" cm="1">
        <f t="array" ref="Q215">_xlfn.IFNA(_xlfn.IFS(AND(_xlfn.XLOOKUP(A215,'LPG Fup'!D:D,'LPG Fup'!M:M,"",0)&lt;&gt;"",_xlfn.XLOOKUP(A215,'LPG Fup'!D:D,'LPG Fup'!M:M,"",0)&lt;0),"I-1", AND(_xlfn.XLOOKUP(A215+1,'LPG Fup'!D:D,'LPG Fup'!M:M,"",0)&lt;&gt;"",_xlfn.XLOOKUP(A215+1,'LPG Fup'!D:D,'LPG Fup'!M:M,"",0)&lt;0),"I-2", AND(_xlfn.XLOOKUP(A215-1,'LPG Fup'!D:D,'LPG Fup'!M:M,"",0)&lt;&gt;"",_xlfn.XLOOKUP(A215-1,'LPG Fup'!D:D,'LPG Fup'!M:M,"",0)&lt;0),"I", AND(_xlfn.XLOOKUP(A215-2,'LPG Fup'!D:D,'LPG Fup'!M:M,"",0)&lt;&gt;"",_xlfn.XLOOKUP(A215-2,'LPG Fup'!D:D,'LPG Fup'!M:M,"",0)&lt;0),"I+1"),0)</f>
        <v>I</v>
      </c>
      <c r="R215">
        <f>_xlfn.XLOOKUP(A215,Covid!A:A,Covid!I:I,0,0)</f>
        <v>2219</v>
      </c>
      <c r="S215">
        <f>_xlfn.XLOOKUP(A215,Covid!A:A,Covid!K:K,0,0)</f>
        <v>239</v>
      </c>
      <c r="T215" s="145">
        <f>_xlfn.XLOOKUP(A215,Covid!A:A,Covid!K:K,0,0)/_xlfn.XLOOKUP(A215,Covid!A:A,Covid!L:L,0,0)</f>
        <v>1.085327641796467E-2</v>
      </c>
    </row>
    <row r="216" spans="1:20" x14ac:dyDescent="0.55000000000000004">
      <c r="A216" s="157">
        <v>44197</v>
      </c>
      <c r="B216" s="13">
        <v>390500</v>
      </c>
      <c r="C216" s="13">
        <v>0</v>
      </c>
      <c r="D216" s="13">
        <v>0</v>
      </c>
      <c r="E216" s="13">
        <v>134781</v>
      </c>
      <c r="F216" s="13">
        <v>2725784</v>
      </c>
      <c r="G216">
        <f>IF(OR(_xlfn.XLOOKUP(A216,'LPG Fup'!D:D,'LPG Fup'!L:L,"",0)&gt;0.03,_xlfn.XLOOKUP(A216,'LPG Fup'!D:D,'LPG Fup'!L:L,"",0)&lt;-0.03),_xlfn.XLOOKUP(A216,'LPG Fup'!D:D,'LPG Fup'!L:L,0,0),0)</f>
        <v>0</v>
      </c>
      <c r="H216">
        <f>IF(_xlfn.XLOOKUP(A216,'LPG Fup'!D:D,'LPG Fup'!M:M,0,0)="",0,_xlfn.XLOOKUP(A216,'LPG Fup'!D:D,'LPG Fup'!M:M,0,0))</f>
        <v>0</v>
      </c>
      <c r="I216" s="109">
        <f>_xlfn.XLOOKUP(A216,'Rafineri Fiyatları'!A:A,'Rafineri Fiyatları'!B:B,"",0)</f>
        <v>4467.2599999999993</v>
      </c>
      <c r="J216">
        <f t="shared" si="12"/>
        <v>2021</v>
      </c>
      <c r="K216">
        <f t="shared" si="13"/>
        <v>1</v>
      </c>
      <c r="L216">
        <f t="shared" si="14"/>
        <v>1</v>
      </c>
      <c r="M216">
        <f t="shared" si="15"/>
        <v>6</v>
      </c>
      <c r="N216" t="str">
        <f>_xlfn.XLOOKUP(A216,tatiller!H:H,tatiller!I:I,0,0)</f>
        <v>Y</v>
      </c>
      <c r="O216" t="str" cm="1">
        <f t="array" ref="O216">_xlfn.IFNA(_xlfn.IFS(L216=1,"A0",A216=EOMONTH(A216,0),"A-1",L216=2,"A+1"),0)</f>
        <v>A0</v>
      </c>
      <c r="P216" cm="1">
        <f t="array" ref="P216">_xlfn.IFNA(_xlfn.IFS(AND(_xlfn.XLOOKUP(A216,'LPG Fup'!D:D,'LPG Fup'!M:M,"",0)&lt;&gt;"",_xlfn.XLOOKUP(A216,'LPG Fup'!D:D,'LPG Fup'!M:M,"",0)&gt;0),"Z-1", AND(_xlfn.XLOOKUP(A216+1,'LPG Fup'!D:D,'LPG Fup'!M:M,"",0)&lt;&gt;"",_xlfn.XLOOKUP(A216+1,'LPG Fup'!D:D,'LPG Fup'!M:M,"",0)&gt;0),"Z-2", AND(_xlfn.XLOOKUP(A216-1,'LPG Fup'!D:D,'LPG Fup'!M:M,"",0)&lt;&gt;"",_xlfn.XLOOKUP(A216-1,'LPG Fup'!D:D,'LPG Fup'!M:M,"",0)&gt;0),"Z", AND(_xlfn.XLOOKUP(A216-2,'LPG Fup'!D:D,'LPG Fup'!M:M,"",0)&lt;&gt;"",_xlfn.XLOOKUP(A216-2,'LPG Fup'!D:D,'LPG Fup'!M:M,"",0)&gt;0),"Z+1"),0)</f>
        <v>0</v>
      </c>
      <c r="Q216" t="str" cm="1">
        <f t="array" ref="Q216">_xlfn.IFNA(_xlfn.IFS(AND(_xlfn.XLOOKUP(A216,'LPG Fup'!D:D,'LPG Fup'!M:M,"",0)&lt;&gt;"",_xlfn.XLOOKUP(A216,'LPG Fup'!D:D,'LPG Fup'!M:M,"",0)&lt;0),"I-1", AND(_xlfn.XLOOKUP(A216+1,'LPG Fup'!D:D,'LPG Fup'!M:M,"",0)&lt;&gt;"",_xlfn.XLOOKUP(A216+1,'LPG Fup'!D:D,'LPG Fup'!M:M,"",0)&lt;0),"I-2", AND(_xlfn.XLOOKUP(A216-1,'LPG Fup'!D:D,'LPG Fup'!M:M,"",0)&lt;&gt;"",_xlfn.XLOOKUP(A216-1,'LPG Fup'!D:D,'LPG Fup'!M:M,"",0)&lt;0),"I", AND(_xlfn.XLOOKUP(A216-2,'LPG Fup'!D:D,'LPG Fup'!M:M,"",0)&lt;&gt;"",_xlfn.XLOOKUP(A216-2,'LPG Fup'!D:D,'LPG Fup'!M:M,"",0)&lt;0),"I+1"),0)</f>
        <v>I+1</v>
      </c>
      <c r="R216">
        <f>_xlfn.XLOOKUP(A216,Covid!A:A,Covid!I:I,0,0)</f>
        <v>1908</v>
      </c>
      <c r="S216">
        <f>_xlfn.XLOOKUP(A216,Covid!A:A,Covid!K:K,0,0)</f>
        <v>212</v>
      </c>
      <c r="T216" s="145">
        <f>_xlfn.XLOOKUP(A216,Covid!A:A,Covid!K:K,0,0)/_xlfn.XLOOKUP(A216,Covid!A:A,Covid!L:L,0,0)</f>
        <v>1.5024805102763997E-2</v>
      </c>
    </row>
    <row r="217" spans="1:20" x14ac:dyDescent="0.55000000000000004">
      <c r="A217" s="157">
        <v>44198</v>
      </c>
      <c r="B217" s="13">
        <v>236500</v>
      </c>
      <c r="C217" s="13">
        <v>210774</v>
      </c>
      <c r="D217" s="13">
        <v>6886</v>
      </c>
      <c r="E217" s="13">
        <v>127347</v>
      </c>
      <c r="F217" s="13">
        <v>581507</v>
      </c>
      <c r="G217">
        <f>IF(OR(_xlfn.XLOOKUP(A217,'LPG Fup'!D:D,'LPG Fup'!L:L,"",0)&gt;0.03,_xlfn.XLOOKUP(A217,'LPG Fup'!D:D,'LPG Fup'!L:L,"",0)&lt;-0.03),_xlfn.XLOOKUP(A217,'LPG Fup'!D:D,'LPG Fup'!L:L,0,0),0)</f>
        <v>0</v>
      </c>
      <c r="H217">
        <f>IF(_xlfn.XLOOKUP(A217,'LPG Fup'!D:D,'LPG Fup'!M:M,0,0)="",0,_xlfn.XLOOKUP(A217,'LPG Fup'!D:D,'LPG Fup'!M:M,0,0))</f>
        <v>0</v>
      </c>
      <c r="I217" s="109">
        <f>_xlfn.XLOOKUP(A217,'Rafineri Fiyatları'!A:A,'Rafineri Fiyatları'!B:B,"",0)</f>
        <v>4467.2599999999993</v>
      </c>
      <c r="J217">
        <f t="shared" si="12"/>
        <v>2021</v>
      </c>
      <c r="K217">
        <f t="shared" si="13"/>
        <v>1</v>
      </c>
      <c r="L217">
        <f t="shared" si="14"/>
        <v>2</v>
      </c>
      <c r="M217">
        <f t="shared" si="15"/>
        <v>7</v>
      </c>
      <c r="N217" t="str">
        <f>_xlfn.XLOOKUP(A217,tatiller!H:H,tatiller!I:I,0,0)</f>
        <v>Y+1</v>
      </c>
      <c r="O217" t="str" cm="1">
        <f t="array" ref="O217">_xlfn.IFNA(_xlfn.IFS(L217=1,"A0",A217=EOMONTH(A217,0),"A-1",L217=2,"A+1"),0)</f>
        <v>A+1</v>
      </c>
      <c r="P217" cm="1">
        <f t="array" ref="P217">_xlfn.IFNA(_xlfn.IFS(AND(_xlfn.XLOOKUP(A217,'LPG Fup'!D:D,'LPG Fup'!M:M,"",0)&lt;&gt;"",_xlfn.XLOOKUP(A217,'LPG Fup'!D:D,'LPG Fup'!M:M,"",0)&gt;0),"Z-1", AND(_xlfn.XLOOKUP(A217+1,'LPG Fup'!D:D,'LPG Fup'!M:M,"",0)&lt;&gt;"",_xlfn.XLOOKUP(A217+1,'LPG Fup'!D:D,'LPG Fup'!M:M,"",0)&gt;0),"Z-2", AND(_xlfn.XLOOKUP(A217-1,'LPG Fup'!D:D,'LPG Fup'!M:M,"",0)&lt;&gt;"",_xlfn.XLOOKUP(A217-1,'LPG Fup'!D:D,'LPG Fup'!M:M,"",0)&gt;0),"Z", AND(_xlfn.XLOOKUP(A217-2,'LPG Fup'!D:D,'LPG Fup'!M:M,"",0)&lt;&gt;"",_xlfn.XLOOKUP(A217-2,'LPG Fup'!D:D,'LPG Fup'!M:M,"",0)&gt;0),"Z+1"),0)</f>
        <v>0</v>
      </c>
      <c r="Q217" cm="1">
        <f t="array" ref="Q217">_xlfn.IFNA(_xlfn.IFS(AND(_xlfn.XLOOKUP(A217,'LPG Fup'!D:D,'LPG Fup'!M:M,"",0)&lt;&gt;"",_xlfn.XLOOKUP(A217,'LPG Fup'!D:D,'LPG Fup'!M:M,"",0)&lt;0),"I-1", AND(_xlfn.XLOOKUP(A217+1,'LPG Fup'!D:D,'LPG Fup'!M:M,"",0)&lt;&gt;"",_xlfn.XLOOKUP(A217+1,'LPG Fup'!D:D,'LPG Fup'!M:M,"",0)&lt;0),"I-2", AND(_xlfn.XLOOKUP(A217-1,'LPG Fup'!D:D,'LPG Fup'!M:M,"",0)&lt;&gt;"",_xlfn.XLOOKUP(A217-1,'LPG Fup'!D:D,'LPG Fup'!M:M,"",0)&lt;0),"I", AND(_xlfn.XLOOKUP(A217-2,'LPG Fup'!D:D,'LPG Fup'!M:M,"",0)&lt;&gt;"",_xlfn.XLOOKUP(A217-2,'LPG Fup'!D:D,'LPG Fup'!M:M,"",0)&lt;0),"I+1"),0)</f>
        <v>0</v>
      </c>
      <c r="R217">
        <f>_xlfn.XLOOKUP(A217,Covid!A:A,Covid!I:I,0,0)</f>
        <v>1713</v>
      </c>
      <c r="S217">
        <f>_xlfn.XLOOKUP(A217,Covid!A:A,Covid!K:K,0,0)</f>
        <v>202</v>
      </c>
      <c r="T217" s="145">
        <f>_xlfn.XLOOKUP(A217,Covid!A:A,Covid!K:K,0,0)/_xlfn.XLOOKUP(A217,Covid!A:A,Covid!L:L,0,0)</f>
        <v>1.7306374228923921E-2</v>
      </c>
    </row>
    <row r="218" spans="1:20" x14ac:dyDescent="0.55000000000000004">
      <c r="A218" s="157">
        <v>44199</v>
      </c>
      <c r="B218" s="13">
        <v>241340</v>
      </c>
      <c r="C218" s="13">
        <v>168</v>
      </c>
      <c r="D218" s="13">
        <v>0</v>
      </c>
      <c r="E218" s="13">
        <v>77928</v>
      </c>
      <c r="F218" s="13">
        <v>319436</v>
      </c>
      <c r="G218">
        <f>IF(OR(_xlfn.XLOOKUP(A218,'LPG Fup'!D:D,'LPG Fup'!L:L,"",0)&gt;0.03,_xlfn.XLOOKUP(A218,'LPG Fup'!D:D,'LPG Fup'!L:L,"",0)&lt;-0.03),_xlfn.XLOOKUP(A218,'LPG Fup'!D:D,'LPG Fup'!L:L,0,0),0)</f>
        <v>0</v>
      </c>
      <c r="H218">
        <f>IF(_xlfn.XLOOKUP(A218,'LPG Fup'!D:D,'LPG Fup'!M:M,0,0)="",0,_xlfn.XLOOKUP(A218,'LPG Fup'!D:D,'LPG Fup'!M:M,0,0))</f>
        <v>0</v>
      </c>
      <c r="I218" s="109">
        <f>_xlfn.XLOOKUP(A218,'Rafineri Fiyatları'!A:A,'Rafineri Fiyatları'!B:B,"",0)</f>
        <v>4467.2599999999993</v>
      </c>
      <c r="J218">
        <f t="shared" si="12"/>
        <v>2021</v>
      </c>
      <c r="K218">
        <f t="shared" si="13"/>
        <v>1</v>
      </c>
      <c r="L218">
        <f t="shared" si="14"/>
        <v>3</v>
      </c>
      <c r="M218">
        <f t="shared" si="15"/>
        <v>1</v>
      </c>
      <c r="N218">
        <f>_xlfn.XLOOKUP(A218,tatiller!H:H,tatiller!I:I,0,0)</f>
        <v>0</v>
      </c>
      <c r="O218" cm="1">
        <f t="array" ref="O218">_xlfn.IFNA(_xlfn.IFS(L218=1,"A0",A218=EOMONTH(A218,0),"A-1",L218=2,"A+1"),0)</f>
        <v>0</v>
      </c>
      <c r="P218" t="str" cm="1">
        <f t="array" ref="P218">_xlfn.IFNA(_xlfn.IFS(AND(_xlfn.XLOOKUP(A218,'LPG Fup'!D:D,'LPG Fup'!M:M,"",0)&lt;&gt;"",_xlfn.XLOOKUP(A218,'LPG Fup'!D:D,'LPG Fup'!M:M,"",0)&gt;0),"Z-1", AND(_xlfn.XLOOKUP(A218+1,'LPG Fup'!D:D,'LPG Fup'!M:M,"",0)&lt;&gt;"",_xlfn.XLOOKUP(A218+1,'LPG Fup'!D:D,'LPG Fup'!M:M,"",0)&gt;0),"Z-2", AND(_xlfn.XLOOKUP(A218-1,'LPG Fup'!D:D,'LPG Fup'!M:M,"",0)&lt;&gt;"",_xlfn.XLOOKUP(A218-1,'LPG Fup'!D:D,'LPG Fup'!M:M,"",0)&gt;0),"Z", AND(_xlfn.XLOOKUP(A218-2,'LPG Fup'!D:D,'LPG Fup'!M:M,"",0)&lt;&gt;"",_xlfn.XLOOKUP(A218-2,'LPG Fup'!D:D,'LPG Fup'!M:M,"",0)&gt;0),"Z+1"),0)</f>
        <v>Z-2</v>
      </c>
      <c r="Q218" cm="1">
        <f t="array" ref="Q218">_xlfn.IFNA(_xlfn.IFS(AND(_xlfn.XLOOKUP(A218,'LPG Fup'!D:D,'LPG Fup'!M:M,"",0)&lt;&gt;"",_xlfn.XLOOKUP(A218,'LPG Fup'!D:D,'LPG Fup'!M:M,"",0)&lt;0),"I-1", AND(_xlfn.XLOOKUP(A218+1,'LPG Fup'!D:D,'LPG Fup'!M:M,"",0)&lt;&gt;"",_xlfn.XLOOKUP(A218+1,'LPG Fup'!D:D,'LPG Fup'!M:M,"",0)&lt;0),"I-2", AND(_xlfn.XLOOKUP(A218-1,'LPG Fup'!D:D,'LPG Fup'!M:M,"",0)&lt;&gt;"",_xlfn.XLOOKUP(A218-1,'LPG Fup'!D:D,'LPG Fup'!M:M,"",0)&lt;0),"I", AND(_xlfn.XLOOKUP(A218-2,'LPG Fup'!D:D,'LPG Fup'!M:M,"",0)&lt;&gt;"",_xlfn.XLOOKUP(A218-2,'LPG Fup'!D:D,'LPG Fup'!M:M,"",0)&lt;0),"I+1"),0)</f>
        <v>0</v>
      </c>
      <c r="R218">
        <f>_xlfn.XLOOKUP(A218,Covid!A:A,Covid!I:I,0,0)</f>
        <v>1515</v>
      </c>
      <c r="S218">
        <f>_xlfn.XLOOKUP(A218,Covid!A:A,Covid!K:K,0,0)</f>
        <v>193</v>
      </c>
      <c r="T218" s="145">
        <f>_xlfn.XLOOKUP(A218,Covid!A:A,Covid!K:K,0,0)/_xlfn.XLOOKUP(A218,Covid!A:A,Covid!L:L,0,0)</f>
        <v>1.9105127697485645E-2</v>
      </c>
    </row>
    <row r="219" spans="1:20" x14ac:dyDescent="0.55000000000000004">
      <c r="A219" s="157">
        <v>44200</v>
      </c>
      <c r="B219" s="13">
        <v>349040</v>
      </c>
      <c r="C219" s="13">
        <v>402924</v>
      </c>
      <c r="D219" s="13">
        <v>33086</v>
      </c>
      <c r="E219" s="13">
        <v>386570</v>
      </c>
      <c r="F219" s="13">
        <v>1171620</v>
      </c>
      <c r="G219">
        <f>IF(OR(_xlfn.XLOOKUP(A219,'LPG Fup'!D:D,'LPG Fup'!L:L,"",0)&gt;0.03,_xlfn.XLOOKUP(A219,'LPG Fup'!D:D,'LPG Fup'!L:L,"",0)&lt;-0.03),_xlfn.XLOOKUP(A219,'LPG Fup'!D:D,'LPG Fup'!L:L,0,0),0)</f>
        <v>5.9538641335079967E-2</v>
      </c>
      <c r="H219">
        <f>IF(_xlfn.XLOOKUP(A219,'LPG Fup'!D:D,'LPG Fup'!M:M,0,0)="",0,_xlfn.XLOOKUP(A219,'LPG Fup'!D:D,'LPG Fup'!M:M,0,0))</f>
        <v>615.32194999999956</v>
      </c>
      <c r="I219" s="109">
        <f>_xlfn.XLOOKUP(A219,'Rafineri Fiyatları'!A:A,'Rafineri Fiyatları'!B:B,"",0)</f>
        <v>4467.2599999999993</v>
      </c>
      <c r="J219">
        <f t="shared" si="12"/>
        <v>2021</v>
      </c>
      <c r="K219">
        <f t="shared" si="13"/>
        <v>1</v>
      </c>
      <c r="L219">
        <f t="shared" si="14"/>
        <v>4</v>
      </c>
      <c r="M219">
        <f t="shared" si="15"/>
        <v>2</v>
      </c>
      <c r="N219">
        <f>_xlfn.XLOOKUP(A219,tatiller!H:H,tatiller!I:I,0,0)</f>
        <v>0</v>
      </c>
      <c r="O219" cm="1">
        <f t="array" ref="O219">_xlfn.IFNA(_xlfn.IFS(L219=1,"A0",A219=EOMONTH(A219,0),"A-1",L219=2,"A+1"),0)</f>
        <v>0</v>
      </c>
      <c r="P219" t="str" cm="1">
        <f t="array" ref="P219">_xlfn.IFNA(_xlfn.IFS(AND(_xlfn.XLOOKUP(A219,'LPG Fup'!D:D,'LPG Fup'!M:M,"",0)&lt;&gt;"",_xlfn.XLOOKUP(A219,'LPG Fup'!D:D,'LPG Fup'!M:M,"",0)&gt;0),"Z-1", AND(_xlfn.XLOOKUP(A219+1,'LPG Fup'!D:D,'LPG Fup'!M:M,"",0)&lt;&gt;"",_xlfn.XLOOKUP(A219+1,'LPG Fup'!D:D,'LPG Fup'!M:M,"",0)&gt;0),"Z-2", AND(_xlfn.XLOOKUP(A219-1,'LPG Fup'!D:D,'LPG Fup'!M:M,"",0)&lt;&gt;"",_xlfn.XLOOKUP(A219-1,'LPG Fup'!D:D,'LPG Fup'!M:M,"",0)&gt;0),"Z", AND(_xlfn.XLOOKUP(A219-2,'LPG Fup'!D:D,'LPG Fup'!M:M,"",0)&lt;&gt;"",_xlfn.XLOOKUP(A219-2,'LPG Fup'!D:D,'LPG Fup'!M:M,"",0)&gt;0),"Z+1"),0)</f>
        <v>Z-1</v>
      </c>
      <c r="Q219" cm="1">
        <f t="array" ref="Q219">_xlfn.IFNA(_xlfn.IFS(AND(_xlfn.XLOOKUP(A219,'LPG Fup'!D:D,'LPG Fup'!M:M,"",0)&lt;&gt;"",_xlfn.XLOOKUP(A219,'LPG Fup'!D:D,'LPG Fup'!M:M,"",0)&lt;0),"I-1", AND(_xlfn.XLOOKUP(A219+1,'LPG Fup'!D:D,'LPG Fup'!M:M,"",0)&lt;&gt;"",_xlfn.XLOOKUP(A219+1,'LPG Fup'!D:D,'LPG Fup'!M:M,"",0)&lt;0),"I-2", AND(_xlfn.XLOOKUP(A219-1,'LPG Fup'!D:D,'LPG Fup'!M:M,"",0)&lt;&gt;"",_xlfn.XLOOKUP(A219-1,'LPG Fup'!D:D,'LPG Fup'!M:M,"",0)&lt;0),"I", AND(_xlfn.XLOOKUP(A219-2,'LPG Fup'!D:D,'LPG Fup'!M:M,"",0)&lt;&gt;"",_xlfn.XLOOKUP(A219-2,'LPG Fup'!D:D,'LPG Fup'!M:M,"",0)&lt;0),"I+1"),0)</f>
        <v>0</v>
      </c>
      <c r="R219">
        <f>_xlfn.XLOOKUP(A219,Covid!A:A,Covid!I:I,0,0)</f>
        <v>1508</v>
      </c>
      <c r="S219">
        <f>_xlfn.XLOOKUP(A219,Covid!A:A,Covid!K:K,0,0)</f>
        <v>197</v>
      </c>
      <c r="T219" s="145">
        <f>_xlfn.XLOOKUP(A219,Covid!A:A,Covid!K:K,0,0)/_xlfn.XLOOKUP(A219,Covid!A:A,Covid!L:L,0,0)</f>
        <v>1.990703314470493E-2</v>
      </c>
    </row>
    <row r="220" spans="1:20" x14ac:dyDescent="0.55000000000000004">
      <c r="A220" s="157">
        <v>44201</v>
      </c>
      <c r="B220" s="13">
        <v>715900</v>
      </c>
      <c r="C220" s="13">
        <v>444550</v>
      </c>
      <c r="D220" s="13">
        <v>7821</v>
      </c>
      <c r="E220" s="13">
        <v>414001</v>
      </c>
      <c r="F220" s="13">
        <v>1582272</v>
      </c>
      <c r="G220">
        <f>IF(OR(_xlfn.XLOOKUP(A220,'LPG Fup'!D:D,'LPG Fup'!L:L,"",0)&gt;0.03,_xlfn.XLOOKUP(A220,'LPG Fup'!D:D,'LPG Fup'!L:L,"",0)&lt;-0.03),_xlfn.XLOOKUP(A220,'LPG Fup'!D:D,'LPG Fup'!L:L,0,0),0)</f>
        <v>0</v>
      </c>
      <c r="H220">
        <f>IF(_xlfn.XLOOKUP(A220,'LPG Fup'!D:D,'LPG Fup'!M:M,0,0)="",0,_xlfn.XLOOKUP(A220,'LPG Fup'!D:D,'LPG Fup'!M:M,0,0))</f>
        <v>0</v>
      </c>
      <c r="I220" s="109">
        <f>_xlfn.XLOOKUP(A220,'Rafineri Fiyatları'!A:A,'Rafineri Fiyatları'!B:B,"",0)</f>
        <v>4467.26</v>
      </c>
      <c r="J220">
        <f t="shared" si="12"/>
        <v>2021</v>
      </c>
      <c r="K220">
        <f t="shared" si="13"/>
        <v>1</v>
      </c>
      <c r="L220">
        <f t="shared" si="14"/>
        <v>5</v>
      </c>
      <c r="M220">
        <f t="shared" si="15"/>
        <v>3</v>
      </c>
      <c r="N220">
        <f>_xlfn.XLOOKUP(A220,tatiller!H:H,tatiller!I:I,0,0)</f>
        <v>0</v>
      </c>
      <c r="O220" cm="1">
        <f t="array" ref="O220">_xlfn.IFNA(_xlfn.IFS(L220=1,"A0",A220=EOMONTH(A220,0),"A-1",L220=2,"A+1"),0)</f>
        <v>0</v>
      </c>
      <c r="P220" t="str" cm="1">
        <f t="array" ref="P220">_xlfn.IFNA(_xlfn.IFS(AND(_xlfn.XLOOKUP(A220,'LPG Fup'!D:D,'LPG Fup'!M:M,"",0)&lt;&gt;"",_xlfn.XLOOKUP(A220,'LPG Fup'!D:D,'LPG Fup'!M:M,"",0)&gt;0),"Z-1", AND(_xlfn.XLOOKUP(A220+1,'LPG Fup'!D:D,'LPG Fup'!M:M,"",0)&lt;&gt;"",_xlfn.XLOOKUP(A220+1,'LPG Fup'!D:D,'LPG Fup'!M:M,"",0)&gt;0),"Z-2", AND(_xlfn.XLOOKUP(A220-1,'LPG Fup'!D:D,'LPG Fup'!M:M,"",0)&lt;&gt;"",_xlfn.XLOOKUP(A220-1,'LPG Fup'!D:D,'LPG Fup'!M:M,"",0)&gt;0),"Z", AND(_xlfn.XLOOKUP(A220-2,'LPG Fup'!D:D,'LPG Fup'!M:M,"",0)&lt;&gt;"",_xlfn.XLOOKUP(A220-2,'LPG Fup'!D:D,'LPG Fup'!M:M,"",0)&gt;0),"Z+1"),0)</f>
        <v>Z</v>
      </c>
      <c r="Q220" cm="1">
        <f t="array" ref="Q220">_xlfn.IFNA(_xlfn.IFS(AND(_xlfn.XLOOKUP(A220,'LPG Fup'!D:D,'LPG Fup'!M:M,"",0)&lt;&gt;"",_xlfn.XLOOKUP(A220,'LPG Fup'!D:D,'LPG Fup'!M:M,"",0)&lt;0),"I-1", AND(_xlfn.XLOOKUP(A220+1,'LPG Fup'!D:D,'LPG Fup'!M:M,"",0)&lt;&gt;"",_xlfn.XLOOKUP(A220+1,'LPG Fup'!D:D,'LPG Fup'!M:M,"",0)&lt;0),"I-2", AND(_xlfn.XLOOKUP(A220-1,'LPG Fup'!D:D,'LPG Fup'!M:M,"",0)&lt;&gt;"",_xlfn.XLOOKUP(A220-1,'LPG Fup'!D:D,'LPG Fup'!M:M,"",0)&lt;0),"I", AND(_xlfn.XLOOKUP(A220-2,'LPG Fup'!D:D,'LPG Fup'!M:M,"",0)&lt;&gt;"",_xlfn.XLOOKUP(A220-2,'LPG Fup'!D:D,'LPG Fup'!M:M,"",0)&lt;0),"I+1"),0)</f>
        <v>0</v>
      </c>
      <c r="R220">
        <f>_xlfn.XLOOKUP(A220,Covid!A:A,Covid!I:I,0,0)</f>
        <v>1477</v>
      </c>
      <c r="S220">
        <f>_xlfn.XLOOKUP(A220,Covid!A:A,Covid!K:K,0,0)</f>
        <v>194</v>
      </c>
      <c r="T220" s="145">
        <f>_xlfn.XLOOKUP(A220,Covid!A:A,Covid!K:K,0,0)/_xlfn.XLOOKUP(A220,Covid!A:A,Covid!L:L,0,0)</f>
        <v>2.1778176919622812E-2</v>
      </c>
    </row>
    <row r="221" spans="1:20" x14ac:dyDescent="0.55000000000000004">
      <c r="A221" s="157">
        <v>44202</v>
      </c>
      <c r="B221" s="13">
        <v>804560</v>
      </c>
      <c r="C221" s="13">
        <v>367472</v>
      </c>
      <c r="D221" s="13">
        <v>13813</v>
      </c>
      <c r="E221" s="13">
        <v>360316</v>
      </c>
      <c r="F221" s="13">
        <v>1546161</v>
      </c>
      <c r="G221">
        <f>IF(OR(_xlfn.XLOOKUP(A221,'LPG Fup'!D:D,'LPG Fup'!L:L,"",0)&gt;0.03,_xlfn.XLOOKUP(A221,'LPG Fup'!D:D,'LPG Fup'!L:L,"",0)&lt;-0.03),_xlfn.XLOOKUP(A221,'LPG Fup'!D:D,'LPG Fup'!L:L,0,0),0)</f>
        <v>0</v>
      </c>
      <c r="H221">
        <f>IF(_xlfn.XLOOKUP(A221,'LPG Fup'!D:D,'LPG Fup'!M:M,0,0)="",0,_xlfn.XLOOKUP(A221,'LPG Fup'!D:D,'LPG Fup'!M:M,0,0))</f>
        <v>0</v>
      </c>
      <c r="I221" s="109">
        <f>_xlfn.XLOOKUP(A221,'Rafineri Fiyatları'!A:A,'Rafineri Fiyatları'!B:B,"",0)</f>
        <v>4467.26</v>
      </c>
      <c r="J221">
        <f t="shared" si="12"/>
        <v>2021</v>
      </c>
      <c r="K221">
        <f t="shared" si="13"/>
        <v>1</v>
      </c>
      <c r="L221">
        <f t="shared" si="14"/>
        <v>6</v>
      </c>
      <c r="M221">
        <f t="shared" si="15"/>
        <v>4</v>
      </c>
      <c r="N221">
        <f>_xlfn.XLOOKUP(A221,tatiller!H:H,tatiller!I:I,0,0)</f>
        <v>0</v>
      </c>
      <c r="O221" cm="1">
        <f t="array" ref="O221">_xlfn.IFNA(_xlfn.IFS(L221=1,"A0",A221=EOMONTH(A221,0),"A-1",L221=2,"A+1"),0)</f>
        <v>0</v>
      </c>
      <c r="P221" t="str" cm="1">
        <f t="array" ref="P221">_xlfn.IFNA(_xlfn.IFS(AND(_xlfn.XLOOKUP(A221,'LPG Fup'!D:D,'LPG Fup'!M:M,"",0)&lt;&gt;"",_xlfn.XLOOKUP(A221,'LPG Fup'!D:D,'LPG Fup'!M:M,"",0)&gt;0),"Z-1", AND(_xlfn.XLOOKUP(A221+1,'LPG Fup'!D:D,'LPG Fup'!M:M,"",0)&lt;&gt;"",_xlfn.XLOOKUP(A221+1,'LPG Fup'!D:D,'LPG Fup'!M:M,"",0)&gt;0),"Z-2", AND(_xlfn.XLOOKUP(A221-1,'LPG Fup'!D:D,'LPG Fup'!M:M,"",0)&lt;&gt;"",_xlfn.XLOOKUP(A221-1,'LPG Fup'!D:D,'LPG Fup'!M:M,"",0)&gt;0),"Z", AND(_xlfn.XLOOKUP(A221-2,'LPG Fup'!D:D,'LPG Fup'!M:M,"",0)&lt;&gt;"",_xlfn.XLOOKUP(A221-2,'LPG Fup'!D:D,'LPG Fup'!M:M,"",0)&gt;0),"Z+1"),0)</f>
        <v>Z+1</v>
      </c>
      <c r="Q221" cm="1">
        <f t="array" ref="Q221">_xlfn.IFNA(_xlfn.IFS(AND(_xlfn.XLOOKUP(A221,'LPG Fup'!D:D,'LPG Fup'!M:M,"",0)&lt;&gt;"",_xlfn.XLOOKUP(A221,'LPG Fup'!D:D,'LPG Fup'!M:M,"",0)&lt;0),"I-1", AND(_xlfn.XLOOKUP(A221+1,'LPG Fup'!D:D,'LPG Fup'!M:M,"",0)&lt;&gt;"",_xlfn.XLOOKUP(A221+1,'LPG Fup'!D:D,'LPG Fup'!M:M,"",0)&lt;0),"I-2", AND(_xlfn.XLOOKUP(A221-1,'LPG Fup'!D:D,'LPG Fup'!M:M,"",0)&lt;&gt;"",_xlfn.XLOOKUP(A221-1,'LPG Fup'!D:D,'LPG Fup'!M:M,"",0)&lt;0),"I", AND(_xlfn.XLOOKUP(A221-2,'LPG Fup'!D:D,'LPG Fup'!M:M,"",0)&lt;&gt;"",_xlfn.XLOOKUP(A221-2,'LPG Fup'!D:D,'LPG Fup'!M:M,"",0)&lt;0),"I+1"),0)</f>
        <v>0</v>
      </c>
      <c r="R221">
        <f>_xlfn.XLOOKUP(A221,Covid!A:A,Covid!I:I,0,0)</f>
        <v>1458</v>
      </c>
      <c r="S221">
        <f>_xlfn.XLOOKUP(A221,Covid!A:A,Covid!K:K,0,0)</f>
        <v>191</v>
      </c>
      <c r="T221" s="145">
        <f>_xlfn.XLOOKUP(A221,Covid!A:A,Covid!K:K,0,0)/_xlfn.XLOOKUP(A221,Covid!A:A,Covid!L:L,0,0)</f>
        <v>2.1948977246609973E-2</v>
      </c>
    </row>
    <row r="222" spans="1:20" x14ac:dyDescent="0.55000000000000004">
      <c r="A222" s="157">
        <v>44203</v>
      </c>
      <c r="B222" s="13">
        <v>930240</v>
      </c>
      <c r="C222" s="13">
        <v>354903</v>
      </c>
      <c r="D222" s="13">
        <v>5501</v>
      </c>
      <c r="E222" s="13">
        <v>380215</v>
      </c>
      <c r="F222" s="13">
        <v>1670859</v>
      </c>
      <c r="G222">
        <f>IF(OR(_xlfn.XLOOKUP(A222,'LPG Fup'!D:D,'LPG Fup'!L:L,"",0)&gt;0.03,_xlfn.XLOOKUP(A222,'LPG Fup'!D:D,'LPG Fup'!L:L,"",0)&lt;-0.03),_xlfn.XLOOKUP(A222,'LPG Fup'!D:D,'LPG Fup'!L:L,0,0),0)</f>
        <v>0</v>
      </c>
      <c r="H222">
        <f>IF(_xlfn.XLOOKUP(A222,'LPG Fup'!D:D,'LPG Fup'!M:M,0,0)="",0,_xlfn.XLOOKUP(A222,'LPG Fup'!D:D,'LPG Fup'!M:M,0,0))</f>
        <v>0</v>
      </c>
      <c r="I222" s="109">
        <f>_xlfn.XLOOKUP(A222,'Rafineri Fiyatları'!A:A,'Rafineri Fiyatları'!B:B,"",0)</f>
        <v>4467.26</v>
      </c>
      <c r="J222">
        <f t="shared" si="12"/>
        <v>2021</v>
      </c>
      <c r="K222">
        <f t="shared" si="13"/>
        <v>1</v>
      </c>
      <c r="L222">
        <f t="shared" si="14"/>
        <v>7</v>
      </c>
      <c r="M222">
        <f t="shared" si="15"/>
        <v>5</v>
      </c>
      <c r="N222">
        <f>_xlfn.XLOOKUP(A222,tatiller!H:H,tatiller!I:I,0,0)</f>
        <v>0</v>
      </c>
      <c r="O222" cm="1">
        <f t="array" ref="O222">_xlfn.IFNA(_xlfn.IFS(L222=1,"A0",A222=EOMONTH(A222,0),"A-1",L222=2,"A+1"),0)</f>
        <v>0</v>
      </c>
      <c r="P222" cm="1">
        <f t="array" ref="P222">_xlfn.IFNA(_xlfn.IFS(AND(_xlfn.XLOOKUP(A222,'LPG Fup'!D:D,'LPG Fup'!M:M,"",0)&lt;&gt;"",_xlfn.XLOOKUP(A222,'LPG Fup'!D:D,'LPG Fup'!M:M,"",0)&gt;0),"Z-1", AND(_xlfn.XLOOKUP(A222+1,'LPG Fup'!D:D,'LPG Fup'!M:M,"",0)&lt;&gt;"",_xlfn.XLOOKUP(A222+1,'LPG Fup'!D:D,'LPG Fup'!M:M,"",0)&gt;0),"Z-2", AND(_xlfn.XLOOKUP(A222-1,'LPG Fup'!D:D,'LPG Fup'!M:M,"",0)&lt;&gt;"",_xlfn.XLOOKUP(A222-1,'LPG Fup'!D:D,'LPG Fup'!M:M,"",0)&gt;0),"Z", AND(_xlfn.XLOOKUP(A222-2,'LPG Fup'!D:D,'LPG Fup'!M:M,"",0)&lt;&gt;"",_xlfn.XLOOKUP(A222-2,'LPG Fup'!D:D,'LPG Fup'!M:M,"",0)&gt;0),"Z+1"),0)</f>
        <v>0</v>
      </c>
      <c r="Q222" cm="1">
        <f t="array" ref="Q222">_xlfn.IFNA(_xlfn.IFS(AND(_xlfn.XLOOKUP(A222,'LPG Fup'!D:D,'LPG Fup'!M:M,"",0)&lt;&gt;"",_xlfn.XLOOKUP(A222,'LPG Fup'!D:D,'LPG Fup'!M:M,"",0)&lt;0),"I-1", AND(_xlfn.XLOOKUP(A222+1,'LPG Fup'!D:D,'LPG Fup'!M:M,"",0)&lt;&gt;"",_xlfn.XLOOKUP(A222+1,'LPG Fup'!D:D,'LPG Fup'!M:M,"",0)&lt;0),"I-2", AND(_xlfn.XLOOKUP(A222-1,'LPG Fup'!D:D,'LPG Fup'!M:M,"",0)&lt;&gt;"",_xlfn.XLOOKUP(A222-1,'LPG Fup'!D:D,'LPG Fup'!M:M,"",0)&lt;0),"I", AND(_xlfn.XLOOKUP(A222-2,'LPG Fup'!D:D,'LPG Fup'!M:M,"",0)&lt;&gt;"",_xlfn.XLOOKUP(A222-2,'LPG Fup'!D:D,'LPG Fup'!M:M,"",0)&lt;0),"I+1"),0)</f>
        <v>0</v>
      </c>
      <c r="R222">
        <f>_xlfn.XLOOKUP(A222,Covid!A:A,Covid!I:I,0,0)</f>
        <v>1370</v>
      </c>
      <c r="S222">
        <f>_xlfn.XLOOKUP(A222,Covid!A:A,Covid!K:K,0,0)</f>
        <v>194</v>
      </c>
      <c r="T222" s="145">
        <f>_xlfn.XLOOKUP(A222,Covid!A:A,Covid!K:K,0,0)/_xlfn.XLOOKUP(A222,Covid!A:A,Covid!L:L,0,0)</f>
        <v>2.3626842041164293E-2</v>
      </c>
    </row>
    <row r="223" spans="1:20" x14ac:dyDescent="0.55000000000000004">
      <c r="A223" s="157">
        <v>44204</v>
      </c>
      <c r="B223" s="13">
        <v>647880</v>
      </c>
      <c r="C223" s="13">
        <v>382444</v>
      </c>
      <c r="D223" s="13">
        <v>14580</v>
      </c>
      <c r="E223" s="13">
        <v>465436</v>
      </c>
      <c r="F223" s="13">
        <v>1510340</v>
      </c>
      <c r="G223">
        <f>IF(OR(_xlfn.XLOOKUP(A223,'LPG Fup'!D:D,'LPG Fup'!L:L,"",0)&gt;0.03,_xlfn.XLOOKUP(A223,'LPG Fup'!D:D,'LPG Fup'!L:L,"",0)&lt;-0.03),_xlfn.XLOOKUP(A223,'LPG Fup'!D:D,'LPG Fup'!L:L,0,0),0)</f>
        <v>0</v>
      </c>
      <c r="H223">
        <f>IF(_xlfn.XLOOKUP(A223,'LPG Fup'!D:D,'LPG Fup'!M:M,0,0)="",0,_xlfn.XLOOKUP(A223,'LPG Fup'!D:D,'LPG Fup'!M:M,0,0))</f>
        <v>0</v>
      </c>
      <c r="I223" s="109">
        <f>_xlfn.XLOOKUP(A223,'Rafineri Fiyatları'!A:A,'Rafineri Fiyatları'!B:B,"",0)</f>
        <v>4467.26</v>
      </c>
      <c r="J223">
        <f t="shared" si="12"/>
        <v>2021</v>
      </c>
      <c r="K223">
        <f t="shared" si="13"/>
        <v>1</v>
      </c>
      <c r="L223">
        <f t="shared" si="14"/>
        <v>8</v>
      </c>
      <c r="M223">
        <f t="shared" si="15"/>
        <v>6</v>
      </c>
      <c r="N223">
        <f>_xlfn.XLOOKUP(A223,tatiller!H:H,tatiller!I:I,0,0)</f>
        <v>0</v>
      </c>
      <c r="O223" cm="1">
        <f t="array" ref="O223">_xlfn.IFNA(_xlfn.IFS(L223=1,"A0",A223=EOMONTH(A223,0),"A-1",L223=2,"A+1"),0)</f>
        <v>0</v>
      </c>
      <c r="P223" cm="1">
        <f t="array" ref="P223">_xlfn.IFNA(_xlfn.IFS(AND(_xlfn.XLOOKUP(A223,'LPG Fup'!D:D,'LPG Fup'!M:M,"",0)&lt;&gt;"",_xlfn.XLOOKUP(A223,'LPG Fup'!D:D,'LPG Fup'!M:M,"",0)&gt;0),"Z-1", AND(_xlfn.XLOOKUP(A223+1,'LPG Fup'!D:D,'LPG Fup'!M:M,"",0)&lt;&gt;"",_xlfn.XLOOKUP(A223+1,'LPG Fup'!D:D,'LPG Fup'!M:M,"",0)&gt;0),"Z-2", AND(_xlfn.XLOOKUP(A223-1,'LPG Fup'!D:D,'LPG Fup'!M:M,"",0)&lt;&gt;"",_xlfn.XLOOKUP(A223-1,'LPG Fup'!D:D,'LPG Fup'!M:M,"",0)&gt;0),"Z", AND(_xlfn.XLOOKUP(A223-2,'LPG Fup'!D:D,'LPG Fup'!M:M,"",0)&lt;&gt;"",_xlfn.XLOOKUP(A223-2,'LPG Fup'!D:D,'LPG Fup'!M:M,"",0)&gt;0),"Z+1"),0)</f>
        <v>0</v>
      </c>
      <c r="Q223" cm="1">
        <f t="array" ref="Q223">_xlfn.IFNA(_xlfn.IFS(AND(_xlfn.XLOOKUP(A223,'LPG Fup'!D:D,'LPG Fup'!M:M,"",0)&lt;&gt;"",_xlfn.XLOOKUP(A223,'LPG Fup'!D:D,'LPG Fup'!M:M,"",0)&lt;0),"I-1", AND(_xlfn.XLOOKUP(A223+1,'LPG Fup'!D:D,'LPG Fup'!M:M,"",0)&lt;&gt;"",_xlfn.XLOOKUP(A223+1,'LPG Fup'!D:D,'LPG Fup'!M:M,"",0)&lt;0),"I-2", AND(_xlfn.XLOOKUP(A223-1,'LPG Fup'!D:D,'LPG Fup'!M:M,"",0)&lt;&gt;"",_xlfn.XLOOKUP(A223-1,'LPG Fup'!D:D,'LPG Fup'!M:M,"",0)&lt;0),"I", AND(_xlfn.XLOOKUP(A223-2,'LPG Fup'!D:D,'LPG Fup'!M:M,"",0)&lt;&gt;"",_xlfn.XLOOKUP(A223-2,'LPG Fup'!D:D,'LPG Fup'!M:M,"",0)&lt;0),"I+1"),0)</f>
        <v>0</v>
      </c>
      <c r="R223">
        <f>_xlfn.XLOOKUP(A223,Covid!A:A,Covid!I:I,0,0)</f>
        <v>1291</v>
      </c>
      <c r="S223">
        <f>_xlfn.XLOOKUP(A223,Covid!A:A,Covid!K:K,0,0)</f>
        <v>186</v>
      </c>
      <c r="T223" s="145">
        <f>_xlfn.XLOOKUP(A223,Covid!A:A,Covid!K:K,0,0)/_xlfn.XLOOKUP(A223,Covid!A:A,Covid!L:L,0,0)</f>
        <v>1.879927228623408E-2</v>
      </c>
    </row>
    <row r="224" spans="1:20" x14ac:dyDescent="0.55000000000000004">
      <c r="A224" s="157">
        <v>44205</v>
      </c>
      <c r="B224" s="13">
        <v>551900</v>
      </c>
      <c r="C224" s="13">
        <v>273370</v>
      </c>
      <c r="D224" s="13">
        <v>7770</v>
      </c>
      <c r="E224" s="13">
        <v>272799</v>
      </c>
      <c r="F224" s="13">
        <v>6106125</v>
      </c>
      <c r="G224">
        <f>IF(OR(_xlfn.XLOOKUP(A224,'LPG Fup'!D:D,'LPG Fup'!L:L,"",0)&gt;0.03,_xlfn.XLOOKUP(A224,'LPG Fup'!D:D,'LPG Fup'!L:L,"",0)&lt;-0.03),_xlfn.XLOOKUP(A224,'LPG Fup'!D:D,'LPG Fup'!L:L,0,0),0)</f>
        <v>0</v>
      </c>
      <c r="H224">
        <f>IF(_xlfn.XLOOKUP(A224,'LPG Fup'!D:D,'LPG Fup'!M:M,0,0)="",0,_xlfn.XLOOKUP(A224,'LPG Fup'!D:D,'LPG Fup'!M:M,0,0))</f>
        <v>0</v>
      </c>
      <c r="I224" s="109">
        <f>_xlfn.XLOOKUP(A224,'Rafineri Fiyatları'!A:A,'Rafineri Fiyatları'!B:B,"",0)</f>
        <v>4467.26</v>
      </c>
      <c r="J224">
        <f t="shared" si="12"/>
        <v>2021</v>
      </c>
      <c r="K224">
        <f t="shared" si="13"/>
        <v>1</v>
      </c>
      <c r="L224">
        <f t="shared" si="14"/>
        <v>9</v>
      </c>
      <c r="M224">
        <f t="shared" si="15"/>
        <v>7</v>
      </c>
      <c r="N224">
        <f>_xlfn.XLOOKUP(A224,tatiller!H:H,tatiller!I:I,0,0)</f>
        <v>0</v>
      </c>
      <c r="O224" cm="1">
        <f t="array" ref="O224">_xlfn.IFNA(_xlfn.IFS(L224=1,"A0",A224=EOMONTH(A224,0),"A-1",L224=2,"A+1"),0)</f>
        <v>0</v>
      </c>
      <c r="P224" cm="1">
        <f t="array" ref="P224">_xlfn.IFNA(_xlfn.IFS(AND(_xlfn.XLOOKUP(A224,'LPG Fup'!D:D,'LPG Fup'!M:M,"",0)&lt;&gt;"",_xlfn.XLOOKUP(A224,'LPG Fup'!D:D,'LPG Fup'!M:M,"",0)&gt;0),"Z-1", AND(_xlfn.XLOOKUP(A224+1,'LPG Fup'!D:D,'LPG Fup'!M:M,"",0)&lt;&gt;"",_xlfn.XLOOKUP(A224+1,'LPG Fup'!D:D,'LPG Fup'!M:M,"",0)&gt;0),"Z-2", AND(_xlfn.XLOOKUP(A224-1,'LPG Fup'!D:D,'LPG Fup'!M:M,"",0)&lt;&gt;"",_xlfn.XLOOKUP(A224-1,'LPG Fup'!D:D,'LPG Fup'!M:M,"",0)&gt;0),"Z", AND(_xlfn.XLOOKUP(A224-2,'LPG Fup'!D:D,'LPG Fup'!M:M,"",0)&lt;&gt;"",_xlfn.XLOOKUP(A224-2,'LPG Fup'!D:D,'LPG Fup'!M:M,"",0)&gt;0),"Z+1"),0)</f>
        <v>0</v>
      </c>
      <c r="Q224" cm="1">
        <f t="array" ref="Q224">_xlfn.IFNA(_xlfn.IFS(AND(_xlfn.XLOOKUP(A224,'LPG Fup'!D:D,'LPG Fup'!M:M,"",0)&lt;&gt;"",_xlfn.XLOOKUP(A224,'LPG Fup'!D:D,'LPG Fup'!M:M,"",0)&lt;0),"I-1", AND(_xlfn.XLOOKUP(A224+1,'LPG Fup'!D:D,'LPG Fup'!M:M,"",0)&lt;&gt;"",_xlfn.XLOOKUP(A224+1,'LPG Fup'!D:D,'LPG Fup'!M:M,"",0)&lt;0),"I-2", AND(_xlfn.XLOOKUP(A224-1,'LPG Fup'!D:D,'LPG Fup'!M:M,"",0)&lt;&gt;"",_xlfn.XLOOKUP(A224-1,'LPG Fup'!D:D,'LPG Fup'!M:M,"",0)&lt;0),"I", AND(_xlfn.XLOOKUP(A224-2,'LPG Fup'!D:D,'LPG Fup'!M:M,"",0)&lt;&gt;"",_xlfn.XLOOKUP(A224-2,'LPG Fup'!D:D,'LPG Fup'!M:M,"",0)&lt;0),"I+1"),0)</f>
        <v>0</v>
      </c>
      <c r="R224">
        <f>_xlfn.XLOOKUP(A224,Covid!A:A,Covid!I:I,0,0)</f>
        <v>1103</v>
      </c>
      <c r="S224">
        <f>_xlfn.XLOOKUP(A224,Covid!A:A,Covid!K:K,0,0)</f>
        <v>181</v>
      </c>
      <c r="T224" s="145">
        <f>_xlfn.XLOOKUP(A224,Covid!A:A,Covid!K:K,0,0)/_xlfn.XLOOKUP(A224,Covid!A:A,Covid!L:L,0,0)</f>
        <v>2.2905593520627689E-2</v>
      </c>
    </row>
    <row r="225" spans="1:20" x14ac:dyDescent="0.55000000000000004">
      <c r="A225" s="157">
        <v>44206</v>
      </c>
      <c r="B225" s="13">
        <v>260520</v>
      </c>
      <c r="C225" s="13">
        <v>172</v>
      </c>
      <c r="D225" s="13">
        <v>0</v>
      </c>
      <c r="E225" s="13">
        <v>64272</v>
      </c>
      <c r="F225" s="13">
        <v>324964</v>
      </c>
      <c r="G225">
        <f>IF(OR(_xlfn.XLOOKUP(A225,'LPG Fup'!D:D,'LPG Fup'!L:L,"",0)&gt;0.03,_xlfn.XLOOKUP(A225,'LPG Fup'!D:D,'LPG Fup'!L:L,"",0)&lt;-0.03),_xlfn.XLOOKUP(A225,'LPG Fup'!D:D,'LPG Fup'!L:L,0,0),0)</f>
        <v>0</v>
      </c>
      <c r="H225">
        <f>IF(_xlfn.XLOOKUP(A225,'LPG Fup'!D:D,'LPG Fup'!M:M,0,0)="",0,_xlfn.XLOOKUP(A225,'LPG Fup'!D:D,'LPG Fup'!M:M,0,0))</f>
        <v>0</v>
      </c>
      <c r="I225" s="109">
        <f>_xlfn.XLOOKUP(A225,'Rafineri Fiyatları'!A:A,'Rafineri Fiyatları'!B:B,"",0)</f>
        <v>4467.26</v>
      </c>
      <c r="J225">
        <f t="shared" si="12"/>
        <v>2021</v>
      </c>
      <c r="K225">
        <f t="shared" si="13"/>
        <v>1</v>
      </c>
      <c r="L225">
        <f t="shared" si="14"/>
        <v>10</v>
      </c>
      <c r="M225">
        <f t="shared" si="15"/>
        <v>1</v>
      </c>
      <c r="N225">
        <f>_xlfn.XLOOKUP(A225,tatiller!H:H,tatiller!I:I,0,0)</f>
        <v>0</v>
      </c>
      <c r="O225" cm="1">
        <f t="array" ref="O225">_xlfn.IFNA(_xlfn.IFS(L225=1,"A0",A225=EOMONTH(A225,0),"A-1",L225=2,"A+1"),0)</f>
        <v>0</v>
      </c>
      <c r="P225" cm="1">
        <f t="array" ref="P225">_xlfn.IFNA(_xlfn.IFS(AND(_xlfn.XLOOKUP(A225,'LPG Fup'!D:D,'LPG Fup'!M:M,"",0)&lt;&gt;"",_xlfn.XLOOKUP(A225,'LPG Fup'!D:D,'LPG Fup'!M:M,"",0)&gt;0),"Z-1", AND(_xlfn.XLOOKUP(A225+1,'LPG Fup'!D:D,'LPG Fup'!M:M,"",0)&lt;&gt;"",_xlfn.XLOOKUP(A225+1,'LPG Fup'!D:D,'LPG Fup'!M:M,"",0)&gt;0),"Z-2", AND(_xlfn.XLOOKUP(A225-1,'LPG Fup'!D:D,'LPG Fup'!M:M,"",0)&lt;&gt;"",_xlfn.XLOOKUP(A225-1,'LPG Fup'!D:D,'LPG Fup'!M:M,"",0)&gt;0),"Z", AND(_xlfn.XLOOKUP(A225-2,'LPG Fup'!D:D,'LPG Fup'!M:M,"",0)&lt;&gt;"",_xlfn.XLOOKUP(A225-2,'LPG Fup'!D:D,'LPG Fup'!M:M,"",0)&gt;0),"Z+1"),0)</f>
        <v>0</v>
      </c>
      <c r="Q225" cm="1">
        <f t="array" ref="Q225">_xlfn.IFNA(_xlfn.IFS(AND(_xlfn.XLOOKUP(A225,'LPG Fup'!D:D,'LPG Fup'!M:M,"",0)&lt;&gt;"",_xlfn.XLOOKUP(A225,'LPG Fup'!D:D,'LPG Fup'!M:M,"",0)&lt;0),"I-1", AND(_xlfn.XLOOKUP(A225+1,'LPG Fup'!D:D,'LPG Fup'!M:M,"",0)&lt;&gt;"",_xlfn.XLOOKUP(A225+1,'LPG Fup'!D:D,'LPG Fup'!M:M,"",0)&lt;0),"I-2", AND(_xlfn.XLOOKUP(A225-1,'LPG Fup'!D:D,'LPG Fup'!M:M,"",0)&lt;&gt;"",_xlfn.XLOOKUP(A225-1,'LPG Fup'!D:D,'LPG Fup'!M:M,"",0)&lt;0),"I", AND(_xlfn.XLOOKUP(A225-2,'LPG Fup'!D:D,'LPG Fup'!M:M,"",0)&lt;&gt;"",_xlfn.XLOOKUP(A225-2,'LPG Fup'!D:D,'LPG Fup'!M:M,"",0)&lt;0),"I+1"),0)</f>
        <v>0</v>
      </c>
      <c r="R225">
        <f>_xlfn.XLOOKUP(A225,Covid!A:A,Covid!I:I,0,0)</f>
        <v>1017</v>
      </c>
      <c r="S225">
        <f>_xlfn.XLOOKUP(A225,Covid!A:A,Covid!K:K,0,0)</f>
        <v>176</v>
      </c>
      <c r="T225" s="145">
        <f>_xlfn.XLOOKUP(A225,Covid!A:A,Covid!K:K,0,0)/_xlfn.XLOOKUP(A225,Covid!A:A,Covid!L:L,0,0)</f>
        <v>2.1720350487473776E-2</v>
      </c>
    </row>
    <row r="226" spans="1:20" x14ac:dyDescent="0.55000000000000004">
      <c r="A226" s="157">
        <v>44207</v>
      </c>
      <c r="B226" s="13">
        <v>689020</v>
      </c>
      <c r="C226" s="13">
        <v>393139</v>
      </c>
      <c r="D226" s="13">
        <v>800</v>
      </c>
      <c r="E226" s="13">
        <v>356151</v>
      </c>
      <c r="F226" s="13">
        <v>1439110</v>
      </c>
      <c r="G226">
        <f>IF(OR(_xlfn.XLOOKUP(A226,'LPG Fup'!D:D,'LPG Fup'!L:L,"",0)&gt;0.03,_xlfn.XLOOKUP(A226,'LPG Fup'!D:D,'LPG Fup'!L:L,"",0)&lt;-0.03),_xlfn.XLOOKUP(A226,'LPG Fup'!D:D,'LPG Fup'!L:L,0,0),0)</f>
        <v>0</v>
      </c>
      <c r="H226">
        <f>IF(_xlfn.XLOOKUP(A226,'LPG Fup'!D:D,'LPG Fup'!M:M,0,0)="",0,_xlfn.XLOOKUP(A226,'LPG Fup'!D:D,'LPG Fup'!M:M,0,0))</f>
        <v>0</v>
      </c>
      <c r="I226" s="109">
        <f>_xlfn.XLOOKUP(A226,'Rafineri Fiyatları'!A:A,'Rafineri Fiyatları'!B:B,"",0)</f>
        <v>4467.26</v>
      </c>
      <c r="J226">
        <f t="shared" si="12"/>
        <v>2021</v>
      </c>
      <c r="K226">
        <f t="shared" si="13"/>
        <v>1</v>
      </c>
      <c r="L226">
        <f t="shared" si="14"/>
        <v>11</v>
      </c>
      <c r="M226">
        <f t="shared" si="15"/>
        <v>2</v>
      </c>
      <c r="N226">
        <f>_xlfn.XLOOKUP(A226,tatiller!H:H,tatiller!I:I,0,0)</f>
        <v>0</v>
      </c>
      <c r="O226" cm="1">
        <f t="array" ref="O226">_xlfn.IFNA(_xlfn.IFS(L226=1,"A0",A226=EOMONTH(A226,0),"A-1",L226=2,"A+1"),0)</f>
        <v>0</v>
      </c>
      <c r="P226" cm="1">
        <f t="array" ref="P226">_xlfn.IFNA(_xlfn.IFS(AND(_xlfn.XLOOKUP(A226,'LPG Fup'!D:D,'LPG Fup'!M:M,"",0)&lt;&gt;"",_xlfn.XLOOKUP(A226,'LPG Fup'!D:D,'LPG Fup'!M:M,"",0)&gt;0),"Z-1", AND(_xlfn.XLOOKUP(A226+1,'LPG Fup'!D:D,'LPG Fup'!M:M,"",0)&lt;&gt;"",_xlfn.XLOOKUP(A226+1,'LPG Fup'!D:D,'LPG Fup'!M:M,"",0)&gt;0),"Z-2", AND(_xlfn.XLOOKUP(A226-1,'LPG Fup'!D:D,'LPG Fup'!M:M,"",0)&lt;&gt;"",_xlfn.XLOOKUP(A226-1,'LPG Fup'!D:D,'LPG Fup'!M:M,"",0)&gt;0),"Z", AND(_xlfn.XLOOKUP(A226-2,'LPG Fup'!D:D,'LPG Fup'!M:M,"",0)&lt;&gt;"",_xlfn.XLOOKUP(A226-2,'LPG Fup'!D:D,'LPG Fup'!M:M,"",0)&gt;0),"Z+1"),0)</f>
        <v>0</v>
      </c>
      <c r="Q226" cm="1">
        <f t="array" ref="Q226">_xlfn.IFNA(_xlfn.IFS(AND(_xlfn.XLOOKUP(A226,'LPG Fup'!D:D,'LPG Fup'!M:M,"",0)&lt;&gt;"",_xlfn.XLOOKUP(A226,'LPG Fup'!D:D,'LPG Fup'!M:M,"",0)&lt;0),"I-1", AND(_xlfn.XLOOKUP(A226+1,'LPG Fup'!D:D,'LPG Fup'!M:M,"",0)&lt;&gt;"",_xlfn.XLOOKUP(A226+1,'LPG Fup'!D:D,'LPG Fup'!M:M,"",0)&lt;0),"I-2", AND(_xlfn.XLOOKUP(A226-1,'LPG Fup'!D:D,'LPG Fup'!M:M,"",0)&lt;&gt;"",_xlfn.XLOOKUP(A226-1,'LPG Fup'!D:D,'LPG Fup'!M:M,"",0)&lt;0),"I", AND(_xlfn.XLOOKUP(A226-2,'LPG Fup'!D:D,'LPG Fup'!M:M,"",0)&lt;&gt;"",_xlfn.XLOOKUP(A226-2,'LPG Fup'!D:D,'LPG Fup'!M:M,"",0)&lt;0),"I+1"),0)</f>
        <v>0</v>
      </c>
      <c r="R226">
        <f>_xlfn.XLOOKUP(A226,Covid!A:A,Covid!I:I,0,0)</f>
        <v>1003</v>
      </c>
      <c r="S226">
        <f>_xlfn.XLOOKUP(A226,Covid!A:A,Covid!K:K,0,0)</f>
        <v>174</v>
      </c>
      <c r="T226" s="145">
        <f>_xlfn.XLOOKUP(A226,Covid!A:A,Covid!K:K,0,0)/_xlfn.XLOOKUP(A226,Covid!A:A,Covid!L:L,0,0)</f>
        <v>1.6891563925832444E-2</v>
      </c>
    </row>
    <row r="227" spans="1:20" x14ac:dyDescent="0.55000000000000004">
      <c r="A227" s="157">
        <v>44208</v>
      </c>
      <c r="B227" s="13">
        <v>894220</v>
      </c>
      <c r="C227" s="13">
        <v>405062</v>
      </c>
      <c r="D227" s="13">
        <v>16613</v>
      </c>
      <c r="E227" s="13">
        <v>409134</v>
      </c>
      <c r="F227" s="13">
        <v>1725029</v>
      </c>
      <c r="G227">
        <f>IF(OR(_xlfn.XLOOKUP(A227,'LPG Fup'!D:D,'LPG Fup'!L:L,"",0)&gt;0.03,_xlfn.XLOOKUP(A227,'LPG Fup'!D:D,'LPG Fup'!L:L,"",0)&lt;-0.03),_xlfn.XLOOKUP(A227,'LPG Fup'!D:D,'LPG Fup'!L:L,0,0),0)</f>
        <v>0</v>
      </c>
      <c r="H227">
        <f>IF(_xlfn.XLOOKUP(A227,'LPG Fup'!D:D,'LPG Fup'!M:M,0,0)="",0,_xlfn.XLOOKUP(A227,'LPG Fup'!D:D,'LPG Fup'!M:M,0,0))</f>
        <v>0</v>
      </c>
      <c r="I227" s="109">
        <f>_xlfn.XLOOKUP(A227,'Rafineri Fiyatları'!A:A,'Rafineri Fiyatları'!B:B,"",0)</f>
        <v>4467.26</v>
      </c>
      <c r="J227">
        <f t="shared" si="12"/>
        <v>2021</v>
      </c>
      <c r="K227">
        <f t="shared" si="13"/>
        <v>1</v>
      </c>
      <c r="L227">
        <f t="shared" si="14"/>
        <v>12</v>
      </c>
      <c r="M227">
        <f t="shared" si="15"/>
        <v>3</v>
      </c>
      <c r="N227">
        <f>_xlfn.XLOOKUP(A227,tatiller!H:H,tatiller!I:I,0,0)</f>
        <v>0</v>
      </c>
      <c r="O227" cm="1">
        <f t="array" ref="O227">_xlfn.IFNA(_xlfn.IFS(L227=1,"A0",A227=EOMONTH(A227,0),"A-1",L227=2,"A+1"),0)</f>
        <v>0</v>
      </c>
      <c r="P227" cm="1">
        <f t="array" ref="P227">_xlfn.IFNA(_xlfn.IFS(AND(_xlfn.XLOOKUP(A227,'LPG Fup'!D:D,'LPG Fup'!M:M,"",0)&lt;&gt;"",_xlfn.XLOOKUP(A227,'LPG Fup'!D:D,'LPG Fup'!M:M,"",0)&gt;0),"Z-1", AND(_xlfn.XLOOKUP(A227+1,'LPG Fup'!D:D,'LPG Fup'!M:M,"",0)&lt;&gt;"",_xlfn.XLOOKUP(A227+1,'LPG Fup'!D:D,'LPG Fup'!M:M,"",0)&gt;0),"Z-2", AND(_xlfn.XLOOKUP(A227-1,'LPG Fup'!D:D,'LPG Fup'!M:M,"",0)&lt;&gt;"",_xlfn.XLOOKUP(A227-1,'LPG Fup'!D:D,'LPG Fup'!M:M,"",0)&gt;0),"Z", AND(_xlfn.XLOOKUP(A227-2,'LPG Fup'!D:D,'LPG Fup'!M:M,"",0)&lt;&gt;"",_xlfn.XLOOKUP(A227-2,'LPG Fup'!D:D,'LPG Fup'!M:M,"",0)&gt;0),"Z+1"),0)</f>
        <v>0</v>
      </c>
      <c r="Q227" cm="1">
        <f t="array" ref="Q227">_xlfn.IFNA(_xlfn.IFS(AND(_xlfn.XLOOKUP(A227,'LPG Fup'!D:D,'LPG Fup'!M:M,"",0)&lt;&gt;"",_xlfn.XLOOKUP(A227,'LPG Fup'!D:D,'LPG Fup'!M:M,"",0)&lt;0),"I-1", AND(_xlfn.XLOOKUP(A227+1,'LPG Fup'!D:D,'LPG Fup'!M:M,"",0)&lt;&gt;"",_xlfn.XLOOKUP(A227+1,'LPG Fup'!D:D,'LPG Fup'!M:M,"",0)&lt;0),"I-2", AND(_xlfn.XLOOKUP(A227-1,'LPG Fup'!D:D,'LPG Fup'!M:M,"",0)&lt;&gt;"",_xlfn.XLOOKUP(A227-1,'LPG Fup'!D:D,'LPG Fup'!M:M,"",0)&lt;0),"I", AND(_xlfn.XLOOKUP(A227-2,'LPG Fup'!D:D,'LPG Fup'!M:M,"",0)&lt;&gt;"",_xlfn.XLOOKUP(A227-2,'LPG Fup'!D:D,'LPG Fup'!M:M,"",0)&lt;0),"I+1"),0)</f>
        <v>0</v>
      </c>
      <c r="R227">
        <f>_xlfn.XLOOKUP(A227,Covid!A:A,Covid!I:I,0,0)</f>
        <v>983</v>
      </c>
      <c r="S227">
        <f>_xlfn.XLOOKUP(A227,Covid!A:A,Covid!K:K,0,0)</f>
        <v>171</v>
      </c>
      <c r="T227" s="145">
        <f>_xlfn.XLOOKUP(A227,Covid!A:A,Covid!K:K,0,0)/_xlfn.XLOOKUP(A227,Covid!A:A,Covid!L:L,0,0)</f>
        <v>1.7077798861480076E-2</v>
      </c>
    </row>
    <row r="228" spans="1:20" x14ac:dyDescent="0.55000000000000004">
      <c r="A228" s="157">
        <v>44209</v>
      </c>
      <c r="B228" s="13">
        <v>885779</v>
      </c>
      <c r="C228" s="13">
        <v>378121</v>
      </c>
      <c r="D228" s="13">
        <v>7468</v>
      </c>
      <c r="E228" s="13">
        <v>407135</v>
      </c>
      <c r="F228" s="13">
        <v>6843819</v>
      </c>
      <c r="G228">
        <f>IF(OR(_xlfn.XLOOKUP(A228,'LPG Fup'!D:D,'LPG Fup'!L:L,"",0)&gt;0.03,_xlfn.XLOOKUP(A228,'LPG Fup'!D:D,'LPG Fup'!L:L,"",0)&lt;-0.03),_xlfn.XLOOKUP(A228,'LPG Fup'!D:D,'LPG Fup'!L:L,0,0),0)</f>
        <v>0</v>
      </c>
      <c r="H228">
        <f>IF(_xlfn.XLOOKUP(A228,'LPG Fup'!D:D,'LPG Fup'!M:M,0,0)="",0,_xlfn.XLOOKUP(A228,'LPG Fup'!D:D,'LPG Fup'!M:M,0,0))</f>
        <v>0</v>
      </c>
      <c r="I228" s="109">
        <f>_xlfn.XLOOKUP(A228,'Rafineri Fiyatları'!A:A,'Rafineri Fiyatları'!B:B,"",0)</f>
        <v>4467.26</v>
      </c>
      <c r="J228">
        <f t="shared" si="12"/>
        <v>2021</v>
      </c>
      <c r="K228">
        <f t="shared" si="13"/>
        <v>1</v>
      </c>
      <c r="L228">
        <f t="shared" si="14"/>
        <v>13</v>
      </c>
      <c r="M228">
        <f t="shared" si="15"/>
        <v>4</v>
      </c>
      <c r="N228">
        <f>_xlfn.XLOOKUP(A228,tatiller!H:H,tatiller!I:I,0,0)</f>
        <v>0</v>
      </c>
      <c r="O228" cm="1">
        <f t="array" ref="O228">_xlfn.IFNA(_xlfn.IFS(L228=1,"A0",A228=EOMONTH(A228,0),"A-1",L228=2,"A+1"),0)</f>
        <v>0</v>
      </c>
      <c r="P228" cm="1">
        <f t="array" ref="P228">_xlfn.IFNA(_xlfn.IFS(AND(_xlfn.XLOOKUP(A228,'LPG Fup'!D:D,'LPG Fup'!M:M,"",0)&lt;&gt;"",_xlfn.XLOOKUP(A228,'LPG Fup'!D:D,'LPG Fup'!M:M,"",0)&gt;0),"Z-1", AND(_xlfn.XLOOKUP(A228+1,'LPG Fup'!D:D,'LPG Fup'!M:M,"",0)&lt;&gt;"",_xlfn.XLOOKUP(A228+1,'LPG Fup'!D:D,'LPG Fup'!M:M,"",0)&gt;0),"Z-2", AND(_xlfn.XLOOKUP(A228-1,'LPG Fup'!D:D,'LPG Fup'!M:M,"",0)&lt;&gt;"",_xlfn.XLOOKUP(A228-1,'LPG Fup'!D:D,'LPG Fup'!M:M,"",0)&gt;0),"Z", AND(_xlfn.XLOOKUP(A228-2,'LPG Fup'!D:D,'LPG Fup'!M:M,"",0)&lt;&gt;"",_xlfn.XLOOKUP(A228-2,'LPG Fup'!D:D,'LPG Fup'!M:M,"",0)&gt;0),"Z+1"),0)</f>
        <v>0</v>
      </c>
      <c r="Q228" cm="1">
        <f t="array" ref="Q228">_xlfn.IFNA(_xlfn.IFS(AND(_xlfn.XLOOKUP(A228,'LPG Fup'!D:D,'LPG Fup'!M:M,"",0)&lt;&gt;"",_xlfn.XLOOKUP(A228,'LPG Fup'!D:D,'LPG Fup'!M:M,"",0)&lt;0),"I-1", AND(_xlfn.XLOOKUP(A228+1,'LPG Fup'!D:D,'LPG Fup'!M:M,"",0)&lt;&gt;"",_xlfn.XLOOKUP(A228+1,'LPG Fup'!D:D,'LPG Fup'!M:M,"",0)&lt;0),"I-2", AND(_xlfn.XLOOKUP(A228-1,'LPG Fup'!D:D,'LPG Fup'!M:M,"",0)&lt;&gt;"",_xlfn.XLOOKUP(A228-1,'LPG Fup'!D:D,'LPG Fup'!M:M,"",0)&lt;0),"I", AND(_xlfn.XLOOKUP(A228-2,'LPG Fup'!D:D,'LPG Fup'!M:M,"",0)&lt;&gt;"",_xlfn.XLOOKUP(A228-2,'LPG Fup'!D:D,'LPG Fup'!M:M,"",0)&lt;0),"I+1"),0)</f>
        <v>0</v>
      </c>
      <c r="R228">
        <f>_xlfn.XLOOKUP(A228,Covid!A:A,Covid!I:I,0,0)</f>
        <v>971</v>
      </c>
      <c r="S228">
        <f>_xlfn.XLOOKUP(A228,Covid!A:A,Covid!K:K,0,0)</f>
        <v>173</v>
      </c>
      <c r="T228" s="145">
        <f>_xlfn.XLOOKUP(A228,Covid!A:A,Covid!K:K,0,0)/_xlfn.XLOOKUP(A228,Covid!A:A,Covid!L:L,0,0)</f>
        <v>1.8281728838634683E-2</v>
      </c>
    </row>
    <row r="229" spans="1:20" x14ac:dyDescent="0.55000000000000004">
      <c r="A229" s="157">
        <v>44210</v>
      </c>
      <c r="B229" s="13">
        <v>875440</v>
      </c>
      <c r="C229" s="13">
        <v>375431</v>
      </c>
      <c r="D229" s="13">
        <v>3000</v>
      </c>
      <c r="E229" s="13">
        <v>449411</v>
      </c>
      <c r="F229" s="13">
        <v>1703282</v>
      </c>
      <c r="G229">
        <f>IF(OR(_xlfn.XLOOKUP(A229,'LPG Fup'!D:D,'LPG Fup'!L:L,"",0)&gt;0.03,_xlfn.XLOOKUP(A229,'LPG Fup'!D:D,'LPG Fup'!L:L,"",0)&lt;-0.03),_xlfn.XLOOKUP(A229,'LPG Fup'!D:D,'LPG Fup'!L:L,0,0),0)</f>
        <v>0</v>
      </c>
      <c r="H229">
        <f>IF(_xlfn.XLOOKUP(A229,'LPG Fup'!D:D,'LPG Fup'!M:M,0,0)="",0,_xlfn.XLOOKUP(A229,'LPG Fup'!D:D,'LPG Fup'!M:M,0,0))</f>
        <v>0</v>
      </c>
      <c r="I229" s="109">
        <f>_xlfn.XLOOKUP(A229,'Rafineri Fiyatları'!A:A,'Rafineri Fiyatları'!B:B,"",0)</f>
        <v>4467.26</v>
      </c>
      <c r="J229">
        <f t="shared" si="12"/>
        <v>2021</v>
      </c>
      <c r="K229">
        <f t="shared" si="13"/>
        <v>1</v>
      </c>
      <c r="L229">
        <f t="shared" si="14"/>
        <v>14</v>
      </c>
      <c r="M229">
        <f t="shared" si="15"/>
        <v>5</v>
      </c>
      <c r="N229">
        <f>_xlfn.XLOOKUP(A229,tatiller!H:H,tatiller!I:I,0,0)</f>
        <v>0</v>
      </c>
      <c r="O229" cm="1">
        <f t="array" ref="O229">_xlfn.IFNA(_xlfn.IFS(L229=1,"A0",A229=EOMONTH(A229,0),"A-1",L229=2,"A+1"),0)</f>
        <v>0</v>
      </c>
      <c r="P229" cm="1">
        <f t="array" ref="P229">_xlfn.IFNA(_xlfn.IFS(AND(_xlfn.XLOOKUP(A229,'LPG Fup'!D:D,'LPG Fup'!M:M,"",0)&lt;&gt;"",_xlfn.XLOOKUP(A229,'LPG Fup'!D:D,'LPG Fup'!M:M,"",0)&gt;0),"Z-1", AND(_xlfn.XLOOKUP(A229+1,'LPG Fup'!D:D,'LPG Fup'!M:M,"",0)&lt;&gt;"",_xlfn.XLOOKUP(A229+1,'LPG Fup'!D:D,'LPG Fup'!M:M,"",0)&gt;0),"Z-2", AND(_xlfn.XLOOKUP(A229-1,'LPG Fup'!D:D,'LPG Fup'!M:M,"",0)&lt;&gt;"",_xlfn.XLOOKUP(A229-1,'LPG Fup'!D:D,'LPG Fup'!M:M,"",0)&gt;0),"Z", AND(_xlfn.XLOOKUP(A229-2,'LPG Fup'!D:D,'LPG Fup'!M:M,"",0)&lt;&gt;"",_xlfn.XLOOKUP(A229-2,'LPG Fup'!D:D,'LPG Fup'!M:M,"",0)&gt;0),"Z+1"),0)</f>
        <v>0</v>
      </c>
      <c r="Q229" cm="1">
        <f t="array" ref="Q229">_xlfn.IFNA(_xlfn.IFS(AND(_xlfn.XLOOKUP(A229,'LPG Fup'!D:D,'LPG Fup'!M:M,"",0)&lt;&gt;"",_xlfn.XLOOKUP(A229,'LPG Fup'!D:D,'LPG Fup'!M:M,"",0)&lt;0),"I-1", AND(_xlfn.XLOOKUP(A229+1,'LPG Fup'!D:D,'LPG Fup'!M:M,"",0)&lt;&gt;"",_xlfn.XLOOKUP(A229+1,'LPG Fup'!D:D,'LPG Fup'!M:M,"",0)&lt;0),"I-2", AND(_xlfn.XLOOKUP(A229-1,'LPG Fup'!D:D,'LPG Fup'!M:M,"",0)&lt;&gt;"",_xlfn.XLOOKUP(A229-1,'LPG Fup'!D:D,'LPG Fup'!M:M,"",0)&lt;0),"I", AND(_xlfn.XLOOKUP(A229-2,'LPG Fup'!D:D,'LPG Fup'!M:M,"",0)&lt;&gt;"",_xlfn.XLOOKUP(A229-2,'LPG Fup'!D:D,'LPG Fup'!M:M,"",0)&lt;0),"I+1"),0)</f>
        <v>0</v>
      </c>
      <c r="R229">
        <f>_xlfn.XLOOKUP(A229,Covid!A:A,Covid!I:I,0,0)</f>
        <v>958</v>
      </c>
      <c r="S229">
        <f>_xlfn.XLOOKUP(A229,Covid!A:A,Covid!K:K,0,0)</f>
        <v>170</v>
      </c>
      <c r="T229" s="145">
        <f>_xlfn.XLOOKUP(A229,Covid!A:A,Covid!K:K,0,0)/_xlfn.XLOOKUP(A229,Covid!A:A,Covid!L:L,0,0)</f>
        <v>1.8865830651426035E-2</v>
      </c>
    </row>
    <row r="230" spans="1:20" x14ac:dyDescent="0.55000000000000004">
      <c r="A230" s="157">
        <v>44211</v>
      </c>
      <c r="B230" s="13">
        <v>965640</v>
      </c>
      <c r="C230" s="13">
        <v>391821</v>
      </c>
      <c r="D230" s="13">
        <v>22892</v>
      </c>
      <c r="E230" s="13">
        <v>399400</v>
      </c>
      <c r="F230" s="13">
        <v>1779753</v>
      </c>
      <c r="G230">
        <f>IF(OR(_xlfn.XLOOKUP(A230,'LPG Fup'!D:D,'LPG Fup'!L:L,"",0)&gt;0.03,_xlfn.XLOOKUP(A230,'LPG Fup'!D:D,'LPG Fup'!L:L,"",0)&lt;-0.03),_xlfn.XLOOKUP(A230,'LPG Fup'!D:D,'LPG Fup'!L:L,0,0),0)</f>
        <v>0</v>
      </c>
      <c r="H230">
        <f>IF(_xlfn.XLOOKUP(A230,'LPG Fup'!D:D,'LPG Fup'!M:M,0,0)="",0,_xlfn.XLOOKUP(A230,'LPG Fup'!D:D,'LPG Fup'!M:M,0,0))</f>
        <v>0</v>
      </c>
      <c r="I230" s="109">
        <f>_xlfn.XLOOKUP(A230,'Rafineri Fiyatları'!A:A,'Rafineri Fiyatları'!B:B,"",0)</f>
        <v>4467.26</v>
      </c>
      <c r="J230">
        <f t="shared" si="12"/>
        <v>2021</v>
      </c>
      <c r="K230">
        <f t="shared" si="13"/>
        <v>1</v>
      </c>
      <c r="L230">
        <f t="shared" si="14"/>
        <v>15</v>
      </c>
      <c r="M230">
        <f t="shared" si="15"/>
        <v>6</v>
      </c>
      <c r="N230">
        <f>_xlfn.XLOOKUP(A230,tatiller!H:H,tatiller!I:I,0,0)</f>
        <v>0</v>
      </c>
      <c r="O230" cm="1">
        <f t="array" ref="O230">_xlfn.IFNA(_xlfn.IFS(L230=1,"A0",A230=EOMONTH(A230,0),"A-1",L230=2,"A+1"),0)</f>
        <v>0</v>
      </c>
      <c r="P230" cm="1">
        <f t="array" ref="P230">_xlfn.IFNA(_xlfn.IFS(AND(_xlfn.XLOOKUP(A230,'LPG Fup'!D:D,'LPG Fup'!M:M,"",0)&lt;&gt;"",_xlfn.XLOOKUP(A230,'LPG Fup'!D:D,'LPG Fup'!M:M,"",0)&gt;0),"Z-1", AND(_xlfn.XLOOKUP(A230+1,'LPG Fup'!D:D,'LPG Fup'!M:M,"",0)&lt;&gt;"",_xlfn.XLOOKUP(A230+1,'LPG Fup'!D:D,'LPG Fup'!M:M,"",0)&gt;0),"Z-2", AND(_xlfn.XLOOKUP(A230-1,'LPG Fup'!D:D,'LPG Fup'!M:M,"",0)&lt;&gt;"",_xlfn.XLOOKUP(A230-1,'LPG Fup'!D:D,'LPG Fup'!M:M,"",0)&gt;0),"Z", AND(_xlfn.XLOOKUP(A230-2,'LPG Fup'!D:D,'LPG Fup'!M:M,"",0)&lt;&gt;"",_xlfn.XLOOKUP(A230-2,'LPG Fup'!D:D,'LPG Fup'!M:M,"",0)&gt;0),"Z+1"),0)</f>
        <v>0</v>
      </c>
      <c r="Q230" cm="1">
        <f t="array" ref="Q230">_xlfn.IFNA(_xlfn.IFS(AND(_xlfn.XLOOKUP(A230,'LPG Fup'!D:D,'LPG Fup'!M:M,"",0)&lt;&gt;"",_xlfn.XLOOKUP(A230,'LPG Fup'!D:D,'LPG Fup'!M:M,"",0)&lt;0),"I-1", AND(_xlfn.XLOOKUP(A230+1,'LPG Fup'!D:D,'LPG Fup'!M:M,"",0)&lt;&gt;"",_xlfn.XLOOKUP(A230+1,'LPG Fup'!D:D,'LPG Fup'!M:M,"",0)&lt;0),"I-2", AND(_xlfn.XLOOKUP(A230-1,'LPG Fup'!D:D,'LPG Fup'!M:M,"",0)&lt;&gt;"",_xlfn.XLOOKUP(A230-1,'LPG Fup'!D:D,'LPG Fup'!M:M,"",0)&lt;0),"I", AND(_xlfn.XLOOKUP(A230-2,'LPG Fup'!D:D,'LPG Fup'!M:M,"",0)&lt;&gt;"",_xlfn.XLOOKUP(A230-2,'LPG Fup'!D:D,'LPG Fup'!M:M,"",0)&lt;0),"I+1"),0)</f>
        <v>0</v>
      </c>
      <c r="R230">
        <f>_xlfn.XLOOKUP(A230,Covid!A:A,Covid!I:I,0,0)</f>
        <v>921</v>
      </c>
      <c r="S230">
        <f>_xlfn.XLOOKUP(A230,Covid!A:A,Covid!K:K,0,0)</f>
        <v>169</v>
      </c>
      <c r="T230" s="145">
        <f>_xlfn.XLOOKUP(A230,Covid!A:A,Covid!K:K,0,0)/_xlfn.XLOOKUP(A230,Covid!A:A,Covid!L:L,0,0)</f>
        <v>1.855307937204962E-2</v>
      </c>
    </row>
    <row r="231" spans="1:20" x14ac:dyDescent="0.55000000000000004">
      <c r="A231" s="157">
        <v>44212</v>
      </c>
      <c r="B231" s="13">
        <v>667140</v>
      </c>
      <c r="C231" s="13">
        <v>243523</v>
      </c>
      <c r="D231" s="13">
        <v>7517</v>
      </c>
      <c r="E231" s="13">
        <v>295550</v>
      </c>
      <c r="F231" s="13">
        <v>1213730</v>
      </c>
      <c r="G231">
        <f>IF(OR(_xlfn.XLOOKUP(A231,'LPG Fup'!D:D,'LPG Fup'!L:L,"",0)&gt;0.03,_xlfn.XLOOKUP(A231,'LPG Fup'!D:D,'LPG Fup'!L:L,"",0)&lt;-0.03),_xlfn.XLOOKUP(A231,'LPG Fup'!D:D,'LPG Fup'!L:L,0,0),0)</f>
        <v>0</v>
      </c>
      <c r="H231">
        <f>IF(_xlfn.XLOOKUP(A231,'LPG Fup'!D:D,'LPG Fup'!M:M,0,0)="",0,_xlfn.XLOOKUP(A231,'LPG Fup'!D:D,'LPG Fup'!M:M,0,0))</f>
        <v>0</v>
      </c>
      <c r="I231" s="109">
        <f>_xlfn.XLOOKUP(A231,'Rafineri Fiyatları'!A:A,'Rafineri Fiyatları'!B:B,"",0)</f>
        <v>4467.26</v>
      </c>
      <c r="J231">
        <f t="shared" si="12"/>
        <v>2021</v>
      </c>
      <c r="K231">
        <f t="shared" si="13"/>
        <v>1</v>
      </c>
      <c r="L231">
        <f t="shared" si="14"/>
        <v>16</v>
      </c>
      <c r="M231">
        <f t="shared" si="15"/>
        <v>7</v>
      </c>
      <c r="N231">
        <f>_xlfn.XLOOKUP(A231,tatiller!H:H,tatiller!I:I,0,0)</f>
        <v>0</v>
      </c>
      <c r="O231" cm="1">
        <f t="array" ref="O231">_xlfn.IFNA(_xlfn.IFS(L231=1,"A0",A231=EOMONTH(A231,0),"A-1",L231=2,"A+1"),0)</f>
        <v>0</v>
      </c>
      <c r="P231" cm="1">
        <f t="array" ref="P231">_xlfn.IFNA(_xlfn.IFS(AND(_xlfn.XLOOKUP(A231,'LPG Fup'!D:D,'LPG Fup'!M:M,"",0)&lt;&gt;"",_xlfn.XLOOKUP(A231,'LPG Fup'!D:D,'LPG Fup'!M:M,"",0)&gt;0),"Z-1", AND(_xlfn.XLOOKUP(A231+1,'LPG Fup'!D:D,'LPG Fup'!M:M,"",0)&lt;&gt;"",_xlfn.XLOOKUP(A231+1,'LPG Fup'!D:D,'LPG Fup'!M:M,"",0)&gt;0),"Z-2", AND(_xlfn.XLOOKUP(A231-1,'LPG Fup'!D:D,'LPG Fup'!M:M,"",0)&lt;&gt;"",_xlfn.XLOOKUP(A231-1,'LPG Fup'!D:D,'LPG Fup'!M:M,"",0)&gt;0),"Z", AND(_xlfn.XLOOKUP(A231-2,'LPG Fup'!D:D,'LPG Fup'!M:M,"",0)&lt;&gt;"",_xlfn.XLOOKUP(A231-2,'LPG Fup'!D:D,'LPG Fup'!M:M,"",0)&gt;0),"Z+1"),0)</f>
        <v>0</v>
      </c>
      <c r="Q231" cm="1">
        <f t="array" ref="Q231">_xlfn.IFNA(_xlfn.IFS(AND(_xlfn.XLOOKUP(A231,'LPG Fup'!D:D,'LPG Fup'!M:M,"",0)&lt;&gt;"",_xlfn.XLOOKUP(A231,'LPG Fup'!D:D,'LPG Fup'!M:M,"",0)&lt;0),"I-1", AND(_xlfn.XLOOKUP(A231+1,'LPG Fup'!D:D,'LPG Fup'!M:M,"",0)&lt;&gt;"",_xlfn.XLOOKUP(A231+1,'LPG Fup'!D:D,'LPG Fup'!M:M,"",0)&lt;0),"I-2", AND(_xlfn.XLOOKUP(A231-1,'LPG Fup'!D:D,'LPG Fup'!M:M,"",0)&lt;&gt;"",_xlfn.XLOOKUP(A231-1,'LPG Fup'!D:D,'LPG Fup'!M:M,"",0)&lt;0),"I", AND(_xlfn.XLOOKUP(A231-2,'LPG Fup'!D:D,'LPG Fup'!M:M,"",0)&lt;&gt;"",_xlfn.XLOOKUP(A231-2,'LPG Fup'!D:D,'LPG Fup'!M:M,"",0)&lt;0),"I+1"),0)</f>
        <v>0</v>
      </c>
      <c r="R231">
        <f>_xlfn.XLOOKUP(A231,Covid!A:A,Covid!I:I,0,0)</f>
        <v>902</v>
      </c>
      <c r="S231">
        <f>_xlfn.XLOOKUP(A231,Covid!A:A,Covid!K:K,0,0)</f>
        <v>168</v>
      </c>
      <c r="T231" s="145">
        <f>_xlfn.XLOOKUP(A231,Covid!A:A,Covid!K:K,0,0)/_xlfn.XLOOKUP(A231,Covid!A:A,Covid!L:L,0,0)</f>
        <v>2.0986883198001249E-2</v>
      </c>
    </row>
    <row r="232" spans="1:20" x14ac:dyDescent="0.55000000000000004">
      <c r="A232" s="157">
        <v>44213</v>
      </c>
      <c r="B232" s="13">
        <v>514000</v>
      </c>
      <c r="C232" s="13">
        <v>462</v>
      </c>
      <c r="D232" s="13">
        <v>0</v>
      </c>
      <c r="E232" s="13">
        <v>43236</v>
      </c>
      <c r="F232" s="13">
        <v>2655190</v>
      </c>
      <c r="G232">
        <f>IF(OR(_xlfn.XLOOKUP(A232,'LPG Fup'!D:D,'LPG Fup'!L:L,"",0)&gt;0.03,_xlfn.XLOOKUP(A232,'LPG Fup'!D:D,'LPG Fup'!L:L,"",0)&lt;-0.03),_xlfn.XLOOKUP(A232,'LPG Fup'!D:D,'LPG Fup'!L:L,0,0),0)</f>
        <v>0</v>
      </c>
      <c r="H232">
        <f>IF(_xlfn.XLOOKUP(A232,'LPG Fup'!D:D,'LPG Fup'!M:M,0,0)="",0,_xlfn.XLOOKUP(A232,'LPG Fup'!D:D,'LPG Fup'!M:M,0,0))</f>
        <v>0</v>
      </c>
      <c r="I232" s="109">
        <f>_xlfn.XLOOKUP(A232,'Rafineri Fiyatları'!A:A,'Rafineri Fiyatları'!B:B,"",0)</f>
        <v>4467.26</v>
      </c>
      <c r="J232">
        <f t="shared" si="12"/>
        <v>2021</v>
      </c>
      <c r="K232">
        <f t="shared" si="13"/>
        <v>1</v>
      </c>
      <c r="L232">
        <f t="shared" si="14"/>
        <v>17</v>
      </c>
      <c r="M232">
        <f t="shared" si="15"/>
        <v>1</v>
      </c>
      <c r="N232">
        <f>_xlfn.XLOOKUP(A232,tatiller!H:H,tatiller!I:I,0,0)</f>
        <v>0</v>
      </c>
      <c r="O232" cm="1">
        <f t="array" ref="O232">_xlfn.IFNA(_xlfn.IFS(L232=1,"A0",A232=EOMONTH(A232,0),"A-1",L232=2,"A+1"),0)</f>
        <v>0</v>
      </c>
      <c r="P232" cm="1">
        <f t="array" ref="P232">_xlfn.IFNA(_xlfn.IFS(AND(_xlfn.XLOOKUP(A232,'LPG Fup'!D:D,'LPG Fup'!M:M,"",0)&lt;&gt;"",_xlfn.XLOOKUP(A232,'LPG Fup'!D:D,'LPG Fup'!M:M,"",0)&gt;0),"Z-1", AND(_xlfn.XLOOKUP(A232+1,'LPG Fup'!D:D,'LPG Fup'!M:M,"",0)&lt;&gt;"",_xlfn.XLOOKUP(A232+1,'LPG Fup'!D:D,'LPG Fup'!M:M,"",0)&gt;0),"Z-2", AND(_xlfn.XLOOKUP(A232-1,'LPG Fup'!D:D,'LPG Fup'!M:M,"",0)&lt;&gt;"",_xlfn.XLOOKUP(A232-1,'LPG Fup'!D:D,'LPG Fup'!M:M,"",0)&gt;0),"Z", AND(_xlfn.XLOOKUP(A232-2,'LPG Fup'!D:D,'LPG Fup'!M:M,"",0)&lt;&gt;"",_xlfn.XLOOKUP(A232-2,'LPG Fup'!D:D,'LPG Fup'!M:M,"",0)&gt;0),"Z+1"),0)</f>
        <v>0</v>
      </c>
      <c r="Q232" cm="1">
        <f t="array" ref="Q232">_xlfn.IFNA(_xlfn.IFS(AND(_xlfn.XLOOKUP(A232,'LPG Fup'!D:D,'LPG Fup'!M:M,"",0)&lt;&gt;"",_xlfn.XLOOKUP(A232,'LPG Fup'!D:D,'LPG Fup'!M:M,"",0)&lt;0),"I-1", AND(_xlfn.XLOOKUP(A232+1,'LPG Fup'!D:D,'LPG Fup'!M:M,"",0)&lt;&gt;"",_xlfn.XLOOKUP(A232+1,'LPG Fup'!D:D,'LPG Fup'!M:M,"",0)&lt;0),"I-2", AND(_xlfn.XLOOKUP(A232-1,'LPG Fup'!D:D,'LPG Fup'!M:M,"",0)&lt;&gt;"",_xlfn.XLOOKUP(A232-1,'LPG Fup'!D:D,'LPG Fup'!M:M,"",0)&lt;0),"I", AND(_xlfn.XLOOKUP(A232-2,'LPG Fup'!D:D,'LPG Fup'!M:M,"",0)&lt;&gt;"",_xlfn.XLOOKUP(A232-2,'LPG Fup'!D:D,'LPG Fup'!M:M,"",0)&lt;0),"I+1"),0)</f>
        <v>0</v>
      </c>
      <c r="R232">
        <f>_xlfn.XLOOKUP(A232,Covid!A:A,Covid!I:I,0,0)</f>
        <v>803</v>
      </c>
      <c r="S232">
        <f>_xlfn.XLOOKUP(A232,Covid!A:A,Covid!K:K,0,0)</f>
        <v>165</v>
      </c>
      <c r="T232" s="145">
        <f>_xlfn.XLOOKUP(A232,Covid!A:A,Covid!K:K,0,0)/_xlfn.XLOOKUP(A232,Covid!A:A,Covid!L:L,0,0)</f>
        <v>1.8724466636404903E-2</v>
      </c>
    </row>
    <row r="233" spans="1:20" x14ac:dyDescent="0.55000000000000004">
      <c r="A233" s="157">
        <v>44214</v>
      </c>
      <c r="B233" s="13">
        <v>880880</v>
      </c>
      <c r="C233" s="13">
        <v>399294</v>
      </c>
      <c r="D233" s="13">
        <v>15707</v>
      </c>
      <c r="E233" s="13">
        <v>449741</v>
      </c>
      <c r="F233" s="13">
        <v>1745622</v>
      </c>
      <c r="G233">
        <f>IF(OR(_xlfn.XLOOKUP(A233,'LPG Fup'!D:D,'LPG Fup'!L:L,"",0)&gt;0.03,_xlfn.XLOOKUP(A233,'LPG Fup'!D:D,'LPG Fup'!L:L,"",0)&lt;-0.03),_xlfn.XLOOKUP(A233,'LPG Fup'!D:D,'LPG Fup'!L:L,0,0),0)</f>
        <v>0</v>
      </c>
      <c r="H233">
        <f>IF(_xlfn.XLOOKUP(A233,'LPG Fup'!D:D,'LPG Fup'!M:M,0,0)="",0,_xlfn.XLOOKUP(A233,'LPG Fup'!D:D,'LPG Fup'!M:M,0,0))</f>
        <v>0</v>
      </c>
      <c r="I233" s="109">
        <f>_xlfn.XLOOKUP(A233,'Rafineri Fiyatları'!A:A,'Rafineri Fiyatları'!B:B,"",0)</f>
        <v>4467.26</v>
      </c>
      <c r="J233">
        <f t="shared" si="12"/>
        <v>2021</v>
      </c>
      <c r="K233">
        <f t="shared" si="13"/>
        <v>1</v>
      </c>
      <c r="L233">
        <f t="shared" si="14"/>
        <v>18</v>
      </c>
      <c r="M233">
        <f t="shared" si="15"/>
        <v>2</v>
      </c>
      <c r="N233">
        <f>_xlfn.XLOOKUP(A233,tatiller!H:H,tatiller!I:I,0,0)</f>
        <v>0</v>
      </c>
      <c r="O233" cm="1">
        <f t="array" ref="O233">_xlfn.IFNA(_xlfn.IFS(L233=1,"A0",A233=EOMONTH(A233,0),"A-1",L233=2,"A+1"),0)</f>
        <v>0</v>
      </c>
      <c r="P233" cm="1">
        <f t="array" ref="P233">_xlfn.IFNA(_xlfn.IFS(AND(_xlfn.XLOOKUP(A233,'LPG Fup'!D:D,'LPG Fup'!M:M,"",0)&lt;&gt;"",_xlfn.XLOOKUP(A233,'LPG Fup'!D:D,'LPG Fup'!M:M,"",0)&gt;0),"Z-1", AND(_xlfn.XLOOKUP(A233+1,'LPG Fup'!D:D,'LPG Fup'!M:M,"",0)&lt;&gt;"",_xlfn.XLOOKUP(A233+1,'LPG Fup'!D:D,'LPG Fup'!M:M,"",0)&gt;0),"Z-2", AND(_xlfn.XLOOKUP(A233-1,'LPG Fup'!D:D,'LPG Fup'!M:M,"",0)&lt;&gt;"",_xlfn.XLOOKUP(A233-1,'LPG Fup'!D:D,'LPG Fup'!M:M,"",0)&gt;0),"Z", AND(_xlfn.XLOOKUP(A233-2,'LPG Fup'!D:D,'LPG Fup'!M:M,"",0)&lt;&gt;"",_xlfn.XLOOKUP(A233-2,'LPG Fup'!D:D,'LPG Fup'!M:M,"",0)&gt;0),"Z+1"),0)</f>
        <v>0</v>
      </c>
      <c r="Q233" cm="1">
        <f t="array" ref="Q233">_xlfn.IFNA(_xlfn.IFS(AND(_xlfn.XLOOKUP(A233,'LPG Fup'!D:D,'LPG Fup'!M:M,"",0)&lt;&gt;"",_xlfn.XLOOKUP(A233,'LPG Fup'!D:D,'LPG Fup'!M:M,"",0)&lt;0),"I-1", AND(_xlfn.XLOOKUP(A233+1,'LPG Fup'!D:D,'LPG Fup'!M:M,"",0)&lt;&gt;"",_xlfn.XLOOKUP(A233+1,'LPG Fup'!D:D,'LPG Fup'!M:M,"",0)&lt;0),"I-2", AND(_xlfn.XLOOKUP(A233-1,'LPG Fup'!D:D,'LPG Fup'!M:M,"",0)&lt;&gt;"",_xlfn.XLOOKUP(A233-1,'LPG Fup'!D:D,'LPG Fup'!M:M,"",0)&lt;0),"I", AND(_xlfn.XLOOKUP(A233-2,'LPG Fup'!D:D,'LPG Fup'!M:M,"",0)&lt;&gt;"",_xlfn.XLOOKUP(A233-2,'LPG Fup'!D:D,'LPG Fup'!M:M,"",0)&lt;0),"I+1"),0)</f>
        <v>0</v>
      </c>
      <c r="R233">
        <f>_xlfn.XLOOKUP(A233,Covid!A:A,Covid!I:I,0,0)</f>
        <v>749</v>
      </c>
      <c r="S233">
        <f>_xlfn.XLOOKUP(A233,Covid!A:A,Covid!K:K,0,0)</f>
        <v>164</v>
      </c>
      <c r="T233" s="145">
        <f>_xlfn.XLOOKUP(A233,Covid!A:A,Covid!K:K,0,0)/_xlfn.XLOOKUP(A233,Covid!A:A,Covid!L:L,0,0)</f>
        <v>2.0746363061353575E-2</v>
      </c>
    </row>
    <row r="234" spans="1:20" x14ac:dyDescent="0.55000000000000004">
      <c r="A234" s="157">
        <v>44215</v>
      </c>
      <c r="B234" s="13">
        <v>968520</v>
      </c>
      <c r="C234" s="13">
        <v>329623</v>
      </c>
      <c r="D234" s="13">
        <v>13924</v>
      </c>
      <c r="E234" s="13">
        <v>452392</v>
      </c>
      <c r="F234" s="13">
        <v>1764459</v>
      </c>
      <c r="G234">
        <f>IF(OR(_xlfn.XLOOKUP(A234,'LPG Fup'!D:D,'LPG Fup'!L:L,"",0)&gt;0.03,_xlfn.XLOOKUP(A234,'LPG Fup'!D:D,'LPG Fup'!L:L,"",0)&lt;-0.03),_xlfn.XLOOKUP(A234,'LPG Fup'!D:D,'LPG Fup'!L:L,0,0),0)</f>
        <v>0</v>
      </c>
      <c r="H234">
        <f>IF(_xlfn.XLOOKUP(A234,'LPG Fup'!D:D,'LPG Fup'!M:M,0,0)="",0,_xlfn.XLOOKUP(A234,'LPG Fup'!D:D,'LPG Fup'!M:M,0,0))</f>
        <v>0</v>
      </c>
      <c r="I234" s="109">
        <f>_xlfn.XLOOKUP(A234,'Rafineri Fiyatları'!A:A,'Rafineri Fiyatları'!B:B,"",0)</f>
        <v>4467.26</v>
      </c>
      <c r="J234">
        <f t="shared" si="12"/>
        <v>2021</v>
      </c>
      <c r="K234">
        <f t="shared" si="13"/>
        <v>1</v>
      </c>
      <c r="L234">
        <f t="shared" si="14"/>
        <v>19</v>
      </c>
      <c r="M234">
        <f t="shared" si="15"/>
        <v>3</v>
      </c>
      <c r="N234">
        <f>_xlfn.XLOOKUP(A234,tatiller!H:H,tatiller!I:I,0,0)</f>
        <v>0</v>
      </c>
      <c r="O234" cm="1">
        <f t="array" ref="O234">_xlfn.IFNA(_xlfn.IFS(L234=1,"A0",A234=EOMONTH(A234,0),"A-1",L234=2,"A+1"),0)</f>
        <v>0</v>
      </c>
      <c r="P234" cm="1">
        <f t="array" ref="P234">_xlfn.IFNA(_xlfn.IFS(AND(_xlfn.XLOOKUP(A234,'LPG Fup'!D:D,'LPG Fup'!M:M,"",0)&lt;&gt;"",_xlfn.XLOOKUP(A234,'LPG Fup'!D:D,'LPG Fup'!M:M,"",0)&gt;0),"Z-1", AND(_xlfn.XLOOKUP(A234+1,'LPG Fup'!D:D,'LPG Fup'!M:M,"",0)&lt;&gt;"",_xlfn.XLOOKUP(A234+1,'LPG Fup'!D:D,'LPG Fup'!M:M,"",0)&gt;0),"Z-2", AND(_xlfn.XLOOKUP(A234-1,'LPG Fup'!D:D,'LPG Fup'!M:M,"",0)&lt;&gt;"",_xlfn.XLOOKUP(A234-1,'LPG Fup'!D:D,'LPG Fup'!M:M,"",0)&gt;0),"Z", AND(_xlfn.XLOOKUP(A234-2,'LPG Fup'!D:D,'LPG Fup'!M:M,"",0)&lt;&gt;"",_xlfn.XLOOKUP(A234-2,'LPG Fup'!D:D,'LPG Fup'!M:M,"",0)&gt;0),"Z+1"),0)</f>
        <v>0</v>
      </c>
      <c r="Q234" cm="1">
        <f t="array" ref="Q234">_xlfn.IFNA(_xlfn.IFS(AND(_xlfn.XLOOKUP(A234,'LPG Fup'!D:D,'LPG Fup'!M:M,"",0)&lt;&gt;"",_xlfn.XLOOKUP(A234,'LPG Fup'!D:D,'LPG Fup'!M:M,"",0)&lt;0),"I-1", AND(_xlfn.XLOOKUP(A234+1,'LPG Fup'!D:D,'LPG Fup'!M:M,"",0)&lt;&gt;"",_xlfn.XLOOKUP(A234+1,'LPG Fup'!D:D,'LPG Fup'!M:M,"",0)&lt;0),"I-2", AND(_xlfn.XLOOKUP(A234-1,'LPG Fup'!D:D,'LPG Fup'!M:M,"",0)&lt;&gt;"",_xlfn.XLOOKUP(A234-1,'LPG Fup'!D:D,'LPG Fup'!M:M,"",0)&lt;0),"I", AND(_xlfn.XLOOKUP(A234-2,'LPG Fup'!D:D,'LPG Fup'!M:M,"",0)&lt;&gt;"",_xlfn.XLOOKUP(A234-2,'LPG Fup'!D:D,'LPG Fup'!M:M,"",0)&lt;0),"I+1"),0)</f>
        <v>0</v>
      </c>
      <c r="R234">
        <f>_xlfn.XLOOKUP(A234,Covid!A:A,Covid!I:I,0,0)</f>
        <v>761</v>
      </c>
      <c r="S234">
        <f>_xlfn.XLOOKUP(A234,Covid!A:A,Covid!K:K,0,0)</f>
        <v>167</v>
      </c>
      <c r="T234" s="145">
        <f>_xlfn.XLOOKUP(A234,Covid!A:A,Covid!K:K,0,0)/_xlfn.XLOOKUP(A234,Covid!A:A,Covid!L:L,0,0)</f>
        <v>2.3136602937101691E-2</v>
      </c>
    </row>
    <row r="235" spans="1:20" x14ac:dyDescent="0.55000000000000004">
      <c r="A235" s="157">
        <v>44216</v>
      </c>
      <c r="B235" s="13">
        <v>862340</v>
      </c>
      <c r="C235" s="13">
        <v>340065</v>
      </c>
      <c r="D235" s="13">
        <v>14575</v>
      </c>
      <c r="E235" s="13">
        <v>367052</v>
      </c>
      <c r="F235" s="13">
        <v>1584032</v>
      </c>
      <c r="G235">
        <f>IF(OR(_xlfn.XLOOKUP(A235,'LPG Fup'!D:D,'LPG Fup'!L:L,"",0)&gt;0.03,_xlfn.XLOOKUP(A235,'LPG Fup'!D:D,'LPG Fup'!L:L,"",0)&lt;-0.03),_xlfn.XLOOKUP(A235,'LPG Fup'!D:D,'LPG Fup'!L:L,0,0),0)</f>
        <v>0</v>
      </c>
      <c r="H235">
        <f>IF(_xlfn.XLOOKUP(A235,'LPG Fup'!D:D,'LPG Fup'!M:M,0,0)="",0,_xlfn.XLOOKUP(A235,'LPG Fup'!D:D,'LPG Fup'!M:M,0,0))</f>
        <v>0</v>
      </c>
      <c r="I235" s="109">
        <f>_xlfn.XLOOKUP(A235,'Rafineri Fiyatları'!A:A,'Rafineri Fiyatları'!B:B,"",0)</f>
        <v>4467.26</v>
      </c>
      <c r="J235">
        <f t="shared" si="12"/>
        <v>2021</v>
      </c>
      <c r="K235">
        <f t="shared" si="13"/>
        <v>1</v>
      </c>
      <c r="L235">
        <f t="shared" si="14"/>
        <v>20</v>
      </c>
      <c r="M235">
        <f t="shared" si="15"/>
        <v>4</v>
      </c>
      <c r="N235">
        <f>_xlfn.XLOOKUP(A235,tatiller!H:H,tatiller!I:I,0,0)</f>
        <v>0</v>
      </c>
      <c r="O235" cm="1">
        <f t="array" ref="O235">_xlfn.IFNA(_xlfn.IFS(L235=1,"A0",A235=EOMONTH(A235,0),"A-1",L235=2,"A+1"),0)</f>
        <v>0</v>
      </c>
      <c r="P235" cm="1">
        <f t="array" ref="P235">_xlfn.IFNA(_xlfn.IFS(AND(_xlfn.XLOOKUP(A235,'LPG Fup'!D:D,'LPG Fup'!M:M,"",0)&lt;&gt;"",_xlfn.XLOOKUP(A235,'LPG Fup'!D:D,'LPG Fup'!M:M,"",0)&gt;0),"Z-1", AND(_xlfn.XLOOKUP(A235+1,'LPG Fup'!D:D,'LPG Fup'!M:M,"",0)&lt;&gt;"",_xlfn.XLOOKUP(A235+1,'LPG Fup'!D:D,'LPG Fup'!M:M,"",0)&gt;0),"Z-2", AND(_xlfn.XLOOKUP(A235-1,'LPG Fup'!D:D,'LPG Fup'!M:M,"",0)&lt;&gt;"",_xlfn.XLOOKUP(A235-1,'LPG Fup'!D:D,'LPG Fup'!M:M,"",0)&gt;0),"Z", AND(_xlfn.XLOOKUP(A235-2,'LPG Fup'!D:D,'LPG Fup'!M:M,"",0)&lt;&gt;"",_xlfn.XLOOKUP(A235-2,'LPG Fup'!D:D,'LPG Fup'!M:M,"",0)&gt;0),"Z+1"),0)</f>
        <v>0</v>
      </c>
      <c r="Q235" cm="1">
        <f t="array" ref="Q235">_xlfn.IFNA(_xlfn.IFS(AND(_xlfn.XLOOKUP(A235,'LPG Fup'!D:D,'LPG Fup'!M:M,"",0)&lt;&gt;"",_xlfn.XLOOKUP(A235,'LPG Fup'!D:D,'LPG Fup'!M:M,"",0)&lt;0),"I-1", AND(_xlfn.XLOOKUP(A235+1,'LPG Fup'!D:D,'LPG Fup'!M:M,"",0)&lt;&gt;"",_xlfn.XLOOKUP(A235+1,'LPG Fup'!D:D,'LPG Fup'!M:M,"",0)&lt;0),"I-2", AND(_xlfn.XLOOKUP(A235-1,'LPG Fup'!D:D,'LPG Fup'!M:M,"",0)&lt;&gt;"",_xlfn.XLOOKUP(A235-1,'LPG Fup'!D:D,'LPG Fup'!M:M,"",0)&lt;0),"I", AND(_xlfn.XLOOKUP(A235-2,'LPG Fup'!D:D,'LPG Fup'!M:M,"",0)&lt;&gt;"",_xlfn.XLOOKUP(A235-2,'LPG Fup'!D:D,'LPG Fup'!M:M,"",0)&lt;0),"I+1"),0)</f>
        <v>0</v>
      </c>
      <c r="R235">
        <f>_xlfn.XLOOKUP(A235,Covid!A:A,Covid!I:I,0,0)</f>
        <v>752</v>
      </c>
      <c r="S235">
        <f>_xlfn.XLOOKUP(A235,Covid!A:A,Covid!K:K,0,0)</f>
        <v>159</v>
      </c>
      <c r="T235" s="145">
        <f>_xlfn.XLOOKUP(A235,Covid!A:A,Covid!K:K,0,0)/_xlfn.XLOOKUP(A235,Covid!A:A,Covid!L:L,0,0)</f>
        <v>2.6803776129467296E-2</v>
      </c>
    </row>
    <row r="236" spans="1:20" x14ac:dyDescent="0.55000000000000004">
      <c r="A236" s="157">
        <v>44217</v>
      </c>
      <c r="B236" s="13">
        <v>786860</v>
      </c>
      <c r="C236" s="13">
        <v>415009</v>
      </c>
      <c r="D236" s="13">
        <v>12730</v>
      </c>
      <c r="E236" s="13">
        <v>365573</v>
      </c>
      <c r="F236" s="13">
        <v>1580172</v>
      </c>
      <c r="G236">
        <f>IF(OR(_xlfn.XLOOKUP(A236,'LPG Fup'!D:D,'LPG Fup'!L:L,"",0)&gt;0.03,_xlfn.XLOOKUP(A236,'LPG Fup'!D:D,'LPG Fup'!L:L,"",0)&lt;-0.03),_xlfn.XLOOKUP(A236,'LPG Fup'!D:D,'LPG Fup'!L:L,0,0),0)</f>
        <v>0</v>
      </c>
      <c r="H236">
        <f>IF(_xlfn.XLOOKUP(A236,'LPG Fup'!D:D,'LPG Fup'!M:M,0,0)="",0,_xlfn.XLOOKUP(A236,'LPG Fup'!D:D,'LPG Fup'!M:M,0,0))</f>
        <v>0</v>
      </c>
      <c r="I236" s="109">
        <f>_xlfn.XLOOKUP(A236,'Rafineri Fiyatları'!A:A,'Rafineri Fiyatları'!B:B,"",0)</f>
        <v>4467.26</v>
      </c>
      <c r="J236">
        <f t="shared" si="12"/>
        <v>2021</v>
      </c>
      <c r="K236">
        <f t="shared" si="13"/>
        <v>1</v>
      </c>
      <c r="L236">
        <f t="shared" si="14"/>
        <v>21</v>
      </c>
      <c r="M236">
        <f t="shared" si="15"/>
        <v>5</v>
      </c>
      <c r="N236">
        <f>_xlfn.XLOOKUP(A236,tatiller!H:H,tatiller!I:I,0,0)</f>
        <v>0</v>
      </c>
      <c r="O236" cm="1">
        <f t="array" ref="O236">_xlfn.IFNA(_xlfn.IFS(L236=1,"A0",A236=EOMONTH(A236,0),"A-1",L236=2,"A+1"),0)</f>
        <v>0</v>
      </c>
      <c r="P236" cm="1">
        <f t="array" ref="P236">_xlfn.IFNA(_xlfn.IFS(AND(_xlfn.XLOOKUP(A236,'LPG Fup'!D:D,'LPG Fup'!M:M,"",0)&lt;&gt;"",_xlfn.XLOOKUP(A236,'LPG Fup'!D:D,'LPG Fup'!M:M,"",0)&gt;0),"Z-1", AND(_xlfn.XLOOKUP(A236+1,'LPG Fup'!D:D,'LPG Fup'!M:M,"",0)&lt;&gt;"",_xlfn.XLOOKUP(A236+1,'LPG Fup'!D:D,'LPG Fup'!M:M,"",0)&gt;0),"Z-2", AND(_xlfn.XLOOKUP(A236-1,'LPG Fup'!D:D,'LPG Fup'!M:M,"",0)&lt;&gt;"",_xlfn.XLOOKUP(A236-1,'LPG Fup'!D:D,'LPG Fup'!M:M,"",0)&gt;0),"Z", AND(_xlfn.XLOOKUP(A236-2,'LPG Fup'!D:D,'LPG Fup'!M:M,"",0)&lt;&gt;"",_xlfn.XLOOKUP(A236-2,'LPG Fup'!D:D,'LPG Fup'!M:M,"",0)&gt;0),"Z+1"),0)</f>
        <v>0</v>
      </c>
      <c r="Q236" cm="1">
        <f t="array" ref="Q236">_xlfn.IFNA(_xlfn.IFS(AND(_xlfn.XLOOKUP(A236,'LPG Fup'!D:D,'LPG Fup'!M:M,"",0)&lt;&gt;"",_xlfn.XLOOKUP(A236,'LPG Fup'!D:D,'LPG Fup'!M:M,"",0)&lt;0),"I-1", AND(_xlfn.XLOOKUP(A236+1,'LPG Fup'!D:D,'LPG Fup'!M:M,"",0)&lt;&gt;"",_xlfn.XLOOKUP(A236+1,'LPG Fup'!D:D,'LPG Fup'!M:M,"",0)&lt;0),"I-2", AND(_xlfn.XLOOKUP(A236-1,'LPG Fup'!D:D,'LPG Fup'!M:M,"",0)&lt;&gt;"",_xlfn.XLOOKUP(A236-1,'LPG Fup'!D:D,'LPG Fup'!M:M,"",0)&lt;0),"I", AND(_xlfn.XLOOKUP(A236-2,'LPG Fup'!D:D,'LPG Fup'!M:M,"",0)&lt;&gt;"",_xlfn.XLOOKUP(A236-2,'LPG Fup'!D:D,'LPG Fup'!M:M,"",0)&lt;0),"I+1"),0)</f>
        <v>0</v>
      </c>
      <c r="R236">
        <f>_xlfn.XLOOKUP(A236,Covid!A:A,Covid!I:I,0,0)</f>
        <v>743</v>
      </c>
      <c r="S236">
        <f>_xlfn.XLOOKUP(A236,Covid!A:A,Covid!K:K,0,0)</f>
        <v>153</v>
      </c>
      <c r="T236" s="145">
        <f>_xlfn.XLOOKUP(A236,Covid!A:A,Covid!K:K,0,0)/_xlfn.XLOOKUP(A236,Covid!A:A,Covid!L:L,0,0)</f>
        <v>2.5028627515131685E-2</v>
      </c>
    </row>
    <row r="237" spans="1:20" x14ac:dyDescent="0.55000000000000004">
      <c r="A237" s="157">
        <v>44218</v>
      </c>
      <c r="B237" s="13">
        <v>702240</v>
      </c>
      <c r="C237" s="13">
        <v>436715</v>
      </c>
      <c r="D237" s="13">
        <v>34291</v>
      </c>
      <c r="E237" s="13">
        <v>492599</v>
      </c>
      <c r="F237" s="13">
        <v>1665845</v>
      </c>
      <c r="G237">
        <f>IF(OR(_xlfn.XLOOKUP(A237,'LPG Fup'!D:D,'LPG Fup'!L:L,"",0)&gt;0.03,_xlfn.XLOOKUP(A237,'LPG Fup'!D:D,'LPG Fup'!L:L,"",0)&lt;-0.03),_xlfn.XLOOKUP(A237,'LPG Fup'!D:D,'LPG Fup'!L:L,0,0),0)</f>
        <v>0</v>
      </c>
      <c r="H237">
        <f>IF(_xlfn.XLOOKUP(A237,'LPG Fup'!D:D,'LPG Fup'!M:M,0,0)="",0,_xlfn.XLOOKUP(A237,'LPG Fup'!D:D,'LPG Fup'!M:M,0,0))</f>
        <v>0</v>
      </c>
      <c r="I237" s="109">
        <f>_xlfn.XLOOKUP(A237,'Rafineri Fiyatları'!A:A,'Rafineri Fiyatları'!B:B,"",0)</f>
        <v>4467.26</v>
      </c>
      <c r="J237">
        <f t="shared" si="12"/>
        <v>2021</v>
      </c>
      <c r="K237">
        <f t="shared" si="13"/>
        <v>1</v>
      </c>
      <c r="L237">
        <f t="shared" si="14"/>
        <v>22</v>
      </c>
      <c r="M237">
        <f t="shared" si="15"/>
        <v>6</v>
      </c>
      <c r="N237">
        <f>_xlfn.XLOOKUP(A237,tatiller!H:H,tatiller!I:I,0,0)</f>
        <v>0</v>
      </c>
      <c r="O237" cm="1">
        <f t="array" ref="O237">_xlfn.IFNA(_xlfn.IFS(L237=1,"A0",A237=EOMONTH(A237,0),"A-1",L237=2,"A+1"),0)</f>
        <v>0</v>
      </c>
      <c r="P237" cm="1">
        <f t="array" ref="P237">_xlfn.IFNA(_xlfn.IFS(AND(_xlfn.XLOOKUP(A237,'LPG Fup'!D:D,'LPG Fup'!M:M,"",0)&lt;&gt;"",_xlfn.XLOOKUP(A237,'LPG Fup'!D:D,'LPG Fup'!M:M,"",0)&gt;0),"Z-1", AND(_xlfn.XLOOKUP(A237+1,'LPG Fup'!D:D,'LPG Fup'!M:M,"",0)&lt;&gt;"",_xlfn.XLOOKUP(A237+1,'LPG Fup'!D:D,'LPG Fup'!M:M,"",0)&gt;0),"Z-2", AND(_xlfn.XLOOKUP(A237-1,'LPG Fup'!D:D,'LPG Fup'!M:M,"",0)&lt;&gt;"",_xlfn.XLOOKUP(A237-1,'LPG Fup'!D:D,'LPG Fup'!M:M,"",0)&gt;0),"Z", AND(_xlfn.XLOOKUP(A237-2,'LPG Fup'!D:D,'LPG Fup'!M:M,"",0)&lt;&gt;"",_xlfn.XLOOKUP(A237-2,'LPG Fup'!D:D,'LPG Fup'!M:M,"",0)&gt;0),"Z+1"),0)</f>
        <v>0</v>
      </c>
      <c r="Q237" cm="1">
        <f t="array" ref="Q237">_xlfn.IFNA(_xlfn.IFS(AND(_xlfn.XLOOKUP(A237,'LPG Fup'!D:D,'LPG Fup'!M:M,"",0)&lt;&gt;"",_xlfn.XLOOKUP(A237,'LPG Fup'!D:D,'LPG Fup'!M:M,"",0)&lt;0),"I-1", AND(_xlfn.XLOOKUP(A237+1,'LPG Fup'!D:D,'LPG Fup'!M:M,"",0)&lt;&gt;"",_xlfn.XLOOKUP(A237+1,'LPG Fup'!D:D,'LPG Fup'!M:M,"",0)&lt;0),"I-2", AND(_xlfn.XLOOKUP(A237-1,'LPG Fup'!D:D,'LPG Fup'!M:M,"",0)&lt;&gt;"",_xlfn.XLOOKUP(A237-1,'LPG Fup'!D:D,'LPG Fup'!M:M,"",0)&lt;0),"I", AND(_xlfn.XLOOKUP(A237-2,'LPG Fup'!D:D,'LPG Fup'!M:M,"",0)&lt;&gt;"",_xlfn.XLOOKUP(A237-2,'LPG Fup'!D:D,'LPG Fup'!M:M,"",0)&lt;0),"I+1"),0)</f>
        <v>0</v>
      </c>
      <c r="R237">
        <f>_xlfn.XLOOKUP(A237,Covid!A:A,Covid!I:I,0,0)</f>
        <v>734</v>
      </c>
      <c r="S237">
        <f>_xlfn.XLOOKUP(A237,Covid!A:A,Covid!K:K,0,0)</f>
        <v>149</v>
      </c>
      <c r="T237" s="145">
        <f>_xlfn.XLOOKUP(A237,Covid!A:A,Covid!K:K,0,0)/_xlfn.XLOOKUP(A237,Covid!A:A,Covid!L:L,0,0)</f>
        <v>2.4759056164838818E-2</v>
      </c>
    </row>
    <row r="238" spans="1:20" x14ac:dyDescent="0.55000000000000004">
      <c r="A238" s="157">
        <v>44219</v>
      </c>
      <c r="B238" s="13">
        <v>661640</v>
      </c>
      <c r="C238" s="13">
        <v>307122</v>
      </c>
      <c r="D238" s="13">
        <v>7895</v>
      </c>
      <c r="E238" s="13">
        <v>271906</v>
      </c>
      <c r="F238" s="13">
        <v>1248563</v>
      </c>
      <c r="G238">
        <f>IF(OR(_xlfn.XLOOKUP(A238,'LPG Fup'!D:D,'LPG Fup'!L:L,"",0)&gt;0.03,_xlfn.XLOOKUP(A238,'LPG Fup'!D:D,'LPG Fup'!L:L,"",0)&lt;-0.03),_xlfn.XLOOKUP(A238,'LPG Fup'!D:D,'LPG Fup'!L:L,0,0),0)</f>
        <v>0</v>
      </c>
      <c r="H238">
        <f>IF(_xlfn.XLOOKUP(A238,'LPG Fup'!D:D,'LPG Fup'!M:M,0,0)="",0,_xlfn.XLOOKUP(A238,'LPG Fup'!D:D,'LPG Fup'!M:M,0,0))</f>
        <v>0</v>
      </c>
      <c r="I238" s="109">
        <f>_xlfn.XLOOKUP(A238,'Rafineri Fiyatları'!A:A,'Rafineri Fiyatları'!B:B,"",0)</f>
        <v>4467.26</v>
      </c>
      <c r="J238">
        <f t="shared" si="12"/>
        <v>2021</v>
      </c>
      <c r="K238">
        <f t="shared" si="13"/>
        <v>1</v>
      </c>
      <c r="L238">
        <f t="shared" si="14"/>
        <v>23</v>
      </c>
      <c r="M238">
        <f t="shared" si="15"/>
        <v>7</v>
      </c>
      <c r="N238">
        <f>_xlfn.XLOOKUP(A238,tatiller!H:H,tatiller!I:I,0,0)</f>
        <v>0</v>
      </c>
      <c r="O238" cm="1">
        <f t="array" ref="O238">_xlfn.IFNA(_xlfn.IFS(L238=1,"A0",A238=EOMONTH(A238,0),"A-1",L238=2,"A+1"),0)</f>
        <v>0</v>
      </c>
      <c r="P238" cm="1">
        <f t="array" ref="P238">_xlfn.IFNA(_xlfn.IFS(AND(_xlfn.XLOOKUP(A238,'LPG Fup'!D:D,'LPG Fup'!M:M,"",0)&lt;&gt;"",_xlfn.XLOOKUP(A238,'LPG Fup'!D:D,'LPG Fup'!M:M,"",0)&gt;0),"Z-1", AND(_xlfn.XLOOKUP(A238+1,'LPG Fup'!D:D,'LPG Fup'!M:M,"",0)&lt;&gt;"",_xlfn.XLOOKUP(A238+1,'LPG Fup'!D:D,'LPG Fup'!M:M,"",0)&gt;0),"Z-2", AND(_xlfn.XLOOKUP(A238-1,'LPG Fup'!D:D,'LPG Fup'!M:M,"",0)&lt;&gt;"",_xlfn.XLOOKUP(A238-1,'LPG Fup'!D:D,'LPG Fup'!M:M,"",0)&gt;0),"Z", AND(_xlfn.XLOOKUP(A238-2,'LPG Fup'!D:D,'LPG Fup'!M:M,"",0)&lt;&gt;"",_xlfn.XLOOKUP(A238-2,'LPG Fup'!D:D,'LPG Fup'!M:M,"",0)&gt;0),"Z+1"),0)</f>
        <v>0</v>
      </c>
      <c r="Q238" cm="1">
        <f t="array" ref="Q238">_xlfn.IFNA(_xlfn.IFS(AND(_xlfn.XLOOKUP(A238,'LPG Fup'!D:D,'LPG Fup'!M:M,"",0)&lt;&gt;"",_xlfn.XLOOKUP(A238,'LPG Fup'!D:D,'LPG Fup'!M:M,"",0)&lt;0),"I-1", AND(_xlfn.XLOOKUP(A238+1,'LPG Fup'!D:D,'LPG Fup'!M:M,"",0)&lt;&gt;"",_xlfn.XLOOKUP(A238+1,'LPG Fup'!D:D,'LPG Fup'!M:M,"",0)&lt;0),"I-2", AND(_xlfn.XLOOKUP(A238-1,'LPG Fup'!D:D,'LPG Fup'!M:M,"",0)&lt;&gt;"",_xlfn.XLOOKUP(A238-1,'LPG Fup'!D:D,'LPG Fup'!M:M,"",0)&lt;0),"I", AND(_xlfn.XLOOKUP(A238-2,'LPG Fup'!D:D,'LPG Fup'!M:M,"",0)&lt;&gt;"",_xlfn.XLOOKUP(A238-2,'LPG Fup'!D:D,'LPG Fup'!M:M,"",0)&lt;0),"I+1"),0)</f>
        <v>0</v>
      </c>
      <c r="R238">
        <f>_xlfn.XLOOKUP(A238,Covid!A:A,Covid!I:I,0,0)</f>
        <v>723</v>
      </c>
      <c r="S238">
        <f>_xlfn.XLOOKUP(A238,Covid!A:A,Covid!K:K,0,0)</f>
        <v>144</v>
      </c>
      <c r="T238" s="145">
        <f>_xlfn.XLOOKUP(A238,Covid!A:A,Covid!K:K,0,0)/_xlfn.XLOOKUP(A238,Covid!A:A,Covid!L:L,0,0)</f>
        <v>2.4780588538977799E-2</v>
      </c>
    </row>
    <row r="239" spans="1:20" x14ac:dyDescent="0.55000000000000004">
      <c r="A239" s="157">
        <v>44220</v>
      </c>
      <c r="B239" s="13">
        <v>444520</v>
      </c>
      <c r="C239" s="13">
        <v>60</v>
      </c>
      <c r="D239" s="13">
        <v>0</v>
      </c>
      <c r="E239" s="13">
        <v>104906</v>
      </c>
      <c r="F239" s="13">
        <v>549486</v>
      </c>
      <c r="G239">
        <f>IF(OR(_xlfn.XLOOKUP(A239,'LPG Fup'!D:D,'LPG Fup'!L:L,"",0)&gt;0.03,_xlfn.XLOOKUP(A239,'LPG Fup'!D:D,'LPG Fup'!L:L,"",0)&lt;-0.03),_xlfn.XLOOKUP(A239,'LPG Fup'!D:D,'LPG Fup'!L:L,0,0),0)</f>
        <v>0</v>
      </c>
      <c r="H239">
        <f>IF(_xlfn.XLOOKUP(A239,'LPG Fup'!D:D,'LPG Fup'!M:M,0,0)="",0,_xlfn.XLOOKUP(A239,'LPG Fup'!D:D,'LPG Fup'!M:M,0,0))</f>
        <v>0</v>
      </c>
      <c r="I239" s="109">
        <f>_xlfn.XLOOKUP(A239,'Rafineri Fiyatları'!A:A,'Rafineri Fiyatları'!B:B,"",0)</f>
        <v>4467.26</v>
      </c>
      <c r="J239">
        <f t="shared" si="12"/>
        <v>2021</v>
      </c>
      <c r="K239">
        <f t="shared" si="13"/>
        <v>1</v>
      </c>
      <c r="L239">
        <f t="shared" si="14"/>
        <v>24</v>
      </c>
      <c r="M239">
        <f t="shared" si="15"/>
        <v>1</v>
      </c>
      <c r="N239">
        <f>_xlfn.XLOOKUP(A239,tatiller!H:H,tatiller!I:I,0,0)</f>
        <v>0</v>
      </c>
      <c r="O239" cm="1">
        <f t="array" ref="O239">_xlfn.IFNA(_xlfn.IFS(L239=1,"A0",A239=EOMONTH(A239,0),"A-1",L239=2,"A+1"),0)</f>
        <v>0</v>
      </c>
      <c r="P239" cm="1">
        <f t="array" ref="P239">_xlfn.IFNA(_xlfn.IFS(AND(_xlfn.XLOOKUP(A239,'LPG Fup'!D:D,'LPG Fup'!M:M,"",0)&lt;&gt;"",_xlfn.XLOOKUP(A239,'LPG Fup'!D:D,'LPG Fup'!M:M,"",0)&gt;0),"Z-1", AND(_xlfn.XLOOKUP(A239+1,'LPG Fup'!D:D,'LPG Fup'!M:M,"",0)&lt;&gt;"",_xlfn.XLOOKUP(A239+1,'LPG Fup'!D:D,'LPG Fup'!M:M,"",0)&gt;0),"Z-2", AND(_xlfn.XLOOKUP(A239-1,'LPG Fup'!D:D,'LPG Fup'!M:M,"",0)&lt;&gt;"",_xlfn.XLOOKUP(A239-1,'LPG Fup'!D:D,'LPG Fup'!M:M,"",0)&gt;0),"Z", AND(_xlfn.XLOOKUP(A239-2,'LPG Fup'!D:D,'LPG Fup'!M:M,"",0)&lt;&gt;"",_xlfn.XLOOKUP(A239-2,'LPG Fup'!D:D,'LPG Fup'!M:M,"",0)&gt;0),"Z+1"),0)</f>
        <v>0</v>
      </c>
      <c r="Q239" cm="1">
        <f t="array" ref="Q239">_xlfn.IFNA(_xlfn.IFS(AND(_xlfn.XLOOKUP(A239,'LPG Fup'!D:D,'LPG Fup'!M:M,"",0)&lt;&gt;"",_xlfn.XLOOKUP(A239,'LPG Fup'!D:D,'LPG Fup'!M:M,"",0)&lt;0),"I-1", AND(_xlfn.XLOOKUP(A239+1,'LPG Fup'!D:D,'LPG Fup'!M:M,"",0)&lt;&gt;"",_xlfn.XLOOKUP(A239+1,'LPG Fup'!D:D,'LPG Fup'!M:M,"",0)&lt;0),"I-2", AND(_xlfn.XLOOKUP(A239-1,'LPG Fup'!D:D,'LPG Fup'!M:M,"",0)&lt;&gt;"",_xlfn.XLOOKUP(A239-1,'LPG Fup'!D:D,'LPG Fup'!M:M,"",0)&lt;0),"I", AND(_xlfn.XLOOKUP(A239-2,'LPG Fup'!D:D,'LPG Fup'!M:M,"",0)&lt;&gt;"",_xlfn.XLOOKUP(A239-2,'LPG Fup'!D:D,'LPG Fup'!M:M,"",0)&lt;0),"I+1"),0)</f>
        <v>0</v>
      </c>
      <c r="R239">
        <f>_xlfn.XLOOKUP(A239,Covid!A:A,Covid!I:I,0,0)</f>
        <v>684</v>
      </c>
      <c r="S239">
        <f>_xlfn.XLOOKUP(A239,Covid!A:A,Covid!K:K,0,0)</f>
        <v>140</v>
      </c>
      <c r="T239" s="145">
        <f>_xlfn.XLOOKUP(A239,Covid!A:A,Covid!K:K,0,0)/_xlfn.XLOOKUP(A239,Covid!A:A,Covid!L:L,0,0)</f>
        <v>2.3890784982935155E-2</v>
      </c>
    </row>
    <row r="240" spans="1:20" x14ac:dyDescent="0.55000000000000004">
      <c r="A240" s="157">
        <v>44221</v>
      </c>
      <c r="B240" s="13">
        <v>742640</v>
      </c>
      <c r="C240" s="13">
        <v>421802</v>
      </c>
      <c r="D240" s="13">
        <v>7301</v>
      </c>
      <c r="E240" s="13">
        <v>343844</v>
      </c>
      <c r="F240" s="13">
        <v>1515587</v>
      </c>
      <c r="G240">
        <f>IF(OR(_xlfn.XLOOKUP(A240,'LPG Fup'!D:D,'LPG Fup'!L:L,"",0)&gt;0.03,_xlfn.XLOOKUP(A240,'LPG Fup'!D:D,'LPG Fup'!L:L,"",0)&lt;-0.03),_xlfn.XLOOKUP(A240,'LPG Fup'!D:D,'LPG Fup'!L:L,0,0),0)</f>
        <v>0</v>
      </c>
      <c r="H240">
        <f>IF(_xlfn.XLOOKUP(A240,'LPG Fup'!D:D,'LPG Fup'!M:M,0,0)="",0,_xlfn.XLOOKUP(A240,'LPG Fup'!D:D,'LPG Fup'!M:M,0,0))</f>
        <v>0</v>
      </c>
      <c r="I240" s="109">
        <f>_xlfn.XLOOKUP(A240,'Rafineri Fiyatları'!A:A,'Rafineri Fiyatları'!B:B,"",0)</f>
        <v>4467.26</v>
      </c>
      <c r="J240">
        <f t="shared" si="12"/>
        <v>2021</v>
      </c>
      <c r="K240">
        <f t="shared" si="13"/>
        <v>1</v>
      </c>
      <c r="L240">
        <f t="shared" si="14"/>
        <v>25</v>
      </c>
      <c r="M240">
        <f t="shared" si="15"/>
        <v>2</v>
      </c>
      <c r="N240">
        <f>_xlfn.XLOOKUP(A240,tatiller!H:H,tatiller!I:I,0,0)</f>
        <v>0</v>
      </c>
      <c r="O240" cm="1">
        <f t="array" ref="O240">_xlfn.IFNA(_xlfn.IFS(L240=1,"A0",A240=EOMONTH(A240,0),"A-1",L240=2,"A+1"),0)</f>
        <v>0</v>
      </c>
      <c r="P240" cm="1">
        <f t="array" ref="P240">_xlfn.IFNA(_xlfn.IFS(AND(_xlfn.XLOOKUP(A240,'LPG Fup'!D:D,'LPG Fup'!M:M,"",0)&lt;&gt;"",_xlfn.XLOOKUP(A240,'LPG Fup'!D:D,'LPG Fup'!M:M,"",0)&gt;0),"Z-1", AND(_xlfn.XLOOKUP(A240+1,'LPG Fup'!D:D,'LPG Fup'!M:M,"",0)&lt;&gt;"",_xlfn.XLOOKUP(A240+1,'LPG Fup'!D:D,'LPG Fup'!M:M,"",0)&gt;0),"Z-2", AND(_xlfn.XLOOKUP(A240-1,'LPG Fup'!D:D,'LPG Fup'!M:M,"",0)&lt;&gt;"",_xlfn.XLOOKUP(A240-1,'LPG Fup'!D:D,'LPG Fup'!M:M,"",0)&gt;0),"Z", AND(_xlfn.XLOOKUP(A240-2,'LPG Fup'!D:D,'LPG Fup'!M:M,"",0)&lt;&gt;"",_xlfn.XLOOKUP(A240-2,'LPG Fup'!D:D,'LPG Fup'!M:M,"",0)&gt;0),"Z+1"),0)</f>
        <v>0</v>
      </c>
      <c r="Q240" cm="1">
        <f t="array" ref="Q240">_xlfn.IFNA(_xlfn.IFS(AND(_xlfn.XLOOKUP(A240,'LPG Fup'!D:D,'LPG Fup'!M:M,"",0)&lt;&gt;"",_xlfn.XLOOKUP(A240,'LPG Fup'!D:D,'LPG Fup'!M:M,"",0)&lt;0),"I-1", AND(_xlfn.XLOOKUP(A240+1,'LPG Fup'!D:D,'LPG Fup'!M:M,"",0)&lt;&gt;"",_xlfn.XLOOKUP(A240+1,'LPG Fup'!D:D,'LPG Fup'!M:M,"",0)&lt;0),"I-2", AND(_xlfn.XLOOKUP(A240-1,'LPG Fup'!D:D,'LPG Fup'!M:M,"",0)&lt;&gt;"",_xlfn.XLOOKUP(A240-1,'LPG Fup'!D:D,'LPG Fup'!M:M,"",0)&lt;0),"I", AND(_xlfn.XLOOKUP(A240-2,'LPG Fup'!D:D,'LPG Fup'!M:M,"",0)&lt;&gt;"",_xlfn.XLOOKUP(A240-2,'LPG Fup'!D:D,'LPG Fup'!M:M,"",0)&lt;0),"I+1"),0)</f>
        <v>0</v>
      </c>
      <c r="R240">
        <f>_xlfn.XLOOKUP(A240,Covid!A:A,Covid!I:I,0,0)</f>
        <v>671</v>
      </c>
      <c r="S240">
        <f>_xlfn.XLOOKUP(A240,Covid!A:A,Covid!K:K,0,0)</f>
        <v>137</v>
      </c>
      <c r="T240" s="145">
        <f>_xlfn.XLOOKUP(A240,Covid!A:A,Covid!K:K,0,0)/_xlfn.XLOOKUP(A240,Covid!A:A,Covid!L:L,0,0)</f>
        <v>2.0502843460041904E-2</v>
      </c>
    </row>
    <row r="241" spans="1:20" x14ac:dyDescent="0.55000000000000004">
      <c r="A241" s="157">
        <v>44222</v>
      </c>
      <c r="B241" s="13">
        <v>691860</v>
      </c>
      <c r="C241" s="13">
        <v>414917</v>
      </c>
      <c r="D241" s="13">
        <v>10107</v>
      </c>
      <c r="E241" s="13">
        <v>406680</v>
      </c>
      <c r="F241" s="13">
        <v>7123522</v>
      </c>
      <c r="G241">
        <f>IF(OR(_xlfn.XLOOKUP(A241,'LPG Fup'!D:D,'LPG Fup'!L:L,"",0)&gt;0.03,_xlfn.XLOOKUP(A241,'LPG Fup'!D:D,'LPG Fup'!L:L,"",0)&lt;-0.03),_xlfn.XLOOKUP(A241,'LPG Fup'!D:D,'LPG Fup'!L:L,0,0),0)</f>
        <v>0</v>
      </c>
      <c r="H241">
        <f>IF(_xlfn.XLOOKUP(A241,'LPG Fup'!D:D,'LPG Fup'!M:M,0,0)="",0,_xlfn.XLOOKUP(A241,'LPG Fup'!D:D,'LPG Fup'!M:M,0,0))</f>
        <v>0</v>
      </c>
      <c r="I241" s="109">
        <f>_xlfn.XLOOKUP(A241,'Rafineri Fiyatları'!A:A,'Rafineri Fiyatları'!B:B,"",0)</f>
        <v>4467.26</v>
      </c>
      <c r="J241">
        <f t="shared" si="12"/>
        <v>2021</v>
      </c>
      <c r="K241">
        <f t="shared" si="13"/>
        <v>1</v>
      </c>
      <c r="L241">
        <f t="shared" si="14"/>
        <v>26</v>
      </c>
      <c r="M241">
        <f t="shared" si="15"/>
        <v>3</v>
      </c>
      <c r="N241">
        <f>_xlfn.XLOOKUP(A241,tatiller!H:H,tatiller!I:I,0,0)</f>
        <v>0</v>
      </c>
      <c r="O241" cm="1">
        <f t="array" ref="O241">_xlfn.IFNA(_xlfn.IFS(L241=1,"A0",A241=EOMONTH(A241,0),"A-1",L241=2,"A+1"),0)</f>
        <v>0</v>
      </c>
      <c r="P241" cm="1">
        <f t="array" ref="P241">_xlfn.IFNA(_xlfn.IFS(AND(_xlfn.XLOOKUP(A241,'LPG Fup'!D:D,'LPG Fup'!M:M,"",0)&lt;&gt;"",_xlfn.XLOOKUP(A241,'LPG Fup'!D:D,'LPG Fup'!M:M,"",0)&gt;0),"Z-1", AND(_xlfn.XLOOKUP(A241+1,'LPG Fup'!D:D,'LPG Fup'!M:M,"",0)&lt;&gt;"",_xlfn.XLOOKUP(A241+1,'LPG Fup'!D:D,'LPG Fup'!M:M,"",0)&gt;0),"Z-2", AND(_xlfn.XLOOKUP(A241-1,'LPG Fup'!D:D,'LPG Fup'!M:M,"",0)&lt;&gt;"",_xlfn.XLOOKUP(A241-1,'LPG Fup'!D:D,'LPG Fup'!M:M,"",0)&gt;0),"Z", AND(_xlfn.XLOOKUP(A241-2,'LPG Fup'!D:D,'LPG Fup'!M:M,"",0)&lt;&gt;"",_xlfn.XLOOKUP(A241-2,'LPG Fup'!D:D,'LPG Fup'!M:M,"",0)&gt;0),"Z+1"),0)</f>
        <v>0</v>
      </c>
      <c r="Q241" cm="1">
        <f t="array" ref="Q241">_xlfn.IFNA(_xlfn.IFS(AND(_xlfn.XLOOKUP(A241,'LPG Fup'!D:D,'LPG Fup'!M:M,"",0)&lt;&gt;"",_xlfn.XLOOKUP(A241,'LPG Fup'!D:D,'LPG Fup'!M:M,"",0)&lt;0),"I-1", AND(_xlfn.XLOOKUP(A241+1,'LPG Fup'!D:D,'LPG Fup'!M:M,"",0)&lt;&gt;"",_xlfn.XLOOKUP(A241+1,'LPG Fup'!D:D,'LPG Fup'!M:M,"",0)&lt;0),"I-2", AND(_xlfn.XLOOKUP(A241-1,'LPG Fup'!D:D,'LPG Fup'!M:M,"",0)&lt;&gt;"",_xlfn.XLOOKUP(A241-1,'LPG Fup'!D:D,'LPG Fup'!M:M,"",0)&lt;0),"I", AND(_xlfn.XLOOKUP(A241-2,'LPG Fup'!D:D,'LPG Fup'!M:M,"",0)&lt;&gt;"",_xlfn.XLOOKUP(A241-2,'LPG Fup'!D:D,'LPG Fup'!M:M,"",0)&lt;0),"I+1"),0)</f>
        <v>0</v>
      </c>
      <c r="R241">
        <f>_xlfn.XLOOKUP(A241,Covid!A:A,Covid!I:I,0,0)</f>
        <v>681</v>
      </c>
      <c r="S241">
        <f>_xlfn.XLOOKUP(A241,Covid!A:A,Covid!K:K,0,0)</f>
        <v>134</v>
      </c>
      <c r="T241" s="145">
        <f>_xlfn.XLOOKUP(A241,Covid!A:A,Covid!K:K,0,0)/_xlfn.XLOOKUP(A241,Covid!A:A,Covid!L:L,0,0)</f>
        <v>1.6526887025160336E-2</v>
      </c>
    </row>
    <row r="242" spans="1:20" x14ac:dyDescent="0.55000000000000004">
      <c r="A242" s="157">
        <v>44223</v>
      </c>
      <c r="B242" s="13">
        <v>975140</v>
      </c>
      <c r="C242" s="13">
        <v>399567</v>
      </c>
      <c r="D242" s="13">
        <v>6930</v>
      </c>
      <c r="E242" s="13">
        <v>475140</v>
      </c>
      <c r="F242" s="13">
        <v>1856777</v>
      </c>
      <c r="G242">
        <f>IF(OR(_xlfn.XLOOKUP(A242,'LPG Fup'!D:D,'LPG Fup'!L:L,"",0)&gt;0.03,_xlfn.XLOOKUP(A242,'LPG Fup'!D:D,'LPG Fup'!L:L,"",0)&lt;-0.03),_xlfn.XLOOKUP(A242,'LPG Fup'!D:D,'LPG Fup'!L:L,0,0),0)</f>
        <v>0</v>
      </c>
      <c r="H242">
        <f>IF(_xlfn.XLOOKUP(A242,'LPG Fup'!D:D,'LPG Fup'!M:M,0,0)="",0,_xlfn.XLOOKUP(A242,'LPG Fup'!D:D,'LPG Fup'!M:M,0,0))</f>
        <v>0</v>
      </c>
      <c r="I242" s="109">
        <f>_xlfn.XLOOKUP(A242,'Rafineri Fiyatları'!A:A,'Rafineri Fiyatları'!B:B,"",0)</f>
        <v>4467.26</v>
      </c>
      <c r="J242">
        <f t="shared" si="12"/>
        <v>2021</v>
      </c>
      <c r="K242">
        <f t="shared" si="13"/>
        <v>1</v>
      </c>
      <c r="L242">
        <f t="shared" si="14"/>
        <v>27</v>
      </c>
      <c r="M242">
        <f t="shared" si="15"/>
        <v>4</v>
      </c>
      <c r="N242">
        <f>_xlfn.XLOOKUP(A242,tatiller!H:H,tatiller!I:I,0,0)</f>
        <v>0</v>
      </c>
      <c r="O242" cm="1">
        <f t="array" ref="O242">_xlfn.IFNA(_xlfn.IFS(L242=1,"A0",A242=EOMONTH(A242,0),"A-1",L242=2,"A+1"),0)</f>
        <v>0</v>
      </c>
      <c r="P242" cm="1">
        <f t="array" ref="P242">_xlfn.IFNA(_xlfn.IFS(AND(_xlfn.XLOOKUP(A242,'LPG Fup'!D:D,'LPG Fup'!M:M,"",0)&lt;&gt;"",_xlfn.XLOOKUP(A242,'LPG Fup'!D:D,'LPG Fup'!M:M,"",0)&gt;0),"Z-1", AND(_xlfn.XLOOKUP(A242+1,'LPG Fup'!D:D,'LPG Fup'!M:M,"",0)&lt;&gt;"",_xlfn.XLOOKUP(A242+1,'LPG Fup'!D:D,'LPG Fup'!M:M,"",0)&gt;0),"Z-2", AND(_xlfn.XLOOKUP(A242-1,'LPG Fup'!D:D,'LPG Fup'!M:M,"",0)&lt;&gt;"",_xlfn.XLOOKUP(A242-1,'LPG Fup'!D:D,'LPG Fup'!M:M,"",0)&gt;0),"Z", AND(_xlfn.XLOOKUP(A242-2,'LPG Fup'!D:D,'LPG Fup'!M:M,"",0)&lt;&gt;"",_xlfn.XLOOKUP(A242-2,'LPG Fup'!D:D,'LPG Fup'!M:M,"",0)&gt;0),"Z+1"),0)</f>
        <v>0</v>
      </c>
      <c r="Q242" cm="1">
        <f t="array" ref="Q242">_xlfn.IFNA(_xlfn.IFS(AND(_xlfn.XLOOKUP(A242,'LPG Fup'!D:D,'LPG Fup'!M:M,"",0)&lt;&gt;"",_xlfn.XLOOKUP(A242,'LPG Fup'!D:D,'LPG Fup'!M:M,"",0)&lt;0),"I-1", AND(_xlfn.XLOOKUP(A242+1,'LPG Fup'!D:D,'LPG Fup'!M:M,"",0)&lt;&gt;"",_xlfn.XLOOKUP(A242+1,'LPG Fup'!D:D,'LPG Fup'!M:M,"",0)&lt;0),"I-2", AND(_xlfn.XLOOKUP(A242-1,'LPG Fup'!D:D,'LPG Fup'!M:M,"",0)&lt;&gt;"",_xlfn.XLOOKUP(A242-1,'LPG Fup'!D:D,'LPG Fup'!M:M,"",0)&lt;0),"I", AND(_xlfn.XLOOKUP(A242-2,'LPG Fup'!D:D,'LPG Fup'!M:M,"",0)&lt;&gt;"",_xlfn.XLOOKUP(A242-2,'LPG Fup'!D:D,'LPG Fup'!M:M,"",0)&lt;0),"I+1"),0)</f>
        <v>0</v>
      </c>
      <c r="R242">
        <f>_xlfn.XLOOKUP(A242,Covid!A:A,Covid!I:I,0,0)</f>
        <v>675</v>
      </c>
      <c r="S242">
        <f>_xlfn.XLOOKUP(A242,Covid!A:A,Covid!K:K,0,0)</f>
        <v>132</v>
      </c>
      <c r="T242" s="145">
        <f>_xlfn.XLOOKUP(A242,Covid!A:A,Covid!K:K,0,0)/_xlfn.XLOOKUP(A242,Covid!A:A,Covid!L:L,0,0)</f>
        <v>1.4994888106327389E-2</v>
      </c>
    </row>
    <row r="243" spans="1:20" x14ac:dyDescent="0.55000000000000004">
      <c r="A243" s="157">
        <v>44224</v>
      </c>
      <c r="B243" s="13">
        <v>981620</v>
      </c>
      <c r="C243" s="13">
        <v>342356</v>
      </c>
      <c r="D243" s="13">
        <v>21962</v>
      </c>
      <c r="E243" s="13">
        <v>422332</v>
      </c>
      <c r="F243" s="13">
        <v>1768270</v>
      </c>
      <c r="G243">
        <f>IF(OR(_xlfn.XLOOKUP(A243,'LPG Fup'!D:D,'LPG Fup'!L:L,"",0)&gt;0.03,_xlfn.XLOOKUP(A243,'LPG Fup'!D:D,'LPG Fup'!L:L,"",0)&lt;-0.03),_xlfn.XLOOKUP(A243,'LPG Fup'!D:D,'LPG Fup'!L:L,0,0),0)</f>
        <v>0</v>
      </c>
      <c r="H243">
        <f>IF(_xlfn.XLOOKUP(A243,'LPG Fup'!D:D,'LPG Fup'!M:M,0,0)="",0,_xlfn.XLOOKUP(A243,'LPG Fup'!D:D,'LPG Fup'!M:M,0,0))</f>
        <v>0</v>
      </c>
      <c r="I243" s="109">
        <f>_xlfn.XLOOKUP(A243,'Rafineri Fiyatları'!A:A,'Rafineri Fiyatları'!B:B,"",0)</f>
        <v>4467.26</v>
      </c>
      <c r="J243">
        <f t="shared" si="12"/>
        <v>2021</v>
      </c>
      <c r="K243">
        <f t="shared" si="13"/>
        <v>1</v>
      </c>
      <c r="L243">
        <f t="shared" si="14"/>
        <v>28</v>
      </c>
      <c r="M243">
        <f t="shared" si="15"/>
        <v>5</v>
      </c>
      <c r="N243">
        <f>_xlfn.XLOOKUP(A243,tatiller!H:H,tatiller!I:I,0,0)</f>
        <v>0</v>
      </c>
      <c r="O243" cm="1">
        <f t="array" ref="O243">_xlfn.IFNA(_xlfn.IFS(L243=1,"A0",A243=EOMONTH(A243,0),"A-1",L243=2,"A+1"),0)</f>
        <v>0</v>
      </c>
      <c r="P243" cm="1">
        <f t="array" ref="P243">_xlfn.IFNA(_xlfn.IFS(AND(_xlfn.XLOOKUP(A243,'LPG Fup'!D:D,'LPG Fup'!M:M,"",0)&lt;&gt;"",_xlfn.XLOOKUP(A243,'LPG Fup'!D:D,'LPG Fup'!M:M,"",0)&gt;0),"Z-1", AND(_xlfn.XLOOKUP(A243+1,'LPG Fup'!D:D,'LPG Fup'!M:M,"",0)&lt;&gt;"",_xlfn.XLOOKUP(A243+1,'LPG Fup'!D:D,'LPG Fup'!M:M,"",0)&gt;0),"Z-2", AND(_xlfn.XLOOKUP(A243-1,'LPG Fup'!D:D,'LPG Fup'!M:M,"",0)&lt;&gt;"",_xlfn.XLOOKUP(A243-1,'LPG Fup'!D:D,'LPG Fup'!M:M,"",0)&gt;0),"Z", AND(_xlfn.XLOOKUP(A243-2,'LPG Fup'!D:D,'LPG Fup'!M:M,"",0)&lt;&gt;"",_xlfn.XLOOKUP(A243-2,'LPG Fup'!D:D,'LPG Fup'!M:M,"",0)&gt;0),"Z+1"),0)</f>
        <v>0</v>
      </c>
      <c r="Q243" cm="1">
        <f t="array" ref="Q243">_xlfn.IFNA(_xlfn.IFS(AND(_xlfn.XLOOKUP(A243,'LPG Fup'!D:D,'LPG Fup'!M:M,"",0)&lt;&gt;"",_xlfn.XLOOKUP(A243,'LPG Fup'!D:D,'LPG Fup'!M:M,"",0)&lt;0),"I-1", AND(_xlfn.XLOOKUP(A243+1,'LPG Fup'!D:D,'LPG Fup'!M:M,"",0)&lt;&gt;"",_xlfn.XLOOKUP(A243+1,'LPG Fup'!D:D,'LPG Fup'!M:M,"",0)&lt;0),"I-2", AND(_xlfn.XLOOKUP(A243-1,'LPG Fup'!D:D,'LPG Fup'!M:M,"",0)&lt;&gt;"",_xlfn.XLOOKUP(A243-1,'LPG Fup'!D:D,'LPG Fup'!M:M,"",0)&lt;0),"I", AND(_xlfn.XLOOKUP(A243-2,'LPG Fup'!D:D,'LPG Fup'!M:M,"",0)&lt;&gt;"",_xlfn.XLOOKUP(A243-2,'LPG Fup'!D:D,'LPG Fup'!M:M,"",0)&lt;0),"I+1"),0)</f>
        <v>0</v>
      </c>
      <c r="R243">
        <f>_xlfn.XLOOKUP(A243,Covid!A:A,Covid!I:I,0,0)</f>
        <v>670</v>
      </c>
      <c r="S243">
        <f>_xlfn.XLOOKUP(A243,Covid!A:A,Covid!K:K,0,0)</f>
        <v>129</v>
      </c>
      <c r="T243" s="145">
        <f>_xlfn.XLOOKUP(A243,Covid!A:A,Covid!K:K,0,0)/_xlfn.XLOOKUP(A243,Covid!A:A,Covid!L:L,0,0)</f>
        <v>1.4491125589755112E-2</v>
      </c>
    </row>
    <row r="244" spans="1:20" x14ac:dyDescent="0.55000000000000004">
      <c r="A244" s="157">
        <v>44225</v>
      </c>
      <c r="B244" s="13">
        <v>1245000</v>
      </c>
      <c r="C244" s="13">
        <v>472750</v>
      </c>
      <c r="D244" s="13">
        <v>0</v>
      </c>
      <c r="E244" s="13">
        <v>497338</v>
      </c>
      <c r="F244" s="13">
        <v>2215088</v>
      </c>
      <c r="G244">
        <f>IF(OR(_xlfn.XLOOKUP(A244,'LPG Fup'!D:D,'LPG Fup'!L:L,"",0)&gt;0.03,_xlfn.XLOOKUP(A244,'LPG Fup'!D:D,'LPG Fup'!L:L,"",0)&lt;-0.03),_xlfn.XLOOKUP(A244,'LPG Fup'!D:D,'LPG Fup'!L:L,0,0),0)</f>
        <v>0</v>
      </c>
      <c r="H244">
        <f>IF(_xlfn.XLOOKUP(A244,'LPG Fup'!D:D,'LPG Fup'!M:M,0,0)="",0,_xlfn.XLOOKUP(A244,'LPG Fup'!D:D,'LPG Fup'!M:M,0,0))</f>
        <v>0</v>
      </c>
      <c r="I244" s="109">
        <f>_xlfn.XLOOKUP(A244,'Rafineri Fiyatları'!A:A,'Rafineri Fiyatları'!B:B,"",0)</f>
        <v>4467.26</v>
      </c>
      <c r="J244">
        <f t="shared" si="12"/>
        <v>2021</v>
      </c>
      <c r="K244">
        <f t="shared" si="13"/>
        <v>1</v>
      </c>
      <c r="L244">
        <f t="shared" si="14"/>
        <v>29</v>
      </c>
      <c r="M244">
        <f t="shared" si="15"/>
        <v>6</v>
      </c>
      <c r="N244">
        <f>_xlfn.XLOOKUP(A244,tatiller!H:H,tatiller!I:I,0,0)</f>
        <v>0</v>
      </c>
      <c r="O244" cm="1">
        <f t="array" ref="O244">_xlfn.IFNA(_xlfn.IFS(L244=1,"A0",A244=EOMONTH(A244,0),"A-1",L244=2,"A+1"),0)</f>
        <v>0</v>
      </c>
      <c r="P244" cm="1">
        <f t="array" ref="P244">_xlfn.IFNA(_xlfn.IFS(AND(_xlfn.XLOOKUP(A244,'LPG Fup'!D:D,'LPG Fup'!M:M,"",0)&lt;&gt;"",_xlfn.XLOOKUP(A244,'LPG Fup'!D:D,'LPG Fup'!M:M,"",0)&gt;0),"Z-1", AND(_xlfn.XLOOKUP(A244+1,'LPG Fup'!D:D,'LPG Fup'!M:M,"",0)&lt;&gt;"",_xlfn.XLOOKUP(A244+1,'LPG Fup'!D:D,'LPG Fup'!M:M,"",0)&gt;0),"Z-2", AND(_xlfn.XLOOKUP(A244-1,'LPG Fup'!D:D,'LPG Fup'!M:M,"",0)&lt;&gt;"",_xlfn.XLOOKUP(A244-1,'LPG Fup'!D:D,'LPG Fup'!M:M,"",0)&gt;0),"Z", AND(_xlfn.XLOOKUP(A244-2,'LPG Fup'!D:D,'LPG Fup'!M:M,"",0)&lt;&gt;"",_xlfn.XLOOKUP(A244-2,'LPG Fup'!D:D,'LPG Fup'!M:M,"",0)&gt;0),"Z+1"),0)</f>
        <v>0</v>
      </c>
      <c r="Q244" cm="1">
        <f t="array" ref="Q244">_xlfn.IFNA(_xlfn.IFS(AND(_xlfn.XLOOKUP(A244,'LPG Fup'!D:D,'LPG Fup'!M:M,"",0)&lt;&gt;"",_xlfn.XLOOKUP(A244,'LPG Fup'!D:D,'LPG Fup'!M:M,"",0)&lt;0),"I-1", AND(_xlfn.XLOOKUP(A244+1,'LPG Fup'!D:D,'LPG Fup'!M:M,"",0)&lt;&gt;"",_xlfn.XLOOKUP(A244+1,'LPG Fup'!D:D,'LPG Fup'!M:M,"",0)&lt;0),"I-2", AND(_xlfn.XLOOKUP(A244-1,'LPG Fup'!D:D,'LPG Fup'!M:M,"",0)&lt;&gt;"",_xlfn.XLOOKUP(A244-1,'LPG Fup'!D:D,'LPG Fup'!M:M,"",0)&lt;0),"I", AND(_xlfn.XLOOKUP(A244-2,'LPG Fup'!D:D,'LPG Fup'!M:M,"",0)&lt;&gt;"",_xlfn.XLOOKUP(A244-2,'LPG Fup'!D:D,'LPG Fup'!M:M,"",0)&lt;0),"I+1"),0)</f>
        <v>0</v>
      </c>
      <c r="R244">
        <f>_xlfn.XLOOKUP(A244,Covid!A:A,Covid!I:I,0,0)</f>
        <v>664</v>
      </c>
      <c r="S244">
        <f>_xlfn.XLOOKUP(A244,Covid!A:A,Covid!K:K,0,0)</f>
        <v>131</v>
      </c>
      <c r="T244" s="145">
        <f>_xlfn.XLOOKUP(A244,Covid!A:A,Covid!K:K,0,0)/_xlfn.XLOOKUP(A244,Covid!A:A,Covid!L:L,0,0)</f>
        <v>1.6186828123069319E-2</v>
      </c>
    </row>
    <row r="245" spans="1:20" x14ac:dyDescent="0.55000000000000004">
      <c r="A245" s="157">
        <v>44226</v>
      </c>
      <c r="B245" s="13">
        <v>705340</v>
      </c>
      <c r="C245" s="13">
        <v>384869</v>
      </c>
      <c r="D245" s="13">
        <v>5741</v>
      </c>
      <c r="E245" s="13">
        <v>389574</v>
      </c>
      <c r="F245" s="13">
        <v>1485524</v>
      </c>
      <c r="G245">
        <f>IF(OR(_xlfn.XLOOKUP(A245,'LPG Fup'!D:D,'LPG Fup'!L:L,"",0)&gt;0.03,_xlfn.XLOOKUP(A245,'LPG Fup'!D:D,'LPG Fup'!L:L,"",0)&lt;-0.03),_xlfn.XLOOKUP(A245,'LPG Fup'!D:D,'LPG Fup'!L:L,0,0),0)</f>
        <v>0</v>
      </c>
      <c r="H245">
        <f>IF(_xlfn.XLOOKUP(A245,'LPG Fup'!D:D,'LPG Fup'!M:M,0,0)="",0,_xlfn.XLOOKUP(A245,'LPG Fup'!D:D,'LPG Fup'!M:M,0,0))</f>
        <v>0</v>
      </c>
      <c r="I245" s="109">
        <f>_xlfn.XLOOKUP(A245,'Rafineri Fiyatları'!A:A,'Rafineri Fiyatları'!B:B,"",0)</f>
        <v>4467.26</v>
      </c>
      <c r="J245">
        <f t="shared" si="12"/>
        <v>2021</v>
      </c>
      <c r="K245">
        <f t="shared" si="13"/>
        <v>1</v>
      </c>
      <c r="L245">
        <f t="shared" si="14"/>
        <v>30</v>
      </c>
      <c r="M245">
        <f t="shared" si="15"/>
        <v>7</v>
      </c>
      <c r="N245">
        <f>_xlfn.XLOOKUP(A245,tatiller!H:H,tatiller!I:I,0,0)</f>
        <v>0</v>
      </c>
      <c r="O245" cm="1">
        <f t="array" ref="O245">_xlfn.IFNA(_xlfn.IFS(L245=1,"A0",A245=EOMONTH(A245,0),"A-1",L245=2,"A+1"),0)</f>
        <v>0</v>
      </c>
      <c r="P245" cm="1">
        <f t="array" ref="P245">_xlfn.IFNA(_xlfn.IFS(AND(_xlfn.XLOOKUP(A245,'LPG Fup'!D:D,'LPG Fup'!M:M,"",0)&lt;&gt;"",_xlfn.XLOOKUP(A245,'LPG Fup'!D:D,'LPG Fup'!M:M,"",0)&gt;0),"Z-1", AND(_xlfn.XLOOKUP(A245+1,'LPG Fup'!D:D,'LPG Fup'!M:M,"",0)&lt;&gt;"",_xlfn.XLOOKUP(A245+1,'LPG Fup'!D:D,'LPG Fup'!M:M,"",0)&gt;0),"Z-2", AND(_xlfn.XLOOKUP(A245-1,'LPG Fup'!D:D,'LPG Fup'!M:M,"",0)&lt;&gt;"",_xlfn.XLOOKUP(A245-1,'LPG Fup'!D:D,'LPG Fup'!M:M,"",0)&gt;0),"Z", AND(_xlfn.XLOOKUP(A245-2,'LPG Fup'!D:D,'LPG Fup'!M:M,"",0)&lt;&gt;"",_xlfn.XLOOKUP(A245-2,'LPG Fup'!D:D,'LPG Fup'!M:M,"",0)&gt;0),"Z+1"),0)</f>
        <v>0</v>
      </c>
      <c r="Q245" cm="1">
        <f t="array" ref="Q245">_xlfn.IFNA(_xlfn.IFS(AND(_xlfn.XLOOKUP(A245,'LPG Fup'!D:D,'LPG Fup'!M:M,"",0)&lt;&gt;"",_xlfn.XLOOKUP(A245,'LPG Fup'!D:D,'LPG Fup'!M:M,"",0)&lt;0),"I-1", AND(_xlfn.XLOOKUP(A245+1,'LPG Fup'!D:D,'LPG Fup'!M:M,"",0)&lt;&gt;"",_xlfn.XLOOKUP(A245+1,'LPG Fup'!D:D,'LPG Fup'!M:M,"",0)&lt;0),"I-2", AND(_xlfn.XLOOKUP(A245-1,'LPG Fup'!D:D,'LPG Fup'!M:M,"",0)&lt;&gt;"",_xlfn.XLOOKUP(A245-1,'LPG Fup'!D:D,'LPG Fup'!M:M,"",0)&lt;0),"I", AND(_xlfn.XLOOKUP(A245-2,'LPG Fup'!D:D,'LPG Fup'!M:M,"",0)&lt;&gt;"",_xlfn.XLOOKUP(A245-2,'LPG Fup'!D:D,'LPG Fup'!M:M,"",0)&lt;0),"I+1"),0)</f>
        <v>0</v>
      </c>
      <c r="R245">
        <f>_xlfn.XLOOKUP(A245,Covid!A:A,Covid!I:I,0,0)</f>
        <v>658</v>
      </c>
      <c r="S245">
        <f>_xlfn.XLOOKUP(A245,Covid!A:A,Covid!K:K,0,0)</f>
        <v>129</v>
      </c>
      <c r="T245" s="145">
        <f>_xlfn.XLOOKUP(A245,Covid!A:A,Covid!K:K,0,0)/_xlfn.XLOOKUP(A245,Covid!A:A,Covid!L:L,0,0)</f>
        <v>1.8169014084507041E-2</v>
      </c>
    </row>
    <row r="246" spans="1:20" x14ac:dyDescent="0.55000000000000004">
      <c r="A246" s="157">
        <v>44227</v>
      </c>
      <c r="B246" s="13">
        <v>509660</v>
      </c>
      <c r="C246" s="13">
        <v>2648</v>
      </c>
      <c r="D246" s="13">
        <v>121428</v>
      </c>
      <c r="E246" s="13">
        <v>115818</v>
      </c>
      <c r="F246" s="13">
        <v>749554</v>
      </c>
      <c r="G246">
        <f>IF(OR(_xlfn.XLOOKUP(A246,'LPG Fup'!D:D,'LPG Fup'!L:L,"",0)&gt;0.03,_xlfn.XLOOKUP(A246,'LPG Fup'!D:D,'LPG Fup'!L:L,"",0)&lt;-0.03),_xlfn.XLOOKUP(A246,'LPG Fup'!D:D,'LPG Fup'!L:L,0,0),0)</f>
        <v>0</v>
      </c>
      <c r="H246">
        <f>IF(_xlfn.XLOOKUP(A246,'LPG Fup'!D:D,'LPG Fup'!M:M,0,0)="",0,_xlfn.XLOOKUP(A246,'LPG Fup'!D:D,'LPG Fup'!M:M,0,0))</f>
        <v>0</v>
      </c>
      <c r="I246" s="109">
        <f>_xlfn.XLOOKUP(A246,'Rafineri Fiyatları'!A:A,'Rafineri Fiyatları'!B:B,"",0)</f>
        <v>4467.26</v>
      </c>
      <c r="J246">
        <f t="shared" si="12"/>
        <v>2021</v>
      </c>
      <c r="K246">
        <f t="shared" si="13"/>
        <v>1</v>
      </c>
      <c r="L246">
        <f t="shared" si="14"/>
        <v>31</v>
      </c>
      <c r="M246">
        <f t="shared" si="15"/>
        <v>1</v>
      </c>
      <c r="N246">
        <f>_xlfn.XLOOKUP(A246,tatiller!H:H,tatiller!I:I,0,0)</f>
        <v>0</v>
      </c>
      <c r="O246" t="str" cm="1">
        <f t="array" ref="O246">_xlfn.IFNA(_xlfn.IFS(L246=1,"A0",A246=EOMONTH(A246,0),"A-1",L246=2,"A+1"),0)</f>
        <v>A-1</v>
      </c>
      <c r="P246" cm="1">
        <f t="array" ref="P246">_xlfn.IFNA(_xlfn.IFS(AND(_xlfn.XLOOKUP(A246,'LPG Fup'!D:D,'LPG Fup'!M:M,"",0)&lt;&gt;"",_xlfn.XLOOKUP(A246,'LPG Fup'!D:D,'LPG Fup'!M:M,"",0)&gt;0),"Z-1", AND(_xlfn.XLOOKUP(A246+1,'LPG Fup'!D:D,'LPG Fup'!M:M,"",0)&lt;&gt;"",_xlfn.XLOOKUP(A246+1,'LPG Fup'!D:D,'LPG Fup'!M:M,"",0)&gt;0),"Z-2", AND(_xlfn.XLOOKUP(A246-1,'LPG Fup'!D:D,'LPG Fup'!M:M,"",0)&lt;&gt;"",_xlfn.XLOOKUP(A246-1,'LPG Fup'!D:D,'LPG Fup'!M:M,"",0)&gt;0),"Z", AND(_xlfn.XLOOKUP(A246-2,'LPG Fup'!D:D,'LPG Fup'!M:M,"",0)&lt;&gt;"",_xlfn.XLOOKUP(A246-2,'LPG Fup'!D:D,'LPG Fup'!M:M,"",0)&gt;0),"Z+1"),0)</f>
        <v>0</v>
      </c>
      <c r="Q246" cm="1">
        <f t="array" ref="Q246">_xlfn.IFNA(_xlfn.IFS(AND(_xlfn.XLOOKUP(A246,'LPG Fup'!D:D,'LPG Fup'!M:M,"",0)&lt;&gt;"",_xlfn.XLOOKUP(A246,'LPG Fup'!D:D,'LPG Fup'!M:M,"",0)&lt;0),"I-1", AND(_xlfn.XLOOKUP(A246+1,'LPG Fup'!D:D,'LPG Fup'!M:M,"",0)&lt;&gt;"",_xlfn.XLOOKUP(A246+1,'LPG Fup'!D:D,'LPG Fup'!M:M,"",0)&lt;0),"I-2", AND(_xlfn.XLOOKUP(A246-1,'LPG Fup'!D:D,'LPG Fup'!M:M,"",0)&lt;&gt;"",_xlfn.XLOOKUP(A246-1,'LPG Fup'!D:D,'LPG Fup'!M:M,"",0)&lt;0),"I", AND(_xlfn.XLOOKUP(A246-2,'LPG Fup'!D:D,'LPG Fup'!M:M,"",0)&lt;&gt;"",_xlfn.XLOOKUP(A246-2,'LPG Fup'!D:D,'LPG Fup'!M:M,"",0)&lt;0),"I+1"),0)</f>
        <v>0</v>
      </c>
      <c r="R246">
        <f>_xlfn.XLOOKUP(A246,Covid!A:A,Covid!I:I,0,0)</f>
        <v>641</v>
      </c>
      <c r="S246">
        <f>_xlfn.XLOOKUP(A246,Covid!A:A,Covid!K:K,0,0)</f>
        <v>128</v>
      </c>
      <c r="T246" s="145">
        <f>_xlfn.XLOOKUP(A246,Covid!A:A,Covid!K:K,0,0)/_xlfn.XLOOKUP(A246,Covid!A:A,Covid!L:L,0,0)</f>
        <v>1.8270054239223524E-2</v>
      </c>
    </row>
    <row r="247" spans="1:20" x14ac:dyDescent="0.55000000000000004">
      <c r="A247" s="157">
        <v>44228</v>
      </c>
      <c r="B247" s="13">
        <v>664880</v>
      </c>
      <c r="C247" s="13">
        <v>296877</v>
      </c>
      <c r="D247" s="13">
        <v>23471</v>
      </c>
      <c r="E247" s="13">
        <v>296921</v>
      </c>
      <c r="F247" s="13">
        <v>1282149</v>
      </c>
      <c r="G247">
        <f>IF(OR(_xlfn.XLOOKUP(A247,'LPG Fup'!D:D,'LPG Fup'!L:L,"",0)&gt;0.03,_xlfn.XLOOKUP(A247,'LPG Fup'!D:D,'LPG Fup'!L:L,"",0)&lt;-0.03),_xlfn.XLOOKUP(A247,'LPG Fup'!D:D,'LPG Fup'!L:L,0,0),0)</f>
        <v>0</v>
      </c>
      <c r="H247">
        <f>IF(_xlfn.XLOOKUP(A247,'LPG Fup'!D:D,'LPG Fup'!M:M,0,0)="",0,_xlfn.XLOOKUP(A247,'LPG Fup'!D:D,'LPG Fup'!M:M,0,0))</f>
        <v>0</v>
      </c>
      <c r="I247" s="109">
        <f>_xlfn.XLOOKUP(A247,'Rafineri Fiyatları'!A:A,'Rafineri Fiyatları'!B:B,"",0)</f>
        <v>4467.26</v>
      </c>
      <c r="J247">
        <f t="shared" si="12"/>
        <v>2021</v>
      </c>
      <c r="K247">
        <f t="shared" si="13"/>
        <v>2</v>
      </c>
      <c r="L247">
        <f t="shared" si="14"/>
        <v>1</v>
      </c>
      <c r="M247">
        <f t="shared" si="15"/>
        <v>2</v>
      </c>
      <c r="N247">
        <f>_xlfn.XLOOKUP(A247,tatiller!H:H,tatiller!I:I,0,0)</f>
        <v>0</v>
      </c>
      <c r="O247" t="str" cm="1">
        <f t="array" ref="O247">_xlfn.IFNA(_xlfn.IFS(L247=1,"A0",A247=EOMONTH(A247,0),"A-1",L247=2,"A+1"),0)</f>
        <v>A0</v>
      </c>
      <c r="P247" cm="1">
        <f t="array" ref="P247">_xlfn.IFNA(_xlfn.IFS(AND(_xlfn.XLOOKUP(A247,'LPG Fup'!D:D,'LPG Fup'!M:M,"",0)&lt;&gt;"",_xlfn.XLOOKUP(A247,'LPG Fup'!D:D,'LPG Fup'!M:M,"",0)&gt;0),"Z-1", AND(_xlfn.XLOOKUP(A247+1,'LPG Fup'!D:D,'LPG Fup'!M:M,"",0)&lt;&gt;"",_xlfn.XLOOKUP(A247+1,'LPG Fup'!D:D,'LPG Fup'!M:M,"",0)&gt;0),"Z-2", AND(_xlfn.XLOOKUP(A247-1,'LPG Fup'!D:D,'LPG Fup'!M:M,"",0)&lt;&gt;"",_xlfn.XLOOKUP(A247-1,'LPG Fup'!D:D,'LPG Fup'!M:M,"",0)&gt;0),"Z", AND(_xlfn.XLOOKUP(A247-2,'LPG Fup'!D:D,'LPG Fup'!M:M,"",0)&lt;&gt;"",_xlfn.XLOOKUP(A247-2,'LPG Fup'!D:D,'LPG Fup'!M:M,"",0)&gt;0),"Z+1"),0)</f>
        <v>0</v>
      </c>
      <c r="Q247" cm="1">
        <f t="array" ref="Q247">_xlfn.IFNA(_xlfn.IFS(AND(_xlfn.XLOOKUP(A247,'LPG Fup'!D:D,'LPG Fup'!M:M,"",0)&lt;&gt;"",_xlfn.XLOOKUP(A247,'LPG Fup'!D:D,'LPG Fup'!M:M,"",0)&lt;0),"I-1", AND(_xlfn.XLOOKUP(A247+1,'LPG Fup'!D:D,'LPG Fup'!M:M,"",0)&lt;&gt;"",_xlfn.XLOOKUP(A247+1,'LPG Fup'!D:D,'LPG Fup'!M:M,"",0)&lt;0),"I-2", AND(_xlfn.XLOOKUP(A247-1,'LPG Fup'!D:D,'LPG Fup'!M:M,"",0)&lt;&gt;"",_xlfn.XLOOKUP(A247-1,'LPG Fup'!D:D,'LPG Fup'!M:M,"",0)&lt;0),"I", AND(_xlfn.XLOOKUP(A247-2,'LPG Fup'!D:D,'LPG Fup'!M:M,"",0)&lt;&gt;"",_xlfn.XLOOKUP(A247-2,'LPG Fup'!D:D,'LPG Fup'!M:M,"",0)&lt;0),"I+1"),0)</f>
        <v>0</v>
      </c>
      <c r="R247">
        <f>_xlfn.XLOOKUP(A247,Covid!A:A,Covid!I:I,0,0)</f>
        <v>636</v>
      </c>
      <c r="S247">
        <f>_xlfn.XLOOKUP(A247,Covid!A:A,Covid!K:K,0,0)</f>
        <v>124</v>
      </c>
      <c r="T247" s="145">
        <f>_xlfn.XLOOKUP(A247,Covid!A:A,Covid!K:K,0,0)/_xlfn.XLOOKUP(A247,Covid!A:A,Covid!L:L,0,0)</f>
        <v>1.5469061876247504E-2</v>
      </c>
    </row>
    <row r="248" spans="1:20" x14ac:dyDescent="0.55000000000000004">
      <c r="A248" s="157">
        <v>44229</v>
      </c>
      <c r="B248" s="13">
        <v>677740</v>
      </c>
      <c r="C248" s="13">
        <v>290657</v>
      </c>
      <c r="D248" s="13">
        <v>11288</v>
      </c>
      <c r="E248" s="13">
        <v>430976</v>
      </c>
      <c r="F248" s="13">
        <v>1410661</v>
      </c>
      <c r="G248">
        <f>IF(OR(_xlfn.XLOOKUP(A248,'LPG Fup'!D:D,'LPG Fup'!L:L,"",0)&gt;0.03,_xlfn.XLOOKUP(A248,'LPG Fup'!D:D,'LPG Fup'!L:L,"",0)&lt;-0.03),_xlfn.XLOOKUP(A248,'LPG Fup'!D:D,'LPG Fup'!L:L,0,0),0)</f>
        <v>0</v>
      </c>
      <c r="H248">
        <f>IF(_xlfn.XLOOKUP(A248,'LPG Fup'!D:D,'LPG Fup'!M:M,0,0)="",0,_xlfn.XLOOKUP(A248,'LPG Fup'!D:D,'LPG Fup'!M:M,0,0))</f>
        <v>0</v>
      </c>
      <c r="I248" s="109">
        <f>_xlfn.XLOOKUP(A248,'Rafineri Fiyatları'!A:A,'Rafineri Fiyatları'!B:B,"",0)</f>
        <v>4467.26</v>
      </c>
      <c r="J248">
        <f t="shared" si="12"/>
        <v>2021</v>
      </c>
      <c r="K248">
        <f t="shared" si="13"/>
        <v>2</v>
      </c>
      <c r="L248">
        <f t="shared" si="14"/>
        <v>2</v>
      </c>
      <c r="M248">
        <f t="shared" si="15"/>
        <v>3</v>
      </c>
      <c r="N248">
        <f>_xlfn.XLOOKUP(A248,tatiller!H:H,tatiller!I:I,0,0)</f>
        <v>0</v>
      </c>
      <c r="O248" t="str" cm="1">
        <f t="array" ref="O248">_xlfn.IFNA(_xlfn.IFS(L248=1,"A0",A248=EOMONTH(A248,0),"A-1",L248=2,"A+1"),0)</f>
        <v>A+1</v>
      </c>
      <c r="P248" cm="1">
        <f t="array" ref="P248">_xlfn.IFNA(_xlfn.IFS(AND(_xlfn.XLOOKUP(A248,'LPG Fup'!D:D,'LPG Fup'!M:M,"",0)&lt;&gt;"",_xlfn.XLOOKUP(A248,'LPG Fup'!D:D,'LPG Fup'!M:M,"",0)&gt;0),"Z-1", AND(_xlfn.XLOOKUP(A248+1,'LPG Fup'!D:D,'LPG Fup'!M:M,"",0)&lt;&gt;"",_xlfn.XLOOKUP(A248+1,'LPG Fup'!D:D,'LPG Fup'!M:M,"",0)&gt;0),"Z-2", AND(_xlfn.XLOOKUP(A248-1,'LPG Fup'!D:D,'LPG Fup'!M:M,"",0)&lt;&gt;"",_xlfn.XLOOKUP(A248-1,'LPG Fup'!D:D,'LPG Fup'!M:M,"",0)&gt;0),"Z", AND(_xlfn.XLOOKUP(A248-2,'LPG Fup'!D:D,'LPG Fup'!M:M,"",0)&lt;&gt;"",_xlfn.XLOOKUP(A248-2,'LPG Fup'!D:D,'LPG Fup'!M:M,"",0)&gt;0),"Z+1"),0)</f>
        <v>0</v>
      </c>
      <c r="Q248" cm="1">
        <f t="array" ref="Q248">_xlfn.IFNA(_xlfn.IFS(AND(_xlfn.XLOOKUP(A248,'LPG Fup'!D:D,'LPG Fup'!M:M,"",0)&lt;&gt;"",_xlfn.XLOOKUP(A248,'LPG Fup'!D:D,'LPG Fup'!M:M,"",0)&lt;0),"I-1", AND(_xlfn.XLOOKUP(A248+1,'LPG Fup'!D:D,'LPG Fup'!M:M,"",0)&lt;&gt;"",_xlfn.XLOOKUP(A248+1,'LPG Fup'!D:D,'LPG Fup'!M:M,"",0)&lt;0),"I-2", AND(_xlfn.XLOOKUP(A248-1,'LPG Fup'!D:D,'LPG Fup'!M:M,"",0)&lt;&gt;"",_xlfn.XLOOKUP(A248-1,'LPG Fup'!D:D,'LPG Fup'!M:M,"",0)&lt;0),"I", AND(_xlfn.XLOOKUP(A248-2,'LPG Fup'!D:D,'LPG Fup'!M:M,"",0)&lt;&gt;"",_xlfn.XLOOKUP(A248-2,'LPG Fup'!D:D,'LPG Fup'!M:M,"",0)&lt;0),"I+1"),0)</f>
        <v>0</v>
      </c>
      <c r="R248">
        <f>_xlfn.XLOOKUP(A248,Covid!A:A,Covid!I:I,0,0)</f>
        <v>630</v>
      </c>
      <c r="S248">
        <f>_xlfn.XLOOKUP(A248,Covid!A:A,Covid!K:K,0,0)</f>
        <v>120</v>
      </c>
      <c r="T248" s="145">
        <f>_xlfn.XLOOKUP(A248,Covid!A:A,Covid!K:K,0,0)/_xlfn.XLOOKUP(A248,Covid!A:A,Covid!L:L,0,0)</f>
        <v>1.3890496585252923E-2</v>
      </c>
    </row>
    <row r="249" spans="1:20" x14ac:dyDescent="0.55000000000000004">
      <c r="A249" s="157">
        <v>44230</v>
      </c>
      <c r="B249" s="13">
        <v>895260</v>
      </c>
      <c r="C249" s="13">
        <v>367795</v>
      </c>
      <c r="D249" s="13">
        <v>6052</v>
      </c>
      <c r="E249" s="13">
        <v>390500</v>
      </c>
      <c r="F249" s="13">
        <v>1659607</v>
      </c>
      <c r="G249">
        <f>IF(OR(_xlfn.XLOOKUP(A249,'LPG Fup'!D:D,'LPG Fup'!L:L,"",0)&gt;0.03,_xlfn.XLOOKUP(A249,'LPG Fup'!D:D,'LPG Fup'!L:L,"",0)&lt;-0.03),_xlfn.XLOOKUP(A249,'LPG Fup'!D:D,'LPG Fup'!L:L,0,0),0)</f>
        <v>0</v>
      </c>
      <c r="H249">
        <f>IF(_xlfn.XLOOKUP(A249,'LPG Fup'!D:D,'LPG Fup'!M:M,0,0)="",0,_xlfn.XLOOKUP(A249,'LPG Fup'!D:D,'LPG Fup'!M:M,0,0))</f>
        <v>0</v>
      </c>
      <c r="I249" s="109">
        <f>_xlfn.XLOOKUP(A249,'Rafineri Fiyatları'!A:A,'Rafineri Fiyatları'!B:B,"",0)</f>
        <v>4467.26</v>
      </c>
      <c r="J249">
        <f t="shared" si="12"/>
        <v>2021</v>
      </c>
      <c r="K249">
        <f t="shared" si="13"/>
        <v>2</v>
      </c>
      <c r="L249">
        <f t="shared" si="14"/>
        <v>3</v>
      </c>
      <c r="M249">
        <f t="shared" si="15"/>
        <v>4</v>
      </c>
      <c r="N249">
        <f>_xlfn.XLOOKUP(A249,tatiller!H:H,tatiller!I:I,0,0)</f>
        <v>0</v>
      </c>
      <c r="O249" cm="1">
        <f t="array" ref="O249">_xlfn.IFNA(_xlfn.IFS(L249=1,"A0",A249=EOMONTH(A249,0),"A-1",L249=2,"A+1"),0)</f>
        <v>0</v>
      </c>
      <c r="P249" cm="1">
        <f t="array" ref="P249">_xlfn.IFNA(_xlfn.IFS(AND(_xlfn.XLOOKUP(A249,'LPG Fup'!D:D,'LPG Fup'!M:M,"",0)&lt;&gt;"",_xlfn.XLOOKUP(A249,'LPG Fup'!D:D,'LPG Fup'!M:M,"",0)&gt;0),"Z-1", AND(_xlfn.XLOOKUP(A249+1,'LPG Fup'!D:D,'LPG Fup'!M:M,"",0)&lt;&gt;"",_xlfn.XLOOKUP(A249+1,'LPG Fup'!D:D,'LPG Fup'!M:M,"",0)&gt;0),"Z-2", AND(_xlfn.XLOOKUP(A249-1,'LPG Fup'!D:D,'LPG Fup'!M:M,"",0)&lt;&gt;"",_xlfn.XLOOKUP(A249-1,'LPG Fup'!D:D,'LPG Fup'!M:M,"",0)&gt;0),"Z", AND(_xlfn.XLOOKUP(A249-2,'LPG Fup'!D:D,'LPG Fup'!M:M,"",0)&lt;&gt;"",_xlfn.XLOOKUP(A249-2,'LPG Fup'!D:D,'LPG Fup'!M:M,"",0)&gt;0),"Z+1"),0)</f>
        <v>0</v>
      </c>
      <c r="Q249" cm="1">
        <f t="array" ref="Q249">_xlfn.IFNA(_xlfn.IFS(AND(_xlfn.XLOOKUP(A249,'LPG Fup'!D:D,'LPG Fup'!M:M,"",0)&lt;&gt;"",_xlfn.XLOOKUP(A249,'LPG Fup'!D:D,'LPG Fup'!M:M,"",0)&lt;0),"I-1", AND(_xlfn.XLOOKUP(A249+1,'LPG Fup'!D:D,'LPG Fup'!M:M,"",0)&lt;&gt;"",_xlfn.XLOOKUP(A249+1,'LPG Fup'!D:D,'LPG Fup'!M:M,"",0)&lt;0),"I-2", AND(_xlfn.XLOOKUP(A249-1,'LPG Fup'!D:D,'LPG Fup'!M:M,"",0)&lt;&gt;"",_xlfn.XLOOKUP(A249-1,'LPG Fup'!D:D,'LPG Fup'!M:M,"",0)&lt;0),"I", AND(_xlfn.XLOOKUP(A249-2,'LPG Fup'!D:D,'LPG Fup'!M:M,"",0)&lt;&gt;"",_xlfn.XLOOKUP(A249-2,'LPG Fup'!D:D,'LPG Fup'!M:M,"",0)&lt;0),"I+1"),0)</f>
        <v>0</v>
      </c>
      <c r="R249">
        <f>_xlfn.XLOOKUP(A249,Covid!A:A,Covid!I:I,0,0)</f>
        <v>632</v>
      </c>
      <c r="S249">
        <f>_xlfn.XLOOKUP(A249,Covid!A:A,Covid!K:K,0,0)</f>
        <v>117</v>
      </c>
      <c r="T249" s="145">
        <f>_xlfn.XLOOKUP(A249,Covid!A:A,Covid!K:K,0,0)/_xlfn.XLOOKUP(A249,Covid!A:A,Covid!L:L,0,0)</f>
        <v>1.4072648544623527E-2</v>
      </c>
    </row>
    <row r="250" spans="1:20" x14ac:dyDescent="0.55000000000000004">
      <c r="A250" s="157">
        <v>44231</v>
      </c>
      <c r="B250" s="13">
        <v>968800</v>
      </c>
      <c r="C250" s="13">
        <v>334970</v>
      </c>
      <c r="D250" s="13">
        <v>8280</v>
      </c>
      <c r="E250" s="13">
        <v>421375</v>
      </c>
      <c r="F250" s="13">
        <v>3933994</v>
      </c>
      <c r="G250">
        <f>IF(OR(_xlfn.XLOOKUP(A250,'LPG Fup'!D:D,'LPG Fup'!L:L,"",0)&gt;0.03,_xlfn.XLOOKUP(A250,'LPG Fup'!D:D,'LPG Fup'!L:L,"",0)&lt;-0.03),_xlfn.XLOOKUP(A250,'LPG Fup'!D:D,'LPG Fup'!L:L,0,0),0)</f>
        <v>0</v>
      </c>
      <c r="H250">
        <f>IF(_xlfn.XLOOKUP(A250,'LPG Fup'!D:D,'LPG Fup'!M:M,0,0)="",0,_xlfn.XLOOKUP(A250,'LPG Fup'!D:D,'LPG Fup'!M:M,0,0))</f>
        <v>0</v>
      </c>
      <c r="I250" s="109">
        <f>_xlfn.XLOOKUP(A250,'Rafineri Fiyatları'!A:A,'Rafineri Fiyatları'!B:B,"",0)</f>
        <v>4467.26</v>
      </c>
      <c r="J250">
        <f t="shared" si="12"/>
        <v>2021</v>
      </c>
      <c r="K250">
        <f t="shared" si="13"/>
        <v>2</v>
      </c>
      <c r="L250">
        <f t="shared" si="14"/>
        <v>4</v>
      </c>
      <c r="M250">
        <f t="shared" si="15"/>
        <v>5</v>
      </c>
      <c r="N250">
        <f>_xlfn.XLOOKUP(A250,tatiller!H:H,tatiller!I:I,0,0)</f>
        <v>0</v>
      </c>
      <c r="O250" cm="1">
        <f t="array" ref="O250">_xlfn.IFNA(_xlfn.IFS(L250=1,"A0",A250=EOMONTH(A250,0),"A-1",L250=2,"A+1"),0)</f>
        <v>0</v>
      </c>
      <c r="P250" cm="1">
        <f t="array" ref="P250">_xlfn.IFNA(_xlfn.IFS(AND(_xlfn.XLOOKUP(A250,'LPG Fup'!D:D,'LPG Fup'!M:M,"",0)&lt;&gt;"",_xlfn.XLOOKUP(A250,'LPG Fup'!D:D,'LPG Fup'!M:M,"",0)&gt;0),"Z-1", AND(_xlfn.XLOOKUP(A250+1,'LPG Fup'!D:D,'LPG Fup'!M:M,"",0)&lt;&gt;"",_xlfn.XLOOKUP(A250+1,'LPG Fup'!D:D,'LPG Fup'!M:M,"",0)&gt;0),"Z-2", AND(_xlfn.XLOOKUP(A250-1,'LPG Fup'!D:D,'LPG Fup'!M:M,"",0)&lt;&gt;"",_xlfn.XLOOKUP(A250-1,'LPG Fup'!D:D,'LPG Fup'!M:M,"",0)&gt;0),"Z", AND(_xlfn.XLOOKUP(A250-2,'LPG Fup'!D:D,'LPG Fup'!M:M,"",0)&lt;&gt;"",_xlfn.XLOOKUP(A250-2,'LPG Fup'!D:D,'LPG Fup'!M:M,"",0)&gt;0),"Z+1"),0)</f>
        <v>0</v>
      </c>
      <c r="Q250" cm="1">
        <f t="array" ref="Q250">_xlfn.IFNA(_xlfn.IFS(AND(_xlfn.XLOOKUP(A250,'LPG Fup'!D:D,'LPG Fup'!M:M,"",0)&lt;&gt;"",_xlfn.XLOOKUP(A250,'LPG Fup'!D:D,'LPG Fup'!M:M,"",0)&lt;0),"I-1", AND(_xlfn.XLOOKUP(A250+1,'LPG Fup'!D:D,'LPG Fup'!M:M,"",0)&lt;&gt;"",_xlfn.XLOOKUP(A250+1,'LPG Fup'!D:D,'LPG Fup'!M:M,"",0)&lt;0),"I-2", AND(_xlfn.XLOOKUP(A250-1,'LPG Fup'!D:D,'LPG Fup'!M:M,"",0)&lt;&gt;"",_xlfn.XLOOKUP(A250-1,'LPG Fup'!D:D,'LPG Fup'!M:M,"",0)&lt;0),"I", AND(_xlfn.XLOOKUP(A250-2,'LPG Fup'!D:D,'LPG Fup'!M:M,"",0)&lt;&gt;"",_xlfn.XLOOKUP(A250-2,'LPG Fup'!D:D,'LPG Fup'!M:M,"",0)&lt;0),"I+1"),0)</f>
        <v>0</v>
      </c>
      <c r="R250">
        <f>_xlfn.XLOOKUP(A250,Covid!A:A,Covid!I:I,0,0)</f>
        <v>627</v>
      </c>
      <c r="S250">
        <f>_xlfn.XLOOKUP(A250,Covid!A:A,Covid!K:K,0,0)</f>
        <v>113</v>
      </c>
      <c r="T250" s="145">
        <f>_xlfn.XLOOKUP(A250,Covid!A:A,Covid!K:K,0,0)/_xlfn.XLOOKUP(A250,Covid!A:A,Covid!L:L,0,0)</f>
        <v>1.2819058423142371E-2</v>
      </c>
    </row>
    <row r="251" spans="1:20" x14ac:dyDescent="0.55000000000000004">
      <c r="A251" s="157">
        <v>44232</v>
      </c>
      <c r="B251" s="13">
        <v>908240</v>
      </c>
      <c r="C251" s="13">
        <v>330676</v>
      </c>
      <c r="D251" s="13">
        <v>10437</v>
      </c>
      <c r="E251" s="13">
        <v>438307</v>
      </c>
      <c r="F251" s="13">
        <v>7187636</v>
      </c>
      <c r="G251">
        <f>IF(OR(_xlfn.XLOOKUP(A251,'LPG Fup'!D:D,'LPG Fup'!L:L,"",0)&gt;0.03,_xlfn.XLOOKUP(A251,'LPG Fup'!D:D,'LPG Fup'!L:L,"",0)&lt;-0.03),_xlfn.XLOOKUP(A251,'LPG Fup'!D:D,'LPG Fup'!L:L,0,0),0)</f>
        <v>0</v>
      </c>
      <c r="H251">
        <f>IF(_xlfn.XLOOKUP(A251,'LPG Fup'!D:D,'LPG Fup'!M:M,0,0)="",0,_xlfn.XLOOKUP(A251,'LPG Fup'!D:D,'LPG Fup'!M:M,0,0))</f>
        <v>0</v>
      </c>
      <c r="I251" s="109">
        <f>_xlfn.XLOOKUP(A251,'Rafineri Fiyatları'!A:A,'Rafineri Fiyatları'!B:B,"",0)</f>
        <v>4467.26</v>
      </c>
      <c r="J251">
        <f t="shared" si="12"/>
        <v>2021</v>
      </c>
      <c r="K251">
        <f t="shared" si="13"/>
        <v>2</v>
      </c>
      <c r="L251">
        <f t="shared" si="14"/>
        <v>5</v>
      </c>
      <c r="M251">
        <f t="shared" si="15"/>
        <v>6</v>
      </c>
      <c r="N251">
        <f>_xlfn.XLOOKUP(A251,tatiller!H:H,tatiller!I:I,0,0)</f>
        <v>0</v>
      </c>
      <c r="O251" cm="1">
        <f t="array" ref="O251">_xlfn.IFNA(_xlfn.IFS(L251=1,"A0",A251=EOMONTH(A251,0),"A-1",L251=2,"A+1"),0)</f>
        <v>0</v>
      </c>
      <c r="P251" cm="1">
        <f t="array" ref="P251">_xlfn.IFNA(_xlfn.IFS(AND(_xlfn.XLOOKUP(A251,'LPG Fup'!D:D,'LPG Fup'!M:M,"",0)&lt;&gt;"",_xlfn.XLOOKUP(A251,'LPG Fup'!D:D,'LPG Fup'!M:M,"",0)&gt;0),"Z-1", AND(_xlfn.XLOOKUP(A251+1,'LPG Fup'!D:D,'LPG Fup'!M:M,"",0)&lt;&gt;"",_xlfn.XLOOKUP(A251+1,'LPG Fup'!D:D,'LPG Fup'!M:M,"",0)&gt;0),"Z-2", AND(_xlfn.XLOOKUP(A251-1,'LPG Fup'!D:D,'LPG Fup'!M:M,"",0)&lt;&gt;"",_xlfn.XLOOKUP(A251-1,'LPG Fup'!D:D,'LPG Fup'!M:M,"",0)&gt;0),"Z", AND(_xlfn.XLOOKUP(A251-2,'LPG Fup'!D:D,'LPG Fup'!M:M,"",0)&lt;&gt;"",_xlfn.XLOOKUP(A251-2,'LPG Fup'!D:D,'LPG Fup'!M:M,"",0)&gt;0),"Z+1"),0)</f>
        <v>0</v>
      </c>
      <c r="Q251" cm="1">
        <f t="array" ref="Q251">_xlfn.IFNA(_xlfn.IFS(AND(_xlfn.XLOOKUP(A251,'LPG Fup'!D:D,'LPG Fup'!M:M,"",0)&lt;&gt;"",_xlfn.XLOOKUP(A251,'LPG Fup'!D:D,'LPG Fup'!M:M,"",0)&lt;0),"I-1", AND(_xlfn.XLOOKUP(A251+1,'LPG Fup'!D:D,'LPG Fup'!M:M,"",0)&lt;&gt;"",_xlfn.XLOOKUP(A251+1,'LPG Fup'!D:D,'LPG Fup'!M:M,"",0)&lt;0),"I-2", AND(_xlfn.XLOOKUP(A251-1,'LPG Fup'!D:D,'LPG Fup'!M:M,"",0)&lt;&gt;"",_xlfn.XLOOKUP(A251-1,'LPG Fup'!D:D,'LPG Fup'!M:M,"",0)&lt;0),"I", AND(_xlfn.XLOOKUP(A251-2,'LPG Fup'!D:D,'LPG Fup'!M:M,"",0)&lt;&gt;"",_xlfn.XLOOKUP(A251-2,'LPG Fup'!D:D,'LPG Fup'!M:M,"",0)&lt;0),"I+1"),0)</f>
        <v>0</v>
      </c>
      <c r="R251">
        <f>_xlfn.XLOOKUP(A251,Covid!A:A,Covid!I:I,0,0)</f>
        <v>620</v>
      </c>
      <c r="S251">
        <f>_xlfn.XLOOKUP(A251,Covid!A:A,Covid!K:K,0,0)</f>
        <v>110</v>
      </c>
      <c r="T251" s="145">
        <f>_xlfn.XLOOKUP(A251,Covid!A:A,Covid!K:K,0,0)/_xlfn.XLOOKUP(A251,Covid!A:A,Covid!L:L,0,0)</f>
        <v>1.3386880856760375E-2</v>
      </c>
    </row>
    <row r="252" spans="1:20" x14ac:dyDescent="0.55000000000000004">
      <c r="A252" s="157">
        <v>44233</v>
      </c>
      <c r="B252" s="13">
        <v>704320</v>
      </c>
      <c r="C252" s="13">
        <v>273065</v>
      </c>
      <c r="D252" s="13">
        <v>3830</v>
      </c>
      <c r="E252" s="13">
        <v>297947</v>
      </c>
      <c r="F252" s="13">
        <v>1279162</v>
      </c>
      <c r="G252">
        <f>IF(OR(_xlfn.XLOOKUP(A252,'LPG Fup'!D:D,'LPG Fup'!L:L,"",0)&gt;0.03,_xlfn.XLOOKUP(A252,'LPG Fup'!D:D,'LPG Fup'!L:L,"",0)&lt;-0.03),_xlfn.XLOOKUP(A252,'LPG Fup'!D:D,'LPG Fup'!L:L,0,0),0)</f>
        <v>0</v>
      </c>
      <c r="H252">
        <f>IF(_xlfn.XLOOKUP(A252,'LPG Fup'!D:D,'LPG Fup'!M:M,0,0)="",0,_xlfn.XLOOKUP(A252,'LPG Fup'!D:D,'LPG Fup'!M:M,0,0))</f>
        <v>0</v>
      </c>
      <c r="I252" s="109">
        <f>_xlfn.XLOOKUP(A252,'Rafineri Fiyatları'!A:A,'Rafineri Fiyatları'!B:B,"",0)</f>
        <v>4467.26</v>
      </c>
      <c r="J252">
        <f t="shared" si="12"/>
        <v>2021</v>
      </c>
      <c r="K252">
        <f t="shared" si="13"/>
        <v>2</v>
      </c>
      <c r="L252">
        <f t="shared" si="14"/>
        <v>6</v>
      </c>
      <c r="M252">
        <f t="shared" si="15"/>
        <v>7</v>
      </c>
      <c r="N252">
        <f>_xlfn.XLOOKUP(A252,tatiller!H:H,tatiller!I:I,0,0)</f>
        <v>0</v>
      </c>
      <c r="O252" cm="1">
        <f t="array" ref="O252">_xlfn.IFNA(_xlfn.IFS(L252=1,"A0",A252=EOMONTH(A252,0),"A-1",L252=2,"A+1"),0)</f>
        <v>0</v>
      </c>
      <c r="P252" cm="1">
        <f t="array" ref="P252">_xlfn.IFNA(_xlfn.IFS(AND(_xlfn.XLOOKUP(A252,'LPG Fup'!D:D,'LPG Fup'!M:M,"",0)&lt;&gt;"",_xlfn.XLOOKUP(A252,'LPG Fup'!D:D,'LPG Fup'!M:M,"",0)&gt;0),"Z-1", AND(_xlfn.XLOOKUP(A252+1,'LPG Fup'!D:D,'LPG Fup'!M:M,"",0)&lt;&gt;"",_xlfn.XLOOKUP(A252+1,'LPG Fup'!D:D,'LPG Fup'!M:M,"",0)&gt;0),"Z-2", AND(_xlfn.XLOOKUP(A252-1,'LPG Fup'!D:D,'LPG Fup'!M:M,"",0)&lt;&gt;"",_xlfn.XLOOKUP(A252-1,'LPG Fup'!D:D,'LPG Fup'!M:M,"",0)&gt;0),"Z", AND(_xlfn.XLOOKUP(A252-2,'LPG Fup'!D:D,'LPG Fup'!M:M,"",0)&lt;&gt;"",_xlfn.XLOOKUP(A252-2,'LPG Fup'!D:D,'LPG Fup'!M:M,"",0)&gt;0),"Z+1"),0)</f>
        <v>0</v>
      </c>
      <c r="Q252" cm="1">
        <f t="array" ref="Q252">_xlfn.IFNA(_xlfn.IFS(AND(_xlfn.XLOOKUP(A252,'LPG Fup'!D:D,'LPG Fup'!M:M,"",0)&lt;&gt;"",_xlfn.XLOOKUP(A252,'LPG Fup'!D:D,'LPG Fup'!M:M,"",0)&lt;0),"I-1", AND(_xlfn.XLOOKUP(A252+1,'LPG Fup'!D:D,'LPG Fup'!M:M,"",0)&lt;&gt;"",_xlfn.XLOOKUP(A252+1,'LPG Fup'!D:D,'LPG Fup'!M:M,"",0)&lt;0),"I-2", AND(_xlfn.XLOOKUP(A252-1,'LPG Fup'!D:D,'LPG Fup'!M:M,"",0)&lt;&gt;"",_xlfn.XLOOKUP(A252-1,'LPG Fup'!D:D,'LPG Fup'!M:M,"",0)&lt;0),"I", AND(_xlfn.XLOOKUP(A252-2,'LPG Fup'!D:D,'LPG Fup'!M:M,"",0)&lt;&gt;"",_xlfn.XLOOKUP(A252-2,'LPG Fup'!D:D,'LPG Fup'!M:M,"",0)&lt;0),"I+1"),0)</f>
        <v>0</v>
      </c>
      <c r="R252">
        <f>_xlfn.XLOOKUP(A252,Covid!A:A,Covid!I:I,0,0)</f>
        <v>618</v>
      </c>
      <c r="S252">
        <f>_xlfn.XLOOKUP(A252,Covid!A:A,Covid!K:K,0,0)</f>
        <v>108</v>
      </c>
      <c r="T252" s="145">
        <f>_xlfn.XLOOKUP(A252,Covid!A:A,Covid!K:K,0,0)/_xlfn.XLOOKUP(A252,Covid!A:A,Covid!L:L,0,0)</f>
        <v>1.3351464952404499E-2</v>
      </c>
    </row>
    <row r="253" spans="1:20" x14ac:dyDescent="0.55000000000000004">
      <c r="A253" s="157">
        <v>44234</v>
      </c>
      <c r="B253" s="13">
        <v>461720</v>
      </c>
      <c r="C253" s="13">
        <v>0</v>
      </c>
      <c r="D253" s="13">
        <v>0</v>
      </c>
      <c r="E253" s="13">
        <v>110991</v>
      </c>
      <c r="F253" s="13">
        <v>572711</v>
      </c>
      <c r="G253">
        <f>IF(OR(_xlfn.XLOOKUP(A253,'LPG Fup'!D:D,'LPG Fup'!L:L,"",0)&gt;0.03,_xlfn.XLOOKUP(A253,'LPG Fup'!D:D,'LPG Fup'!L:L,"",0)&lt;-0.03),_xlfn.XLOOKUP(A253,'LPG Fup'!D:D,'LPG Fup'!L:L,0,0),0)</f>
        <v>0</v>
      </c>
      <c r="H253">
        <f>IF(_xlfn.XLOOKUP(A253,'LPG Fup'!D:D,'LPG Fup'!M:M,0,0)="",0,_xlfn.XLOOKUP(A253,'LPG Fup'!D:D,'LPG Fup'!M:M,0,0))</f>
        <v>0</v>
      </c>
      <c r="I253" s="109">
        <f>_xlfn.XLOOKUP(A253,'Rafineri Fiyatları'!A:A,'Rafineri Fiyatları'!B:B,"",0)</f>
        <v>4467.26</v>
      </c>
      <c r="J253">
        <f t="shared" si="12"/>
        <v>2021</v>
      </c>
      <c r="K253">
        <f t="shared" si="13"/>
        <v>2</v>
      </c>
      <c r="L253">
        <f t="shared" si="14"/>
        <v>7</v>
      </c>
      <c r="M253">
        <f t="shared" si="15"/>
        <v>1</v>
      </c>
      <c r="N253">
        <f>_xlfn.XLOOKUP(A253,tatiller!H:H,tatiller!I:I,0,0)</f>
        <v>0</v>
      </c>
      <c r="O253" cm="1">
        <f t="array" ref="O253">_xlfn.IFNA(_xlfn.IFS(L253=1,"A0",A253=EOMONTH(A253,0),"A-1",L253=2,"A+1"),0)</f>
        <v>0</v>
      </c>
      <c r="P253" cm="1">
        <f t="array" ref="P253">_xlfn.IFNA(_xlfn.IFS(AND(_xlfn.XLOOKUP(A253,'LPG Fup'!D:D,'LPG Fup'!M:M,"",0)&lt;&gt;"",_xlfn.XLOOKUP(A253,'LPG Fup'!D:D,'LPG Fup'!M:M,"",0)&gt;0),"Z-1", AND(_xlfn.XLOOKUP(A253+1,'LPG Fup'!D:D,'LPG Fup'!M:M,"",0)&lt;&gt;"",_xlfn.XLOOKUP(A253+1,'LPG Fup'!D:D,'LPG Fup'!M:M,"",0)&gt;0),"Z-2", AND(_xlfn.XLOOKUP(A253-1,'LPG Fup'!D:D,'LPG Fup'!M:M,"",0)&lt;&gt;"",_xlfn.XLOOKUP(A253-1,'LPG Fup'!D:D,'LPG Fup'!M:M,"",0)&gt;0),"Z", AND(_xlfn.XLOOKUP(A253-2,'LPG Fup'!D:D,'LPG Fup'!M:M,"",0)&lt;&gt;"",_xlfn.XLOOKUP(A253-2,'LPG Fup'!D:D,'LPG Fup'!M:M,"",0)&gt;0),"Z+1"),0)</f>
        <v>0</v>
      </c>
      <c r="Q253" cm="1">
        <f t="array" ref="Q253">_xlfn.IFNA(_xlfn.IFS(AND(_xlfn.XLOOKUP(A253,'LPG Fup'!D:D,'LPG Fup'!M:M,"",0)&lt;&gt;"",_xlfn.XLOOKUP(A253,'LPG Fup'!D:D,'LPG Fup'!M:M,"",0)&lt;0),"I-1", AND(_xlfn.XLOOKUP(A253+1,'LPG Fup'!D:D,'LPG Fup'!M:M,"",0)&lt;&gt;"",_xlfn.XLOOKUP(A253+1,'LPG Fup'!D:D,'LPG Fup'!M:M,"",0)&lt;0),"I-2", AND(_xlfn.XLOOKUP(A253-1,'LPG Fup'!D:D,'LPG Fup'!M:M,"",0)&lt;&gt;"",_xlfn.XLOOKUP(A253-1,'LPG Fup'!D:D,'LPG Fup'!M:M,"",0)&lt;0),"I", AND(_xlfn.XLOOKUP(A253-2,'LPG Fup'!D:D,'LPG Fup'!M:M,"",0)&lt;&gt;"",_xlfn.XLOOKUP(A253-2,'LPG Fup'!D:D,'LPG Fup'!M:M,"",0)&lt;0),"I+1"),0)</f>
        <v>0</v>
      </c>
      <c r="R253">
        <f>_xlfn.XLOOKUP(A253,Covid!A:A,Covid!I:I,0,0)</f>
        <v>623</v>
      </c>
      <c r="S253">
        <f>_xlfn.XLOOKUP(A253,Covid!A:A,Covid!K:K,0,0)</f>
        <v>112</v>
      </c>
      <c r="T253" s="145">
        <f>_xlfn.XLOOKUP(A253,Covid!A:A,Covid!K:K,0,0)/_xlfn.XLOOKUP(A253,Covid!A:A,Covid!L:L,0,0)</f>
        <v>1.3656871113278868E-2</v>
      </c>
    </row>
    <row r="254" spans="1:20" x14ac:dyDescent="0.55000000000000004">
      <c r="A254" s="157">
        <v>44235</v>
      </c>
      <c r="B254" s="13">
        <v>791860</v>
      </c>
      <c r="C254" s="13">
        <v>376087</v>
      </c>
      <c r="D254" s="13">
        <v>8151</v>
      </c>
      <c r="E254" s="13">
        <v>452312</v>
      </c>
      <c r="F254" s="13">
        <v>1628410</v>
      </c>
      <c r="G254">
        <f>IF(OR(_xlfn.XLOOKUP(A254,'LPG Fup'!D:D,'LPG Fup'!L:L,"",0)&gt;0.03,_xlfn.XLOOKUP(A254,'LPG Fup'!D:D,'LPG Fup'!L:L,"",0)&lt;-0.03),_xlfn.XLOOKUP(A254,'LPG Fup'!D:D,'LPG Fup'!L:L,0,0),0)</f>
        <v>0</v>
      </c>
      <c r="H254">
        <f>IF(_xlfn.XLOOKUP(A254,'LPG Fup'!D:D,'LPG Fup'!M:M,0,0)="",0,_xlfn.XLOOKUP(A254,'LPG Fup'!D:D,'LPG Fup'!M:M,0,0))</f>
        <v>0</v>
      </c>
      <c r="I254" s="109">
        <f>_xlfn.XLOOKUP(A254,'Rafineri Fiyatları'!A:A,'Rafineri Fiyatları'!B:B,"",0)</f>
        <v>4467.26</v>
      </c>
      <c r="J254">
        <f t="shared" si="12"/>
        <v>2021</v>
      </c>
      <c r="K254">
        <f t="shared" si="13"/>
        <v>2</v>
      </c>
      <c r="L254">
        <f t="shared" si="14"/>
        <v>8</v>
      </c>
      <c r="M254">
        <f t="shared" si="15"/>
        <v>2</v>
      </c>
      <c r="N254">
        <f>_xlfn.XLOOKUP(A254,tatiller!H:H,tatiller!I:I,0,0)</f>
        <v>0</v>
      </c>
      <c r="O254" cm="1">
        <f t="array" ref="O254">_xlfn.IFNA(_xlfn.IFS(L254=1,"A0",A254=EOMONTH(A254,0),"A-1",L254=2,"A+1"),0)</f>
        <v>0</v>
      </c>
      <c r="P254" cm="1">
        <f t="array" ref="P254">_xlfn.IFNA(_xlfn.IFS(AND(_xlfn.XLOOKUP(A254,'LPG Fup'!D:D,'LPG Fup'!M:M,"",0)&lt;&gt;"",_xlfn.XLOOKUP(A254,'LPG Fup'!D:D,'LPG Fup'!M:M,"",0)&gt;0),"Z-1", AND(_xlfn.XLOOKUP(A254+1,'LPG Fup'!D:D,'LPG Fup'!M:M,"",0)&lt;&gt;"",_xlfn.XLOOKUP(A254+1,'LPG Fup'!D:D,'LPG Fup'!M:M,"",0)&gt;0),"Z-2", AND(_xlfn.XLOOKUP(A254-1,'LPG Fup'!D:D,'LPG Fup'!M:M,"",0)&lt;&gt;"",_xlfn.XLOOKUP(A254-1,'LPG Fup'!D:D,'LPG Fup'!M:M,"",0)&gt;0),"Z", AND(_xlfn.XLOOKUP(A254-2,'LPG Fup'!D:D,'LPG Fup'!M:M,"",0)&lt;&gt;"",_xlfn.XLOOKUP(A254-2,'LPG Fup'!D:D,'LPG Fup'!M:M,"",0)&gt;0),"Z+1"),0)</f>
        <v>0</v>
      </c>
      <c r="Q254" cm="1">
        <f t="array" ref="Q254">_xlfn.IFNA(_xlfn.IFS(AND(_xlfn.XLOOKUP(A254,'LPG Fup'!D:D,'LPG Fup'!M:M,"",0)&lt;&gt;"",_xlfn.XLOOKUP(A254,'LPG Fup'!D:D,'LPG Fup'!M:M,"",0)&lt;0),"I-1", AND(_xlfn.XLOOKUP(A254+1,'LPG Fup'!D:D,'LPG Fup'!M:M,"",0)&lt;&gt;"",_xlfn.XLOOKUP(A254+1,'LPG Fup'!D:D,'LPG Fup'!M:M,"",0)&lt;0),"I-2", AND(_xlfn.XLOOKUP(A254-1,'LPG Fup'!D:D,'LPG Fup'!M:M,"",0)&lt;&gt;"",_xlfn.XLOOKUP(A254-1,'LPG Fup'!D:D,'LPG Fup'!M:M,"",0)&lt;0),"I", AND(_xlfn.XLOOKUP(A254-2,'LPG Fup'!D:D,'LPG Fup'!M:M,"",0)&lt;&gt;"",_xlfn.XLOOKUP(A254-2,'LPG Fup'!D:D,'LPG Fup'!M:M,"",0)&lt;0),"I+1"),0)</f>
        <v>0</v>
      </c>
      <c r="R254">
        <f>_xlfn.XLOOKUP(A254,Covid!A:A,Covid!I:I,0,0)</f>
        <v>632</v>
      </c>
      <c r="S254">
        <f>_xlfn.XLOOKUP(A254,Covid!A:A,Covid!K:K,0,0)</f>
        <v>103</v>
      </c>
      <c r="T254" s="145">
        <f>_xlfn.XLOOKUP(A254,Covid!A:A,Covid!K:K,0,0)/_xlfn.XLOOKUP(A254,Covid!A:A,Covid!L:L,0,0)</f>
        <v>1.2022878487218397E-2</v>
      </c>
    </row>
    <row r="255" spans="1:20" x14ac:dyDescent="0.55000000000000004">
      <c r="A255" s="157">
        <v>44236</v>
      </c>
      <c r="B255" s="13">
        <v>794760</v>
      </c>
      <c r="C255" s="13">
        <v>371356</v>
      </c>
      <c r="D255" s="13">
        <v>24504</v>
      </c>
      <c r="E255" s="13">
        <v>479527</v>
      </c>
      <c r="F255" s="13">
        <v>1670147</v>
      </c>
      <c r="G255">
        <f>IF(OR(_xlfn.XLOOKUP(A255,'LPG Fup'!D:D,'LPG Fup'!L:L,"",0)&gt;0.03,_xlfn.XLOOKUP(A255,'LPG Fup'!D:D,'LPG Fup'!L:L,"",0)&lt;-0.03),_xlfn.XLOOKUP(A255,'LPG Fup'!D:D,'LPG Fup'!L:L,0,0),0)</f>
        <v>0</v>
      </c>
      <c r="H255">
        <f>IF(_xlfn.XLOOKUP(A255,'LPG Fup'!D:D,'LPG Fup'!M:M,0,0)="",0,_xlfn.XLOOKUP(A255,'LPG Fup'!D:D,'LPG Fup'!M:M,0,0))</f>
        <v>0</v>
      </c>
      <c r="I255" s="109">
        <f>_xlfn.XLOOKUP(A255,'Rafineri Fiyatları'!A:A,'Rafineri Fiyatları'!B:B,"",0)</f>
        <v>4467.26</v>
      </c>
      <c r="J255">
        <f t="shared" si="12"/>
        <v>2021</v>
      </c>
      <c r="K255">
        <f t="shared" si="13"/>
        <v>2</v>
      </c>
      <c r="L255">
        <f t="shared" si="14"/>
        <v>9</v>
      </c>
      <c r="M255">
        <f t="shared" si="15"/>
        <v>3</v>
      </c>
      <c r="N255">
        <f>_xlfn.XLOOKUP(A255,tatiller!H:H,tatiller!I:I,0,0)</f>
        <v>0</v>
      </c>
      <c r="O255" cm="1">
        <f t="array" ref="O255">_xlfn.IFNA(_xlfn.IFS(L255=1,"A0",A255=EOMONTH(A255,0),"A-1",L255=2,"A+1"),0)</f>
        <v>0</v>
      </c>
      <c r="P255" cm="1">
        <f t="array" ref="P255">_xlfn.IFNA(_xlfn.IFS(AND(_xlfn.XLOOKUP(A255,'LPG Fup'!D:D,'LPG Fup'!M:M,"",0)&lt;&gt;"",_xlfn.XLOOKUP(A255,'LPG Fup'!D:D,'LPG Fup'!M:M,"",0)&gt;0),"Z-1", AND(_xlfn.XLOOKUP(A255+1,'LPG Fup'!D:D,'LPG Fup'!M:M,"",0)&lt;&gt;"",_xlfn.XLOOKUP(A255+1,'LPG Fup'!D:D,'LPG Fup'!M:M,"",0)&gt;0),"Z-2", AND(_xlfn.XLOOKUP(A255-1,'LPG Fup'!D:D,'LPG Fup'!M:M,"",0)&lt;&gt;"",_xlfn.XLOOKUP(A255-1,'LPG Fup'!D:D,'LPG Fup'!M:M,"",0)&gt;0),"Z", AND(_xlfn.XLOOKUP(A255-2,'LPG Fup'!D:D,'LPG Fup'!M:M,"",0)&lt;&gt;"",_xlfn.XLOOKUP(A255-2,'LPG Fup'!D:D,'LPG Fup'!M:M,"",0)&gt;0),"Z+1"),0)</f>
        <v>0</v>
      </c>
      <c r="Q255" cm="1">
        <f t="array" ref="Q255">_xlfn.IFNA(_xlfn.IFS(AND(_xlfn.XLOOKUP(A255,'LPG Fup'!D:D,'LPG Fup'!M:M,"",0)&lt;&gt;"",_xlfn.XLOOKUP(A255,'LPG Fup'!D:D,'LPG Fup'!M:M,"",0)&lt;0),"I-1", AND(_xlfn.XLOOKUP(A255+1,'LPG Fup'!D:D,'LPG Fup'!M:M,"",0)&lt;&gt;"",_xlfn.XLOOKUP(A255+1,'LPG Fup'!D:D,'LPG Fup'!M:M,"",0)&lt;0),"I-2", AND(_xlfn.XLOOKUP(A255-1,'LPG Fup'!D:D,'LPG Fup'!M:M,"",0)&lt;&gt;"",_xlfn.XLOOKUP(A255-1,'LPG Fup'!D:D,'LPG Fup'!M:M,"",0)&lt;0),"I", AND(_xlfn.XLOOKUP(A255-2,'LPG Fup'!D:D,'LPG Fup'!M:M,"",0)&lt;&gt;"",_xlfn.XLOOKUP(A255-2,'LPG Fup'!D:D,'LPG Fup'!M:M,"",0)&lt;0),"I+1"),0)</f>
        <v>0</v>
      </c>
      <c r="R255">
        <f>_xlfn.XLOOKUP(A255,Covid!A:A,Covid!I:I,0,0)</f>
        <v>659</v>
      </c>
      <c r="S255">
        <f>_xlfn.XLOOKUP(A255,Covid!A:A,Covid!K:K,0,0)</f>
        <v>98</v>
      </c>
      <c r="T255" s="145">
        <f>_xlfn.XLOOKUP(A255,Covid!A:A,Covid!K:K,0,0)/_xlfn.XLOOKUP(A255,Covid!A:A,Covid!L:L,0,0)</f>
        <v>1.2085337279565914E-2</v>
      </c>
    </row>
    <row r="256" spans="1:20" x14ac:dyDescent="0.55000000000000004">
      <c r="A256" s="157">
        <v>44237</v>
      </c>
      <c r="B256" s="13">
        <v>824000</v>
      </c>
      <c r="C256" s="13">
        <v>370538</v>
      </c>
      <c r="D256" s="13">
        <v>14004</v>
      </c>
      <c r="E256" s="13">
        <v>410433</v>
      </c>
      <c r="F256" s="13">
        <v>1618975</v>
      </c>
      <c r="G256">
        <f>IF(OR(_xlfn.XLOOKUP(A256,'LPG Fup'!D:D,'LPG Fup'!L:L,"",0)&gt;0.03,_xlfn.XLOOKUP(A256,'LPG Fup'!D:D,'LPG Fup'!L:L,"",0)&lt;-0.03),_xlfn.XLOOKUP(A256,'LPG Fup'!D:D,'LPG Fup'!L:L,0,0),0)</f>
        <v>0</v>
      </c>
      <c r="H256">
        <f>IF(_xlfn.XLOOKUP(A256,'LPG Fup'!D:D,'LPG Fup'!M:M,0,0)="",0,_xlfn.XLOOKUP(A256,'LPG Fup'!D:D,'LPG Fup'!M:M,0,0))</f>
        <v>0</v>
      </c>
      <c r="I256" s="109">
        <f>_xlfn.XLOOKUP(A256,'Rafineri Fiyatları'!A:A,'Rafineri Fiyatları'!B:B,"",0)</f>
        <v>4467.26</v>
      </c>
      <c r="J256">
        <f t="shared" si="12"/>
        <v>2021</v>
      </c>
      <c r="K256">
        <f t="shared" si="13"/>
        <v>2</v>
      </c>
      <c r="L256">
        <f t="shared" si="14"/>
        <v>10</v>
      </c>
      <c r="M256">
        <f t="shared" si="15"/>
        <v>4</v>
      </c>
      <c r="N256">
        <f>_xlfn.XLOOKUP(A256,tatiller!H:H,tatiller!I:I,0,0)</f>
        <v>0</v>
      </c>
      <c r="O256" cm="1">
        <f t="array" ref="O256">_xlfn.IFNA(_xlfn.IFS(L256=1,"A0",A256=EOMONTH(A256,0),"A-1",L256=2,"A+1"),0)</f>
        <v>0</v>
      </c>
      <c r="P256" cm="1">
        <f t="array" ref="P256">_xlfn.IFNA(_xlfn.IFS(AND(_xlfn.XLOOKUP(A256,'LPG Fup'!D:D,'LPG Fup'!M:M,"",0)&lt;&gt;"",_xlfn.XLOOKUP(A256,'LPG Fup'!D:D,'LPG Fup'!M:M,"",0)&gt;0),"Z-1", AND(_xlfn.XLOOKUP(A256+1,'LPG Fup'!D:D,'LPG Fup'!M:M,"",0)&lt;&gt;"",_xlfn.XLOOKUP(A256+1,'LPG Fup'!D:D,'LPG Fup'!M:M,"",0)&gt;0),"Z-2", AND(_xlfn.XLOOKUP(A256-1,'LPG Fup'!D:D,'LPG Fup'!M:M,"",0)&lt;&gt;"",_xlfn.XLOOKUP(A256-1,'LPG Fup'!D:D,'LPG Fup'!M:M,"",0)&gt;0),"Z", AND(_xlfn.XLOOKUP(A256-2,'LPG Fup'!D:D,'LPG Fup'!M:M,"",0)&lt;&gt;"",_xlfn.XLOOKUP(A256-2,'LPG Fup'!D:D,'LPG Fup'!M:M,"",0)&gt;0),"Z+1"),0)</f>
        <v>0</v>
      </c>
      <c r="Q256" cm="1">
        <f t="array" ref="Q256">_xlfn.IFNA(_xlfn.IFS(AND(_xlfn.XLOOKUP(A256,'LPG Fup'!D:D,'LPG Fup'!M:M,"",0)&lt;&gt;"",_xlfn.XLOOKUP(A256,'LPG Fup'!D:D,'LPG Fup'!M:M,"",0)&lt;0),"I-1", AND(_xlfn.XLOOKUP(A256+1,'LPG Fup'!D:D,'LPG Fup'!M:M,"",0)&lt;&gt;"",_xlfn.XLOOKUP(A256+1,'LPG Fup'!D:D,'LPG Fup'!M:M,"",0)&lt;0),"I-2", AND(_xlfn.XLOOKUP(A256-1,'LPG Fup'!D:D,'LPG Fup'!M:M,"",0)&lt;&gt;"",_xlfn.XLOOKUP(A256-1,'LPG Fup'!D:D,'LPG Fup'!M:M,"",0)&lt;0),"I", AND(_xlfn.XLOOKUP(A256-2,'LPG Fup'!D:D,'LPG Fup'!M:M,"",0)&lt;&gt;"",_xlfn.XLOOKUP(A256-2,'LPG Fup'!D:D,'LPG Fup'!M:M,"",0)&lt;0),"I+1"),0)</f>
        <v>0</v>
      </c>
      <c r="R256">
        <f>_xlfn.XLOOKUP(A256,Covid!A:A,Covid!I:I,0,0)</f>
        <v>664</v>
      </c>
      <c r="S256">
        <f>_xlfn.XLOOKUP(A256,Covid!A:A,Covid!K:K,0,0)</f>
        <v>95</v>
      </c>
      <c r="T256" s="145">
        <f>_xlfn.XLOOKUP(A256,Covid!A:A,Covid!K:K,0,0)/_xlfn.XLOOKUP(A256,Covid!A:A,Covid!L:L,0,0)</f>
        <v>1.2020751613311401E-2</v>
      </c>
    </row>
    <row r="257" spans="1:20" x14ac:dyDescent="0.55000000000000004">
      <c r="A257" s="157">
        <v>44238</v>
      </c>
      <c r="B257" s="13">
        <v>870880</v>
      </c>
      <c r="C257" s="13">
        <v>365831</v>
      </c>
      <c r="D257" s="13">
        <v>9885</v>
      </c>
      <c r="E257" s="13">
        <v>469727</v>
      </c>
      <c r="F257" s="13">
        <v>3916246</v>
      </c>
      <c r="G257">
        <f>IF(OR(_xlfn.XLOOKUP(A257,'LPG Fup'!D:D,'LPG Fup'!L:L,"",0)&gt;0.03,_xlfn.XLOOKUP(A257,'LPG Fup'!D:D,'LPG Fup'!L:L,"",0)&lt;-0.03),_xlfn.XLOOKUP(A257,'LPG Fup'!D:D,'LPG Fup'!L:L,0,0),0)</f>
        <v>0</v>
      </c>
      <c r="H257">
        <f>IF(_xlfn.XLOOKUP(A257,'LPG Fup'!D:D,'LPG Fup'!M:M,0,0)="",0,_xlfn.XLOOKUP(A257,'LPG Fup'!D:D,'LPG Fup'!M:M,0,0))</f>
        <v>0</v>
      </c>
      <c r="I257" s="109">
        <f>_xlfn.XLOOKUP(A257,'Rafineri Fiyatları'!A:A,'Rafineri Fiyatları'!B:B,"",0)</f>
        <v>4467.26</v>
      </c>
      <c r="J257">
        <f t="shared" si="12"/>
        <v>2021</v>
      </c>
      <c r="K257">
        <f t="shared" si="13"/>
        <v>2</v>
      </c>
      <c r="L257">
        <f t="shared" si="14"/>
        <v>11</v>
      </c>
      <c r="M257">
        <f t="shared" si="15"/>
        <v>5</v>
      </c>
      <c r="N257">
        <f>_xlfn.XLOOKUP(A257,tatiller!H:H,tatiller!I:I,0,0)</f>
        <v>0</v>
      </c>
      <c r="O257" cm="1">
        <f t="array" ref="O257">_xlfn.IFNA(_xlfn.IFS(L257=1,"A0",A257=EOMONTH(A257,0),"A-1",L257=2,"A+1"),0)</f>
        <v>0</v>
      </c>
      <c r="P257" cm="1">
        <f t="array" ref="P257">_xlfn.IFNA(_xlfn.IFS(AND(_xlfn.XLOOKUP(A257,'LPG Fup'!D:D,'LPG Fup'!M:M,"",0)&lt;&gt;"",_xlfn.XLOOKUP(A257,'LPG Fup'!D:D,'LPG Fup'!M:M,"",0)&gt;0),"Z-1", AND(_xlfn.XLOOKUP(A257+1,'LPG Fup'!D:D,'LPG Fup'!M:M,"",0)&lt;&gt;"",_xlfn.XLOOKUP(A257+1,'LPG Fup'!D:D,'LPG Fup'!M:M,"",0)&gt;0),"Z-2", AND(_xlfn.XLOOKUP(A257-1,'LPG Fup'!D:D,'LPG Fup'!M:M,"",0)&lt;&gt;"",_xlfn.XLOOKUP(A257-1,'LPG Fup'!D:D,'LPG Fup'!M:M,"",0)&gt;0),"Z", AND(_xlfn.XLOOKUP(A257-2,'LPG Fup'!D:D,'LPG Fup'!M:M,"",0)&lt;&gt;"",_xlfn.XLOOKUP(A257-2,'LPG Fup'!D:D,'LPG Fup'!M:M,"",0)&gt;0),"Z+1"),0)</f>
        <v>0</v>
      </c>
      <c r="Q257" cm="1">
        <f t="array" ref="Q257">_xlfn.IFNA(_xlfn.IFS(AND(_xlfn.XLOOKUP(A257,'LPG Fup'!D:D,'LPG Fup'!M:M,"",0)&lt;&gt;"",_xlfn.XLOOKUP(A257,'LPG Fup'!D:D,'LPG Fup'!M:M,"",0)&lt;0),"I-1", AND(_xlfn.XLOOKUP(A257+1,'LPG Fup'!D:D,'LPG Fup'!M:M,"",0)&lt;&gt;"",_xlfn.XLOOKUP(A257+1,'LPG Fup'!D:D,'LPG Fup'!M:M,"",0)&lt;0),"I-2", AND(_xlfn.XLOOKUP(A257-1,'LPG Fup'!D:D,'LPG Fup'!M:M,"",0)&lt;&gt;"",_xlfn.XLOOKUP(A257-1,'LPG Fup'!D:D,'LPG Fup'!M:M,"",0)&lt;0),"I", AND(_xlfn.XLOOKUP(A257-2,'LPG Fup'!D:D,'LPG Fup'!M:M,"",0)&lt;&gt;"",_xlfn.XLOOKUP(A257-2,'LPG Fup'!D:D,'LPG Fup'!M:M,"",0)&lt;0),"I+1"),0)</f>
        <v>0</v>
      </c>
      <c r="R257">
        <f>_xlfn.XLOOKUP(A257,Covid!A:A,Covid!I:I,0,0)</f>
        <v>660</v>
      </c>
      <c r="S257">
        <f>_xlfn.XLOOKUP(A257,Covid!A:A,Covid!K:K,0,0)</f>
        <v>94</v>
      </c>
      <c r="T257" s="145">
        <f>_xlfn.XLOOKUP(A257,Covid!A:A,Covid!K:K,0,0)/_xlfn.XLOOKUP(A257,Covid!A:A,Covid!L:L,0,0)</f>
        <v>1.2034310587632826E-2</v>
      </c>
    </row>
    <row r="258" spans="1:20" x14ac:dyDescent="0.55000000000000004">
      <c r="A258" s="157">
        <v>44239</v>
      </c>
      <c r="B258" s="13">
        <v>1109500</v>
      </c>
      <c r="C258" s="13">
        <v>400069</v>
      </c>
      <c r="D258" s="13">
        <v>13087</v>
      </c>
      <c r="E258" s="13">
        <v>435997</v>
      </c>
      <c r="F258" s="13">
        <v>1958653</v>
      </c>
      <c r="G258">
        <f>IF(OR(_xlfn.XLOOKUP(A258,'LPG Fup'!D:D,'LPG Fup'!L:L,"",0)&gt;0.03,_xlfn.XLOOKUP(A258,'LPG Fup'!D:D,'LPG Fup'!L:L,"",0)&lt;-0.03),_xlfn.XLOOKUP(A258,'LPG Fup'!D:D,'LPG Fup'!L:L,0,0),0)</f>
        <v>0</v>
      </c>
      <c r="H258">
        <f>IF(_xlfn.XLOOKUP(A258,'LPG Fup'!D:D,'LPG Fup'!M:M,0,0)="",0,_xlfn.XLOOKUP(A258,'LPG Fup'!D:D,'LPG Fup'!M:M,0,0))</f>
        <v>0</v>
      </c>
      <c r="I258" s="109">
        <f>_xlfn.XLOOKUP(A258,'Rafineri Fiyatları'!A:A,'Rafineri Fiyatları'!B:B,"",0)</f>
        <v>4467.26</v>
      </c>
      <c r="J258">
        <f t="shared" ref="J258:J321" si="16">YEAR(A258)</f>
        <v>2021</v>
      </c>
      <c r="K258">
        <f t="shared" ref="K258:K321" si="17">MONTH(A258)</f>
        <v>2</v>
      </c>
      <c r="L258">
        <f t="shared" ref="L258:L321" si="18">DAY(A258)</f>
        <v>12</v>
      </c>
      <c r="M258">
        <f t="shared" ref="M258:M321" si="19">WEEKDAY(A258)</f>
        <v>6</v>
      </c>
      <c r="N258">
        <f>_xlfn.XLOOKUP(A258,tatiller!H:H,tatiller!I:I,0,0)</f>
        <v>0</v>
      </c>
      <c r="O258" cm="1">
        <f t="array" ref="O258">_xlfn.IFNA(_xlfn.IFS(L258=1,"A0",A258=EOMONTH(A258,0),"A-1",L258=2,"A+1"),0)</f>
        <v>0</v>
      </c>
      <c r="P258" cm="1">
        <f t="array" ref="P258">_xlfn.IFNA(_xlfn.IFS(AND(_xlfn.XLOOKUP(A258,'LPG Fup'!D:D,'LPG Fup'!M:M,"",0)&lt;&gt;"",_xlfn.XLOOKUP(A258,'LPG Fup'!D:D,'LPG Fup'!M:M,"",0)&gt;0),"Z-1", AND(_xlfn.XLOOKUP(A258+1,'LPG Fup'!D:D,'LPG Fup'!M:M,"",0)&lt;&gt;"",_xlfn.XLOOKUP(A258+1,'LPG Fup'!D:D,'LPG Fup'!M:M,"",0)&gt;0),"Z-2", AND(_xlfn.XLOOKUP(A258-1,'LPG Fup'!D:D,'LPG Fup'!M:M,"",0)&lt;&gt;"",_xlfn.XLOOKUP(A258-1,'LPG Fup'!D:D,'LPG Fup'!M:M,"",0)&gt;0),"Z", AND(_xlfn.XLOOKUP(A258-2,'LPG Fup'!D:D,'LPG Fup'!M:M,"",0)&lt;&gt;"",_xlfn.XLOOKUP(A258-2,'LPG Fup'!D:D,'LPG Fup'!M:M,"",0)&gt;0),"Z+1"),0)</f>
        <v>0</v>
      </c>
      <c r="Q258" cm="1">
        <f t="array" ref="Q258">_xlfn.IFNA(_xlfn.IFS(AND(_xlfn.XLOOKUP(A258,'LPG Fup'!D:D,'LPG Fup'!M:M,"",0)&lt;&gt;"",_xlfn.XLOOKUP(A258,'LPG Fup'!D:D,'LPG Fup'!M:M,"",0)&lt;0),"I-1", AND(_xlfn.XLOOKUP(A258+1,'LPG Fup'!D:D,'LPG Fup'!M:M,"",0)&lt;&gt;"",_xlfn.XLOOKUP(A258+1,'LPG Fup'!D:D,'LPG Fup'!M:M,"",0)&lt;0),"I-2", AND(_xlfn.XLOOKUP(A258-1,'LPG Fup'!D:D,'LPG Fup'!M:M,"",0)&lt;&gt;"",_xlfn.XLOOKUP(A258-1,'LPG Fup'!D:D,'LPG Fup'!M:M,"",0)&lt;0),"I", AND(_xlfn.XLOOKUP(A258-2,'LPG Fup'!D:D,'LPG Fup'!M:M,"",0)&lt;&gt;"",_xlfn.XLOOKUP(A258-2,'LPG Fup'!D:D,'LPG Fup'!M:M,"",0)&lt;0),"I+1"),0)</f>
        <v>0</v>
      </c>
      <c r="R258">
        <f>_xlfn.XLOOKUP(A258,Covid!A:A,Covid!I:I,0,0)</f>
        <v>667</v>
      </c>
      <c r="S258">
        <f>_xlfn.XLOOKUP(A258,Covid!A:A,Covid!K:K,0,0)</f>
        <v>97</v>
      </c>
      <c r="T258" s="145">
        <f>_xlfn.XLOOKUP(A258,Covid!A:A,Covid!K:K,0,0)/_xlfn.XLOOKUP(A258,Covid!A:A,Covid!L:L,0,0)</f>
        <v>1.1963492846571288E-2</v>
      </c>
    </row>
    <row r="259" spans="1:20" x14ac:dyDescent="0.55000000000000004">
      <c r="A259" s="157">
        <v>44240</v>
      </c>
      <c r="B259" s="13">
        <v>994940</v>
      </c>
      <c r="C259" s="13">
        <v>288553</v>
      </c>
      <c r="D259" s="13">
        <v>5450</v>
      </c>
      <c r="E259" s="13">
        <v>326490</v>
      </c>
      <c r="F259" s="13">
        <v>1615433</v>
      </c>
      <c r="G259">
        <f>IF(OR(_xlfn.XLOOKUP(A259,'LPG Fup'!D:D,'LPG Fup'!L:L,"",0)&gt;0.03,_xlfn.XLOOKUP(A259,'LPG Fup'!D:D,'LPG Fup'!L:L,"",0)&lt;-0.03),_xlfn.XLOOKUP(A259,'LPG Fup'!D:D,'LPG Fup'!L:L,0,0),0)</f>
        <v>0</v>
      </c>
      <c r="H259">
        <f>IF(_xlfn.XLOOKUP(A259,'LPG Fup'!D:D,'LPG Fup'!M:M,0,0)="",0,_xlfn.XLOOKUP(A259,'LPG Fup'!D:D,'LPG Fup'!M:M,0,0))</f>
        <v>0</v>
      </c>
      <c r="I259" s="109">
        <f>_xlfn.XLOOKUP(A259,'Rafineri Fiyatları'!A:A,'Rafineri Fiyatları'!B:B,"",0)</f>
        <v>4467.26</v>
      </c>
      <c r="J259">
        <f t="shared" si="16"/>
        <v>2021</v>
      </c>
      <c r="K259">
        <f t="shared" si="17"/>
        <v>2</v>
      </c>
      <c r="L259">
        <f t="shared" si="18"/>
        <v>13</v>
      </c>
      <c r="M259">
        <f t="shared" si="19"/>
        <v>7</v>
      </c>
      <c r="N259">
        <f>_xlfn.XLOOKUP(A259,tatiller!H:H,tatiller!I:I,0,0)</f>
        <v>0</v>
      </c>
      <c r="O259" cm="1">
        <f t="array" ref="O259">_xlfn.IFNA(_xlfn.IFS(L259=1,"A0",A259=EOMONTH(A259,0),"A-1",L259=2,"A+1"),0)</f>
        <v>0</v>
      </c>
      <c r="P259" cm="1">
        <f t="array" ref="P259">_xlfn.IFNA(_xlfn.IFS(AND(_xlfn.XLOOKUP(A259,'LPG Fup'!D:D,'LPG Fup'!M:M,"",0)&lt;&gt;"",_xlfn.XLOOKUP(A259,'LPG Fup'!D:D,'LPG Fup'!M:M,"",0)&gt;0),"Z-1", AND(_xlfn.XLOOKUP(A259+1,'LPG Fup'!D:D,'LPG Fup'!M:M,"",0)&lt;&gt;"",_xlfn.XLOOKUP(A259+1,'LPG Fup'!D:D,'LPG Fup'!M:M,"",0)&gt;0),"Z-2", AND(_xlfn.XLOOKUP(A259-1,'LPG Fup'!D:D,'LPG Fup'!M:M,"",0)&lt;&gt;"",_xlfn.XLOOKUP(A259-1,'LPG Fup'!D:D,'LPG Fup'!M:M,"",0)&gt;0),"Z", AND(_xlfn.XLOOKUP(A259-2,'LPG Fup'!D:D,'LPG Fup'!M:M,"",0)&lt;&gt;"",_xlfn.XLOOKUP(A259-2,'LPG Fup'!D:D,'LPG Fup'!M:M,"",0)&gt;0),"Z+1"),0)</f>
        <v>0</v>
      </c>
      <c r="Q259" cm="1">
        <f t="array" ref="Q259">_xlfn.IFNA(_xlfn.IFS(AND(_xlfn.XLOOKUP(A259,'LPG Fup'!D:D,'LPG Fup'!M:M,"",0)&lt;&gt;"",_xlfn.XLOOKUP(A259,'LPG Fup'!D:D,'LPG Fup'!M:M,"",0)&lt;0),"I-1", AND(_xlfn.XLOOKUP(A259+1,'LPG Fup'!D:D,'LPG Fup'!M:M,"",0)&lt;&gt;"",_xlfn.XLOOKUP(A259+1,'LPG Fup'!D:D,'LPG Fup'!M:M,"",0)&lt;0),"I-2", AND(_xlfn.XLOOKUP(A259-1,'LPG Fup'!D:D,'LPG Fup'!M:M,"",0)&lt;&gt;"",_xlfn.XLOOKUP(A259-1,'LPG Fup'!D:D,'LPG Fup'!M:M,"",0)&lt;0),"I", AND(_xlfn.XLOOKUP(A259-2,'LPG Fup'!D:D,'LPG Fup'!M:M,"",0)&lt;&gt;"",_xlfn.XLOOKUP(A259-2,'LPG Fup'!D:D,'LPG Fup'!M:M,"",0)&lt;0),"I+1"),0)</f>
        <v>0</v>
      </c>
      <c r="R259">
        <f>_xlfn.XLOOKUP(A259,Covid!A:A,Covid!I:I,0,0)</f>
        <v>671</v>
      </c>
      <c r="S259">
        <f>_xlfn.XLOOKUP(A259,Covid!A:A,Covid!K:K,0,0)</f>
        <v>93</v>
      </c>
      <c r="T259" s="145">
        <f>_xlfn.XLOOKUP(A259,Covid!A:A,Covid!K:K,0,0)/_xlfn.XLOOKUP(A259,Covid!A:A,Covid!L:L,0,0)</f>
        <v>1.2889812889812891E-2</v>
      </c>
    </row>
    <row r="260" spans="1:20" x14ac:dyDescent="0.55000000000000004">
      <c r="A260" s="157">
        <v>44241</v>
      </c>
      <c r="B260" s="13">
        <v>500260</v>
      </c>
      <c r="C260" s="13">
        <v>0</v>
      </c>
      <c r="D260" s="13">
        <v>0</v>
      </c>
      <c r="E260" s="13">
        <v>103223</v>
      </c>
      <c r="F260" s="13">
        <v>603483</v>
      </c>
      <c r="G260">
        <f>IF(OR(_xlfn.XLOOKUP(A260,'LPG Fup'!D:D,'LPG Fup'!L:L,"",0)&gt;0.03,_xlfn.XLOOKUP(A260,'LPG Fup'!D:D,'LPG Fup'!L:L,"",0)&lt;-0.03),_xlfn.XLOOKUP(A260,'LPG Fup'!D:D,'LPG Fup'!L:L,0,0),0)</f>
        <v>0</v>
      </c>
      <c r="H260">
        <f>IF(_xlfn.XLOOKUP(A260,'LPG Fup'!D:D,'LPG Fup'!M:M,0,0)="",0,_xlfn.XLOOKUP(A260,'LPG Fup'!D:D,'LPG Fup'!M:M,0,0))</f>
        <v>0</v>
      </c>
      <c r="I260" s="109">
        <f>_xlfn.XLOOKUP(A260,'Rafineri Fiyatları'!A:A,'Rafineri Fiyatları'!B:B,"",0)</f>
        <v>4467.26</v>
      </c>
      <c r="J260">
        <f t="shared" si="16"/>
        <v>2021</v>
      </c>
      <c r="K260">
        <f t="shared" si="17"/>
        <v>2</v>
      </c>
      <c r="L260">
        <f t="shared" si="18"/>
        <v>14</v>
      </c>
      <c r="M260">
        <f t="shared" si="19"/>
        <v>1</v>
      </c>
      <c r="N260">
        <f>_xlfn.XLOOKUP(A260,tatiller!H:H,tatiller!I:I,0,0)</f>
        <v>0</v>
      </c>
      <c r="O260" cm="1">
        <f t="array" ref="O260">_xlfn.IFNA(_xlfn.IFS(L260=1,"A0",A260=EOMONTH(A260,0),"A-1",L260=2,"A+1"),0)</f>
        <v>0</v>
      </c>
      <c r="P260" cm="1">
        <f t="array" ref="P260">_xlfn.IFNA(_xlfn.IFS(AND(_xlfn.XLOOKUP(A260,'LPG Fup'!D:D,'LPG Fup'!M:M,"",0)&lt;&gt;"",_xlfn.XLOOKUP(A260,'LPG Fup'!D:D,'LPG Fup'!M:M,"",0)&gt;0),"Z-1", AND(_xlfn.XLOOKUP(A260+1,'LPG Fup'!D:D,'LPG Fup'!M:M,"",0)&lt;&gt;"",_xlfn.XLOOKUP(A260+1,'LPG Fup'!D:D,'LPG Fup'!M:M,"",0)&gt;0),"Z-2", AND(_xlfn.XLOOKUP(A260-1,'LPG Fup'!D:D,'LPG Fup'!M:M,"",0)&lt;&gt;"",_xlfn.XLOOKUP(A260-1,'LPG Fup'!D:D,'LPG Fup'!M:M,"",0)&gt;0),"Z", AND(_xlfn.XLOOKUP(A260-2,'LPG Fup'!D:D,'LPG Fup'!M:M,"",0)&lt;&gt;"",_xlfn.XLOOKUP(A260-2,'LPG Fup'!D:D,'LPG Fup'!M:M,"",0)&gt;0),"Z+1"),0)</f>
        <v>0</v>
      </c>
      <c r="Q260" cm="1">
        <f t="array" ref="Q260">_xlfn.IFNA(_xlfn.IFS(AND(_xlfn.XLOOKUP(A260,'LPG Fup'!D:D,'LPG Fup'!M:M,"",0)&lt;&gt;"",_xlfn.XLOOKUP(A260,'LPG Fup'!D:D,'LPG Fup'!M:M,"",0)&lt;0),"I-1", AND(_xlfn.XLOOKUP(A260+1,'LPG Fup'!D:D,'LPG Fup'!M:M,"",0)&lt;&gt;"",_xlfn.XLOOKUP(A260+1,'LPG Fup'!D:D,'LPG Fup'!M:M,"",0)&lt;0),"I-2", AND(_xlfn.XLOOKUP(A260-1,'LPG Fup'!D:D,'LPG Fup'!M:M,"",0)&lt;&gt;"",_xlfn.XLOOKUP(A260-1,'LPG Fup'!D:D,'LPG Fup'!M:M,"",0)&lt;0),"I", AND(_xlfn.XLOOKUP(A260-2,'LPG Fup'!D:D,'LPG Fup'!M:M,"",0)&lt;&gt;"",_xlfn.XLOOKUP(A260-2,'LPG Fup'!D:D,'LPG Fup'!M:M,"",0)&lt;0),"I+1"),0)</f>
        <v>0</v>
      </c>
      <c r="R260">
        <f>_xlfn.XLOOKUP(A260,Covid!A:A,Covid!I:I,0,0)</f>
        <v>666</v>
      </c>
      <c r="S260">
        <f>_xlfn.XLOOKUP(A260,Covid!A:A,Covid!K:K,0,0)</f>
        <v>94</v>
      </c>
      <c r="T260" s="145">
        <f>_xlfn.XLOOKUP(A260,Covid!A:A,Covid!K:K,0,0)/_xlfn.XLOOKUP(A260,Covid!A:A,Covid!L:L,0,0)</f>
        <v>1.3603473227206947E-2</v>
      </c>
    </row>
    <row r="261" spans="1:20" x14ac:dyDescent="0.55000000000000004">
      <c r="A261" s="157">
        <v>44242</v>
      </c>
      <c r="B261" s="13">
        <v>556480</v>
      </c>
      <c r="C261" s="13">
        <v>417152</v>
      </c>
      <c r="D261" s="13">
        <v>7611</v>
      </c>
      <c r="E261" s="13">
        <v>438883</v>
      </c>
      <c r="F261" s="13">
        <v>1420126</v>
      </c>
      <c r="G261">
        <f>IF(OR(_xlfn.XLOOKUP(A261,'LPG Fup'!D:D,'LPG Fup'!L:L,"",0)&gt;0.03,_xlfn.XLOOKUP(A261,'LPG Fup'!D:D,'LPG Fup'!L:L,"",0)&lt;-0.03),_xlfn.XLOOKUP(A261,'LPG Fup'!D:D,'LPG Fup'!L:L,0,0),0)</f>
        <v>0</v>
      </c>
      <c r="H261">
        <f>IF(_xlfn.XLOOKUP(A261,'LPG Fup'!D:D,'LPG Fup'!M:M,0,0)="",0,_xlfn.XLOOKUP(A261,'LPG Fup'!D:D,'LPG Fup'!M:M,0,0))</f>
        <v>0</v>
      </c>
      <c r="I261" s="109">
        <f>_xlfn.XLOOKUP(A261,'Rafineri Fiyatları'!A:A,'Rafineri Fiyatları'!B:B,"",0)</f>
        <v>4467.26</v>
      </c>
      <c r="J261">
        <f t="shared" si="16"/>
        <v>2021</v>
      </c>
      <c r="K261">
        <f t="shared" si="17"/>
        <v>2</v>
      </c>
      <c r="L261">
        <f t="shared" si="18"/>
        <v>15</v>
      </c>
      <c r="M261">
        <f t="shared" si="19"/>
        <v>2</v>
      </c>
      <c r="N261">
        <f>_xlfn.XLOOKUP(A261,tatiller!H:H,tatiller!I:I,0,0)</f>
        <v>0</v>
      </c>
      <c r="O261" cm="1">
        <f t="array" ref="O261">_xlfn.IFNA(_xlfn.IFS(L261=1,"A0",A261=EOMONTH(A261,0),"A-1",L261=2,"A+1"),0)</f>
        <v>0</v>
      </c>
      <c r="P261" cm="1">
        <f t="array" ref="P261">_xlfn.IFNA(_xlfn.IFS(AND(_xlfn.XLOOKUP(A261,'LPG Fup'!D:D,'LPG Fup'!M:M,"",0)&lt;&gt;"",_xlfn.XLOOKUP(A261,'LPG Fup'!D:D,'LPG Fup'!M:M,"",0)&gt;0),"Z-1", AND(_xlfn.XLOOKUP(A261+1,'LPG Fup'!D:D,'LPG Fup'!M:M,"",0)&lt;&gt;"",_xlfn.XLOOKUP(A261+1,'LPG Fup'!D:D,'LPG Fup'!M:M,"",0)&gt;0),"Z-2", AND(_xlfn.XLOOKUP(A261-1,'LPG Fup'!D:D,'LPG Fup'!M:M,"",0)&lt;&gt;"",_xlfn.XLOOKUP(A261-1,'LPG Fup'!D:D,'LPG Fup'!M:M,"",0)&gt;0),"Z", AND(_xlfn.XLOOKUP(A261-2,'LPG Fup'!D:D,'LPG Fup'!M:M,"",0)&lt;&gt;"",_xlfn.XLOOKUP(A261-2,'LPG Fup'!D:D,'LPG Fup'!M:M,"",0)&gt;0),"Z+1"),0)</f>
        <v>0</v>
      </c>
      <c r="Q261" cm="1">
        <f t="array" ref="Q261">_xlfn.IFNA(_xlfn.IFS(AND(_xlfn.XLOOKUP(A261,'LPG Fup'!D:D,'LPG Fup'!M:M,"",0)&lt;&gt;"",_xlfn.XLOOKUP(A261,'LPG Fup'!D:D,'LPG Fup'!M:M,"",0)&lt;0),"I-1", AND(_xlfn.XLOOKUP(A261+1,'LPG Fup'!D:D,'LPG Fup'!M:M,"",0)&lt;&gt;"",_xlfn.XLOOKUP(A261+1,'LPG Fup'!D:D,'LPG Fup'!M:M,"",0)&lt;0),"I-2", AND(_xlfn.XLOOKUP(A261-1,'LPG Fup'!D:D,'LPG Fup'!M:M,"",0)&lt;&gt;"",_xlfn.XLOOKUP(A261-1,'LPG Fup'!D:D,'LPG Fup'!M:M,"",0)&lt;0),"I", AND(_xlfn.XLOOKUP(A261-2,'LPG Fup'!D:D,'LPG Fup'!M:M,"",0)&lt;&gt;"",_xlfn.XLOOKUP(A261-2,'LPG Fup'!D:D,'LPG Fup'!M:M,"",0)&lt;0),"I+1"),0)</f>
        <v>0</v>
      </c>
      <c r="R261">
        <f>_xlfn.XLOOKUP(A261,Covid!A:A,Covid!I:I,0,0)</f>
        <v>660</v>
      </c>
      <c r="S261">
        <f>_xlfn.XLOOKUP(A261,Covid!A:A,Covid!K:K,0,0)</f>
        <v>91</v>
      </c>
      <c r="T261" s="145">
        <f>_xlfn.XLOOKUP(A261,Covid!A:A,Covid!K:K,0,0)/_xlfn.XLOOKUP(A261,Covid!A:A,Covid!L:L,0,0)</f>
        <v>1.2806079369546862E-2</v>
      </c>
    </row>
    <row r="262" spans="1:20" x14ac:dyDescent="0.55000000000000004">
      <c r="A262" s="157">
        <v>44243</v>
      </c>
      <c r="B262" s="13">
        <v>757960</v>
      </c>
      <c r="C262" s="13">
        <v>372537</v>
      </c>
      <c r="D262" s="13">
        <v>20611</v>
      </c>
      <c r="E262" s="13">
        <v>402326</v>
      </c>
      <c r="F262" s="13">
        <v>1553434</v>
      </c>
      <c r="G262">
        <f>IF(OR(_xlfn.XLOOKUP(A262,'LPG Fup'!D:D,'LPG Fup'!L:L,"",0)&gt;0.03,_xlfn.XLOOKUP(A262,'LPG Fup'!D:D,'LPG Fup'!L:L,"",0)&lt;-0.03),_xlfn.XLOOKUP(A262,'LPG Fup'!D:D,'LPG Fup'!L:L,0,0),0)</f>
        <v>0</v>
      </c>
      <c r="H262">
        <f>IF(_xlfn.XLOOKUP(A262,'LPG Fup'!D:D,'LPG Fup'!M:M,0,0)="",0,_xlfn.XLOOKUP(A262,'LPG Fup'!D:D,'LPG Fup'!M:M,0,0))</f>
        <v>0</v>
      </c>
      <c r="I262" s="109">
        <f>_xlfn.XLOOKUP(A262,'Rafineri Fiyatları'!A:A,'Rafineri Fiyatları'!B:B,"",0)</f>
        <v>4467.26</v>
      </c>
      <c r="J262">
        <f t="shared" si="16"/>
        <v>2021</v>
      </c>
      <c r="K262">
        <f t="shared" si="17"/>
        <v>2</v>
      </c>
      <c r="L262">
        <f t="shared" si="18"/>
        <v>16</v>
      </c>
      <c r="M262">
        <f t="shared" si="19"/>
        <v>3</v>
      </c>
      <c r="N262">
        <f>_xlfn.XLOOKUP(A262,tatiller!H:H,tatiller!I:I,0,0)</f>
        <v>0</v>
      </c>
      <c r="O262" cm="1">
        <f t="array" ref="O262">_xlfn.IFNA(_xlfn.IFS(L262=1,"A0",A262=EOMONTH(A262,0),"A-1",L262=2,"A+1"),0)</f>
        <v>0</v>
      </c>
      <c r="P262" cm="1">
        <f t="array" ref="P262">_xlfn.IFNA(_xlfn.IFS(AND(_xlfn.XLOOKUP(A262,'LPG Fup'!D:D,'LPG Fup'!M:M,"",0)&lt;&gt;"",_xlfn.XLOOKUP(A262,'LPG Fup'!D:D,'LPG Fup'!M:M,"",0)&gt;0),"Z-1", AND(_xlfn.XLOOKUP(A262+1,'LPG Fup'!D:D,'LPG Fup'!M:M,"",0)&lt;&gt;"",_xlfn.XLOOKUP(A262+1,'LPG Fup'!D:D,'LPG Fup'!M:M,"",0)&gt;0),"Z-2", AND(_xlfn.XLOOKUP(A262-1,'LPG Fup'!D:D,'LPG Fup'!M:M,"",0)&lt;&gt;"",_xlfn.XLOOKUP(A262-1,'LPG Fup'!D:D,'LPG Fup'!M:M,"",0)&gt;0),"Z", AND(_xlfn.XLOOKUP(A262-2,'LPG Fup'!D:D,'LPG Fup'!M:M,"",0)&lt;&gt;"",_xlfn.XLOOKUP(A262-2,'LPG Fup'!D:D,'LPG Fup'!M:M,"",0)&gt;0),"Z+1"),0)</f>
        <v>0</v>
      </c>
      <c r="Q262" cm="1">
        <f t="array" ref="Q262">_xlfn.IFNA(_xlfn.IFS(AND(_xlfn.XLOOKUP(A262,'LPG Fup'!D:D,'LPG Fup'!M:M,"",0)&lt;&gt;"",_xlfn.XLOOKUP(A262,'LPG Fup'!D:D,'LPG Fup'!M:M,"",0)&lt;0),"I-1", AND(_xlfn.XLOOKUP(A262+1,'LPG Fup'!D:D,'LPG Fup'!M:M,"",0)&lt;&gt;"",_xlfn.XLOOKUP(A262+1,'LPG Fup'!D:D,'LPG Fup'!M:M,"",0)&lt;0),"I-2", AND(_xlfn.XLOOKUP(A262-1,'LPG Fup'!D:D,'LPG Fup'!M:M,"",0)&lt;&gt;"",_xlfn.XLOOKUP(A262-1,'LPG Fup'!D:D,'LPG Fup'!M:M,"",0)&lt;0),"I", AND(_xlfn.XLOOKUP(A262-2,'LPG Fup'!D:D,'LPG Fup'!M:M,"",0)&lt;&gt;"",_xlfn.XLOOKUP(A262-2,'LPG Fup'!D:D,'LPG Fup'!M:M,"",0)&lt;0),"I+1"),0)</f>
        <v>0</v>
      </c>
      <c r="R262">
        <f>_xlfn.XLOOKUP(A262,Covid!A:A,Covid!I:I,0,0)</f>
        <v>658</v>
      </c>
      <c r="S262">
        <f>_xlfn.XLOOKUP(A262,Covid!A:A,Covid!K:K,0,0)</f>
        <v>90</v>
      </c>
      <c r="T262" s="145">
        <f>_xlfn.XLOOKUP(A262,Covid!A:A,Covid!K:K,0,0)/_xlfn.XLOOKUP(A262,Covid!A:A,Covid!L:L,0,0)</f>
        <v>1.2519126443177077E-2</v>
      </c>
    </row>
    <row r="263" spans="1:20" x14ac:dyDescent="0.55000000000000004">
      <c r="A263" s="157">
        <v>44244</v>
      </c>
      <c r="B263" s="13">
        <v>571680</v>
      </c>
      <c r="C263" s="13">
        <v>349881</v>
      </c>
      <c r="D263" s="13">
        <v>1599</v>
      </c>
      <c r="E263" s="13">
        <v>407263</v>
      </c>
      <c r="F263" s="13">
        <v>1330423</v>
      </c>
      <c r="G263">
        <f>IF(OR(_xlfn.XLOOKUP(A263,'LPG Fup'!D:D,'LPG Fup'!L:L,"",0)&gt;0.03,_xlfn.XLOOKUP(A263,'LPG Fup'!D:D,'LPG Fup'!L:L,"",0)&lt;-0.03),_xlfn.XLOOKUP(A263,'LPG Fup'!D:D,'LPG Fup'!L:L,0,0),0)</f>
        <v>0</v>
      </c>
      <c r="H263">
        <f>IF(_xlfn.XLOOKUP(A263,'LPG Fup'!D:D,'LPG Fup'!M:M,0,0)="",0,_xlfn.XLOOKUP(A263,'LPG Fup'!D:D,'LPG Fup'!M:M,0,0))</f>
        <v>0</v>
      </c>
      <c r="I263" s="109">
        <f>_xlfn.XLOOKUP(A263,'Rafineri Fiyatları'!A:A,'Rafineri Fiyatları'!B:B,"",0)</f>
        <v>4467.26</v>
      </c>
      <c r="J263">
        <f t="shared" si="16"/>
        <v>2021</v>
      </c>
      <c r="K263">
        <f t="shared" si="17"/>
        <v>2</v>
      </c>
      <c r="L263">
        <f t="shared" si="18"/>
        <v>17</v>
      </c>
      <c r="M263">
        <f t="shared" si="19"/>
        <v>4</v>
      </c>
      <c r="N263">
        <f>_xlfn.XLOOKUP(A263,tatiller!H:H,tatiller!I:I,0,0)</f>
        <v>0</v>
      </c>
      <c r="O263" cm="1">
        <f t="array" ref="O263">_xlfn.IFNA(_xlfn.IFS(L263=1,"A0",A263=EOMONTH(A263,0),"A-1",L263=2,"A+1"),0)</f>
        <v>0</v>
      </c>
      <c r="P263" cm="1">
        <f t="array" ref="P263">_xlfn.IFNA(_xlfn.IFS(AND(_xlfn.XLOOKUP(A263,'LPG Fup'!D:D,'LPG Fup'!M:M,"",0)&lt;&gt;"",_xlfn.XLOOKUP(A263,'LPG Fup'!D:D,'LPG Fup'!M:M,"",0)&gt;0),"Z-1", AND(_xlfn.XLOOKUP(A263+1,'LPG Fup'!D:D,'LPG Fup'!M:M,"",0)&lt;&gt;"",_xlfn.XLOOKUP(A263+1,'LPG Fup'!D:D,'LPG Fup'!M:M,"",0)&gt;0),"Z-2", AND(_xlfn.XLOOKUP(A263-1,'LPG Fup'!D:D,'LPG Fup'!M:M,"",0)&lt;&gt;"",_xlfn.XLOOKUP(A263-1,'LPG Fup'!D:D,'LPG Fup'!M:M,"",0)&gt;0),"Z", AND(_xlfn.XLOOKUP(A263-2,'LPG Fup'!D:D,'LPG Fup'!M:M,"",0)&lt;&gt;"",_xlfn.XLOOKUP(A263-2,'LPG Fup'!D:D,'LPG Fup'!M:M,"",0)&gt;0),"Z+1"),0)</f>
        <v>0</v>
      </c>
      <c r="Q263" cm="1">
        <f t="array" ref="Q263">_xlfn.IFNA(_xlfn.IFS(AND(_xlfn.XLOOKUP(A263,'LPG Fup'!D:D,'LPG Fup'!M:M,"",0)&lt;&gt;"",_xlfn.XLOOKUP(A263,'LPG Fup'!D:D,'LPG Fup'!M:M,"",0)&lt;0),"I-1", AND(_xlfn.XLOOKUP(A263+1,'LPG Fup'!D:D,'LPG Fup'!M:M,"",0)&lt;&gt;"",_xlfn.XLOOKUP(A263+1,'LPG Fup'!D:D,'LPG Fup'!M:M,"",0)&lt;0),"I-2", AND(_xlfn.XLOOKUP(A263-1,'LPG Fup'!D:D,'LPG Fup'!M:M,"",0)&lt;&gt;"",_xlfn.XLOOKUP(A263-1,'LPG Fup'!D:D,'LPG Fup'!M:M,"",0)&lt;0),"I", AND(_xlfn.XLOOKUP(A263-2,'LPG Fup'!D:D,'LPG Fup'!M:M,"",0)&lt;&gt;"",_xlfn.XLOOKUP(A263-2,'LPG Fup'!D:D,'LPG Fup'!M:M,"",0)&lt;0),"I+1"),0)</f>
        <v>0</v>
      </c>
      <c r="R263">
        <f>_xlfn.XLOOKUP(A263,Covid!A:A,Covid!I:I,0,0)</f>
        <v>649</v>
      </c>
      <c r="S263">
        <f>_xlfn.XLOOKUP(A263,Covid!A:A,Covid!K:K,0,0)</f>
        <v>86</v>
      </c>
      <c r="T263" s="145">
        <f>_xlfn.XLOOKUP(A263,Covid!A:A,Covid!K:K,0,0)/_xlfn.XLOOKUP(A263,Covid!A:A,Covid!L:L,0,0)</f>
        <v>1.1929532528783465E-2</v>
      </c>
    </row>
    <row r="264" spans="1:20" x14ac:dyDescent="0.55000000000000004">
      <c r="A264" s="157">
        <v>44245</v>
      </c>
      <c r="B264" s="13">
        <v>793380</v>
      </c>
      <c r="C264" s="13">
        <v>320677</v>
      </c>
      <c r="D264" s="13">
        <v>12834</v>
      </c>
      <c r="E264" s="13">
        <v>389240</v>
      </c>
      <c r="F264" s="13">
        <v>1516131</v>
      </c>
      <c r="G264">
        <f>IF(OR(_xlfn.XLOOKUP(A264,'LPG Fup'!D:D,'LPG Fup'!L:L,"",0)&gt;0.03,_xlfn.XLOOKUP(A264,'LPG Fup'!D:D,'LPG Fup'!L:L,"",0)&lt;-0.03),_xlfn.XLOOKUP(A264,'LPG Fup'!D:D,'LPG Fup'!L:L,0,0),0)</f>
        <v>0</v>
      </c>
      <c r="H264">
        <f>IF(_xlfn.XLOOKUP(A264,'LPG Fup'!D:D,'LPG Fup'!M:M,0,0)="",0,_xlfn.XLOOKUP(A264,'LPG Fup'!D:D,'LPG Fup'!M:M,0,0))</f>
        <v>0</v>
      </c>
      <c r="I264" s="109">
        <f>_xlfn.XLOOKUP(A264,'Rafineri Fiyatları'!A:A,'Rafineri Fiyatları'!B:B,"",0)</f>
        <v>4467.26</v>
      </c>
      <c r="J264">
        <f t="shared" si="16"/>
        <v>2021</v>
      </c>
      <c r="K264">
        <f t="shared" si="17"/>
        <v>2</v>
      </c>
      <c r="L264">
        <f t="shared" si="18"/>
        <v>18</v>
      </c>
      <c r="M264">
        <f t="shared" si="19"/>
        <v>5</v>
      </c>
      <c r="N264">
        <f>_xlfn.XLOOKUP(A264,tatiller!H:H,tatiller!I:I,0,0)</f>
        <v>0</v>
      </c>
      <c r="O264" cm="1">
        <f t="array" ref="O264">_xlfn.IFNA(_xlfn.IFS(L264=1,"A0",A264=EOMONTH(A264,0),"A-1",L264=2,"A+1"),0)</f>
        <v>0</v>
      </c>
      <c r="P264" cm="1">
        <f t="array" ref="P264">_xlfn.IFNA(_xlfn.IFS(AND(_xlfn.XLOOKUP(A264,'LPG Fup'!D:D,'LPG Fup'!M:M,"",0)&lt;&gt;"",_xlfn.XLOOKUP(A264,'LPG Fup'!D:D,'LPG Fup'!M:M,"",0)&gt;0),"Z-1", AND(_xlfn.XLOOKUP(A264+1,'LPG Fup'!D:D,'LPG Fup'!M:M,"",0)&lt;&gt;"",_xlfn.XLOOKUP(A264+1,'LPG Fup'!D:D,'LPG Fup'!M:M,"",0)&gt;0),"Z-2", AND(_xlfn.XLOOKUP(A264-1,'LPG Fup'!D:D,'LPG Fup'!M:M,"",0)&lt;&gt;"",_xlfn.XLOOKUP(A264-1,'LPG Fup'!D:D,'LPG Fup'!M:M,"",0)&gt;0),"Z", AND(_xlfn.XLOOKUP(A264-2,'LPG Fup'!D:D,'LPG Fup'!M:M,"",0)&lt;&gt;"",_xlfn.XLOOKUP(A264-2,'LPG Fup'!D:D,'LPG Fup'!M:M,"",0)&gt;0),"Z+1"),0)</f>
        <v>0</v>
      </c>
      <c r="Q264" t="str" cm="1">
        <f t="array" ref="Q264">_xlfn.IFNA(_xlfn.IFS(AND(_xlfn.XLOOKUP(A264,'LPG Fup'!D:D,'LPG Fup'!M:M,"",0)&lt;&gt;"",_xlfn.XLOOKUP(A264,'LPG Fup'!D:D,'LPG Fup'!M:M,"",0)&lt;0),"I-1", AND(_xlfn.XLOOKUP(A264+1,'LPG Fup'!D:D,'LPG Fup'!M:M,"",0)&lt;&gt;"",_xlfn.XLOOKUP(A264+1,'LPG Fup'!D:D,'LPG Fup'!M:M,"",0)&lt;0),"I-2", AND(_xlfn.XLOOKUP(A264-1,'LPG Fup'!D:D,'LPG Fup'!M:M,"",0)&lt;&gt;"",_xlfn.XLOOKUP(A264-1,'LPG Fup'!D:D,'LPG Fup'!M:M,"",0)&lt;0),"I", AND(_xlfn.XLOOKUP(A264-2,'LPG Fup'!D:D,'LPG Fup'!M:M,"",0)&lt;&gt;"",_xlfn.XLOOKUP(A264-2,'LPG Fup'!D:D,'LPG Fup'!M:M,"",0)&lt;0),"I+1"),0)</f>
        <v>I-2</v>
      </c>
      <c r="R264">
        <f>_xlfn.XLOOKUP(A264,Covid!A:A,Covid!I:I,0,0)</f>
        <v>640</v>
      </c>
      <c r="S264">
        <f>_xlfn.XLOOKUP(A264,Covid!A:A,Covid!K:K,0,0)</f>
        <v>83</v>
      </c>
      <c r="T264" s="145">
        <f>_xlfn.XLOOKUP(A264,Covid!A:A,Covid!K:K,0,0)/_xlfn.XLOOKUP(A264,Covid!A:A,Covid!L:L,0,0)</f>
        <v>1.1500623527781627E-2</v>
      </c>
    </row>
    <row r="265" spans="1:20" x14ac:dyDescent="0.55000000000000004">
      <c r="A265" s="157">
        <v>44246</v>
      </c>
      <c r="B265" s="13">
        <v>941960</v>
      </c>
      <c r="C265" s="13">
        <v>443886</v>
      </c>
      <c r="D265" s="13">
        <v>16088</v>
      </c>
      <c r="E265" s="13">
        <v>409942</v>
      </c>
      <c r="F265" s="13">
        <v>1811876</v>
      </c>
      <c r="G265">
        <f>IF(OR(_xlfn.XLOOKUP(A265,'LPG Fup'!D:D,'LPG Fup'!L:L,"",0)&gt;0.03,_xlfn.XLOOKUP(A265,'LPG Fup'!D:D,'LPG Fup'!L:L,"",0)&lt;-0.03),_xlfn.XLOOKUP(A265,'LPG Fup'!D:D,'LPG Fup'!L:L,0,0),0)</f>
        <v>-3.005482727193912E-2</v>
      </c>
      <c r="H265">
        <f>IF(_xlfn.XLOOKUP(A265,'LPG Fup'!D:D,'LPG Fup'!M:M,0,0)="",0,_xlfn.XLOOKUP(A265,'LPG Fup'!D:D,'LPG Fup'!M:M,0,0))</f>
        <v>-128.66534999999976</v>
      </c>
      <c r="I265" s="109">
        <f>_xlfn.XLOOKUP(A265,'Rafineri Fiyatları'!A:A,'Rafineri Fiyatları'!B:B,"",0)</f>
        <v>4467.26</v>
      </c>
      <c r="J265">
        <f t="shared" si="16"/>
        <v>2021</v>
      </c>
      <c r="K265">
        <f t="shared" si="17"/>
        <v>2</v>
      </c>
      <c r="L265">
        <f t="shared" si="18"/>
        <v>19</v>
      </c>
      <c r="M265">
        <f t="shared" si="19"/>
        <v>6</v>
      </c>
      <c r="N265">
        <f>_xlfn.XLOOKUP(A265,tatiller!H:H,tatiller!I:I,0,0)</f>
        <v>0</v>
      </c>
      <c r="O265" cm="1">
        <f t="array" ref="O265">_xlfn.IFNA(_xlfn.IFS(L265=1,"A0",A265=EOMONTH(A265,0),"A-1",L265=2,"A+1"),0)</f>
        <v>0</v>
      </c>
      <c r="P265" cm="1">
        <f t="array" ref="P265">_xlfn.IFNA(_xlfn.IFS(AND(_xlfn.XLOOKUP(A265,'LPG Fup'!D:D,'LPG Fup'!M:M,"",0)&lt;&gt;"",_xlfn.XLOOKUP(A265,'LPG Fup'!D:D,'LPG Fup'!M:M,"",0)&gt;0),"Z-1", AND(_xlfn.XLOOKUP(A265+1,'LPG Fup'!D:D,'LPG Fup'!M:M,"",0)&lt;&gt;"",_xlfn.XLOOKUP(A265+1,'LPG Fup'!D:D,'LPG Fup'!M:M,"",0)&gt;0),"Z-2", AND(_xlfn.XLOOKUP(A265-1,'LPG Fup'!D:D,'LPG Fup'!M:M,"",0)&lt;&gt;"",_xlfn.XLOOKUP(A265-1,'LPG Fup'!D:D,'LPG Fup'!M:M,"",0)&gt;0),"Z", AND(_xlfn.XLOOKUP(A265-2,'LPG Fup'!D:D,'LPG Fup'!M:M,"",0)&lt;&gt;"",_xlfn.XLOOKUP(A265-2,'LPG Fup'!D:D,'LPG Fup'!M:M,"",0)&gt;0),"Z+1"),0)</f>
        <v>0</v>
      </c>
      <c r="Q265" t="str" cm="1">
        <f t="array" ref="Q265">_xlfn.IFNA(_xlfn.IFS(AND(_xlfn.XLOOKUP(A265,'LPG Fup'!D:D,'LPG Fup'!M:M,"",0)&lt;&gt;"",_xlfn.XLOOKUP(A265,'LPG Fup'!D:D,'LPG Fup'!M:M,"",0)&lt;0),"I-1", AND(_xlfn.XLOOKUP(A265+1,'LPG Fup'!D:D,'LPG Fup'!M:M,"",0)&lt;&gt;"",_xlfn.XLOOKUP(A265+1,'LPG Fup'!D:D,'LPG Fup'!M:M,"",0)&lt;0),"I-2", AND(_xlfn.XLOOKUP(A265-1,'LPG Fup'!D:D,'LPG Fup'!M:M,"",0)&lt;&gt;"",_xlfn.XLOOKUP(A265-1,'LPG Fup'!D:D,'LPG Fup'!M:M,"",0)&lt;0),"I", AND(_xlfn.XLOOKUP(A265-2,'LPG Fup'!D:D,'LPG Fup'!M:M,"",0)&lt;&gt;"",_xlfn.XLOOKUP(A265-2,'LPG Fup'!D:D,'LPG Fup'!M:M,"",0)&lt;0),"I+1"),0)</f>
        <v>I-1</v>
      </c>
      <c r="R265">
        <f>_xlfn.XLOOKUP(A265,Covid!A:A,Covid!I:I,0,0)</f>
        <v>638</v>
      </c>
      <c r="S265">
        <f>_xlfn.XLOOKUP(A265,Covid!A:A,Covid!K:K,0,0)</f>
        <v>82</v>
      </c>
      <c r="T265" s="145">
        <f>_xlfn.XLOOKUP(A265,Covid!A:A,Covid!K:K,0,0)/_xlfn.XLOOKUP(A265,Covid!A:A,Covid!L:L,0,0)</f>
        <v>1.0936249666577753E-2</v>
      </c>
    </row>
    <row r="266" spans="1:20" x14ac:dyDescent="0.55000000000000004">
      <c r="A266" s="157">
        <v>44247</v>
      </c>
      <c r="B266" s="13">
        <v>813420</v>
      </c>
      <c r="C266" s="13">
        <v>248914</v>
      </c>
      <c r="D266" s="13">
        <v>1500</v>
      </c>
      <c r="E266" s="13">
        <v>263499</v>
      </c>
      <c r="F266" s="13">
        <v>6828327</v>
      </c>
      <c r="G266">
        <f>IF(OR(_xlfn.XLOOKUP(A266,'LPG Fup'!D:D,'LPG Fup'!L:L,"",0)&gt;0.03,_xlfn.XLOOKUP(A266,'LPG Fup'!D:D,'LPG Fup'!L:L,"",0)&lt;-0.03),_xlfn.XLOOKUP(A266,'LPG Fup'!D:D,'LPG Fup'!L:L,0,0),0)</f>
        <v>0</v>
      </c>
      <c r="H266">
        <f>IF(_xlfn.XLOOKUP(A266,'LPG Fup'!D:D,'LPG Fup'!M:M,0,0)="",0,_xlfn.XLOOKUP(A266,'LPG Fup'!D:D,'LPG Fup'!M:M,0,0))</f>
        <v>0</v>
      </c>
      <c r="I266" s="109">
        <f>_xlfn.XLOOKUP(A266,'Rafineri Fiyatları'!A:A,'Rafineri Fiyatları'!B:B,"",0)</f>
        <v>4467.26</v>
      </c>
      <c r="J266">
        <f t="shared" si="16"/>
        <v>2021</v>
      </c>
      <c r="K266">
        <f t="shared" si="17"/>
        <v>2</v>
      </c>
      <c r="L266">
        <f t="shared" si="18"/>
        <v>20</v>
      </c>
      <c r="M266">
        <f t="shared" si="19"/>
        <v>7</v>
      </c>
      <c r="N266">
        <f>_xlfn.XLOOKUP(A266,tatiller!H:H,tatiller!I:I,0,0)</f>
        <v>0</v>
      </c>
      <c r="O266" cm="1">
        <f t="array" ref="O266">_xlfn.IFNA(_xlfn.IFS(L266=1,"A0",A266=EOMONTH(A266,0),"A-1",L266=2,"A+1"),0)</f>
        <v>0</v>
      </c>
      <c r="P266" cm="1">
        <f t="array" ref="P266">_xlfn.IFNA(_xlfn.IFS(AND(_xlfn.XLOOKUP(A266,'LPG Fup'!D:D,'LPG Fup'!M:M,"",0)&lt;&gt;"",_xlfn.XLOOKUP(A266,'LPG Fup'!D:D,'LPG Fup'!M:M,"",0)&gt;0),"Z-1", AND(_xlfn.XLOOKUP(A266+1,'LPG Fup'!D:D,'LPG Fup'!M:M,"",0)&lt;&gt;"",_xlfn.XLOOKUP(A266+1,'LPG Fup'!D:D,'LPG Fup'!M:M,"",0)&gt;0),"Z-2", AND(_xlfn.XLOOKUP(A266-1,'LPG Fup'!D:D,'LPG Fup'!M:M,"",0)&lt;&gt;"",_xlfn.XLOOKUP(A266-1,'LPG Fup'!D:D,'LPG Fup'!M:M,"",0)&gt;0),"Z", AND(_xlfn.XLOOKUP(A266-2,'LPG Fup'!D:D,'LPG Fup'!M:M,"",0)&lt;&gt;"",_xlfn.XLOOKUP(A266-2,'LPG Fup'!D:D,'LPG Fup'!M:M,"",0)&gt;0),"Z+1"),0)</f>
        <v>0</v>
      </c>
      <c r="Q266" t="str" cm="1">
        <f t="array" ref="Q266">_xlfn.IFNA(_xlfn.IFS(AND(_xlfn.XLOOKUP(A266,'LPG Fup'!D:D,'LPG Fup'!M:M,"",0)&lt;&gt;"",_xlfn.XLOOKUP(A266,'LPG Fup'!D:D,'LPG Fup'!M:M,"",0)&lt;0),"I-1", AND(_xlfn.XLOOKUP(A266+1,'LPG Fup'!D:D,'LPG Fup'!M:M,"",0)&lt;&gt;"",_xlfn.XLOOKUP(A266+1,'LPG Fup'!D:D,'LPG Fup'!M:M,"",0)&lt;0),"I-2", AND(_xlfn.XLOOKUP(A266-1,'LPG Fup'!D:D,'LPG Fup'!M:M,"",0)&lt;&gt;"",_xlfn.XLOOKUP(A266-1,'LPG Fup'!D:D,'LPG Fup'!M:M,"",0)&lt;0),"I", AND(_xlfn.XLOOKUP(A266-2,'LPG Fup'!D:D,'LPG Fup'!M:M,"",0)&lt;&gt;"",_xlfn.XLOOKUP(A266-2,'LPG Fup'!D:D,'LPG Fup'!M:M,"",0)&lt;0),"I+1"),0)</f>
        <v>I</v>
      </c>
      <c r="R266">
        <f>_xlfn.XLOOKUP(A266,Covid!A:A,Covid!I:I,0,0)</f>
        <v>635</v>
      </c>
      <c r="S266">
        <f>_xlfn.XLOOKUP(A266,Covid!A:A,Covid!K:K,0,0)</f>
        <v>80</v>
      </c>
      <c r="T266" s="145">
        <f>_xlfn.XLOOKUP(A266,Covid!A:A,Covid!K:K,0,0)/_xlfn.XLOOKUP(A266,Covid!A:A,Covid!L:L,0,0)</f>
        <v>1.1095700416088766E-2</v>
      </c>
    </row>
    <row r="267" spans="1:20" x14ac:dyDescent="0.55000000000000004">
      <c r="A267" s="157">
        <v>44248</v>
      </c>
      <c r="B267" s="13">
        <v>581140</v>
      </c>
      <c r="C267" s="13">
        <v>0</v>
      </c>
      <c r="D267" s="13">
        <v>0</v>
      </c>
      <c r="E267" s="13">
        <v>167280</v>
      </c>
      <c r="F267" s="13">
        <v>748420</v>
      </c>
      <c r="G267">
        <f>IF(OR(_xlfn.XLOOKUP(A267,'LPG Fup'!D:D,'LPG Fup'!L:L,"",0)&gt;0.03,_xlfn.XLOOKUP(A267,'LPG Fup'!D:D,'LPG Fup'!L:L,"",0)&lt;-0.03),_xlfn.XLOOKUP(A267,'LPG Fup'!D:D,'LPG Fup'!L:L,0,0),0)</f>
        <v>0</v>
      </c>
      <c r="H267">
        <f>IF(_xlfn.XLOOKUP(A267,'LPG Fup'!D:D,'LPG Fup'!M:M,0,0)="",0,_xlfn.XLOOKUP(A267,'LPG Fup'!D:D,'LPG Fup'!M:M,0,0))</f>
        <v>0</v>
      </c>
      <c r="I267" s="109">
        <f>_xlfn.XLOOKUP(A267,'Rafineri Fiyatları'!A:A,'Rafineri Fiyatları'!B:B,"",0)</f>
        <v>4467.26</v>
      </c>
      <c r="J267">
        <f t="shared" si="16"/>
        <v>2021</v>
      </c>
      <c r="K267">
        <f t="shared" si="17"/>
        <v>2</v>
      </c>
      <c r="L267">
        <f t="shared" si="18"/>
        <v>21</v>
      </c>
      <c r="M267">
        <f t="shared" si="19"/>
        <v>1</v>
      </c>
      <c r="N267">
        <f>_xlfn.XLOOKUP(A267,tatiller!H:H,tatiller!I:I,0,0)</f>
        <v>0</v>
      </c>
      <c r="O267" cm="1">
        <f t="array" ref="O267">_xlfn.IFNA(_xlfn.IFS(L267=1,"A0",A267=EOMONTH(A267,0),"A-1",L267=2,"A+1"),0)</f>
        <v>0</v>
      </c>
      <c r="P267" cm="1">
        <f t="array" ref="P267">_xlfn.IFNA(_xlfn.IFS(AND(_xlfn.XLOOKUP(A267,'LPG Fup'!D:D,'LPG Fup'!M:M,"",0)&lt;&gt;"",_xlfn.XLOOKUP(A267,'LPG Fup'!D:D,'LPG Fup'!M:M,"",0)&gt;0),"Z-1", AND(_xlfn.XLOOKUP(A267+1,'LPG Fup'!D:D,'LPG Fup'!M:M,"",0)&lt;&gt;"",_xlfn.XLOOKUP(A267+1,'LPG Fup'!D:D,'LPG Fup'!M:M,"",0)&gt;0),"Z-2", AND(_xlfn.XLOOKUP(A267-1,'LPG Fup'!D:D,'LPG Fup'!M:M,"",0)&lt;&gt;"",_xlfn.XLOOKUP(A267-1,'LPG Fup'!D:D,'LPG Fup'!M:M,"",0)&gt;0),"Z", AND(_xlfn.XLOOKUP(A267-2,'LPG Fup'!D:D,'LPG Fup'!M:M,"",0)&lt;&gt;"",_xlfn.XLOOKUP(A267-2,'LPG Fup'!D:D,'LPG Fup'!M:M,"",0)&gt;0),"Z+1"),0)</f>
        <v>0</v>
      </c>
      <c r="Q267" t="str" cm="1">
        <f t="array" ref="Q267">_xlfn.IFNA(_xlfn.IFS(AND(_xlfn.XLOOKUP(A267,'LPG Fup'!D:D,'LPG Fup'!M:M,"",0)&lt;&gt;"",_xlfn.XLOOKUP(A267,'LPG Fup'!D:D,'LPG Fup'!M:M,"",0)&lt;0),"I-1", AND(_xlfn.XLOOKUP(A267+1,'LPG Fup'!D:D,'LPG Fup'!M:M,"",0)&lt;&gt;"",_xlfn.XLOOKUP(A267+1,'LPG Fup'!D:D,'LPG Fup'!M:M,"",0)&lt;0),"I-2", AND(_xlfn.XLOOKUP(A267-1,'LPG Fup'!D:D,'LPG Fup'!M:M,"",0)&lt;&gt;"",_xlfn.XLOOKUP(A267-1,'LPG Fup'!D:D,'LPG Fup'!M:M,"",0)&lt;0),"I", AND(_xlfn.XLOOKUP(A267-2,'LPG Fup'!D:D,'LPG Fup'!M:M,"",0)&lt;&gt;"",_xlfn.XLOOKUP(A267-2,'LPG Fup'!D:D,'LPG Fup'!M:M,"",0)&lt;0),"I+1"),0)</f>
        <v>I+1</v>
      </c>
      <c r="R267">
        <f>_xlfn.XLOOKUP(A267,Covid!A:A,Covid!I:I,0,0)</f>
        <v>601</v>
      </c>
      <c r="S267">
        <f>_xlfn.XLOOKUP(A267,Covid!A:A,Covid!K:K,0,0)</f>
        <v>77</v>
      </c>
      <c r="T267" s="145">
        <f>_xlfn.XLOOKUP(A267,Covid!A:A,Covid!K:K,0,0)/_xlfn.XLOOKUP(A267,Covid!A:A,Covid!L:L,0,0)</f>
        <v>1.5393842463014795E-2</v>
      </c>
    </row>
    <row r="268" spans="1:20" x14ac:dyDescent="0.55000000000000004">
      <c r="A268" s="157">
        <v>44249</v>
      </c>
      <c r="B268" s="13">
        <v>870740</v>
      </c>
      <c r="C268" s="13">
        <v>395006</v>
      </c>
      <c r="D268" s="13">
        <v>4592</v>
      </c>
      <c r="E268" s="13">
        <v>370037</v>
      </c>
      <c r="F268" s="13">
        <v>1640375</v>
      </c>
      <c r="G268">
        <f>IF(OR(_xlfn.XLOOKUP(A268,'LPG Fup'!D:D,'LPG Fup'!L:L,"",0)&gt;0.03,_xlfn.XLOOKUP(A268,'LPG Fup'!D:D,'LPG Fup'!L:L,"",0)&lt;-0.03),_xlfn.XLOOKUP(A268,'LPG Fup'!D:D,'LPG Fup'!L:L,0,0),0)</f>
        <v>0</v>
      </c>
      <c r="H268">
        <f>IF(_xlfn.XLOOKUP(A268,'LPG Fup'!D:D,'LPG Fup'!M:M,0,0)="",0,_xlfn.XLOOKUP(A268,'LPG Fup'!D:D,'LPG Fup'!M:M,0,0))</f>
        <v>0</v>
      </c>
      <c r="I268" s="109">
        <f>_xlfn.XLOOKUP(A268,'Rafineri Fiyatları'!A:A,'Rafineri Fiyatları'!B:B,"",0)</f>
        <v>4467.26</v>
      </c>
      <c r="J268">
        <f t="shared" si="16"/>
        <v>2021</v>
      </c>
      <c r="K268">
        <f t="shared" si="17"/>
        <v>2</v>
      </c>
      <c r="L268">
        <f t="shared" si="18"/>
        <v>22</v>
      </c>
      <c r="M268">
        <f t="shared" si="19"/>
        <v>2</v>
      </c>
      <c r="N268">
        <f>_xlfn.XLOOKUP(A268,tatiller!H:H,tatiller!I:I,0,0)</f>
        <v>0</v>
      </c>
      <c r="O268" cm="1">
        <f t="array" ref="O268">_xlfn.IFNA(_xlfn.IFS(L268=1,"A0",A268=EOMONTH(A268,0),"A-1",L268=2,"A+1"),0)</f>
        <v>0</v>
      </c>
      <c r="P268" cm="1">
        <f t="array" ref="P268">_xlfn.IFNA(_xlfn.IFS(AND(_xlfn.XLOOKUP(A268,'LPG Fup'!D:D,'LPG Fup'!M:M,"",0)&lt;&gt;"",_xlfn.XLOOKUP(A268,'LPG Fup'!D:D,'LPG Fup'!M:M,"",0)&gt;0),"Z-1", AND(_xlfn.XLOOKUP(A268+1,'LPG Fup'!D:D,'LPG Fup'!M:M,"",0)&lt;&gt;"",_xlfn.XLOOKUP(A268+1,'LPG Fup'!D:D,'LPG Fup'!M:M,"",0)&gt;0),"Z-2", AND(_xlfn.XLOOKUP(A268-1,'LPG Fup'!D:D,'LPG Fup'!M:M,"",0)&lt;&gt;"",_xlfn.XLOOKUP(A268-1,'LPG Fup'!D:D,'LPG Fup'!M:M,"",0)&gt;0),"Z", AND(_xlfn.XLOOKUP(A268-2,'LPG Fup'!D:D,'LPG Fup'!M:M,"",0)&lt;&gt;"",_xlfn.XLOOKUP(A268-2,'LPG Fup'!D:D,'LPG Fup'!M:M,"",0)&gt;0),"Z+1"),0)</f>
        <v>0</v>
      </c>
      <c r="Q268" cm="1">
        <f t="array" ref="Q268">_xlfn.IFNA(_xlfn.IFS(AND(_xlfn.XLOOKUP(A268,'LPG Fup'!D:D,'LPG Fup'!M:M,"",0)&lt;&gt;"",_xlfn.XLOOKUP(A268,'LPG Fup'!D:D,'LPG Fup'!M:M,"",0)&lt;0),"I-1", AND(_xlfn.XLOOKUP(A268+1,'LPG Fup'!D:D,'LPG Fup'!M:M,"",0)&lt;&gt;"",_xlfn.XLOOKUP(A268+1,'LPG Fup'!D:D,'LPG Fup'!M:M,"",0)&lt;0),"I-2", AND(_xlfn.XLOOKUP(A268-1,'LPG Fup'!D:D,'LPG Fup'!M:M,"",0)&lt;&gt;"",_xlfn.XLOOKUP(A268-1,'LPG Fup'!D:D,'LPG Fup'!M:M,"",0)&lt;0),"I", AND(_xlfn.XLOOKUP(A268-2,'LPG Fup'!D:D,'LPG Fup'!M:M,"",0)&lt;&gt;"",_xlfn.XLOOKUP(A268-2,'LPG Fup'!D:D,'LPG Fup'!M:M,"",0)&lt;0),"I+1"),0)</f>
        <v>0</v>
      </c>
      <c r="R268">
        <f>_xlfn.XLOOKUP(A268,Covid!A:A,Covid!I:I,0,0)</f>
        <v>623</v>
      </c>
      <c r="S268">
        <f>_xlfn.XLOOKUP(A268,Covid!A:A,Covid!K:K,0,0)</f>
        <v>78</v>
      </c>
      <c r="T268" s="145">
        <f>_xlfn.XLOOKUP(A268,Covid!A:A,Covid!K:K,0,0)/_xlfn.XLOOKUP(A268,Covid!A:A,Covid!L:L,0,0)</f>
        <v>1.3708260105448155E-2</v>
      </c>
    </row>
    <row r="269" spans="1:20" x14ac:dyDescent="0.55000000000000004">
      <c r="A269" s="157">
        <v>44250</v>
      </c>
      <c r="B269" s="13">
        <v>922860</v>
      </c>
      <c r="C269" s="13">
        <v>456450</v>
      </c>
      <c r="D269" s="13">
        <v>19941</v>
      </c>
      <c r="E269" s="13">
        <v>413230</v>
      </c>
      <c r="F269" s="13">
        <v>1812481</v>
      </c>
      <c r="G269">
        <f>IF(OR(_xlfn.XLOOKUP(A269,'LPG Fup'!D:D,'LPG Fup'!L:L,"",0)&gt;0.03,_xlfn.XLOOKUP(A269,'LPG Fup'!D:D,'LPG Fup'!L:L,"",0)&lt;-0.03),_xlfn.XLOOKUP(A269,'LPG Fup'!D:D,'LPG Fup'!L:L,0,0),0)</f>
        <v>0</v>
      </c>
      <c r="H269">
        <f>IF(_xlfn.XLOOKUP(A269,'LPG Fup'!D:D,'LPG Fup'!M:M,0,0)="",0,_xlfn.XLOOKUP(A269,'LPG Fup'!D:D,'LPG Fup'!M:M,0,0))</f>
        <v>0</v>
      </c>
      <c r="I269" s="109">
        <f>_xlfn.XLOOKUP(A269,'Rafineri Fiyatları'!A:A,'Rafineri Fiyatları'!B:B,"",0)</f>
        <v>4467.26</v>
      </c>
      <c r="J269">
        <f t="shared" si="16"/>
        <v>2021</v>
      </c>
      <c r="K269">
        <f t="shared" si="17"/>
        <v>2</v>
      </c>
      <c r="L269">
        <f t="shared" si="18"/>
        <v>23</v>
      </c>
      <c r="M269">
        <f t="shared" si="19"/>
        <v>3</v>
      </c>
      <c r="N269">
        <f>_xlfn.XLOOKUP(A269,tatiller!H:H,tatiller!I:I,0,0)</f>
        <v>0</v>
      </c>
      <c r="O269" cm="1">
        <f t="array" ref="O269">_xlfn.IFNA(_xlfn.IFS(L269=1,"A0",A269=EOMONTH(A269,0),"A-1",L269=2,"A+1"),0)</f>
        <v>0</v>
      </c>
      <c r="P269" cm="1">
        <f t="array" ref="P269">_xlfn.IFNA(_xlfn.IFS(AND(_xlfn.XLOOKUP(A269,'LPG Fup'!D:D,'LPG Fup'!M:M,"",0)&lt;&gt;"",_xlfn.XLOOKUP(A269,'LPG Fup'!D:D,'LPG Fup'!M:M,"",0)&gt;0),"Z-1", AND(_xlfn.XLOOKUP(A269+1,'LPG Fup'!D:D,'LPG Fup'!M:M,"",0)&lt;&gt;"",_xlfn.XLOOKUP(A269+1,'LPG Fup'!D:D,'LPG Fup'!M:M,"",0)&gt;0),"Z-2", AND(_xlfn.XLOOKUP(A269-1,'LPG Fup'!D:D,'LPG Fup'!M:M,"",0)&lt;&gt;"",_xlfn.XLOOKUP(A269-1,'LPG Fup'!D:D,'LPG Fup'!M:M,"",0)&gt;0),"Z", AND(_xlfn.XLOOKUP(A269-2,'LPG Fup'!D:D,'LPG Fup'!M:M,"",0)&lt;&gt;"",_xlfn.XLOOKUP(A269-2,'LPG Fup'!D:D,'LPG Fup'!M:M,"",0)&gt;0),"Z+1"),0)</f>
        <v>0</v>
      </c>
      <c r="Q269" cm="1">
        <f t="array" ref="Q269">_xlfn.IFNA(_xlfn.IFS(AND(_xlfn.XLOOKUP(A269,'LPG Fup'!D:D,'LPG Fup'!M:M,"",0)&lt;&gt;"",_xlfn.XLOOKUP(A269,'LPG Fup'!D:D,'LPG Fup'!M:M,"",0)&lt;0),"I-1", AND(_xlfn.XLOOKUP(A269+1,'LPG Fup'!D:D,'LPG Fup'!M:M,"",0)&lt;&gt;"",_xlfn.XLOOKUP(A269+1,'LPG Fup'!D:D,'LPG Fup'!M:M,"",0)&lt;0),"I-2", AND(_xlfn.XLOOKUP(A269-1,'LPG Fup'!D:D,'LPG Fup'!M:M,"",0)&lt;&gt;"",_xlfn.XLOOKUP(A269-1,'LPG Fup'!D:D,'LPG Fup'!M:M,"",0)&lt;0),"I", AND(_xlfn.XLOOKUP(A269-2,'LPG Fup'!D:D,'LPG Fup'!M:M,"",0)&lt;&gt;"",_xlfn.XLOOKUP(A269-2,'LPG Fup'!D:D,'LPG Fup'!M:M,"",0)&lt;0),"I+1"),0)</f>
        <v>0</v>
      </c>
      <c r="R269">
        <f>_xlfn.XLOOKUP(A269,Covid!A:A,Covid!I:I,0,0)</f>
        <v>633</v>
      </c>
      <c r="S269">
        <f>_xlfn.XLOOKUP(A269,Covid!A:A,Covid!K:K,0,0)</f>
        <v>75</v>
      </c>
      <c r="T269" s="145">
        <f>_xlfn.XLOOKUP(A269,Covid!A:A,Covid!K:K,0,0)/_xlfn.XLOOKUP(A269,Covid!A:A,Covid!L:L,0,0)</f>
        <v>1.3523260007212405E-2</v>
      </c>
    </row>
    <row r="270" spans="1:20" x14ac:dyDescent="0.55000000000000004">
      <c r="A270" s="157">
        <v>44251</v>
      </c>
      <c r="B270" s="13">
        <v>1044740</v>
      </c>
      <c r="C270" s="13">
        <v>349635</v>
      </c>
      <c r="D270" s="13">
        <v>9454</v>
      </c>
      <c r="E270" s="13">
        <v>399662</v>
      </c>
      <c r="F270" s="13">
        <v>1803491</v>
      </c>
      <c r="G270">
        <f>IF(OR(_xlfn.XLOOKUP(A270,'LPG Fup'!D:D,'LPG Fup'!L:L,"",0)&gt;0.03,_xlfn.XLOOKUP(A270,'LPG Fup'!D:D,'LPG Fup'!L:L,"",0)&lt;-0.03),_xlfn.XLOOKUP(A270,'LPG Fup'!D:D,'LPG Fup'!L:L,0,0),0)</f>
        <v>0</v>
      </c>
      <c r="H270">
        <f>IF(_xlfn.XLOOKUP(A270,'LPG Fup'!D:D,'LPG Fup'!M:M,0,0)="",0,_xlfn.XLOOKUP(A270,'LPG Fup'!D:D,'LPG Fup'!M:M,0,0))</f>
        <v>0</v>
      </c>
      <c r="I270" s="109">
        <f>_xlfn.XLOOKUP(A270,'Rafineri Fiyatları'!A:A,'Rafineri Fiyatları'!B:B,"",0)</f>
        <v>4467.26</v>
      </c>
      <c r="J270">
        <f t="shared" si="16"/>
        <v>2021</v>
      </c>
      <c r="K270">
        <f t="shared" si="17"/>
        <v>2</v>
      </c>
      <c r="L270">
        <f t="shared" si="18"/>
        <v>24</v>
      </c>
      <c r="M270">
        <f t="shared" si="19"/>
        <v>4</v>
      </c>
      <c r="N270">
        <f>_xlfn.XLOOKUP(A270,tatiller!H:H,tatiller!I:I,0,0)</f>
        <v>0</v>
      </c>
      <c r="O270" cm="1">
        <f t="array" ref="O270">_xlfn.IFNA(_xlfn.IFS(L270=1,"A0",A270=EOMONTH(A270,0),"A-1",L270=2,"A+1"),0)</f>
        <v>0</v>
      </c>
      <c r="P270" cm="1">
        <f t="array" ref="P270">_xlfn.IFNA(_xlfn.IFS(AND(_xlfn.XLOOKUP(A270,'LPG Fup'!D:D,'LPG Fup'!M:M,"",0)&lt;&gt;"",_xlfn.XLOOKUP(A270,'LPG Fup'!D:D,'LPG Fup'!M:M,"",0)&gt;0),"Z-1", AND(_xlfn.XLOOKUP(A270+1,'LPG Fup'!D:D,'LPG Fup'!M:M,"",0)&lt;&gt;"",_xlfn.XLOOKUP(A270+1,'LPG Fup'!D:D,'LPG Fup'!M:M,"",0)&gt;0),"Z-2", AND(_xlfn.XLOOKUP(A270-1,'LPG Fup'!D:D,'LPG Fup'!M:M,"",0)&lt;&gt;"",_xlfn.XLOOKUP(A270-1,'LPG Fup'!D:D,'LPG Fup'!M:M,"",0)&gt;0),"Z", AND(_xlfn.XLOOKUP(A270-2,'LPG Fup'!D:D,'LPG Fup'!M:M,"",0)&lt;&gt;"",_xlfn.XLOOKUP(A270-2,'LPG Fup'!D:D,'LPG Fup'!M:M,"",0)&gt;0),"Z+1"),0)</f>
        <v>0</v>
      </c>
      <c r="Q270" cm="1">
        <f t="array" ref="Q270">_xlfn.IFNA(_xlfn.IFS(AND(_xlfn.XLOOKUP(A270,'LPG Fup'!D:D,'LPG Fup'!M:M,"",0)&lt;&gt;"",_xlfn.XLOOKUP(A270,'LPG Fup'!D:D,'LPG Fup'!M:M,"",0)&lt;0),"I-1", AND(_xlfn.XLOOKUP(A270+1,'LPG Fup'!D:D,'LPG Fup'!M:M,"",0)&lt;&gt;"",_xlfn.XLOOKUP(A270+1,'LPG Fup'!D:D,'LPG Fup'!M:M,"",0)&lt;0),"I-2", AND(_xlfn.XLOOKUP(A270-1,'LPG Fup'!D:D,'LPG Fup'!M:M,"",0)&lt;&gt;"",_xlfn.XLOOKUP(A270-1,'LPG Fup'!D:D,'LPG Fup'!M:M,"",0)&lt;0),"I", AND(_xlfn.XLOOKUP(A270-2,'LPG Fup'!D:D,'LPG Fup'!M:M,"",0)&lt;&gt;"",_xlfn.XLOOKUP(A270-2,'LPG Fup'!D:D,'LPG Fup'!M:M,"",0)&lt;0),"I+1"),0)</f>
        <v>0</v>
      </c>
      <c r="R270">
        <f>_xlfn.XLOOKUP(A270,Covid!A:A,Covid!I:I,0,0)</f>
        <v>660</v>
      </c>
      <c r="S270">
        <f>_xlfn.XLOOKUP(A270,Covid!A:A,Covid!K:K,0,0)</f>
        <v>72</v>
      </c>
      <c r="T270" s="145">
        <f>_xlfn.XLOOKUP(A270,Covid!A:A,Covid!K:K,0,0)/_xlfn.XLOOKUP(A270,Covid!A:A,Covid!L:L,0,0)</f>
        <v>1.3592599584670568E-2</v>
      </c>
    </row>
    <row r="271" spans="1:20" x14ac:dyDescent="0.55000000000000004">
      <c r="A271" s="157">
        <v>44252</v>
      </c>
      <c r="B271" s="13">
        <v>1727891</v>
      </c>
      <c r="C271" s="13">
        <v>428815</v>
      </c>
      <c r="D271" s="13">
        <v>13502</v>
      </c>
      <c r="E271" s="13">
        <v>415001</v>
      </c>
      <c r="F271" s="13">
        <v>2585209</v>
      </c>
      <c r="G271">
        <f>IF(OR(_xlfn.XLOOKUP(A271,'LPG Fup'!D:D,'LPG Fup'!L:L,"",0)&gt;0.03,_xlfn.XLOOKUP(A271,'LPG Fup'!D:D,'LPG Fup'!L:L,"",0)&lt;-0.03),_xlfn.XLOOKUP(A271,'LPG Fup'!D:D,'LPG Fup'!L:L,0,0),0)</f>
        <v>0</v>
      </c>
      <c r="H271">
        <f>IF(_xlfn.XLOOKUP(A271,'LPG Fup'!D:D,'LPG Fup'!M:M,0,0)="",0,_xlfn.XLOOKUP(A271,'LPG Fup'!D:D,'LPG Fup'!M:M,0,0))</f>
        <v>0</v>
      </c>
      <c r="I271" s="109">
        <f>_xlfn.XLOOKUP(A271,'Rafineri Fiyatları'!A:A,'Rafineri Fiyatları'!B:B,"",0)</f>
        <v>4467.26</v>
      </c>
      <c r="J271">
        <f t="shared" si="16"/>
        <v>2021</v>
      </c>
      <c r="K271">
        <f t="shared" si="17"/>
        <v>2</v>
      </c>
      <c r="L271">
        <f t="shared" si="18"/>
        <v>25</v>
      </c>
      <c r="M271">
        <f t="shared" si="19"/>
        <v>5</v>
      </c>
      <c r="N271">
        <f>_xlfn.XLOOKUP(A271,tatiller!H:H,tatiller!I:I,0,0)</f>
        <v>0</v>
      </c>
      <c r="O271" cm="1">
        <f t="array" ref="O271">_xlfn.IFNA(_xlfn.IFS(L271=1,"A0",A271=EOMONTH(A271,0),"A-1",L271=2,"A+1"),0)</f>
        <v>0</v>
      </c>
      <c r="P271" cm="1">
        <f t="array" ref="P271">_xlfn.IFNA(_xlfn.IFS(AND(_xlfn.XLOOKUP(A271,'LPG Fup'!D:D,'LPG Fup'!M:M,"",0)&lt;&gt;"",_xlfn.XLOOKUP(A271,'LPG Fup'!D:D,'LPG Fup'!M:M,"",0)&gt;0),"Z-1", AND(_xlfn.XLOOKUP(A271+1,'LPG Fup'!D:D,'LPG Fup'!M:M,"",0)&lt;&gt;"",_xlfn.XLOOKUP(A271+1,'LPG Fup'!D:D,'LPG Fup'!M:M,"",0)&gt;0),"Z-2", AND(_xlfn.XLOOKUP(A271-1,'LPG Fup'!D:D,'LPG Fup'!M:M,"",0)&lt;&gt;"",_xlfn.XLOOKUP(A271-1,'LPG Fup'!D:D,'LPG Fup'!M:M,"",0)&gt;0),"Z", AND(_xlfn.XLOOKUP(A271-2,'LPG Fup'!D:D,'LPG Fup'!M:M,"",0)&lt;&gt;"",_xlfn.XLOOKUP(A271-2,'LPG Fup'!D:D,'LPG Fup'!M:M,"",0)&gt;0),"Z+1"),0)</f>
        <v>0</v>
      </c>
      <c r="Q271" cm="1">
        <f t="array" ref="Q271">_xlfn.IFNA(_xlfn.IFS(AND(_xlfn.XLOOKUP(A271,'LPG Fup'!D:D,'LPG Fup'!M:M,"",0)&lt;&gt;"",_xlfn.XLOOKUP(A271,'LPG Fup'!D:D,'LPG Fup'!M:M,"",0)&lt;0),"I-1", AND(_xlfn.XLOOKUP(A271+1,'LPG Fup'!D:D,'LPG Fup'!M:M,"",0)&lt;&gt;"",_xlfn.XLOOKUP(A271+1,'LPG Fup'!D:D,'LPG Fup'!M:M,"",0)&lt;0),"I-2", AND(_xlfn.XLOOKUP(A271-1,'LPG Fup'!D:D,'LPG Fup'!M:M,"",0)&lt;&gt;"",_xlfn.XLOOKUP(A271-1,'LPG Fup'!D:D,'LPG Fup'!M:M,"",0)&lt;0),"I", AND(_xlfn.XLOOKUP(A271-2,'LPG Fup'!D:D,'LPG Fup'!M:M,"",0)&lt;&gt;"",_xlfn.XLOOKUP(A271-2,'LPG Fup'!D:D,'LPG Fup'!M:M,"",0)&lt;0),"I+1"),0)</f>
        <v>0</v>
      </c>
      <c r="R271">
        <f>_xlfn.XLOOKUP(A271,Covid!A:A,Covid!I:I,0,0)</f>
        <v>658</v>
      </c>
      <c r="S271">
        <f>_xlfn.XLOOKUP(A271,Covid!A:A,Covid!K:K,0,0)</f>
        <v>73</v>
      </c>
      <c r="T271" s="145">
        <f>_xlfn.XLOOKUP(A271,Covid!A:A,Covid!K:K,0,0)/_xlfn.XLOOKUP(A271,Covid!A:A,Covid!L:L,0,0)</f>
        <v>1.1755233494363929E-2</v>
      </c>
    </row>
    <row r="272" spans="1:20" x14ac:dyDescent="0.55000000000000004">
      <c r="A272" s="157">
        <v>44253</v>
      </c>
      <c r="B272" s="13">
        <v>2382660</v>
      </c>
      <c r="C272" s="13">
        <v>534755</v>
      </c>
      <c r="D272" s="13">
        <v>10840</v>
      </c>
      <c r="E272" s="13">
        <v>490726</v>
      </c>
      <c r="F272" s="13">
        <v>3418981</v>
      </c>
      <c r="G272">
        <f>IF(OR(_xlfn.XLOOKUP(A272,'LPG Fup'!D:D,'LPG Fup'!L:L,"",0)&gt;0.03,_xlfn.XLOOKUP(A272,'LPG Fup'!D:D,'LPG Fup'!L:L,"",0)&lt;-0.03),_xlfn.XLOOKUP(A272,'LPG Fup'!D:D,'LPG Fup'!L:L,0,0),0)</f>
        <v>0</v>
      </c>
      <c r="H272">
        <f>IF(_xlfn.XLOOKUP(A272,'LPG Fup'!D:D,'LPG Fup'!M:M,0,0)="",0,_xlfn.XLOOKUP(A272,'LPG Fup'!D:D,'LPG Fup'!M:M,0,0))</f>
        <v>0</v>
      </c>
      <c r="I272" s="109">
        <f>_xlfn.XLOOKUP(A272,'Rafineri Fiyatları'!A:A,'Rafineri Fiyatları'!B:B,"",0)</f>
        <v>4467.26</v>
      </c>
      <c r="J272">
        <f t="shared" si="16"/>
        <v>2021</v>
      </c>
      <c r="K272">
        <f t="shared" si="17"/>
        <v>2</v>
      </c>
      <c r="L272">
        <f t="shared" si="18"/>
        <v>26</v>
      </c>
      <c r="M272">
        <f t="shared" si="19"/>
        <v>6</v>
      </c>
      <c r="N272">
        <f>_xlfn.XLOOKUP(A272,tatiller!H:H,tatiller!I:I,0,0)</f>
        <v>0</v>
      </c>
      <c r="O272" cm="1">
        <f t="array" ref="O272">_xlfn.IFNA(_xlfn.IFS(L272=1,"A0",A272=EOMONTH(A272,0),"A-1",L272=2,"A+1"),0)</f>
        <v>0</v>
      </c>
      <c r="P272" cm="1">
        <f t="array" ref="P272">_xlfn.IFNA(_xlfn.IFS(AND(_xlfn.XLOOKUP(A272,'LPG Fup'!D:D,'LPG Fup'!M:M,"",0)&lt;&gt;"",_xlfn.XLOOKUP(A272,'LPG Fup'!D:D,'LPG Fup'!M:M,"",0)&gt;0),"Z-1", AND(_xlfn.XLOOKUP(A272+1,'LPG Fup'!D:D,'LPG Fup'!M:M,"",0)&lt;&gt;"",_xlfn.XLOOKUP(A272+1,'LPG Fup'!D:D,'LPG Fup'!M:M,"",0)&gt;0),"Z-2", AND(_xlfn.XLOOKUP(A272-1,'LPG Fup'!D:D,'LPG Fup'!M:M,"",0)&lt;&gt;"",_xlfn.XLOOKUP(A272-1,'LPG Fup'!D:D,'LPG Fup'!M:M,"",0)&gt;0),"Z", AND(_xlfn.XLOOKUP(A272-2,'LPG Fup'!D:D,'LPG Fup'!M:M,"",0)&lt;&gt;"",_xlfn.XLOOKUP(A272-2,'LPG Fup'!D:D,'LPG Fup'!M:M,"",0)&gt;0),"Z+1"),0)</f>
        <v>0</v>
      </c>
      <c r="Q272" cm="1">
        <f t="array" ref="Q272">_xlfn.IFNA(_xlfn.IFS(AND(_xlfn.XLOOKUP(A272,'LPG Fup'!D:D,'LPG Fup'!M:M,"",0)&lt;&gt;"",_xlfn.XLOOKUP(A272,'LPG Fup'!D:D,'LPG Fup'!M:M,"",0)&lt;0),"I-1", AND(_xlfn.XLOOKUP(A272+1,'LPG Fup'!D:D,'LPG Fup'!M:M,"",0)&lt;&gt;"",_xlfn.XLOOKUP(A272+1,'LPG Fup'!D:D,'LPG Fup'!M:M,"",0)&lt;0),"I-2", AND(_xlfn.XLOOKUP(A272-1,'LPG Fup'!D:D,'LPG Fup'!M:M,"",0)&lt;&gt;"",_xlfn.XLOOKUP(A272-1,'LPG Fup'!D:D,'LPG Fup'!M:M,"",0)&lt;0),"I", AND(_xlfn.XLOOKUP(A272-2,'LPG Fup'!D:D,'LPG Fup'!M:M,"",0)&lt;&gt;"",_xlfn.XLOOKUP(A272-2,'LPG Fup'!D:D,'LPG Fup'!M:M,"",0)&lt;0),"I+1"),0)</f>
        <v>0</v>
      </c>
      <c r="R272">
        <f>_xlfn.XLOOKUP(A272,Covid!A:A,Covid!I:I,0,0)</f>
        <v>649</v>
      </c>
      <c r="S272">
        <f>_xlfn.XLOOKUP(A272,Covid!A:A,Covid!K:K,0,0)</f>
        <v>74</v>
      </c>
      <c r="T272" s="145">
        <f>_xlfn.XLOOKUP(A272,Covid!A:A,Covid!K:K,0,0)/_xlfn.XLOOKUP(A272,Covid!A:A,Covid!L:L,0,0)</f>
        <v>7.1970433767749465E-3</v>
      </c>
    </row>
    <row r="273" spans="1:20" x14ac:dyDescent="0.55000000000000004">
      <c r="A273" s="157">
        <v>44254</v>
      </c>
      <c r="B273" s="13">
        <v>1183540</v>
      </c>
      <c r="C273" s="13">
        <v>423176</v>
      </c>
      <c r="D273" s="13">
        <v>7983</v>
      </c>
      <c r="E273" s="13">
        <v>483615</v>
      </c>
      <c r="F273" s="13">
        <v>4305676</v>
      </c>
      <c r="G273">
        <f>IF(OR(_xlfn.XLOOKUP(A273,'LPG Fup'!D:D,'LPG Fup'!L:L,"",0)&gt;0.03,_xlfn.XLOOKUP(A273,'LPG Fup'!D:D,'LPG Fup'!L:L,"",0)&lt;-0.03),_xlfn.XLOOKUP(A273,'LPG Fup'!D:D,'LPG Fup'!L:L,0,0),0)</f>
        <v>0</v>
      </c>
      <c r="H273">
        <f>IF(_xlfn.XLOOKUP(A273,'LPG Fup'!D:D,'LPG Fup'!M:M,0,0)="",0,_xlfn.XLOOKUP(A273,'LPG Fup'!D:D,'LPG Fup'!M:M,0,0))</f>
        <v>0</v>
      </c>
      <c r="I273" s="109">
        <f>_xlfn.XLOOKUP(A273,'Rafineri Fiyatları'!A:A,'Rafineri Fiyatları'!B:B,"",0)</f>
        <v>4467.26</v>
      </c>
      <c r="J273">
        <f t="shared" si="16"/>
        <v>2021</v>
      </c>
      <c r="K273">
        <f t="shared" si="17"/>
        <v>2</v>
      </c>
      <c r="L273">
        <f t="shared" si="18"/>
        <v>27</v>
      </c>
      <c r="M273">
        <f t="shared" si="19"/>
        <v>7</v>
      </c>
      <c r="N273">
        <f>_xlfn.XLOOKUP(A273,tatiller!H:H,tatiller!I:I,0,0)</f>
        <v>0</v>
      </c>
      <c r="O273" cm="1">
        <f t="array" ref="O273">_xlfn.IFNA(_xlfn.IFS(L273=1,"A0",A273=EOMONTH(A273,0),"A-1",L273=2,"A+1"),0)</f>
        <v>0</v>
      </c>
      <c r="P273" cm="1">
        <f t="array" ref="P273">_xlfn.IFNA(_xlfn.IFS(AND(_xlfn.XLOOKUP(A273,'LPG Fup'!D:D,'LPG Fup'!M:M,"",0)&lt;&gt;"",_xlfn.XLOOKUP(A273,'LPG Fup'!D:D,'LPG Fup'!M:M,"",0)&gt;0),"Z-1", AND(_xlfn.XLOOKUP(A273+1,'LPG Fup'!D:D,'LPG Fup'!M:M,"",0)&lt;&gt;"",_xlfn.XLOOKUP(A273+1,'LPG Fup'!D:D,'LPG Fup'!M:M,"",0)&gt;0),"Z-2", AND(_xlfn.XLOOKUP(A273-1,'LPG Fup'!D:D,'LPG Fup'!M:M,"",0)&lt;&gt;"",_xlfn.XLOOKUP(A273-1,'LPG Fup'!D:D,'LPG Fup'!M:M,"",0)&gt;0),"Z", AND(_xlfn.XLOOKUP(A273-2,'LPG Fup'!D:D,'LPG Fup'!M:M,"",0)&lt;&gt;"",_xlfn.XLOOKUP(A273-2,'LPG Fup'!D:D,'LPG Fup'!M:M,"",0)&gt;0),"Z+1"),0)</f>
        <v>0</v>
      </c>
      <c r="Q273" cm="1">
        <f t="array" ref="Q273">_xlfn.IFNA(_xlfn.IFS(AND(_xlfn.XLOOKUP(A273,'LPG Fup'!D:D,'LPG Fup'!M:M,"",0)&lt;&gt;"",_xlfn.XLOOKUP(A273,'LPG Fup'!D:D,'LPG Fup'!M:M,"",0)&lt;0),"I-1", AND(_xlfn.XLOOKUP(A273+1,'LPG Fup'!D:D,'LPG Fup'!M:M,"",0)&lt;&gt;"",_xlfn.XLOOKUP(A273+1,'LPG Fup'!D:D,'LPG Fup'!M:M,"",0)&lt;0),"I-2", AND(_xlfn.XLOOKUP(A273-1,'LPG Fup'!D:D,'LPG Fup'!M:M,"",0)&lt;&gt;"",_xlfn.XLOOKUP(A273-1,'LPG Fup'!D:D,'LPG Fup'!M:M,"",0)&lt;0),"I", AND(_xlfn.XLOOKUP(A273-2,'LPG Fup'!D:D,'LPG Fup'!M:M,"",0)&lt;&gt;"",_xlfn.XLOOKUP(A273-2,'LPG Fup'!D:D,'LPG Fup'!M:M,"",0)&lt;0),"I+1"),0)</f>
        <v>0</v>
      </c>
      <c r="R273">
        <f>_xlfn.XLOOKUP(A273,Covid!A:A,Covid!I:I,0,0)</f>
        <v>621</v>
      </c>
      <c r="S273">
        <f>_xlfn.XLOOKUP(A273,Covid!A:A,Covid!K:K,0,0)</f>
        <v>71</v>
      </c>
      <c r="T273" s="145">
        <f>_xlfn.XLOOKUP(A273,Covid!A:A,Covid!K:K,0,0)/_xlfn.XLOOKUP(A273,Covid!A:A,Covid!L:L,0,0)</f>
        <v>7.9436115462072059E-3</v>
      </c>
    </row>
    <row r="274" spans="1:20" x14ac:dyDescent="0.55000000000000004">
      <c r="A274" s="157">
        <v>44255</v>
      </c>
      <c r="B274" s="13">
        <v>993540</v>
      </c>
      <c r="C274" s="13">
        <v>10059</v>
      </c>
      <c r="D274" s="13">
        <v>60000</v>
      </c>
      <c r="E274" s="13">
        <v>149155</v>
      </c>
      <c r="F274" s="13">
        <v>1212754</v>
      </c>
      <c r="G274">
        <f>IF(OR(_xlfn.XLOOKUP(A274,'LPG Fup'!D:D,'LPG Fup'!L:L,"",0)&gt;0.03,_xlfn.XLOOKUP(A274,'LPG Fup'!D:D,'LPG Fup'!L:L,"",0)&lt;-0.03),_xlfn.XLOOKUP(A274,'LPG Fup'!D:D,'LPG Fup'!L:L,0,0),0)</f>
        <v>0</v>
      </c>
      <c r="H274">
        <f>IF(_xlfn.XLOOKUP(A274,'LPG Fup'!D:D,'LPG Fup'!M:M,0,0)="",0,_xlfn.XLOOKUP(A274,'LPG Fup'!D:D,'LPG Fup'!M:M,0,0))</f>
        <v>0</v>
      </c>
      <c r="I274" s="109">
        <f>_xlfn.XLOOKUP(A274,'Rafineri Fiyatları'!A:A,'Rafineri Fiyatları'!B:B,"",0)</f>
        <v>4467.26</v>
      </c>
      <c r="J274">
        <f t="shared" si="16"/>
        <v>2021</v>
      </c>
      <c r="K274">
        <f t="shared" si="17"/>
        <v>2</v>
      </c>
      <c r="L274">
        <f t="shared" si="18"/>
        <v>28</v>
      </c>
      <c r="M274">
        <f t="shared" si="19"/>
        <v>1</v>
      </c>
      <c r="N274">
        <f>_xlfn.XLOOKUP(A274,tatiller!H:H,tatiller!I:I,0,0)</f>
        <v>0</v>
      </c>
      <c r="O274" t="str" cm="1">
        <f t="array" ref="O274">_xlfn.IFNA(_xlfn.IFS(L274=1,"A0",A274=EOMONTH(A274,0),"A-1",L274=2,"A+1"),0)</f>
        <v>A-1</v>
      </c>
      <c r="P274" t="str" cm="1">
        <f t="array" ref="P274">_xlfn.IFNA(_xlfn.IFS(AND(_xlfn.XLOOKUP(A274,'LPG Fup'!D:D,'LPG Fup'!M:M,"",0)&lt;&gt;"",_xlfn.XLOOKUP(A274,'LPG Fup'!D:D,'LPG Fup'!M:M,"",0)&gt;0),"Z-1", AND(_xlfn.XLOOKUP(A274+1,'LPG Fup'!D:D,'LPG Fup'!M:M,"",0)&lt;&gt;"",_xlfn.XLOOKUP(A274+1,'LPG Fup'!D:D,'LPG Fup'!M:M,"",0)&gt;0),"Z-2", AND(_xlfn.XLOOKUP(A274-1,'LPG Fup'!D:D,'LPG Fup'!M:M,"",0)&lt;&gt;"",_xlfn.XLOOKUP(A274-1,'LPG Fup'!D:D,'LPG Fup'!M:M,"",0)&gt;0),"Z", AND(_xlfn.XLOOKUP(A274-2,'LPG Fup'!D:D,'LPG Fup'!M:M,"",0)&lt;&gt;"",_xlfn.XLOOKUP(A274-2,'LPG Fup'!D:D,'LPG Fup'!M:M,"",0)&gt;0),"Z+1"),0)</f>
        <v>Z-2</v>
      </c>
      <c r="Q274" cm="1">
        <f t="array" ref="Q274">_xlfn.IFNA(_xlfn.IFS(AND(_xlfn.XLOOKUP(A274,'LPG Fup'!D:D,'LPG Fup'!M:M,"",0)&lt;&gt;"",_xlfn.XLOOKUP(A274,'LPG Fup'!D:D,'LPG Fup'!M:M,"",0)&lt;0),"I-1", AND(_xlfn.XLOOKUP(A274+1,'LPG Fup'!D:D,'LPG Fup'!M:M,"",0)&lt;&gt;"",_xlfn.XLOOKUP(A274+1,'LPG Fup'!D:D,'LPG Fup'!M:M,"",0)&lt;0),"I-2", AND(_xlfn.XLOOKUP(A274-1,'LPG Fup'!D:D,'LPG Fup'!M:M,"",0)&lt;&gt;"",_xlfn.XLOOKUP(A274-1,'LPG Fup'!D:D,'LPG Fup'!M:M,"",0)&lt;0),"I", AND(_xlfn.XLOOKUP(A274-2,'LPG Fup'!D:D,'LPG Fup'!M:M,"",0)&lt;&gt;"",_xlfn.XLOOKUP(A274-2,'LPG Fup'!D:D,'LPG Fup'!M:M,"",0)&lt;0),"I+1"),0)</f>
        <v>0</v>
      </c>
      <c r="R274">
        <f>_xlfn.XLOOKUP(A274,Covid!A:A,Covid!I:I,0,0)</f>
        <v>610</v>
      </c>
      <c r="S274">
        <f>_xlfn.XLOOKUP(A274,Covid!A:A,Covid!K:K,0,0)</f>
        <v>66</v>
      </c>
      <c r="T274" s="145">
        <f>_xlfn.XLOOKUP(A274,Covid!A:A,Covid!K:K,0,0)/_xlfn.XLOOKUP(A274,Covid!A:A,Covid!L:L,0,0)</f>
        <v>1.0136691752418983E-2</v>
      </c>
    </row>
    <row r="275" spans="1:20" x14ac:dyDescent="0.55000000000000004">
      <c r="A275" s="157">
        <v>44256</v>
      </c>
      <c r="B275" s="13">
        <v>1218820</v>
      </c>
      <c r="C275" s="13">
        <v>439320</v>
      </c>
      <c r="D275" s="13">
        <v>5149</v>
      </c>
      <c r="E275" s="13">
        <v>335975</v>
      </c>
      <c r="F275" s="13">
        <v>1999264</v>
      </c>
      <c r="G275">
        <f>IF(OR(_xlfn.XLOOKUP(A275,'LPG Fup'!D:D,'LPG Fup'!L:L,"",0)&gt;0.03,_xlfn.XLOOKUP(A275,'LPG Fup'!D:D,'LPG Fup'!L:L,"",0)&lt;-0.03),_xlfn.XLOOKUP(A275,'LPG Fup'!D:D,'LPG Fup'!L:L,0,0),0)</f>
        <v>4.0100288020849847E-2</v>
      </c>
      <c r="H275">
        <f>IF(_xlfn.XLOOKUP(A275,'LPG Fup'!D:D,'LPG Fup'!M:M,0,0)="",0,_xlfn.XLOOKUP(A275,'LPG Fup'!D:D,'LPG Fup'!M:M,0,0))</f>
        <v>468.49319999999989</v>
      </c>
      <c r="I275" s="109">
        <f>_xlfn.XLOOKUP(A275,'Rafineri Fiyatları'!A:A,'Rafineri Fiyatları'!B:B,"",0)</f>
        <v>4467.26</v>
      </c>
      <c r="J275">
        <f t="shared" si="16"/>
        <v>2021</v>
      </c>
      <c r="K275">
        <f t="shared" si="17"/>
        <v>3</v>
      </c>
      <c r="L275">
        <f t="shared" si="18"/>
        <v>1</v>
      </c>
      <c r="M275">
        <f t="shared" si="19"/>
        <v>2</v>
      </c>
      <c r="N275">
        <f>_xlfn.XLOOKUP(A275,tatiller!H:H,tatiller!I:I,0,0)</f>
        <v>0</v>
      </c>
      <c r="O275" t="str" cm="1">
        <f t="array" ref="O275">_xlfn.IFNA(_xlfn.IFS(L275=1,"A0",A275=EOMONTH(A275,0),"A-1",L275=2,"A+1"),0)</f>
        <v>A0</v>
      </c>
      <c r="P275" t="str" cm="1">
        <f t="array" ref="P275">_xlfn.IFNA(_xlfn.IFS(AND(_xlfn.XLOOKUP(A275,'LPG Fup'!D:D,'LPG Fup'!M:M,"",0)&lt;&gt;"",_xlfn.XLOOKUP(A275,'LPG Fup'!D:D,'LPG Fup'!M:M,"",0)&gt;0),"Z-1", AND(_xlfn.XLOOKUP(A275+1,'LPG Fup'!D:D,'LPG Fup'!M:M,"",0)&lt;&gt;"",_xlfn.XLOOKUP(A275+1,'LPG Fup'!D:D,'LPG Fup'!M:M,"",0)&gt;0),"Z-2", AND(_xlfn.XLOOKUP(A275-1,'LPG Fup'!D:D,'LPG Fup'!M:M,"",0)&lt;&gt;"",_xlfn.XLOOKUP(A275-1,'LPG Fup'!D:D,'LPG Fup'!M:M,"",0)&gt;0),"Z", AND(_xlfn.XLOOKUP(A275-2,'LPG Fup'!D:D,'LPG Fup'!M:M,"",0)&lt;&gt;"",_xlfn.XLOOKUP(A275-2,'LPG Fup'!D:D,'LPG Fup'!M:M,"",0)&gt;0),"Z+1"),0)</f>
        <v>Z-1</v>
      </c>
      <c r="Q275" cm="1">
        <f t="array" ref="Q275">_xlfn.IFNA(_xlfn.IFS(AND(_xlfn.XLOOKUP(A275,'LPG Fup'!D:D,'LPG Fup'!M:M,"",0)&lt;&gt;"",_xlfn.XLOOKUP(A275,'LPG Fup'!D:D,'LPG Fup'!M:M,"",0)&lt;0),"I-1", AND(_xlfn.XLOOKUP(A275+1,'LPG Fup'!D:D,'LPG Fup'!M:M,"",0)&lt;&gt;"",_xlfn.XLOOKUP(A275+1,'LPG Fup'!D:D,'LPG Fup'!M:M,"",0)&lt;0),"I-2", AND(_xlfn.XLOOKUP(A275-1,'LPG Fup'!D:D,'LPG Fup'!M:M,"",0)&lt;&gt;"",_xlfn.XLOOKUP(A275-1,'LPG Fup'!D:D,'LPG Fup'!M:M,"",0)&lt;0),"I", AND(_xlfn.XLOOKUP(A275-2,'LPG Fup'!D:D,'LPG Fup'!M:M,"",0)&lt;&gt;"",_xlfn.XLOOKUP(A275-2,'LPG Fup'!D:D,'LPG Fup'!M:M,"",0)&lt;0),"I+1"),0)</f>
        <v>0</v>
      </c>
      <c r="R275">
        <f>_xlfn.XLOOKUP(A275,Covid!A:A,Covid!I:I,0,0)</f>
        <v>645</v>
      </c>
      <c r="S275">
        <f>_xlfn.XLOOKUP(A275,Covid!A:A,Covid!K:K,0,0)</f>
        <v>69</v>
      </c>
      <c r="T275" s="145">
        <f>_xlfn.XLOOKUP(A275,Covid!A:A,Covid!K:K,0,0)/_xlfn.XLOOKUP(A275,Covid!A:A,Covid!L:L,0,0)</f>
        <v>1.1602488649739364E-2</v>
      </c>
    </row>
    <row r="276" spans="1:20" x14ac:dyDescent="0.55000000000000004">
      <c r="A276" s="157">
        <v>44257</v>
      </c>
      <c r="B276" s="13">
        <v>1419920</v>
      </c>
      <c r="C276" s="13">
        <v>593981</v>
      </c>
      <c r="D276" s="13">
        <v>22352</v>
      </c>
      <c r="E276" s="13">
        <v>425113</v>
      </c>
      <c r="F276" s="13">
        <v>2461366</v>
      </c>
      <c r="G276">
        <f>IF(OR(_xlfn.XLOOKUP(A276,'LPG Fup'!D:D,'LPG Fup'!L:L,"",0)&gt;0.03,_xlfn.XLOOKUP(A276,'LPG Fup'!D:D,'LPG Fup'!L:L,"",0)&lt;-0.03),_xlfn.XLOOKUP(A276,'LPG Fup'!D:D,'LPG Fup'!L:L,0,0),0)</f>
        <v>0</v>
      </c>
      <c r="H276">
        <f>IF(_xlfn.XLOOKUP(A276,'LPG Fup'!D:D,'LPG Fup'!M:M,0,0)="",0,_xlfn.XLOOKUP(A276,'LPG Fup'!D:D,'LPG Fup'!M:M,0,0))</f>
        <v>0</v>
      </c>
      <c r="I276" s="109">
        <f>_xlfn.XLOOKUP(A276,'Rafineri Fiyatları'!A:A,'Rafineri Fiyatları'!B:B,"",0)</f>
        <v>4467.26</v>
      </c>
      <c r="J276">
        <f t="shared" si="16"/>
        <v>2021</v>
      </c>
      <c r="K276">
        <f t="shared" si="17"/>
        <v>3</v>
      </c>
      <c r="L276">
        <f t="shared" si="18"/>
        <v>2</v>
      </c>
      <c r="M276">
        <f t="shared" si="19"/>
        <v>3</v>
      </c>
      <c r="N276">
        <f>_xlfn.XLOOKUP(A276,tatiller!H:H,tatiller!I:I,0,0)</f>
        <v>0</v>
      </c>
      <c r="O276" t="str" cm="1">
        <f t="array" ref="O276">_xlfn.IFNA(_xlfn.IFS(L276=1,"A0",A276=EOMONTH(A276,0),"A-1",L276=2,"A+1"),0)</f>
        <v>A+1</v>
      </c>
      <c r="P276" t="str" cm="1">
        <f t="array" ref="P276">_xlfn.IFNA(_xlfn.IFS(AND(_xlfn.XLOOKUP(A276,'LPG Fup'!D:D,'LPG Fup'!M:M,"",0)&lt;&gt;"",_xlfn.XLOOKUP(A276,'LPG Fup'!D:D,'LPG Fup'!M:M,"",0)&gt;0),"Z-1", AND(_xlfn.XLOOKUP(A276+1,'LPG Fup'!D:D,'LPG Fup'!M:M,"",0)&lt;&gt;"",_xlfn.XLOOKUP(A276+1,'LPG Fup'!D:D,'LPG Fup'!M:M,"",0)&gt;0),"Z-2", AND(_xlfn.XLOOKUP(A276-1,'LPG Fup'!D:D,'LPG Fup'!M:M,"",0)&lt;&gt;"",_xlfn.XLOOKUP(A276-1,'LPG Fup'!D:D,'LPG Fup'!M:M,"",0)&gt;0),"Z", AND(_xlfn.XLOOKUP(A276-2,'LPG Fup'!D:D,'LPG Fup'!M:M,"",0)&lt;&gt;"",_xlfn.XLOOKUP(A276-2,'LPG Fup'!D:D,'LPG Fup'!M:M,"",0)&gt;0),"Z+1"),0)</f>
        <v>Z</v>
      </c>
      <c r="Q276" cm="1">
        <f t="array" ref="Q276">_xlfn.IFNA(_xlfn.IFS(AND(_xlfn.XLOOKUP(A276,'LPG Fup'!D:D,'LPG Fup'!M:M,"",0)&lt;&gt;"",_xlfn.XLOOKUP(A276,'LPG Fup'!D:D,'LPG Fup'!M:M,"",0)&lt;0),"I-1", AND(_xlfn.XLOOKUP(A276+1,'LPG Fup'!D:D,'LPG Fup'!M:M,"",0)&lt;&gt;"",_xlfn.XLOOKUP(A276+1,'LPG Fup'!D:D,'LPG Fup'!M:M,"",0)&lt;0),"I-2", AND(_xlfn.XLOOKUP(A276-1,'LPG Fup'!D:D,'LPG Fup'!M:M,"",0)&lt;&gt;"",_xlfn.XLOOKUP(A276-1,'LPG Fup'!D:D,'LPG Fup'!M:M,"",0)&lt;0),"I", AND(_xlfn.XLOOKUP(A276-2,'LPG Fup'!D:D,'LPG Fup'!M:M,"",0)&lt;&gt;"",_xlfn.XLOOKUP(A276-2,'LPG Fup'!D:D,'LPG Fup'!M:M,"",0)&lt;0),"I+1"),0)</f>
        <v>0</v>
      </c>
      <c r="R276">
        <f>_xlfn.XLOOKUP(A276,Covid!A:A,Covid!I:I,0,0)</f>
        <v>668</v>
      </c>
      <c r="S276">
        <f>_xlfn.XLOOKUP(A276,Covid!A:A,Covid!K:K,0,0)</f>
        <v>68</v>
      </c>
      <c r="T276" s="145">
        <f>_xlfn.XLOOKUP(A276,Covid!A:A,Covid!K:K,0,0)/_xlfn.XLOOKUP(A276,Covid!A:A,Covid!L:L,0,0)</f>
        <v>8.6163203243791175E-3</v>
      </c>
    </row>
    <row r="277" spans="1:20" x14ac:dyDescent="0.55000000000000004">
      <c r="A277" s="157">
        <v>44258</v>
      </c>
      <c r="B277" s="13">
        <v>1051380</v>
      </c>
      <c r="C277" s="13">
        <v>223146</v>
      </c>
      <c r="D277" s="13">
        <v>8142</v>
      </c>
      <c r="E277" s="13">
        <v>438728</v>
      </c>
      <c r="F277" s="13">
        <v>1721396</v>
      </c>
      <c r="G277">
        <f>IF(OR(_xlfn.XLOOKUP(A277,'LPG Fup'!D:D,'LPG Fup'!L:L,"",0)&gt;0.03,_xlfn.XLOOKUP(A277,'LPG Fup'!D:D,'LPG Fup'!L:L,"",0)&lt;-0.03),_xlfn.XLOOKUP(A277,'LPG Fup'!D:D,'LPG Fup'!L:L,0,0),0)</f>
        <v>0</v>
      </c>
      <c r="H277">
        <f>IF(_xlfn.XLOOKUP(A277,'LPG Fup'!D:D,'LPG Fup'!M:M,0,0)="",0,_xlfn.XLOOKUP(A277,'LPG Fup'!D:D,'LPG Fup'!M:M,0,0))</f>
        <v>0</v>
      </c>
      <c r="I277" s="109">
        <f>_xlfn.XLOOKUP(A277,'Rafineri Fiyatları'!A:A,'Rafineri Fiyatları'!B:B,"",0)</f>
        <v>4467.26</v>
      </c>
      <c r="J277">
        <f t="shared" si="16"/>
        <v>2021</v>
      </c>
      <c r="K277">
        <f t="shared" si="17"/>
        <v>3</v>
      </c>
      <c r="L277">
        <f t="shared" si="18"/>
        <v>3</v>
      </c>
      <c r="M277">
        <f t="shared" si="19"/>
        <v>4</v>
      </c>
      <c r="N277">
        <f>_xlfn.XLOOKUP(A277,tatiller!H:H,tatiller!I:I,0,0)</f>
        <v>0</v>
      </c>
      <c r="O277" cm="1">
        <f t="array" ref="O277">_xlfn.IFNA(_xlfn.IFS(L277=1,"A0",A277=EOMONTH(A277,0),"A-1",L277=2,"A+1"),0)</f>
        <v>0</v>
      </c>
      <c r="P277" t="str" cm="1">
        <f t="array" ref="P277">_xlfn.IFNA(_xlfn.IFS(AND(_xlfn.XLOOKUP(A277,'LPG Fup'!D:D,'LPG Fup'!M:M,"",0)&lt;&gt;"",_xlfn.XLOOKUP(A277,'LPG Fup'!D:D,'LPG Fup'!M:M,"",0)&gt;0),"Z-1", AND(_xlfn.XLOOKUP(A277+1,'LPG Fup'!D:D,'LPG Fup'!M:M,"",0)&lt;&gt;"",_xlfn.XLOOKUP(A277+1,'LPG Fup'!D:D,'LPG Fup'!M:M,"",0)&gt;0),"Z-2", AND(_xlfn.XLOOKUP(A277-1,'LPG Fup'!D:D,'LPG Fup'!M:M,"",0)&lt;&gt;"",_xlfn.XLOOKUP(A277-1,'LPG Fup'!D:D,'LPG Fup'!M:M,"",0)&gt;0),"Z", AND(_xlfn.XLOOKUP(A277-2,'LPG Fup'!D:D,'LPG Fup'!M:M,"",0)&lt;&gt;"",_xlfn.XLOOKUP(A277-2,'LPG Fup'!D:D,'LPG Fup'!M:M,"",0)&gt;0),"Z+1"),0)</f>
        <v>Z+1</v>
      </c>
      <c r="Q277" cm="1">
        <f t="array" ref="Q277">_xlfn.IFNA(_xlfn.IFS(AND(_xlfn.XLOOKUP(A277,'LPG Fup'!D:D,'LPG Fup'!M:M,"",0)&lt;&gt;"",_xlfn.XLOOKUP(A277,'LPG Fup'!D:D,'LPG Fup'!M:M,"",0)&lt;0),"I-1", AND(_xlfn.XLOOKUP(A277+1,'LPG Fup'!D:D,'LPG Fup'!M:M,"",0)&lt;&gt;"",_xlfn.XLOOKUP(A277+1,'LPG Fup'!D:D,'LPG Fup'!M:M,"",0)&lt;0),"I-2", AND(_xlfn.XLOOKUP(A277-1,'LPG Fup'!D:D,'LPG Fup'!M:M,"",0)&lt;&gt;"",_xlfn.XLOOKUP(A277-1,'LPG Fup'!D:D,'LPG Fup'!M:M,"",0)&lt;0),"I", AND(_xlfn.XLOOKUP(A277-2,'LPG Fup'!D:D,'LPG Fup'!M:M,"",0)&lt;&gt;"",_xlfn.XLOOKUP(A277-2,'LPG Fup'!D:D,'LPG Fup'!M:M,"",0)&lt;0),"I+1"),0)</f>
        <v>0</v>
      </c>
      <c r="R277">
        <f>_xlfn.XLOOKUP(A277,Covid!A:A,Covid!I:I,0,0)</f>
        <v>689</v>
      </c>
      <c r="S277">
        <f>_xlfn.XLOOKUP(A277,Covid!A:A,Covid!K:K,0,0)</f>
        <v>65</v>
      </c>
      <c r="T277" s="145">
        <f>_xlfn.XLOOKUP(A277,Covid!A:A,Covid!K:K,0,0)/_xlfn.XLOOKUP(A277,Covid!A:A,Covid!L:L,0,0)</f>
        <v>9.039076623557225E-3</v>
      </c>
    </row>
    <row r="278" spans="1:20" x14ac:dyDescent="0.55000000000000004">
      <c r="A278" s="157">
        <v>44259</v>
      </c>
      <c r="B278" s="13">
        <v>958620</v>
      </c>
      <c r="C278" s="13">
        <v>309888</v>
      </c>
      <c r="D278" s="13">
        <v>25793</v>
      </c>
      <c r="E278" s="13">
        <v>374285</v>
      </c>
      <c r="F278" s="13">
        <v>1668586</v>
      </c>
      <c r="G278">
        <f>IF(OR(_xlfn.XLOOKUP(A278,'LPG Fup'!D:D,'LPG Fup'!L:L,"",0)&gt;0.03,_xlfn.XLOOKUP(A278,'LPG Fup'!D:D,'LPG Fup'!L:L,"",0)&lt;-0.03),_xlfn.XLOOKUP(A278,'LPG Fup'!D:D,'LPG Fup'!L:L,0,0),0)</f>
        <v>0</v>
      </c>
      <c r="H278">
        <f>IF(_xlfn.XLOOKUP(A278,'LPG Fup'!D:D,'LPG Fup'!M:M,0,0)="",0,_xlfn.XLOOKUP(A278,'LPG Fup'!D:D,'LPG Fup'!M:M,0,0))</f>
        <v>0</v>
      </c>
      <c r="I278" s="109">
        <f>_xlfn.XLOOKUP(A278,'Rafineri Fiyatları'!A:A,'Rafineri Fiyatları'!B:B,"",0)</f>
        <v>4467.26</v>
      </c>
      <c r="J278">
        <f t="shared" si="16"/>
        <v>2021</v>
      </c>
      <c r="K278">
        <f t="shared" si="17"/>
        <v>3</v>
      </c>
      <c r="L278">
        <f t="shared" si="18"/>
        <v>4</v>
      </c>
      <c r="M278">
        <f t="shared" si="19"/>
        <v>5</v>
      </c>
      <c r="N278">
        <f>_xlfn.XLOOKUP(A278,tatiller!H:H,tatiller!I:I,0,0)</f>
        <v>0</v>
      </c>
      <c r="O278" cm="1">
        <f t="array" ref="O278">_xlfn.IFNA(_xlfn.IFS(L278=1,"A0",A278=EOMONTH(A278,0),"A-1",L278=2,"A+1"),0)</f>
        <v>0</v>
      </c>
      <c r="P278" cm="1">
        <f t="array" ref="P278">_xlfn.IFNA(_xlfn.IFS(AND(_xlfn.XLOOKUP(A278,'LPG Fup'!D:D,'LPG Fup'!M:M,"",0)&lt;&gt;"",_xlfn.XLOOKUP(A278,'LPG Fup'!D:D,'LPG Fup'!M:M,"",0)&gt;0),"Z-1", AND(_xlfn.XLOOKUP(A278+1,'LPG Fup'!D:D,'LPG Fup'!M:M,"",0)&lt;&gt;"",_xlfn.XLOOKUP(A278+1,'LPG Fup'!D:D,'LPG Fup'!M:M,"",0)&gt;0),"Z-2", AND(_xlfn.XLOOKUP(A278-1,'LPG Fup'!D:D,'LPG Fup'!M:M,"",0)&lt;&gt;"",_xlfn.XLOOKUP(A278-1,'LPG Fup'!D:D,'LPG Fup'!M:M,"",0)&gt;0),"Z", AND(_xlfn.XLOOKUP(A278-2,'LPG Fup'!D:D,'LPG Fup'!M:M,"",0)&lt;&gt;"",_xlfn.XLOOKUP(A278-2,'LPG Fup'!D:D,'LPG Fup'!M:M,"",0)&gt;0),"Z+1"),0)</f>
        <v>0</v>
      </c>
      <c r="Q278" cm="1">
        <f t="array" ref="Q278">_xlfn.IFNA(_xlfn.IFS(AND(_xlfn.XLOOKUP(A278,'LPG Fup'!D:D,'LPG Fup'!M:M,"",0)&lt;&gt;"",_xlfn.XLOOKUP(A278,'LPG Fup'!D:D,'LPG Fup'!M:M,"",0)&lt;0),"I-1", AND(_xlfn.XLOOKUP(A278+1,'LPG Fup'!D:D,'LPG Fup'!M:M,"",0)&lt;&gt;"",_xlfn.XLOOKUP(A278+1,'LPG Fup'!D:D,'LPG Fup'!M:M,"",0)&lt;0),"I-2", AND(_xlfn.XLOOKUP(A278-1,'LPG Fup'!D:D,'LPG Fup'!M:M,"",0)&lt;&gt;"",_xlfn.XLOOKUP(A278-1,'LPG Fup'!D:D,'LPG Fup'!M:M,"",0)&lt;0),"I", AND(_xlfn.XLOOKUP(A278-2,'LPG Fup'!D:D,'LPG Fup'!M:M,"",0)&lt;&gt;"",_xlfn.XLOOKUP(A278-2,'LPG Fup'!D:D,'LPG Fup'!M:M,"",0)&lt;0),"I+1"),0)</f>
        <v>0</v>
      </c>
      <c r="R278">
        <f>_xlfn.XLOOKUP(A278,Covid!A:A,Covid!I:I,0,0)</f>
        <v>685</v>
      </c>
      <c r="S278">
        <f>_xlfn.XLOOKUP(A278,Covid!A:A,Covid!K:K,0,0)</f>
        <v>68</v>
      </c>
      <c r="T278" s="145">
        <f>_xlfn.XLOOKUP(A278,Covid!A:A,Covid!K:K,0,0)/_xlfn.XLOOKUP(A278,Covid!A:A,Covid!L:L,0,0)</f>
        <v>8.6371141877302163E-3</v>
      </c>
    </row>
    <row r="279" spans="1:20" x14ac:dyDescent="0.55000000000000004">
      <c r="A279" s="157">
        <v>44260</v>
      </c>
      <c r="B279" s="13">
        <v>948840</v>
      </c>
      <c r="C279" s="13">
        <v>301266</v>
      </c>
      <c r="D279" s="13">
        <v>4650</v>
      </c>
      <c r="E279" s="13">
        <v>519970</v>
      </c>
      <c r="F279" s="13">
        <v>1774726</v>
      </c>
      <c r="G279">
        <f>IF(OR(_xlfn.XLOOKUP(A279,'LPG Fup'!D:D,'LPG Fup'!L:L,"",0)&gt;0.03,_xlfn.XLOOKUP(A279,'LPG Fup'!D:D,'LPG Fup'!L:L,"",0)&lt;-0.03),_xlfn.XLOOKUP(A279,'LPG Fup'!D:D,'LPG Fup'!L:L,0,0),0)</f>
        <v>0</v>
      </c>
      <c r="H279">
        <f>IF(_xlfn.XLOOKUP(A279,'LPG Fup'!D:D,'LPG Fup'!M:M,0,0)="",0,_xlfn.XLOOKUP(A279,'LPG Fup'!D:D,'LPG Fup'!M:M,0,0))</f>
        <v>0</v>
      </c>
      <c r="I279" s="109">
        <f>_xlfn.XLOOKUP(A279,'Rafineri Fiyatları'!A:A,'Rafineri Fiyatları'!B:B,"",0)</f>
        <v>4467.26</v>
      </c>
      <c r="J279">
        <f t="shared" si="16"/>
        <v>2021</v>
      </c>
      <c r="K279">
        <f t="shared" si="17"/>
        <v>3</v>
      </c>
      <c r="L279">
        <f t="shared" si="18"/>
        <v>5</v>
      </c>
      <c r="M279">
        <f t="shared" si="19"/>
        <v>6</v>
      </c>
      <c r="N279">
        <f>_xlfn.XLOOKUP(A279,tatiller!H:H,tatiller!I:I,0,0)</f>
        <v>0</v>
      </c>
      <c r="O279" cm="1">
        <f t="array" ref="O279">_xlfn.IFNA(_xlfn.IFS(L279=1,"A0",A279=EOMONTH(A279,0),"A-1",L279=2,"A+1"),0)</f>
        <v>0</v>
      </c>
      <c r="P279" cm="1">
        <f t="array" ref="P279">_xlfn.IFNA(_xlfn.IFS(AND(_xlfn.XLOOKUP(A279,'LPG Fup'!D:D,'LPG Fup'!M:M,"",0)&lt;&gt;"",_xlfn.XLOOKUP(A279,'LPG Fup'!D:D,'LPG Fup'!M:M,"",0)&gt;0),"Z-1", AND(_xlfn.XLOOKUP(A279+1,'LPG Fup'!D:D,'LPG Fup'!M:M,"",0)&lt;&gt;"",_xlfn.XLOOKUP(A279+1,'LPG Fup'!D:D,'LPG Fup'!M:M,"",0)&gt;0),"Z-2", AND(_xlfn.XLOOKUP(A279-1,'LPG Fup'!D:D,'LPG Fup'!M:M,"",0)&lt;&gt;"",_xlfn.XLOOKUP(A279-1,'LPG Fup'!D:D,'LPG Fup'!M:M,"",0)&gt;0),"Z", AND(_xlfn.XLOOKUP(A279-2,'LPG Fup'!D:D,'LPG Fup'!M:M,"",0)&lt;&gt;"",_xlfn.XLOOKUP(A279-2,'LPG Fup'!D:D,'LPG Fup'!M:M,"",0)&gt;0),"Z+1"),0)</f>
        <v>0</v>
      </c>
      <c r="Q279" cm="1">
        <f t="array" ref="Q279">_xlfn.IFNA(_xlfn.IFS(AND(_xlfn.XLOOKUP(A279,'LPG Fup'!D:D,'LPG Fup'!M:M,"",0)&lt;&gt;"",_xlfn.XLOOKUP(A279,'LPG Fup'!D:D,'LPG Fup'!M:M,"",0)&lt;0),"I-1", AND(_xlfn.XLOOKUP(A279+1,'LPG Fup'!D:D,'LPG Fup'!M:M,"",0)&lt;&gt;"",_xlfn.XLOOKUP(A279+1,'LPG Fup'!D:D,'LPG Fup'!M:M,"",0)&lt;0),"I-2", AND(_xlfn.XLOOKUP(A279-1,'LPG Fup'!D:D,'LPG Fup'!M:M,"",0)&lt;&gt;"",_xlfn.XLOOKUP(A279-1,'LPG Fup'!D:D,'LPG Fup'!M:M,"",0)&lt;0),"I", AND(_xlfn.XLOOKUP(A279-2,'LPG Fup'!D:D,'LPG Fup'!M:M,"",0)&lt;&gt;"",_xlfn.XLOOKUP(A279-2,'LPG Fup'!D:D,'LPG Fup'!M:M,"",0)&lt;0),"I+1"),0)</f>
        <v>0</v>
      </c>
      <c r="R279">
        <f>_xlfn.XLOOKUP(A279,Covid!A:A,Covid!I:I,0,0)</f>
        <v>698</v>
      </c>
      <c r="S279">
        <f>_xlfn.XLOOKUP(A279,Covid!A:A,Covid!K:K,0,0)</f>
        <v>62</v>
      </c>
      <c r="T279" s="145">
        <f>_xlfn.XLOOKUP(A279,Covid!A:A,Covid!K:K,0,0)/_xlfn.XLOOKUP(A279,Covid!A:A,Covid!L:L,0,0)</f>
        <v>8.0404616781221631E-3</v>
      </c>
    </row>
    <row r="280" spans="1:20" x14ac:dyDescent="0.55000000000000004">
      <c r="A280" s="157">
        <v>44261</v>
      </c>
      <c r="B280" s="13">
        <v>998560</v>
      </c>
      <c r="C280" s="13">
        <v>211087</v>
      </c>
      <c r="D280" s="13">
        <v>17788</v>
      </c>
      <c r="E280" s="13">
        <v>440635</v>
      </c>
      <c r="F280" s="13">
        <v>1668070</v>
      </c>
      <c r="G280">
        <f>IF(OR(_xlfn.XLOOKUP(A280,'LPG Fup'!D:D,'LPG Fup'!L:L,"",0)&gt;0.03,_xlfn.XLOOKUP(A280,'LPG Fup'!D:D,'LPG Fup'!L:L,"",0)&lt;-0.03),_xlfn.XLOOKUP(A280,'LPG Fup'!D:D,'LPG Fup'!L:L,0,0),0)</f>
        <v>0</v>
      </c>
      <c r="H280">
        <f>IF(_xlfn.XLOOKUP(A280,'LPG Fup'!D:D,'LPG Fup'!M:M,0,0)="",0,_xlfn.XLOOKUP(A280,'LPG Fup'!D:D,'LPG Fup'!M:M,0,0))</f>
        <v>0</v>
      </c>
      <c r="I280" s="109">
        <f>_xlfn.XLOOKUP(A280,'Rafineri Fiyatları'!A:A,'Rafineri Fiyatları'!B:B,"",0)</f>
        <v>4467.26</v>
      </c>
      <c r="J280">
        <f t="shared" si="16"/>
        <v>2021</v>
      </c>
      <c r="K280">
        <f t="shared" si="17"/>
        <v>3</v>
      </c>
      <c r="L280">
        <f t="shared" si="18"/>
        <v>6</v>
      </c>
      <c r="M280">
        <f t="shared" si="19"/>
        <v>7</v>
      </c>
      <c r="N280">
        <f>_xlfn.XLOOKUP(A280,tatiller!H:H,tatiller!I:I,0,0)</f>
        <v>0</v>
      </c>
      <c r="O280" cm="1">
        <f t="array" ref="O280">_xlfn.IFNA(_xlfn.IFS(L280=1,"A0",A280=EOMONTH(A280,0),"A-1",L280=2,"A+1"),0)</f>
        <v>0</v>
      </c>
      <c r="P280" cm="1">
        <f t="array" ref="P280">_xlfn.IFNA(_xlfn.IFS(AND(_xlfn.XLOOKUP(A280,'LPG Fup'!D:D,'LPG Fup'!M:M,"",0)&lt;&gt;"",_xlfn.XLOOKUP(A280,'LPG Fup'!D:D,'LPG Fup'!M:M,"",0)&gt;0),"Z-1", AND(_xlfn.XLOOKUP(A280+1,'LPG Fup'!D:D,'LPG Fup'!M:M,"",0)&lt;&gt;"",_xlfn.XLOOKUP(A280+1,'LPG Fup'!D:D,'LPG Fup'!M:M,"",0)&gt;0),"Z-2", AND(_xlfn.XLOOKUP(A280-1,'LPG Fup'!D:D,'LPG Fup'!M:M,"",0)&lt;&gt;"",_xlfn.XLOOKUP(A280-1,'LPG Fup'!D:D,'LPG Fup'!M:M,"",0)&gt;0),"Z", AND(_xlfn.XLOOKUP(A280-2,'LPG Fup'!D:D,'LPG Fup'!M:M,"",0)&lt;&gt;"",_xlfn.XLOOKUP(A280-2,'LPG Fup'!D:D,'LPG Fup'!M:M,"",0)&gt;0),"Z+1"),0)</f>
        <v>0</v>
      </c>
      <c r="Q280" cm="1">
        <f t="array" ref="Q280">_xlfn.IFNA(_xlfn.IFS(AND(_xlfn.XLOOKUP(A280,'LPG Fup'!D:D,'LPG Fup'!M:M,"",0)&lt;&gt;"",_xlfn.XLOOKUP(A280,'LPG Fup'!D:D,'LPG Fup'!M:M,"",0)&lt;0),"I-1", AND(_xlfn.XLOOKUP(A280+1,'LPG Fup'!D:D,'LPG Fup'!M:M,"",0)&lt;&gt;"",_xlfn.XLOOKUP(A280+1,'LPG Fup'!D:D,'LPG Fup'!M:M,"",0)&lt;0),"I-2", AND(_xlfn.XLOOKUP(A280-1,'LPG Fup'!D:D,'LPG Fup'!M:M,"",0)&lt;&gt;"",_xlfn.XLOOKUP(A280-1,'LPG Fup'!D:D,'LPG Fup'!M:M,"",0)&lt;0),"I", AND(_xlfn.XLOOKUP(A280-2,'LPG Fup'!D:D,'LPG Fup'!M:M,"",0)&lt;&gt;"",_xlfn.XLOOKUP(A280-2,'LPG Fup'!D:D,'LPG Fup'!M:M,"",0)&lt;0),"I+1"),0)</f>
        <v>0</v>
      </c>
      <c r="R280">
        <f>_xlfn.XLOOKUP(A280,Covid!A:A,Covid!I:I,0,0)</f>
        <v>702</v>
      </c>
      <c r="S280">
        <f>_xlfn.XLOOKUP(A280,Covid!A:A,Covid!K:K,0,0)</f>
        <v>64</v>
      </c>
      <c r="T280" s="145">
        <f>_xlfn.XLOOKUP(A280,Covid!A:A,Covid!K:K,0,0)/_xlfn.XLOOKUP(A280,Covid!A:A,Covid!L:L,0,0)</f>
        <v>8.7779454121519676E-3</v>
      </c>
    </row>
    <row r="281" spans="1:20" x14ac:dyDescent="0.55000000000000004">
      <c r="A281" s="157">
        <v>44262</v>
      </c>
      <c r="B281" s="13">
        <v>1203840</v>
      </c>
      <c r="C281" s="13">
        <v>0</v>
      </c>
      <c r="D281" s="13">
        <v>0</v>
      </c>
      <c r="E281" s="13">
        <v>227560</v>
      </c>
      <c r="F281" s="13">
        <v>3633142</v>
      </c>
      <c r="G281">
        <f>IF(OR(_xlfn.XLOOKUP(A281,'LPG Fup'!D:D,'LPG Fup'!L:L,"",0)&gt;0.03,_xlfn.XLOOKUP(A281,'LPG Fup'!D:D,'LPG Fup'!L:L,"",0)&lt;-0.03),_xlfn.XLOOKUP(A281,'LPG Fup'!D:D,'LPG Fup'!L:L,0,0),0)</f>
        <v>0</v>
      </c>
      <c r="H281">
        <f>IF(_xlfn.XLOOKUP(A281,'LPG Fup'!D:D,'LPG Fup'!M:M,0,0)="",0,_xlfn.XLOOKUP(A281,'LPG Fup'!D:D,'LPG Fup'!M:M,0,0))</f>
        <v>0</v>
      </c>
      <c r="I281" s="109">
        <f>_xlfn.XLOOKUP(A281,'Rafineri Fiyatları'!A:A,'Rafineri Fiyatları'!B:B,"",0)</f>
        <v>4467.26</v>
      </c>
      <c r="J281">
        <f t="shared" si="16"/>
        <v>2021</v>
      </c>
      <c r="K281">
        <f t="shared" si="17"/>
        <v>3</v>
      </c>
      <c r="L281">
        <f t="shared" si="18"/>
        <v>7</v>
      </c>
      <c r="M281">
        <f t="shared" si="19"/>
        <v>1</v>
      </c>
      <c r="N281">
        <f>_xlfn.XLOOKUP(A281,tatiller!H:H,tatiller!I:I,0,0)</f>
        <v>0</v>
      </c>
      <c r="O281" cm="1">
        <f t="array" ref="O281">_xlfn.IFNA(_xlfn.IFS(L281=1,"A0",A281=EOMONTH(A281,0),"A-1",L281=2,"A+1"),0)</f>
        <v>0</v>
      </c>
      <c r="P281" cm="1">
        <f t="array" ref="P281">_xlfn.IFNA(_xlfn.IFS(AND(_xlfn.XLOOKUP(A281,'LPG Fup'!D:D,'LPG Fup'!M:M,"",0)&lt;&gt;"",_xlfn.XLOOKUP(A281,'LPG Fup'!D:D,'LPG Fup'!M:M,"",0)&gt;0),"Z-1", AND(_xlfn.XLOOKUP(A281+1,'LPG Fup'!D:D,'LPG Fup'!M:M,"",0)&lt;&gt;"",_xlfn.XLOOKUP(A281+1,'LPG Fup'!D:D,'LPG Fup'!M:M,"",0)&gt;0),"Z-2", AND(_xlfn.XLOOKUP(A281-1,'LPG Fup'!D:D,'LPG Fup'!M:M,"",0)&lt;&gt;"",_xlfn.XLOOKUP(A281-1,'LPG Fup'!D:D,'LPG Fup'!M:M,"",0)&gt;0),"Z", AND(_xlfn.XLOOKUP(A281-2,'LPG Fup'!D:D,'LPG Fup'!M:M,"",0)&lt;&gt;"",_xlfn.XLOOKUP(A281-2,'LPG Fup'!D:D,'LPG Fup'!M:M,"",0)&gt;0),"Z+1"),0)</f>
        <v>0</v>
      </c>
      <c r="Q281" cm="1">
        <f t="array" ref="Q281">_xlfn.IFNA(_xlfn.IFS(AND(_xlfn.XLOOKUP(A281,'LPG Fup'!D:D,'LPG Fup'!M:M,"",0)&lt;&gt;"",_xlfn.XLOOKUP(A281,'LPG Fup'!D:D,'LPG Fup'!M:M,"",0)&lt;0),"I-1", AND(_xlfn.XLOOKUP(A281+1,'LPG Fup'!D:D,'LPG Fup'!M:M,"",0)&lt;&gt;"",_xlfn.XLOOKUP(A281+1,'LPG Fup'!D:D,'LPG Fup'!M:M,"",0)&lt;0),"I-2", AND(_xlfn.XLOOKUP(A281-1,'LPG Fup'!D:D,'LPG Fup'!M:M,"",0)&lt;&gt;"",_xlfn.XLOOKUP(A281-1,'LPG Fup'!D:D,'LPG Fup'!M:M,"",0)&lt;0),"I", AND(_xlfn.XLOOKUP(A281-2,'LPG Fup'!D:D,'LPG Fup'!M:M,"",0)&lt;&gt;"",_xlfn.XLOOKUP(A281-2,'LPG Fup'!D:D,'LPG Fup'!M:M,"",0)&lt;0),"I+1"),0)</f>
        <v>0</v>
      </c>
      <c r="R281">
        <f>_xlfn.XLOOKUP(A281,Covid!A:A,Covid!I:I,0,0)</f>
        <v>735</v>
      </c>
      <c r="S281">
        <f>_xlfn.XLOOKUP(A281,Covid!A:A,Covid!K:K,0,0)</f>
        <v>65</v>
      </c>
      <c r="T281" s="145">
        <f>_xlfn.XLOOKUP(A281,Covid!A:A,Covid!K:K,0,0)/_xlfn.XLOOKUP(A281,Covid!A:A,Covid!L:L,0,0)</f>
        <v>8.3493898522800265E-3</v>
      </c>
    </row>
    <row r="282" spans="1:20" x14ac:dyDescent="0.55000000000000004">
      <c r="A282" s="157">
        <v>44263</v>
      </c>
      <c r="B282" s="13">
        <v>1038800</v>
      </c>
      <c r="C282" s="13">
        <v>379044</v>
      </c>
      <c r="D282" s="13">
        <v>2300</v>
      </c>
      <c r="E282" s="13">
        <v>394344</v>
      </c>
      <c r="F282" s="13">
        <v>1814488</v>
      </c>
      <c r="G282">
        <f>IF(OR(_xlfn.XLOOKUP(A282,'LPG Fup'!D:D,'LPG Fup'!L:L,"",0)&gt;0.03,_xlfn.XLOOKUP(A282,'LPG Fup'!D:D,'LPG Fup'!L:L,"",0)&lt;-0.03),_xlfn.XLOOKUP(A282,'LPG Fup'!D:D,'LPG Fup'!L:L,0,0),0)</f>
        <v>0</v>
      </c>
      <c r="H282">
        <f>IF(_xlfn.XLOOKUP(A282,'LPG Fup'!D:D,'LPG Fup'!M:M,0,0)="",0,_xlfn.XLOOKUP(A282,'LPG Fup'!D:D,'LPG Fup'!M:M,0,0))</f>
        <v>0</v>
      </c>
      <c r="I282" s="109">
        <f>_xlfn.XLOOKUP(A282,'Rafineri Fiyatları'!A:A,'Rafineri Fiyatları'!B:B,"",0)</f>
        <v>4467.26</v>
      </c>
      <c r="J282">
        <f t="shared" si="16"/>
        <v>2021</v>
      </c>
      <c r="K282">
        <f t="shared" si="17"/>
        <v>3</v>
      </c>
      <c r="L282">
        <f t="shared" si="18"/>
        <v>8</v>
      </c>
      <c r="M282">
        <f t="shared" si="19"/>
        <v>2</v>
      </c>
      <c r="N282">
        <f>_xlfn.XLOOKUP(A282,tatiller!H:H,tatiller!I:I,0,0)</f>
        <v>0</v>
      </c>
      <c r="O282" cm="1">
        <f t="array" ref="O282">_xlfn.IFNA(_xlfn.IFS(L282=1,"A0",A282=EOMONTH(A282,0),"A-1",L282=2,"A+1"),0)</f>
        <v>0</v>
      </c>
      <c r="P282" cm="1">
        <f t="array" ref="P282">_xlfn.IFNA(_xlfn.IFS(AND(_xlfn.XLOOKUP(A282,'LPG Fup'!D:D,'LPG Fup'!M:M,"",0)&lt;&gt;"",_xlfn.XLOOKUP(A282,'LPG Fup'!D:D,'LPG Fup'!M:M,"",0)&gt;0),"Z-1", AND(_xlfn.XLOOKUP(A282+1,'LPG Fup'!D:D,'LPG Fup'!M:M,"",0)&lt;&gt;"",_xlfn.XLOOKUP(A282+1,'LPG Fup'!D:D,'LPG Fup'!M:M,"",0)&gt;0),"Z-2", AND(_xlfn.XLOOKUP(A282-1,'LPG Fup'!D:D,'LPG Fup'!M:M,"",0)&lt;&gt;"",_xlfn.XLOOKUP(A282-1,'LPG Fup'!D:D,'LPG Fup'!M:M,"",0)&gt;0),"Z", AND(_xlfn.XLOOKUP(A282-2,'LPG Fup'!D:D,'LPG Fup'!M:M,"",0)&lt;&gt;"",_xlfn.XLOOKUP(A282-2,'LPG Fup'!D:D,'LPG Fup'!M:M,"",0)&gt;0),"Z+1"),0)</f>
        <v>0</v>
      </c>
      <c r="Q282" cm="1">
        <f t="array" ref="Q282">_xlfn.IFNA(_xlfn.IFS(AND(_xlfn.XLOOKUP(A282,'LPG Fup'!D:D,'LPG Fup'!M:M,"",0)&lt;&gt;"",_xlfn.XLOOKUP(A282,'LPG Fup'!D:D,'LPG Fup'!M:M,"",0)&lt;0),"I-1", AND(_xlfn.XLOOKUP(A282+1,'LPG Fup'!D:D,'LPG Fup'!M:M,"",0)&lt;&gt;"",_xlfn.XLOOKUP(A282+1,'LPG Fup'!D:D,'LPG Fup'!M:M,"",0)&lt;0),"I-2", AND(_xlfn.XLOOKUP(A282-1,'LPG Fup'!D:D,'LPG Fup'!M:M,"",0)&lt;&gt;"",_xlfn.XLOOKUP(A282-1,'LPG Fup'!D:D,'LPG Fup'!M:M,"",0)&lt;0),"I", AND(_xlfn.XLOOKUP(A282-2,'LPG Fup'!D:D,'LPG Fup'!M:M,"",0)&lt;&gt;"",_xlfn.XLOOKUP(A282-2,'LPG Fup'!D:D,'LPG Fup'!M:M,"",0)&lt;0),"I+1"),0)</f>
        <v>0</v>
      </c>
      <c r="R282">
        <f>_xlfn.XLOOKUP(A282,Covid!A:A,Covid!I:I,0,0)</f>
        <v>767</v>
      </c>
      <c r="S282">
        <f>_xlfn.XLOOKUP(A282,Covid!A:A,Covid!K:K,0,0)</f>
        <v>64</v>
      </c>
      <c r="T282" s="145">
        <f>_xlfn.XLOOKUP(A282,Covid!A:A,Covid!K:K,0,0)/_xlfn.XLOOKUP(A282,Covid!A:A,Covid!L:L,0,0)</f>
        <v>7.8953861337281023E-3</v>
      </c>
    </row>
    <row r="283" spans="1:20" x14ac:dyDescent="0.55000000000000004">
      <c r="A283" s="157">
        <v>44264</v>
      </c>
      <c r="B283" s="13">
        <v>1074920</v>
      </c>
      <c r="C283" s="13">
        <v>371635</v>
      </c>
      <c r="D283" s="13">
        <v>17962</v>
      </c>
      <c r="E283" s="13">
        <v>486038</v>
      </c>
      <c r="F283" s="13">
        <v>1950555</v>
      </c>
      <c r="G283">
        <f>IF(OR(_xlfn.XLOOKUP(A283,'LPG Fup'!D:D,'LPG Fup'!L:L,"",0)&gt;0.03,_xlfn.XLOOKUP(A283,'LPG Fup'!D:D,'LPG Fup'!L:L,"",0)&lt;-0.03),_xlfn.XLOOKUP(A283,'LPG Fup'!D:D,'LPG Fup'!L:L,0,0),0)</f>
        <v>0</v>
      </c>
      <c r="H283">
        <f>IF(_xlfn.XLOOKUP(A283,'LPG Fup'!D:D,'LPG Fup'!M:M,0,0)="",0,_xlfn.XLOOKUP(A283,'LPG Fup'!D:D,'LPG Fup'!M:M,0,0))</f>
        <v>0</v>
      </c>
      <c r="I283" s="109">
        <f>_xlfn.XLOOKUP(A283,'Rafineri Fiyatları'!A:A,'Rafineri Fiyatları'!B:B,"",0)</f>
        <v>4467.26</v>
      </c>
      <c r="J283">
        <f t="shared" si="16"/>
        <v>2021</v>
      </c>
      <c r="K283">
        <f t="shared" si="17"/>
        <v>3</v>
      </c>
      <c r="L283">
        <f t="shared" si="18"/>
        <v>9</v>
      </c>
      <c r="M283">
        <f t="shared" si="19"/>
        <v>3</v>
      </c>
      <c r="N283">
        <f>_xlfn.XLOOKUP(A283,tatiller!H:H,tatiller!I:I,0,0)</f>
        <v>0</v>
      </c>
      <c r="O283" cm="1">
        <f t="array" ref="O283">_xlfn.IFNA(_xlfn.IFS(L283=1,"A0",A283=EOMONTH(A283,0),"A-1",L283=2,"A+1"),0)</f>
        <v>0</v>
      </c>
      <c r="P283" cm="1">
        <f t="array" ref="P283">_xlfn.IFNA(_xlfn.IFS(AND(_xlfn.XLOOKUP(A283,'LPG Fup'!D:D,'LPG Fup'!M:M,"",0)&lt;&gt;"",_xlfn.XLOOKUP(A283,'LPG Fup'!D:D,'LPG Fup'!M:M,"",0)&gt;0),"Z-1", AND(_xlfn.XLOOKUP(A283+1,'LPG Fup'!D:D,'LPG Fup'!M:M,"",0)&lt;&gt;"",_xlfn.XLOOKUP(A283+1,'LPG Fup'!D:D,'LPG Fup'!M:M,"",0)&gt;0),"Z-2", AND(_xlfn.XLOOKUP(A283-1,'LPG Fup'!D:D,'LPG Fup'!M:M,"",0)&lt;&gt;"",_xlfn.XLOOKUP(A283-1,'LPG Fup'!D:D,'LPG Fup'!M:M,"",0)&gt;0),"Z", AND(_xlfn.XLOOKUP(A283-2,'LPG Fup'!D:D,'LPG Fup'!M:M,"",0)&lt;&gt;"",_xlfn.XLOOKUP(A283-2,'LPG Fup'!D:D,'LPG Fup'!M:M,"",0)&gt;0),"Z+1"),0)</f>
        <v>0</v>
      </c>
      <c r="Q283" cm="1">
        <f t="array" ref="Q283">_xlfn.IFNA(_xlfn.IFS(AND(_xlfn.XLOOKUP(A283,'LPG Fup'!D:D,'LPG Fup'!M:M,"",0)&lt;&gt;"",_xlfn.XLOOKUP(A283,'LPG Fup'!D:D,'LPG Fup'!M:M,"",0)&lt;0),"I-1", AND(_xlfn.XLOOKUP(A283+1,'LPG Fup'!D:D,'LPG Fup'!M:M,"",0)&lt;&gt;"",_xlfn.XLOOKUP(A283+1,'LPG Fup'!D:D,'LPG Fup'!M:M,"",0)&lt;0),"I-2", AND(_xlfn.XLOOKUP(A283-1,'LPG Fup'!D:D,'LPG Fup'!M:M,"",0)&lt;&gt;"",_xlfn.XLOOKUP(A283-1,'LPG Fup'!D:D,'LPG Fup'!M:M,"",0)&lt;0),"I", AND(_xlfn.XLOOKUP(A283-2,'LPG Fup'!D:D,'LPG Fup'!M:M,"",0)&lt;&gt;"",_xlfn.XLOOKUP(A283-2,'LPG Fup'!D:D,'LPG Fup'!M:M,"",0)&lt;0),"I+1"),0)</f>
        <v>0</v>
      </c>
      <c r="R283">
        <f>_xlfn.XLOOKUP(A283,Covid!A:A,Covid!I:I,0,0)</f>
        <v>801</v>
      </c>
      <c r="S283">
        <f>_xlfn.XLOOKUP(A283,Covid!A:A,Covid!K:K,0,0)</f>
        <v>66</v>
      </c>
      <c r="T283" s="145">
        <f>_xlfn.XLOOKUP(A283,Covid!A:A,Covid!K:K,0,0)/_xlfn.XLOOKUP(A283,Covid!A:A,Covid!L:L,0,0)</f>
        <v>7.6397731218891072E-3</v>
      </c>
    </row>
    <row r="284" spans="1:20" x14ac:dyDescent="0.55000000000000004">
      <c r="A284" s="157">
        <v>44265</v>
      </c>
      <c r="B284" s="13">
        <v>1040160</v>
      </c>
      <c r="C284" s="13">
        <v>344438</v>
      </c>
      <c r="D284" s="13">
        <v>4782</v>
      </c>
      <c r="E284" s="13">
        <v>404040</v>
      </c>
      <c r="F284" s="13">
        <v>1793420</v>
      </c>
      <c r="G284">
        <f>IF(OR(_xlfn.XLOOKUP(A284,'LPG Fup'!D:D,'LPG Fup'!L:L,"",0)&gt;0.03,_xlfn.XLOOKUP(A284,'LPG Fup'!D:D,'LPG Fup'!L:L,"",0)&lt;-0.03),_xlfn.XLOOKUP(A284,'LPG Fup'!D:D,'LPG Fup'!L:L,0,0),0)</f>
        <v>0</v>
      </c>
      <c r="H284">
        <f>IF(_xlfn.XLOOKUP(A284,'LPG Fup'!D:D,'LPG Fup'!M:M,0,0)="",0,_xlfn.XLOOKUP(A284,'LPG Fup'!D:D,'LPG Fup'!M:M,0,0))</f>
        <v>0</v>
      </c>
      <c r="I284" s="109">
        <f>_xlfn.XLOOKUP(A284,'Rafineri Fiyatları'!A:A,'Rafineri Fiyatları'!B:B,"",0)</f>
        <v>4467.26</v>
      </c>
      <c r="J284">
        <f t="shared" si="16"/>
        <v>2021</v>
      </c>
      <c r="K284">
        <f t="shared" si="17"/>
        <v>3</v>
      </c>
      <c r="L284">
        <f t="shared" si="18"/>
        <v>10</v>
      </c>
      <c r="M284">
        <f t="shared" si="19"/>
        <v>4</v>
      </c>
      <c r="N284">
        <f>_xlfn.XLOOKUP(A284,tatiller!H:H,tatiller!I:I,0,0)</f>
        <v>0</v>
      </c>
      <c r="O284" cm="1">
        <f t="array" ref="O284">_xlfn.IFNA(_xlfn.IFS(L284=1,"A0",A284=EOMONTH(A284,0),"A-1",L284=2,"A+1"),0)</f>
        <v>0</v>
      </c>
      <c r="P284" cm="1">
        <f t="array" ref="P284">_xlfn.IFNA(_xlfn.IFS(AND(_xlfn.XLOOKUP(A284,'LPG Fup'!D:D,'LPG Fup'!M:M,"",0)&lt;&gt;"",_xlfn.XLOOKUP(A284,'LPG Fup'!D:D,'LPG Fup'!M:M,"",0)&gt;0),"Z-1", AND(_xlfn.XLOOKUP(A284+1,'LPG Fup'!D:D,'LPG Fup'!M:M,"",0)&lt;&gt;"",_xlfn.XLOOKUP(A284+1,'LPG Fup'!D:D,'LPG Fup'!M:M,"",0)&gt;0),"Z-2", AND(_xlfn.XLOOKUP(A284-1,'LPG Fup'!D:D,'LPG Fup'!M:M,"",0)&lt;&gt;"",_xlfn.XLOOKUP(A284-1,'LPG Fup'!D:D,'LPG Fup'!M:M,"",0)&gt;0),"Z", AND(_xlfn.XLOOKUP(A284-2,'LPG Fup'!D:D,'LPG Fup'!M:M,"",0)&lt;&gt;"",_xlfn.XLOOKUP(A284-2,'LPG Fup'!D:D,'LPG Fup'!M:M,"",0)&gt;0),"Z+1"),0)</f>
        <v>0</v>
      </c>
      <c r="Q284" cm="1">
        <f t="array" ref="Q284">_xlfn.IFNA(_xlfn.IFS(AND(_xlfn.XLOOKUP(A284,'LPG Fup'!D:D,'LPG Fup'!M:M,"",0)&lt;&gt;"",_xlfn.XLOOKUP(A284,'LPG Fup'!D:D,'LPG Fup'!M:M,"",0)&lt;0),"I-1", AND(_xlfn.XLOOKUP(A284+1,'LPG Fup'!D:D,'LPG Fup'!M:M,"",0)&lt;&gt;"",_xlfn.XLOOKUP(A284+1,'LPG Fup'!D:D,'LPG Fup'!M:M,"",0)&lt;0),"I-2", AND(_xlfn.XLOOKUP(A284-1,'LPG Fup'!D:D,'LPG Fup'!M:M,"",0)&lt;&gt;"",_xlfn.XLOOKUP(A284-1,'LPG Fup'!D:D,'LPG Fup'!M:M,"",0)&lt;0),"I", AND(_xlfn.XLOOKUP(A284-2,'LPG Fup'!D:D,'LPG Fup'!M:M,"",0)&lt;&gt;"",_xlfn.XLOOKUP(A284-2,'LPG Fup'!D:D,'LPG Fup'!M:M,"",0)&lt;0),"I+1"),0)</f>
        <v>0</v>
      </c>
      <c r="R284">
        <f>_xlfn.XLOOKUP(A284,Covid!A:A,Covid!I:I,0,0)</f>
        <v>814</v>
      </c>
      <c r="S284">
        <f>_xlfn.XLOOKUP(A284,Covid!A:A,Covid!K:K,0,0)</f>
        <v>67</v>
      </c>
      <c r="T284" s="145">
        <f>_xlfn.XLOOKUP(A284,Covid!A:A,Covid!K:K,0,0)/_xlfn.XLOOKUP(A284,Covid!A:A,Covid!L:L,0,0)</f>
        <v>7.2881540302404003E-3</v>
      </c>
    </row>
    <row r="285" spans="1:20" x14ac:dyDescent="0.55000000000000004">
      <c r="A285" s="157">
        <v>44266</v>
      </c>
      <c r="B285" s="13">
        <v>1257960</v>
      </c>
      <c r="C285" s="13">
        <v>308782</v>
      </c>
      <c r="D285" s="13">
        <v>13997</v>
      </c>
      <c r="E285" s="13">
        <v>387374</v>
      </c>
      <c r="F285" s="13">
        <v>1968113</v>
      </c>
      <c r="G285">
        <f>IF(OR(_xlfn.XLOOKUP(A285,'LPG Fup'!D:D,'LPG Fup'!L:L,"",0)&gt;0.03,_xlfn.XLOOKUP(A285,'LPG Fup'!D:D,'LPG Fup'!L:L,"",0)&lt;-0.03),_xlfn.XLOOKUP(A285,'LPG Fup'!D:D,'LPG Fup'!L:L,0,0),0)</f>
        <v>0</v>
      </c>
      <c r="H285">
        <f>IF(_xlfn.XLOOKUP(A285,'LPG Fup'!D:D,'LPG Fup'!M:M,0,0)="",0,_xlfn.XLOOKUP(A285,'LPG Fup'!D:D,'LPG Fup'!M:M,0,0))</f>
        <v>0</v>
      </c>
      <c r="I285" s="109">
        <f>_xlfn.XLOOKUP(A285,'Rafineri Fiyatları'!A:A,'Rafineri Fiyatları'!B:B,"",0)</f>
        <v>4467.26</v>
      </c>
      <c r="J285">
        <f t="shared" si="16"/>
        <v>2021</v>
      </c>
      <c r="K285">
        <f t="shared" si="17"/>
        <v>3</v>
      </c>
      <c r="L285">
        <f t="shared" si="18"/>
        <v>11</v>
      </c>
      <c r="M285">
        <f t="shared" si="19"/>
        <v>5</v>
      </c>
      <c r="N285">
        <f>_xlfn.XLOOKUP(A285,tatiller!H:H,tatiller!I:I,0,0)</f>
        <v>0</v>
      </c>
      <c r="O285" cm="1">
        <f t="array" ref="O285">_xlfn.IFNA(_xlfn.IFS(L285=1,"A0",A285=EOMONTH(A285,0),"A-1",L285=2,"A+1"),0)</f>
        <v>0</v>
      </c>
      <c r="P285" cm="1">
        <f t="array" ref="P285">_xlfn.IFNA(_xlfn.IFS(AND(_xlfn.XLOOKUP(A285,'LPG Fup'!D:D,'LPG Fup'!M:M,"",0)&lt;&gt;"",_xlfn.XLOOKUP(A285,'LPG Fup'!D:D,'LPG Fup'!M:M,"",0)&gt;0),"Z-1", AND(_xlfn.XLOOKUP(A285+1,'LPG Fup'!D:D,'LPG Fup'!M:M,"",0)&lt;&gt;"",_xlfn.XLOOKUP(A285+1,'LPG Fup'!D:D,'LPG Fup'!M:M,"",0)&gt;0),"Z-2", AND(_xlfn.XLOOKUP(A285-1,'LPG Fup'!D:D,'LPG Fup'!M:M,"",0)&lt;&gt;"",_xlfn.XLOOKUP(A285-1,'LPG Fup'!D:D,'LPG Fup'!M:M,"",0)&gt;0),"Z", AND(_xlfn.XLOOKUP(A285-2,'LPG Fup'!D:D,'LPG Fup'!M:M,"",0)&lt;&gt;"",_xlfn.XLOOKUP(A285-2,'LPG Fup'!D:D,'LPG Fup'!M:M,"",0)&gt;0),"Z+1"),0)</f>
        <v>0</v>
      </c>
      <c r="Q285" cm="1">
        <f t="array" ref="Q285">_xlfn.IFNA(_xlfn.IFS(AND(_xlfn.XLOOKUP(A285,'LPG Fup'!D:D,'LPG Fup'!M:M,"",0)&lt;&gt;"",_xlfn.XLOOKUP(A285,'LPG Fup'!D:D,'LPG Fup'!M:M,"",0)&lt;0),"I-1", AND(_xlfn.XLOOKUP(A285+1,'LPG Fup'!D:D,'LPG Fup'!M:M,"",0)&lt;&gt;"",_xlfn.XLOOKUP(A285+1,'LPG Fup'!D:D,'LPG Fup'!M:M,"",0)&lt;0),"I-2", AND(_xlfn.XLOOKUP(A285-1,'LPG Fup'!D:D,'LPG Fup'!M:M,"",0)&lt;&gt;"",_xlfn.XLOOKUP(A285-1,'LPG Fup'!D:D,'LPG Fup'!M:M,"",0)&lt;0),"I", AND(_xlfn.XLOOKUP(A285-2,'LPG Fup'!D:D,'LPG Fup'!M:M,"",0)&lt;&gt;"",_xlfn.XLOOKUP(A285-2,'LPG Fup'!D:D,'LPG Fup'!M:M,"",0)&lt;0),"I+1"),0)</f>
        <v>0</v>
      </c>
      <c r="R285">
        <f>_xlfn.XLOOKUP(A285,Covid!A:A,Covid!I:I,0,0)</f>
        <v>821</v>
      </c>
      <c r="S285">
        <f>_xlfn.XLOOKUP(A285,Covid!A:A,Covid!K:K,0,0)</f>
        <v>63</v>
      </c>
      <c r="T285" s="145">
        <f>_xlfn.XLOOKUP(A285,Covid!A:A,Covid!K:K,0,0)/_xlfn.XLOOKUP(A285,Covid!A:A,Covid!L:L,0,0)</f>
        <v>6.8248293792655184E-3</v>
      </c>
    </row>
    <row r="286" spans="1:20" x14ac:dyDescent="0.55000000000000004">
      <c r="A286" s="157">
        <v>44267</v>
      </c>
      <c r="B286" s="13">
        <v>1847440</v>
      </c>
      <c r="C286" s="13">
        <v>367947</v>
      </c>
      <c r="D286" s="13">
        <v>18433</v>
      </c>
      <c r="E286" s="13">
        <v>493880</v>
      </c>
      <c r="F286" s="13">
        <v>2727700</v>
      </c>
      <c r="G286">
        <f>IF(OR(_xlfn.XLOOKUP(A286,'LPG Fup'!D:D,'LPG Fup'!L:L,"",0)&gt;0.03,_xlfn.XLOOKUP(A286,'LPG Fup'!D:D,'LPG Fup'!L:L,"",0)&lt;-0.03),_xlfn.XLOOKUP(A286,'LPG Fup'!D:D,'LPG Fup'!L:L,0,0),0)</f>
        <v>0</v>
      </c>
      <c r="H286">
        <f>IF(_xlfn.XLOOKUP(A286,'LPG Fup'!D:D,'LPG Fup'!M:M,0,0)="",0,_xlfn.XLOOKUP(A286,'LPG Fup'!D:D,'LPG Fup'!M:M,0,0))</f>
        <v>0</v>
      </c>
      <c r="I286" s="109">
        <f>_xlfn.XLOOKUP(A286,'Rafineri Fiyatları'!A:A,'Rafineri Fiyatları'!B:B,"",0)</f>
        <v>4467.26</v>
      </c>
      <c r="J286">
        <f t="shared" si="16"/>
        <v>2021</v>
      </c>
      <c r="K286">
        <f t="shared" si="17"/>
        <v>3</v>
      </c>
      <c r="L286">
        <f t="shared" si="18"/>
        <v>12</v>
      </c>
      <c r="M286">
        <f t="shared" si="19"/>
        <v>6</v>
      </c>
      <c r="N286">
        <f>_xlfn.XLOOKUP(A286,tatiller!H:H,tatiller!I:I,0,0)</f>
        <v>0</v>
      </c>
      <c r="O286" cm="1">
        <f t="array" ref="O286">_xlfn.IFNA(_xlfn.IFS(L286=1,"A0",A286=EOMONTH(A286,0),"A-1",L286=2,"A+1"),0)</f>
        <v>0</v>
      </c>
      <c r="P286" cm="1">
        <f t="array" ref="P286">_xlfn.IFNA(_xlfn.IFS(AND(_xlfn.XLOOKUP(A286,'LPG Fup'!D:D,'LPG Fup'!M:M,"",0)&lt;&gt;"",_xlfn.XLOOKUP(A286,'LPG Fup'!D:D,'LPG Fup'!M:M,"",0)&gt;0),"Z-1", AND(_xlfn.XLOOKUP(A286+1,'LPG Fup'!D:D,'LPG Fup'!M:M,"",0)&lt;&gt;"",_xlfn.XLOOKUP(A286+1,'LPG Fup'!D:D,'LPG Fup'!M:M,"",0)&gt;0),"Z-2", AND(_xlfn.XLOOKUP(A286-1,'LPG Fup'!D:D,'LPG Fup'!M:M,"",0)&lt;&gt;"",_xlfn.XLOOKUP(A286-1,'LPG Fup'!D:D,'LPG Fup'!M:M,"",0)&gt;0),"Z", AND(_xlfn.XLOOKUP(A286-2,'LPG Fup'!D:D,'LPG Fup'!M:M,"",0)&lt;&gt;"",_xlfn.XLOOKUP(A286-2,'LPG Fup'!D:D,'LPG Fup'!M:M,"",0)&gt;0),"Z+1"),0)</f>
        <v>0</v>
      </c>
      <c r="Q286" cm="1">
        <f t="array" ref="Q286">_xlfn.IFNA(_xlfn.IFS(AND(_xlfn.XLOOKUP(A286,'LPG Fup'!D:D,'LPG Fup'!M:M,"",0)&lt;&gt;"",_xlfn.XLOOKUP(A286,'LPG Fup'!D:D,'LPG Fup'!M:M,"",0)&lt;0),"I-1", AND(_xlfn.XLOOKUP(A286+1,'LPG Fup'!D:D,'LPG Fup'!M:M,"",0)&lt;&gt;"",_xlfn.XLOOKUP(A286+1,'LPG Fup'!D:D,'LPG Fup'!M:M,"",0)&lt;0),"I-2", AND(_xlfn.XLOOKUP(A286-1,'LPG Fup'!D:D,'LPG Fup'!M:M,"",0)&lt;&gt;"",_xlfn.XLOOKUP(A286-1,'LPG Fup'!D:D,'LPG Fup'!M:M,"",0)&lt;0),"I", AND(_xlfn.XLOOKUP(A286-2,'LPG Fup'!D:D,'LPG Fup'!M:M,"",0)&lt;&gt;"",_xlfn.XLOOKUP(A286-2,'LPG Fup'!D:D,'LPG Fup'!M:M,"",0)&lt;0),"I+1"),0)</f>
        <v>0</v>
      </c>
      <c r="R286">
        <f>_xlfn.XLOOKUP(A286,Covid!A:A,Covid!I:I,0,0)</f>
        <v>834</v>
      </c>
      <c r="S286">
        <f>_xlfn.XLOOKUP(A286,Covid!A:A,Covid!K:K,0,0)</f>
        <v>66</v>
      </c>
      <c r="T286" s="145">
        <f>_xlfn.XLOOKUP(A286,Covid!A:A,Covid!K:K,0,0)/_xlfn.XLOOKUP(A286,Covid!A:A,Covid!L:L,0,0)</f>
        <v>5.9033989266547406E-3</v>
      </c>
    </row>
    <row r="287" spans="1:20" x14ac:dyDescent="0.55000000000000004">
      <c r="A287" s="157">
        <v>44268</v>
      </c>
      <c r="B287" s="13">
        <v>863640</v>
      </c>
      <c r="C287" s="13">
        <v>247031</v>
      </c>
      <c r="D287" s="13">
        <v>5700</v>
      </c>
      <c r="E287" s="13">
        <v>465549</v>
      </c>
      <c r="F287" s="13">
        <v>1581920</v>
      </c>
      <c r="G287">
        <f>IF(OR(_xlfn.XLOOKUP(A287,'LPG Fup'!D:D,'LPG Fup'!L:L,"",0)&gt;0.03,_xlfn.XLOOKUP(A287,'LPG Fup'!D:D,'LPG Fup'!L:L,"",0)&lt;-0.03),_xlfn.XLOOKUP(A287,'LPG Fup'!D:D,'LPG Fup'!L:L,0,0),0)</f>
        <v>0</v>
      </c>
      <c r="H287">
        <f>IF(_xlfn.XLOOKUP(A287,'LPG Fup'!D:D,'LPG Fup'!M:M,0,0)="",0,_xlfn.XLOOKUP(A287,'LPG Fup'!D:D,'LPG Fup'!M:M,0,0))</f>
        <v>0</v>
      </c>
      <c r="I287" s="109">
        <f>_xlfn.XLOOKUP(A287,'Rafineri Fiyatları'!A:A,'Rafineri Fiyatları'!B:B,"",0)</f>
        <v>4467.26</v>
      </c>
      <c r="J287">
        <f t="shared" si="16"/>
        <v>2021</v>
      </c>
      <c r="K287">
        <f t="shared" si="17"/>
        <v>3</v>
      </c>
      <c r="L287">
        <f t="shared" si="18"/>
        <v>13</v>
      </c>
      <c r="M287">
        <f t="shared" si="19"/>
        <v>7</v>
      </c>
      <c r="N287">
        <f>_xlfn.XLOOKUP(A287,tatiller!H:H,tatiller!I:I,0,0)</f>
        <v>0</v>
      </c>
      <c r="O287" cm="1">
        <f t="array" ref="O287">_xlfn.IFNA(_xlfn.IFS(L287=1,"A0",A287=EOMONTH(A287,0),"A-1",L287=2,"A+1"),0)</f>
        <v>0</v>
      </c>
      <c r="P287" cm="1">
        <f t="array" ref="P287">_xlfn.IFNA(_xlfn.IFS(AND(_xlfn.XLOOKUP(A287,'LPG Fup'!D:D,'LPG Fup'!M:M,"",0)&lt;&gt;"",_xlfn.XLOOKUP(A287,'LPG Fup'!D:D,'LPG Fup'!M:M,"",0)&gt;0),"Z-1", AND(_xlfn.XLOOKUP(A287+1,'LPG Fup'!D:D,'LPG Fup'!M:M,"",0)&lt;&gt;"",_xlfn.XLOOKUP(A287+1,'LPG Fup'!D:D,'LPG Fup'!M:M,"",0)&gt;0),"Z-2", AND(_xlfn.XLOOKUP(A287-1,'LPG Fup'!D:D,'LPG Fup'!M:M,"",0)&lt;&gt;"",_xlfn.XLOOKUP(A287-1,'LPG Fup'!D:D,'LPG Fup'!M:M,"",0)&gt;0),"Z", AND(_xlfn.XLOOKUP(A287-2,'LPG Fup'!D:D,'LPG Fup'!M:M,"",0)&lt;&gt;"",_xlfn.XLOOKUP(A287-2,'LPG Fup'!D:D,'LPG Fup'!M:M,"",0)&gt;0),"Z+1"),0)</f>
        <v>0</v>
      </c>
      <c r="Q287" cm="1">
        <f t="array" ref="Q287">_xlfn.IFNA(_xlfn.IFS(AND(_xlfn.XLOOKUP(A287,'LPG Fup'!D:D,'LPG Fup'!M:M,"",0)&lt;&gt;"",_xlfn.XLOOKUP(A287,'LPG Fup'!D:D,'LPG Fup'!M:M,"",0)&lt;0),"I-1", AND(_xlfn.XLOOKUP(A287+1,'LPG Fup'!D:D,'LPG Fup'!M:M,"",0)&lt;&gt;"",_xlfn.XLOOKUP(A287+1,'LPG Fup'!D:D,'LPG Fup'!M:M,"",0)&lt;0),"I-2", AND(_xlfn.XLOOKUP(A287-1,'LPG Fup'!D:D,'LPG Fup'!M:M,"",0)&lt;&gt;"",_xlfn.XLOOKUP(A287-1,'LPG Fup'!D:D,'LPG Fup'!M:M,"",0)&lt;0),"I", AND(_xlfn.XLOOKUP(A287-2,'LPG Fup'!D:D,'LPG Fup'!M:M,"",0)&lt;&gt;"",_xlfn.XLOOKUP(A287-2,'LPG Fup'!D:D,'LPG Fup'!M:M,"",0)&lt;0),"I+1"),0)</f>
        <v>0</v>
      </c>
      <c r="R287">
        <f>_xlfn.XLOOKUP(A287,Covid!A:A,Covid!I:I,0,0)</f>
        <v>841</v>
      </c>
      <c r="S287">
        <f>_xlfn.XLOOKUP(A287,Covid!A:A,Covid!K:K,0,0)</f>
        <v>65</v>
      </c>
      <c r="T287" s="145">
        <f>_xlfn.XLOOKUP(A287,Covid!A:A,Covid!K:K,0,0)/_xlfn.XLOOKUP(A287,Covid!A:A,Covid!L:L,0,0)</f>
        <v>4.251978805521031E-3</v>
      </c>
    </row>
    <row r="288" spans="1:20" x14ac:dyDescent="0.55000000000000004">
      <c r="A288" s="157">
        <v>44269</v>
      </c>
      <c r="B288" s="13">
        <v>1039120</v>
      </c>
      <c r="C288" s="13">
        <v>0</v>
      </c>
      <c r="D288" s="13">
        <v>4332</v>
      </c>
      <c r="E288" s="13">
        <v>285992</v>
      </c>
      <c r="F288" s="13">
        <v>1329444</v>
      </c>
      <c r="G288">
        <f>IF(OR(_xlfn.XLOOKUP(A288,'LPG Fup'!D:D,'LPG Fup'!L:L,"",0)&gt;0.03,_xlfn.XLOOKUP(A288,'LPG Fup'!D:D,'LPG Fup'!L:L,"",0)&lt;-0.03),_xlfn.XLOOKUP(A288,'LPG Fup'!D:D,'LPG Fup'!L:L,0,0),0)</f>
        <v>0</v>
      </c>
      <c r="H288">
        <f>IF(_xlfn.XLOOKUP(A288,'LPG Fup'!D:D,'LPG Fup'!M:M,0,0)="",0,_xlfn.XLOOKUP(A288,'LPG Fup'!D:D,'LPG Fup'!M:M,0,0))</f>
        <v>0</v>
      </c>
      <c r="I288" s="109">
        <f>_xlfn.XLOOKUP(A288,'Rafineri Fiyatları'!A:A,'Rafineri Fiyatları'!B:B,"",0)</f>
        <v>4467.26</v>
      </c>
      <c r="J288">
        <f t="shared" si="16"/>
        <v>2021</v>
      </c>
      <c r="K288">
        <f t="shared" si="17"/>
        <v>3</v>
      </c>
      <c r="L288">
        <f t="shared" si="18"/>
        <v>14</v>
      </c>
      <c r="M288">
        <f t="shared" si="19"/>
        <v>1</v>
      </c>
      <c r="N288">
        <f>_xlfn.XLOOKUP(A288,tatiller!H:H,tatiller!I:I,0,0)</f>
        <v>0</v>
      </c>
      <c r="O288" cm="1">
        <f t="array" ref="O288">_xlfn.IFNA(_xlfn.IFS(L288=1,"A0",A288=EOMONTH(A288,0),"A-1",L288=2,"A+1"),0)</f>
        <v>0</v>
      </c>
      <c r="P288" cm="1">
        <f t="array" ref="P288">_xlfn.IFNA(_xlfn.IFS(AND(_xlfn.XLOOKUP(A288,'LPG Fup'!D:D,'LPG Fup'!M:M,"",0)&lt;&gt;"",_xlfn.XLOOKUP(A288,'LPG Fup'!D:D,'LPG Fup'!M:M,"",0)&gt;0),"Z-1", AND(_xlfn.XLOOKUP(A288+1,'LPG Fup'!D:D,'LPG Fup'!M:M,"",0)&lt;&gt;"",_xlfn.XLOOKUP(A288+1,'LPG Fup'!D:D,'LPG Fup'!M:M,"",0)&gt;0),"Z-2", AND(_xlfn.XLOOKUP(A288-1,'LPG Fup'!D:D,'LPG Fup'!M:M,"",0)&lt;&gt;"",_xlfn.XLOOKUP(A288-1,'LPG Fup'!D:D,'LPG Fup'!M:M,"",0)&gt;0),"Z", AND(_xlfn.XLOOKUP(A288-2,'LPG Fup'!D:D,'LPG Fup'!M:M,"",0)&lt;&gt;"",_xlfn.XLOOKUP(A288-2,'LPG Fup'!D:D,'LPG Fup'!M:M,"",0)&gt;0),"Z+1"),0)</f>
        <v>0</v>
      </c>
      <c r="Q288" cm="1">
        <f t="array" ref="Q288">_xlfn.IFNA(_xlfn.IFS(AND(_xlfn.XLOOKUP(A288,'LPG Fup'!D:D,'LPG Fup'!M:M,"",0)&lt;&gt;"",_xlfn.XLOOKUP(A288,'LPG Fup'!D:D,'LPG Fup'!M:M,"",0)&lt;0),"I-1", AND(_xlfn.XLOOKUP(A288+1,'LPG Fup'!D:D,'LPG Fup'!M:M,"",0)&lt;&gt;"",_xlfn.XLOOKUP(A288+1,'LPG Fup'!D:D,'LPG Fup'!M:M,"",0)&lt;0),"I-2", AND(_xlfn.XLOOKUP(A288-1,'LPG Fup'!D:D,'LPG Fup'!M:M,"",0)&lt;&gt;"",_xlfn.XLOOKUP(A288-1,'LPG Fup'!D:D,'LPG Fup'!M:M,"",0)&lt;0),"I", AND(_xlfn.XLOOKUP(A288-2,'LPG Fup'!D:D,'LPG Fup'!M:M,"",0)&lt;&gt;"",_xlfn.XLOOKUP(A288-2,'LPG Fup'!D:D,'LPG Fup'!M:M,"",0)&lt;0),"I+1"),0)</f>
        <v>0</v>
      </c>
      <c r="R288">
        <f>_xlfn.XLOOKUP(A288,Covid!A:A,Covid!I:I,0,0)</f>
        <v>852</v>
      </c>
      <c r="S288">
        <f>_xlfn.XLOOKUP(A288,Covid!A:A,Covid!K:K,0,0)</f>
        <v>68</v>
      </c>
      <c r="T288" s="145">
        <f>_xlfn.XLOOKUP(A288,Covid!A:A,Covid!K:K,0,0)/_xlfn.XLOOKUP(A288,Covid!A:A,Covid!L:L,0,0)</f>
        <v>4.3825728280484661E-3</v>
      </c>
    </row>
    <row r="289" spans="1:20" x14ac:dyDescent="0.55000000000000004">
      <c r="A289" s="157">
        <v>44270</v>
      </c>
      <c r="B289" s="13">
        <v>1125400</v>
      </c>
      <c r="C289" s="13">
        <v>418273</v>
      </c>
      <c r="D289" s="13">
        <v>0</v>
      </c>
      <c r="E289" s="13">
        <v>393985</v>
      </c>
      <c r="F289" s="13">
        <v>1937658</v>
      </c>
      <c r="G289">
        <f>IF(OR(_xlfn.XLOOKUP(A289,'LPG Fup'!D:D,'LPG Fup'!L:L,"",0)&gt;0.03,_xlfn.XLOOKUP(A289,'LPG Fup'!D:D,'LPG Fup'!L:L,"",0)&lt;-0.03),_xlfn.XLOOKUP(A289,'LPG Fup'!D:D,'LPG Fup'!L:L,0,0),0)</f>
        <v>0</v>
      </c>
      <c r="H289">
        <f>IF(_xlfn.XLOOKUP(A289,'LPG Fup'!D:D,'LPG Fup'!M:M,0,0)="",0,_xlfn.XLOOKUP(A289,'LPG Fup'!D:D,'LPG Fup'!M:M,0,0))</f>
        <v>0</v>
      </c>
      <c r="I289" s="109">
        <f>_xlfn.XLOOKUP(A289,'Rafineri Fiyatları'!A:A,'Rafineri Fiyatları'!B:B,"",0)</f>
        <v>4467.26</v>
      </c>
      <c r="J289">
        <f t="shared" si="16"/>
        <v>2021</v>
      </c>
      <c r="K289">
        <f t="shared" si="17"/>
        <v>3</v>
      </c>
      <c r="L289">
        <f t="shared" si="18"/>
        <v>15</v>
      </c>
      <c r="M289">
        <f t="shared" si="19"/>
        <v>2</v>
      </c>
      <c r="N289">
        <f>_xlfn.XLOOKUP(A289,tatiller!H:H,tatiller!I:I,0,0)</f>
        <v>0</v>
      </c>
      <c r="O289" cm="1">
        <f t="array" ref="O289">_xlfn.IFNA(_xlfn.IFS(L289=1,"A0",A289=EOMONTH(A289,0),"A-1",L289=2,"A+1"),0)</f>
        <v>0</v>
      </c>
      <c r="P289" cm="1">
        <f t="array" ref="P289">_xlfn.IFNA(_xlfn.IFS(AND(_xlfn.XLOOKUP(A289,'LPG Fup'!D:D,'LPG Fup'!M:M,"",0)&lt;&gt;"",_xlfn.XLOOKUP(A289,'LPG Fup'!D:D,'LPG Fup'!M:M,"",0)&gt;0),"Z-1", AND(_xlfn.XLOOKUP(A289+1,'LPG Fup'!D:D,'LPG Fup'!M:M,"",0)&lt;&gt;"",_xlfn.XLOOKUP(A289+1,'LPG Fup'!D:D,'LPG Fup'!M:M,"",0)&gt;0),"Z-2", AND(_xlfn.XLOOKUP(A289-1,'LPG Fup'!D:D,'LPG Fup'!M:M,"",0)&lt;&gt;"",_xlfn.XLOOKUP(A289-1,'LPG Fup'!D:D,'LPG Fup'!M:M,"",0)&gt;0),"Z", AND(_xlfn.XLOOKUP(A289-2,'LPG Fup'!D:D,'LPG Fup'!M:M,"",0)&lt;&gt;"",_xlfn.XLOOKUP(A289-2,'LPG Fup'!D:D,'LPG Fup'!M:M,"",0)&gt;0),"Z+1"),0)</f>
        <v>0</v>
      </c>
      <c r="Q289" cm="1">
        <f t="array" ref="Q289">_xlfn.IFNA(_xlfn.IFS(AND(_xlfn.XLOOKUP(A289,'LPG Fup'!D:D,'LPG Fup'!M:M,"",0)&lt;&gt;"",_xlfn.XLOOKUP(A289,'LPG Fup'!D:D,'LPG Fup'!M:M,"",0)&lt;0),"I-1", AND(_xlfn.XLOOKUP(A289+1,'LPG Fup'!D:D,'LPG Fup'!M:M,"",0)&lt;&gt;"",_xlfn.XLOOKUP(A289+1,'LPG Fup'!D:D,'LPG Fup'!M:M,"",0)&lt;0),"I-2", AND(_xlfn.XLOOKUP(A289-1,'LPG Fup'!D:D,'LPG Fup'!M:M,"",0)&lt;&gt;"",_xlfn.XLOOKUP(A289-1,'LPG Fup'!D:D,'LPG Fup'!M:M,"",0)&lt;0),"I", AND(_xlfn.XLOOKUP(A289-2,'LPG Fup'!D:D,'LPG Fup'!M:M,"",0)&lt;&gt;"",_xlfn.XLOOKUP(A289-2,'LPG Fup'!D:D,'LPG Fup'!M:M,"",0)&lt;0),"I+1"),0)</f>
        <v>0</v>
      </c>
      <c r="R289">
        <f>_xlfn.XLOOKUP(A289,Covid!A:A,Covid!I:I,0,0)</f>
        <v>858</v>
      </c>
      <c r="S289">
        <f>_xlfn.XLOOKUP(A289,Covid!A:A,Covid!K:K,0,0)</f>
        <v>63</v>
      </c>
      <c r="T289" s="145">
        <f>_xlfn.XLOOKUP(A289,Covid!A:A,Covid!K:K,0,0)/_xlfn.XLOOKUP(A289,Covid!A:A,Covid!L:L,0,0)</f>
        <v>3.964009312275845E-3</v>
      </c>
    </row>
    <row r="290" spans="1:20" x14ac:dyDescent="0.55000000000000004">
      <c r="A290" s="157">
        <v>44271</v>
      </c>
      <c r="B290" s="13">
        <v>1073180</v>
      </c>
      <c r="C290" s="13">
        <v>387278</v>
      </c>
      <c r="D290" s="13">
        <v>15987</v>
      </c>
      <c r="E290" s="13">
        <v>402348</v>
      </c>
      <c r="F290" s="13">
        <v>11878500</v>
      </c>
      <c r="G290">
        <f>IF(OR(_xlfn.XLOOKUP(A290,'LPG Fup'!D:D,'LPG Fup'!L:L,"",0)&gt;0.03,_xlfn.XLOOKUP(A290,'LPG Fup'!D:D,'LPG Fup'!L:L,"",0)&lt;-0.03),_xlfn.XLOOKUP(A290,'LPG Fup'!D:D,'LPG Fup'!L:L,0,0),0)</f>
        <v>0</v>
      </c>
      <c r="H290">
        <f>IF(_xlfn.XLOOKUP(A290,'LPG Fup'!D:D,'LPG Fup'!M:M,0,0)="",0,_xlfn.XLOOKUP(A290,'LPG Fup'!D:D,'LPG Fup'!M:M,0,0))</f>
        <v>0</v>
      </c>
      <c r="I290" s="109">
        <f>_xlfn.XLOOKUP(A290,'Rafineri Fiyatları'!A:A,'Rafineri Fiyatları'!B:B,"",0)</f>
        <v>4467.26</v>
      </c>
      <c r="J290">
        <f t="shared" si="16"/>
        <v>2021</v>
      </c>
      <c r="K290">
        <f t="shared" si="17"/>
        <v>3</v>
      </c>
      <c r="L290">
        <f t="shared" si="18"/>
        <v>16</v>
      </c>
      <c r="M290">
        <f t="shared" si="19"/>
        <v>3</v>
      </c>
      <c r="N290">
        <f>_xlfn.XLOOKUP(A290,tatiller!H:H,tatiller!I:I,0,0)</f>
        <v>0</v>
      </c>
      <c r="O290" cm="1">
        <f t="array" ref="O290">_xlfn.IFNA(_xlfn.IFS(L290=1,"A0",A290=EOMONTH(A290,0),"A-1",L290=2,"A+1"),0)</f>
        <v>0</v>
      </c>
      <c r="P290" cm="1">
        <f t="array" ref="P290">_xlfn.IFNA(_xlfn.IFS(AND(_xlfn.XLOOKUP(A290,'LPG Fup'!D:D,'LPG Fup'!M:M,"",0)&lt;&gt;"",_xlfn.XLOOKUP(A290,'LPG Fup'!D:D,'LPG Fup'!M:M,"",0)&gt;0),"Z-1", AND(_xlfn.XLOOKUP(A290+1,'LPG Fup'!D:D,'LPG Fup'!M:M,"",0)&lt;&gt;"",_xlfn.XLOOKUP(A290+1,'LPG Fup'!D:D,'LPG Fup'!M:M,"",0)&gt;0),"Z-2", AND(_xlfn.XLOOKUP(A290-1,'LPG Fup'!D:D,'LPG Fup'!M:M,"",0)&lt;&gt;"",_xlfn.XLOOKUP(A290-1,'LPG Fup'!D:D,'LPG Fup'!M:M,"",0)&gt;0),"Z", AND(_xlfn.XLOOKUP(A290-2,'LPG Fup'!D:D,'LPG Fup'!M:M,"",0)&lt;&gt;"",_xlfn.XLOOKUP(A290-2,'LPG Fup'!D:D,'LPG Fup'!M:M,"",0)&gt;0),"Z+1"),0)</f>
        <v>0</v>
      </c>
      <c r="Q290" cm="1">
        <f t="array" ref="Q290">_xlfn.IFNA(_xlfn.IFS(AND(_xlfn.XLOOKUP(A290,'LPG Fup'!D:D,'LPG Fup'!M:M,"",0)&lt;&gt;"",_xlfn.XLOOKUP(A290,'LPG Fup'!D:D,'LPG Fup'!M:M,"",0)&lt;0),"I-1", AND(_xlfn.XLOOKUP(A290+1,'LPG Fup'!D:D,'LPG Fup'!M:M,"",0)&lt;&gt;"",_xlfn.XLOOKUP(A290+1,'LPG Fup'!D:D,'LPG Fup'!M:M,"",0)&lt;0),"I-2", AND(_xlfn.XLOOKUP(A290-1,'LPG Fup'!D:D,'LPG Fup'!M:M,"",0)&lt;&gt;"",_xlfn.XLOOKUP(A290-1,'LPG Fup'!D:D,'LPG Fup'!M:M,"",0)&lt;0),"I", AND(_xlfn.XLOOKUP(A290-2,'LPG Fup'!D:D,'LPG Fup'!M:M,"",0)&lt;&gt;"",_xlfn.XLOOKUP(A290-2,'LPG Fup'!D:D,'LPG Fup'!M:M,"",0)&lt;0),"I+1"),0)</f>
        <v>0</v>
      </c>
      <c r="R290">
        <f>_xlfn.XLOOKUP(A290,Covid!A:A,Covid!I:I,0,0)</f>
        <v>874</v>
      </c>
      <c r="S290">
        <f>_xlfn.XLOOKUP(A290,Covid!A:A,Covid!K:K,0,0)</f>
        <v>71</v>
      </c>
      <c r="T290" s="145">
        <f>_xlfn.XLOOKUP(A290,Covid!A:A,Covid!K:K,0,0)/_xlfn.XLOOKUP(A290,Covid!A:A,Covid!L:L,0,0)</f>
        <v>3.9680321913597499E-3</v>
      </c>
    </row>
    <row r="291" spans="1:20" x14ac:dyDescent="0.55000000000000004">
      <c r="A291" s="157">
        <v>44272</v>
      </c>
      <c r="B291" s="13">
        <v>1734900</v>
      </c>
      <c r="C291" s="13">
        <v>359177</v>
      </c>
      <c r="D291" s="13">
        <v>15208</v>
      </c>
      <c r="E291" s="13">
        <v>488500</v>
      </c>
      <c r="F291" s="13">
        <v>2597785</v>
      </c>
      <c r="G291">
        <f>IF(OR(_xlfn.XLOOKUP(A291,'LPG Fup'!D:D,'LPG Fup'!L:L,"",0)&gt;0.03,_xlfn.XLOOKUP(A291,'LPG Fup'!D:D,'LPG Fup'!L:L,"",0)&lt;-0.03),_xlfn.XLOOKUP(A291,'LPG Fup'!D:D,'LPG Fup'!L:L,0,0),0)</f>
        <v>0</v>
      </c>
      <c r="H291">
        <f>IF(_xlfn.XLOOKUP(A291,'LPG Fup'!D:D,'LPG Fup'!M:M,0,0)="",0,_xlfn.XLOOKUP(A291,'LPG Fup'!D:D,'LPG Fup'!M:M,0,0))</f>
        <v>0</v>
      </c>
      <c r="I291" s="109">
        <f>_xlfn.XLOOKUP(A291,'Rafineri Fiyatları'!A:A,'Rafineri Fiyatları'!B:B,"",0)</f>
        <v>4467.26</v>
      </c>
      <c r="J291">
        <f t="shared" si="16"/>
        <v>2021</v>
      </c>
      <c r="K291">
        <f t="shared" si="17"/>
        <v>3</v>
      </c>
      <c r="L291">
        <f t="shared" si="18"/>
        <v>17</v>
      </c>
      <c r="M291">
        <f t="shared" si="19"/>
        <v>4</v>
      </c>
      <c r="N291">
        <f>_xlfn.XLOOKUP(A291,tatiller!H:H,tatiller!I:I,0,0)</f>
        <v>0</v>
      </c>
      <c r="O291" cm="1">
        <f t="array" ref="O291">_xlfn.IFNA(_xlfn.IFS(L291=1,"A0",A291=EOMONTH(A291,0),"A-1",L291=2,"A+1"),0)</f>
        <v>0</v>
      </c>
      <c r="P291" cm="1">
        <f t="array" ref="P291">_xlfn.IFNA(_xlfn.IFS(AND(_xlfn.XLOOKUP(A291,'LPG Fup'!D:D,'LPG Fup'!M:M,"",0)&lt;&gt;"",_xlfn.XLOOKUP(A291,'LPG Fup'!D:D,'LPG Fup'!M:M,"",0)&gt;0),"Z-1", AND(_xlfn.XLOOKUP(A291+1,'LPG Fup'!D:D,'LPG Fup'!M:M,"",0)&lt;&gt;"",_xlfn.XLOOKUP(A291+1,'LPG Fup'!D:D,'LPG Fup'!M:M,"",0)&gt;0),"Z-2", AND(_xlfn.XLOOKUP(A291-1,'LPG Fup'!D:D,'LPG Fup'!M:M,"",0)&lt;&gt;"",_xlfn.XLOOKUP(A291-1,'LPG Fup'!D:D,'LPG Fup'!M:M,"",0)&gt;0),"Z", AND(_xlfn.XLOOKUP(A291-2,'LPG Fup'!D:D,'LPG Fup'!M:M,"",0)&lt;&gt;"",_xlfn.XLOOKUP(A291-2,'LPG Fup'!D:D,'LPG Fup'!M:M,"",0)&gt;0),"Z+1"),0)</f>
        <v>0</v>
      </c>
      <c r="Q291" cm="1">
        <f t="array" ref="Q291">_xlfn.IFNA(_xlfn.IFS(AND(_xlfn.XLOOKUP(A291,'LPG Fup'!D:D,'LPG Fup'!M:M,"",0)&lt;&gt;"",_xlfn.XLOOKUP(A291,'LPG Fup'!D:D,'LPG Fup'!M:M,"",0)&lt;0),"I-1", AND(_xlfn.XLOOKUP(A291+1,'LPG Fup'!D:D,'LPG Fup'!M:M,"",0)&lt;&gt;"",_xlfn.XLOOKUP(A291+1,'LPG Fup'!D:D,'LPG Fup'!M:M,"",0)&lt;0),"I-2", AND(_xlfn.XLOOKUP(A291-1,'LPG Fup'!D:D,'LPG Fup'!M:M,"",0)&lt;&gt;"",_xlfn.XLOOKUP(A291-1,'LPG Fup'!D:D,'LPG Fup'!M:M,"",0)&lt;0),"I", AND(_xlfn.XLOOKUP(A291-2,'LPG Fup'!D:D,'LPG Fup'!M:M,"",0)&lt;&gt;"",_xlfn.XLOOKUP(A291-2,'LPG Fup'!D:D,'LPG Fup'!M:M,"",0)&lt;0),"I+1"),0)</f>
        <v>0</v>
      </c>
      <c r="R291">
        <f>_xlfn.XLOOKUP(A291,Covid!A:A,Covid!I:I,0,0)</f>
        <v>869</v>
      </c>
      <c r="S291">
        <f>_xlfn.XLOOKUP(A291,Covid!A:A,Covid!K:K,0,0)</f>
        <v>73</v>
      </c>
      <c r="T291" s="145">
        <f>_xlfn.XLOOKUP(A291,Covid!A:A,Covid!K:K,0,0)/_xlfn.XLOOKUP(A291,Covid!A:A,Covid!L:L,0,0)</f>
        <v>4.2538313618087527E-3</v>
      </c>
    </row>
    <row r="292" spans="1:20" x14ac:dyDescent="0.55000000000000004">
      <c r="A292" s="157">
        <v>44273</v>
      </c>
      <c r="B292" s="13">
        <v>1307440</v>
      </c>
      <c r="C292" s="13">
        <v>348130</v>
      </c>
      <c r="D292" s="13">
        <v>12547</v>
      </c>
      <c r="E292" s="13">
        <v>405804</v>
      </c>
      <c r="F292" s="13">
        <v>2073921</v>
      </c>
      <c r="G292">
        <f>IF(OR(_xlfn.XLOOKUP(A292,'LPG Fup'!D:D,'LPG Fup'!L:L,"",0)&gt;0.03,_xlfn.XLOOKUP(A292,'LPG Fup'!D:D,'LPG Fup'!L:L,"",0)&lt;-0.03),_xlfn.XLOOKUP(A292,'LPG Fup'!D:D,'LPG Fup'!L:L,0,0),0)</f>
        <v>0</v>
      </c>
      <c r="H292">
        <f>IF(_xlfn.XLOOKUP(A292,'LPG Fup'!D:D,'LPG Fup'!M:M,0,0)="",0,_xlfn.XLOOKUP(A292,'LPG Fup'!D:D,'LPG Fup'!M:M,0,0))</f>
        <v>0</v>
      </c>
      <c r="I292" s="109">
        <f>_xlfn.XLOOKUP(A292,'Rafineri Fiyatları'!A:A,'Rafineri Fiyatları'!B:B,"",0)</f>
        <v>4467.26</v>
      </c>
      <c r="J292">
        <f t="shared" si="16"/>
        <v>2021</v>
      </c>
      <c r="K292">
        <f t="shared" si="17"/>
        <v>3</v>
      </c>
      <c r="L292">
        <f t="shared" si="18"/>
        <v>18</v>
      </c>
      <c r="M292">
        <f t="shared" si="19"/>
        <v>5</v>
      </c>
      <c r="N292">
        <f>_xlfn.XLOOKUP(A292,tatiller!H:H,tatiller!I:I,0,0)</f>
        <v>0</v>
      </c>
      <c r="O292" cm="1">
        <f t="array" ref="O292">_xlfn.IFNA(_xlfn.IFS(L292=1,"A0",A292=EOMONTH(A292,0),"A-1",L292=2,"A+1"),0)</f>
        <v>0</v>
      </c>
      <c r="P292" cm="1">
        <f t="array" ref="P292">_xlfn.IFNA(_xlfn.IFS(AND(_xlfn.XLOOKUP(A292,'LPG Fup'!D:D,'LPG Fup'!M:M,"",0)&lt;&gt;"",_xlfn.XLOOKUP(A292,'LPG Fup'!D:D,'LPG Fup'!M:M,"",0)&gt;0),"Z-1", AND(_xlfn.XLOOKUP(A292+1,'LPG Fup'!D:D,'LPG Fup'!M:M,"",0)&lt;&gt;"",_xlfn.XLOOKUP(A292+1,'LPG Fup'!D:D,'LPG Fup'!M:M,"",0)&gt;0),"Z-2", AND(_xlfn.XLOOKUP(A292-1,'LPG Fup'!D:D,'LPG Fup'!M:M,"",0)&lt;&gt;"",_xlfn.XLOOKUP(A292-1,'LPG Fup'!D:D,'LPG Fup'!M:M,"",0)&gt;0),"Z", AND(_xlfn.XLOOKUP(A292-2,'LPG Fup'!D:D,'LPG Fup'!M:M,"",0)&lt;&gt;"",_xlfn.XLOOKUP(A292-2,'LPG Fup'!D:D,'LPG Fup'!M:M,"",0)&gt;0),"Z+1"),0)</f>
        <v>0</v>
      </c>
      <c r="Q292" cm="1">
        <f t="array" ref="Q292">_xlfn.IFNA(_xlfn.IFS(AND(_xlfn.XLOOKUP(A292,'LPG Fup'!D:D,'LPG Fup'!M:M,"",0)&lt;&gt;"",_xlfn.XLOOKUP(A292,'LPG Fup'!D:D,'LPG Fup'!M:M,"",0)&lt;0),"I-1", AND(_xlfn.XLOOKUP(A292+1,'LPG Fup'!D:D,'LPG Fup'!M:M,"",0)&lt;&gt;"",_xlfn.XLOOKUP(A292+1,'LPG Fup'!D:D,'LPG Fup'!M:M,"",0)&lt;0),"I-2", AND(_xlfn.XLOOKUP(A292-1,'LPG Fup'!D:D,'LPG Fup'!M:M,"",0)&lt;&gt;"",_xlfn.XLOOKUP(A292-1,'LPG Fup'!D:D,'LPG Fup'!M:M,"",0)&lt;0),"I", AND(_xlfn.XLOOKUP(A292-2,'LPG Fup'!D:D,'LPG Fup'!M:M,"",0)&lt;&gt;"",_xlfn.XLOOKUP(A292-2,'LPG Fup'!D:D,'LPG Fup'!M:M,"",0)&lt;0),"I+1"),0)</f>
        <v>0</v>
      </c>
      <c r="R292">
        <f>_xlfn.XLOOKUP(A292,Covid!A:A,Covid!I:I,0,0)</f>
        <v>902</v>
      </c>
      <c r="S292">
        <f>_xlfn.XLOOKUP(A292,Covid!A:A,Covid!K:K,0,0)</f>
        <v>81</v>
      </c>
      <c r="T292" s="145">
        <f>_xlfn.XLOOKUP(A292,Covid!A:A,Covid!K:K,0,0)/_xlfn.XLOOKUP(A292,Covid!A:A,Covid!L:L,0,0)</f>
        <v>4.3513295729250608E-3</v>
      </c>
    </row>
    <row r="293" spans="1:20" x14ac:dyDescent="0.55000000000000004">
      <c r="A293" s="157">
        <v>44274</v>
      </c>
      <c r="B293" s="13">
        <v>1566840</v>
      </c>
      <c r="C293" s="13">
        <v>421578</v>
      </c>
      <c r="D293" s="13">
        <v>4410</v>
      </c>
      <c r="E293" s="13">
        <v>424231</v>
      </c>
      <c r="F293" s="13">
        <v>2417059</v>
      </c>
      <c r="G293">
        <f>IF(OR(_xlfn.XLOOKUP(A293,'LPG Fup'!D:D,'LPG Fup'!L:L,"",0)&gt;0.03,_xlfn.XLOOKUP(A293,'LPG Fup'!D:D,'LPG Fup'!L:L,"",0)&lt;-0.03),_xlfn.XLOOKUP(A293,'LPG Fup'!D:D,'LPG Fup'!L:L,0,0),0)</f>
        <v>0</v>
      </c>
      <c r="H293">
        <f>IF(_xlfn.XLOOKUP(A293,'LPG Fup'!D:D,'LPG Fup'!M:M,0,0)="",0,_xlfn.XLOOKUP(A293,'LPG Fup'!D:D,'LPG Fup'!M:M,0,0))</f>
        <v>0</v>
      </c>
      <c r="I293" s="109">
        <f>_xlfn.XLOOKUP(A293,'Rafineri Fiyatları'!A:A,'Rafineri Fiyatları'!B:B,"",0)</f>
        <v>4467.26</v>
      </c>
      <c r="J293">
        <f t="shared" si="16"/>
        <v>2021</v>
      </c>
      <c r="K293">
        <f t="shared" si="17"/>
        <v>3</v>
      </c>
      <c r="L293">
        <f t="shared" si="18"/>
        <v>19</v>
      </c>
      <c r="M293">
        <f t="shared" si="19"/>
        <v>6</v>
      </c>
      <c r="N293">
        <f>_xlfn.XLOOKUP(A293,tatiller!H:H,tatiller!I:I,0,0)</f>
        <v>0</v>
      </c>
      <c r="O293" cm="1">
        <f t="array" ref="O293">_xlfn.IFNA(_xlfn.IFS(L293=1,"A0",A293=EOMONTH(A293,0),"A-1",L293=2,"A+1"),0)</f>
        <v>0</v>
      </c>
      <c r="P293" cm="1">
        <f t="array" ref="P293">_xlfn.IFNA(_xlfn.IFS(AND(_xlfn.XLOOKUP(A293,'LPG Fup'!D:D,'LPG Fup'!M:M,"",0)&lt;&gt;"",_xlfn.XLOOKUP(A293,'LPG Fup'!D:D,'LPG Fup'!M:M,"",0)&gt;0),"Z-1", AND(_xlfn.XLOOKUP(A293+1,'LPG Fup'!D:D,'LPG Fup'!M:M,"",0)&lt;&gt;"",_xlfn.XLOOKUP(A293+1,'LPG Fup'!D:D,'LPG Fup'!M:M,"",0)&gt;0),"Z-2", AND(_xlfn.XLOOKUP(A293-1,'LPG Fup'!D:D,'LPG Fup'!M:M,"",0)&lt;&gt;"",_xlfn.XLOOKUP(A293-1,'LPG Fup'!D:D,'LPG Fup'!M:M,"",0)&gt;0),"Z", AND(_xlfn.XLOOKUP(A293-2,'LPG Fup'!D:D,'LPG Fup'!M:M,"",0)&lt;&gt;"",_xlfn.XLOOKUP(A293-2,'LPG Fup'!D:D,'LPG Fup'!M:M,"",0)&gt;0),"Z+1"),0)</f>
        <v>0</v>
      </c>
      <c r="Q293" cm="1">
        <f t="array" ref="Q293">_xlfn.IFNA(_xlfn.IFS(AND(_xlfn.XLOOKUP(A293,'LPG Fup'!D:D,'LPG Fup'!M:M,"",0)&lt;&gt;"",_xlfn.XLOOKUP(A293,'LPG Fup'!D:D,'LPG Fup'!M:M,"",0)&lt;0),"I-1", AND(_xlfn.XLOOKUP(A293+1,'LPG Fup'!D:D,'LPG Fup'!M:M,"",0)&lt;&gt;"",_xlfn.XLOOKUP(A293+1,'LPG Fup'!D:D,'LPG Fup'!M:M,"",0)&lt;0),"I-2", AND(_xlfn.XLOOKUP(A293-1,'LPG Fup'!D:D,'LPG Fup'!M:M,"",0)&lt;&gt;"",_xlfn.XLOOKUP(A293-1,'LPG Fup'!D:D,'LPG Fup'!M:M,"",0)&lt;0),"I", AND(_xlfn.XLOOKUP(A293-2,'LPG Fup'!D:D,'LPG Fup'!M:M,"",0)&lt;&gt;"",_xlfn.XLOOKUP(A293-2,'LPG Fup'!D:D,'LPG Fup'!M:M,"",0)&lt;0),"I+1"),0)</f>
        <v>0</v>
      </c>
      <c r="R293">
        <f>_xlfn.XLOOKUP(A293,Covid!A:A,Covid!I:I,0,0)</f>
        <v>934</v>
      </c>
      <c r="S293">
        <f>_xlfn.XLOOKUP(A293,Covid!A:A,Covid!K:K,0,0)</f>
        <v>87</v>
      </c>
      <c r="T293" s="145">
        <f>_xlfn.XLOOKUP(A293,Covid!A:A,Covid!K:K,0,0)/_xlfn.XLOOKUP(A293,Covid!A:A,Covid!L:L,0,0)</f>
        <v>4.8015894916938022E-3</v>
      </c>
    </row>
    <row r="294" spans="1:20" x14ac:dyDescent="0.55000000000000004">
      <c r="A294" s="157">
        <v>44275</v>
      </c>
      <c r="B294" s="13">
        <v>1113240</v>
      </c>
      <c r="C294" s="13">
        <v>232505</v>
      </c>
      <c r="D294" s="13">
        <v>7371</v>
      </c>
      <c r="E294" s="13">
        <v>500623</v>
      </c>
      <c r="F294" s="13">
        <v>1853739</v>
      </c>
      <c r="G294">
        <f>IF(OR(_xlfn.XLOOKUP(A294,'LPG Fup'!D:D,'LPG Fup'!L:L,"",0)&gt;0.03,_xlfn.XLOOKUP(A294,'LPG Fup'!D:D,'LPG Fup'!L:L,"",0)&lt;-0.03),_xlfn.XLOOKUP(A294,'LPG Fup'!D:D,'LPG Fup'!L:L,0,0),0)</f>
        <v>0</v>
      </c>
      <c r="H294">
        <f>IF(_xlfn.XLOOKUP(A294,'LPG Fup'!D:D,'LPG Fup'!M:M,0,0)="",0,_xlfn.XLOOKUP(A294,'LPG Fup'!D:D,'LPG Fup'!M:M,0,0))</f>
        <v>0</v>
      </c>
      <c r="I294" s="109">
        <f>_xlfn.XLOOKUP(A294,'Rafineri Fiyatları'!A:A,'Rafineri Fiyatları'!B:B,"",0)</f>
        <v>4467.26</v>
      </c>
      <c r="J294">
        <f t="shared" si="16"/>
        <v>2021</v>
      </c>
      <c r="K294">
        <f t="shared" si="17"/>
        <v>3</v>
      </c>
      <c r="L294">
        <f t="shared" si="18"/>
        <v>20</v>
      </c>
      <c r="M294">
        <f t="shared" si="19"/>
        <v>7</v>
      </c>
      <c r="N294">
        <f>_xlfn.XLOOKUP(A294,tatiller!H:H,tatiller!I:I,0,0)</f>
        <v>0</v>
      </c>
      <c r="O294" cm="1">
        <f t="array" ref="O294">_xlfn.IFNA(_xlfn.IFS(L294=1,"A0",A294=EOMONTH(A294,0),"A-1",L294=2,"A+1"),0)</f>
        <v>0</v>
      </c>
      <c r="P294" cm="1">
        <f t="array" ref="P294">_xlfn.IFNA(_xlfn.IFS(AND(_xlfn.XLOOKUP(A294,'LPG Fup'!D:D,'LPG Fup'!M:M,"",0)&lt;&gt;"",_xlfn.XLOOKUP(A294,'LPG Fup'!D:D,'LPG Fup'!M:M,"",0)&gt;0),"Z-1", AND(_xlfn.XLOOKUP(A294+1,'LPG Fup'!D:D,'LPG Fup'!M:M,"",0)&lt;&gt;"",_xlfn.XLOOKUP(A294+1,'LPG Fup'!D:D,'LPG Fup'!M:M,"",0)&gt;0),"Z-2", AND(_xlfn.XLOOKUP(A294-1,'LPG Fup'!D:D,'LPG Fup'!M:M,"",0)&lt;&gt;"",_xlfn.XLOOKUP(A294-1,'LPG Fup'!D:D,'LPG Fup'!M:M,"",0)&gt;0),"Z", AND(_xlfn.XLOOKUP(A294-2,'LPG Fup'!D:D,'LPG Fup'!M:M,"",0)&lt;&gt;"",_xlfn.XLOOKUP(A294-2,'LPG Fup'!D:D,'LPG Fup'!M:M,"",0)&gt;0),"Z+1"),0)</f>
        <v>0</v>
      </c>
      <c r="Q294" cm="1">
        <f t="array" ref="Q294">_xlfn.IFNA(_xlfn.IFS(AND(_xlfn.XLOOKUP(A294,'LPG Fup'!D:D,'LPG Fup'!M:M,"",0)&lt;&gt;"",_xlfn.XLOOKUP(A294,'LPG Fup'!D:D,'LPG Fup'!M:M,"",0)&lt;0),"I-1", AND(_xlfn.XLOOKUP(A294+1,'LPG Fup'!D:D,'LPG Fup'!M:M,"",0)&lt;&gt;"",_xlfn.XLOOKUP(A294+1,'LPG Fup'!D:D,'LPG Fup'!M:M,"",0)&lt;0),"I-2", AND(_xlfn.XLOOKUP(A294-1,'LPG Fup'!D:D,'LPG Fup'!M:M,"",0)&lt;&gt;"",_xlfn.XLOOKUP(A294-1,'LPG Fup'!D:D,'LPG Fup'!M:M,"",0)&lt;0),"I", AND(_xlfn.XLOOKUP(A294-2,'LPG Fup'!D:D,'LPG Fup'!M:M,"",0)&lt;&gt;"",_xlfn.XLOOKUP(A294-2,'LPG Fup'!D:D,'LPG Fup'!M:M,"",0)&lt;0),"I+1"),0)</f>
        <v>0</v>
      </c>
      <c r="R294">
        <f>_xlfn.XLOOKUP(A294,Covid!A:A,Covid!I:I,0,0)</f>
        <v>958</v>
      </c>
      <c r="S294">
        <f>_xlfn.XLOOKUP(A294,Covid!A:A,Covid!K:K,0,0)</f>
        <v>95</v>
      </c>
      <c r="T294" s="145">
        <f>_xlfn.XLOOKUP(A294,Covid!A:A,Covid!K:K,0,0)/_xlfn.XLOOKUP(A294,Covid!A:A,Covid!L:L,0,0)</f>
        <v>5.0491629019399414E-3</v>
      </c>
    </row>
    <row r="295" spans="1:20" x14ac:dyDescent="0.55000000000000004">
      <c r="A295" s="157">
        <v>44276</v>
      </c>
      <c r="B295" s="13">
        <v>907020</v>
      </c>
      <c r="C295" s="13">
        <v>0</v>
      </c>
      <c r="D295" s="13">
        <v>1640</v>
      </c>
      <c r="E295" s="13">
        <v>197989</v>
      </c>
      <c r="F295" s="13">
        <v>1106649</v>
      </c>
      <c r="G295">
        <f>IF(OR(_xlfn.XLOOKUP(A295,'LPG Fup'!D:D,'LPG Fup'!L:L,"",0)&gt;0.03,_xlfn.XLOOKUP(A295,'LPG Fup'!D:D,'LPG Fup'!L:L,"",0)&lt;-0.03),_xlfn.XLOOKUP(A295,'LPG Fup'!D:D,'LPG Fup'!L:L,0,0),0)</f>
        <v>0</v>
      </c>
      <c r="H295">
        <f>IF(_xlfn.XLOOKUP(A295,'LPG Fup'!D:D,'LPG Fup'!M:M,0,0)="",0,_xlfn.XLOOKUP(A295,'LPG Fup'!D:D,'LPG Fup'!M:M,0,0))</f>
        <v>0</v>
      </c>
      <c r="I295" s="109">
        <f>_xlfn.XLOOKUP(A295,'Rafineri Fiyatları'!A:A,'Rafineri Fiyatları'!B:B,"",0)</f>
        <v>4467.26</v>
      </c>
      <c r="J295">
        <f t="shared" si="16"/>
        <v>2021</v>
      </c>
      <c r="K295">
        <f t="shared" si="17"/>
        <v>3</v>
      </c>
      <c r="L295">
        <f t="shared" si="18"/>
        <v>21</v>
      </c>
      <c r="M295">
        <f t="shared" si="19"/>
        <v>1</v>
      </c>
      <c r="N295">
        <f>_xlfn.XLOOKUP(A295,tatiller!H:H,tatiller!I:I,0,0)</f>
        <v>0</v>
      </c>
      <c r="O295" cm="1">
        <f t="array" ref="O295">_xlfn.IFNA(_xlfn.IFS(L295=1,"A0",A295=EOMONTH(A295,0),"A-1",L295=2,"A+1"),0)</f>
        <v>0</v>
      </c>
      <c r="P295" cm="1">
        <f t="array" ref="P295">_xlfn.IFNA(_xlfn.IFS(AND(_xlfn.XLOOKUP(A295,'LPG Fup'!D:D,'LPG Fup'!M:M,"",0)&lt;&gt;"",_xlfn.XLOOKUP(A295,'LPG Fup'!D:D,'LPG Fup'!M:M,"",0)&gt;0),"Z-1", AND(_xlfn.XLOOKUP(A295+1,'LPG Fup'!D:D,'LPG Fup'!M:M,"",0)&lt;&gt;"",_xlfn.XLOOKUP(A295+1,'LPG Fup'!D:D,'LPG Fup'!M:M,"",0)&gt;0),"Z-2", AND(_xlfn.XLOOKUP(A295-1,'LPG Fup'!D:D,'LPG Fup'!M:M,"",0)&lt;&gt;"",_xlfn.XLOOKUP(A295-1,'LPG Fup'!D:D,'LPG Fup'!M:M,"",0)&gt;0),"Z", AND(_xlfn.XLOOKUP(A295-2,'LPG Fup'!D:D,'LPG Fup'!M:M,"",0)&lt;&gt;"",_xlfn.XLOOKUP(A295-2,'LPG Fup'!D:D,'LPG Fup'!M:M,"",0)&gt;0),"Z+1"),0)</f>
        <v>0</v>
      </c>
      <c r="Q295" cm="1">
        <f t="array" ref="Q295">_xlfn.IFNA(_xlfn.IFS(AND(_xlfn.XLOOKUP(A295,'LPG Fup'!D:D,'LPG Fup'!M:M,"",0)&lt;&gt;"",_xlfn.XLOOKUP(A295,'LPG Fup'!D:D,'LPG Fup'!M:M,"",0)&lt;0),"I-1", AND(_xlfn.XLOOKUP(A295+1,'LPG Fup'!D:D,'LPG Fup'!M:M,"",0)&lt;&gt;"",_xlfn.XLOOKUP(A295+1,'LPG Fup'!D:D,'LPG Fup'!M:M,"",0)&lt;0),"I-2", AND(_xlfn.XLOOKUP(A295-1,'LPG Fup'!D:D,'LPG Fup'!M:M,"",0)&lt;&gt;"",_xlfn.XLOOKUP(A295-1,'LPG Fup'!D:D,'LPG Fup'!M:M,"",0)&lt;0),"I", AND(_xlfn.XLOOKUP(A295-2,'LPG Fup'!D:D,'LPG Fup'!M:M,"",0)&lt;&gt;"",_xlfn.XLOOKUP(A295-2,'LPG Fup'!D:D,'LPG Fup'!M:M,"",0)&lt;0),"I+1"),0)</f>
        <v>0</v>
      </c>
      <c r="R295">
        <f>_xlfn.XLOOKUP(A295,Covid!A:A,Covid!I:I,0,0)</f>
        <v>965</v>
      </c>
      <c r="S295">
        <f>_xlfn.XLOOKUP(A295,Covid!A:A,Covid!K:K,0,0)</f>
        <v>102</v>
      </c>
      <c r="T295" s="145">
        <f>_xlfn.XLOOKUP(A295,Covid!A:A,Covid!K:K,0,0)/_xlfn.XLOOKUP(A295,Covid!A:A,Covid!L:L,0,0)</f>
        <v>5.7905194436559749E-3</v>
      </c>
    </row>
    <row r="296" spans="1:20" x14ac:dyDescent="0.55000000000000004">
      <c r="A296" s="157">
        <v>44277</v>
      </c>
      <c r="B296" s="13">
        <v>1248160</v>
      </c>
      <c r="C296" s="13">
        <v>447655</v>
      </c>
      <c r="D296" s="13">
        <v>759</v>
      </c>
      <c r="E296" s="13">
        <v>520756</v>
      </c>
      <c r="F296" s="13">
        <v>2217330</v>
      </c>
      <c r="G296">
        <f>IF(OR(_xlfn.XLOOKUP(A296,'LPG Fup'!D:D,'LPG Fup'!L:L,"",0)&gt;0.03,_xlfn.XLOOKUP(A296,'LPG Fup'!D:D,'LPG Fup'!L:L,"",0)&lt;-0.03),_xlfn.XLOOKUP(A296,'LPG Fup'!D:D,'LPG Fup'!L:L,0,0),0)</f>
        <v>0</v>
      </c>
      <c r="H296">
        <f>IF(_xlfn.XLOOKUP(A296,'LPG Fup'!D:D,'LPG Fup'!M:M,0,0)="",0,_xlfn.XLOOKUP(A296,'LPG Fup'!D:D,'LPG Fup'!M:M,0,0))</f>
        <v>0</v>
      </c>
      <c r="I296" s="109">
        <f>_xlfn.XLOOKUP(A296,'Rafineri Fiyatları'!A:A,'Rafineri Fiyatları'!B:B,"",0)</f>
        <v>4467.26</v>
      </c>
      <c r="J296">
        <f t="shared" si="16"/>
        <v>2021</v>
      </c>
      <c r="K296">
        <f t="shared" si="17"/>
        <v>3</v>
      </c>
      <c r="L296">
        <f t="shared" si="18"/>
        <v>22</v>
      </c>
      <c r="M296">
        <f t="shared" si="19"/>
        <v>2</v>
      </c>
      <c r="N296">
        <f>_xlfn.XLOOKUP(A296,tatiller!H:H,tatiller!I:I,0,0)</f>
        <v>0</v>
      </c>
      <c r="O296" cm="1">
        <f t="array" ref="O296">_xlfn.IFNA(_xlfn.IFS(L296=1,"A0",A296=EOMONTH(A296,0),"A-1",L296=2,"A+1"),0)</f>
        <v>0</v>
      </c>
      <c r="P296" cm="1">
        <f t="array" ref="P296">_xlfn.IFNA(_xlfn.IFS(AND(_xlfn.XLOOKUP(A296,'LPG Fup'!D:D,'LPG Fup'!M:M,"",0)&lt;&gt;"",_xlfn.XLOOKUP(A296,'LPG Fup'!D:D,'LPG Fup'!M:M,"",0)&gt;0),"Z-1", AND(_xlfn.XLOOKUP(A296+1,'LPG Fup'!D:D,'LPG Fup'!M:M,"",0)&lt;&gt;"",_xlfn.XLOOKUP(A296+1,'LPG Fup'!D:D,'LPG Fup'!M:M,"",0)&gt;0),"Z-2", AND(_xlfn.XLOOKUP(A296-1,'LPG Fup'!D:D,'LPG Fup'!M:M,"",0)&lt;&gt;"",_xlfn.XLOOKUP(A296-1,'LPG Fup'!D:D,'LPG Fup'!M:M,"",0)&gt;0),"Z", AND(_xlfn.XLOOKUP(A296-2,'LPG Fup'!D:D,'LPG Fup'!M:M,"",0)&lt;&gt;"",_xlfn.XLOOKUP(A296-2,'LPG Fup'!D:D,'LPG Fup'!M:M,"",0)&gt;0),"Z+1"),0)</f>
        <v>0</v>
      </c>
      <c r="Q296" cm="1">
        <f t="array" ref="Q296">_xlfn.IFNA(_xlfn.IFS(AND(_xlfn.XLOOKUP(A296,'LPG Fup'!D:D,'LPG Fup'!M:M,"",0)&lt;&gt;"",_xlfn.XLOOKUP(A296,'LPG Fup'!D:D,'LPG Fup'!M:M,"",0)&lt;0),"I-1", AND(_xlfn.XLOOKUP(A296+1,'LPG Fup'!D:D,'LPG Fup'!M:M,"",0)&lt;&gt;"",_xlfn.XLOOKUP(A296+1,'LPG Fup'!D:D,'LPG Fup'!M:M,"",0)&lt;0),"I-2", AND(_xlfn.XLOOKUP(A296-1,'LPG Fup'!D:D,'LPG Fup'!M:M,"",0)&lt;&gt;"",_xlfn.XLOOKUP(A296-1,'LPG Fup'!D:D,'LPG Fup'!M:M,"",0)&lt;0),"I", AND(_xlfn.XLOOKUP(A296-2,'LPG Fup'!D:D,'LPG Fup'!M:M,"",0)&lt;&gt;"",_xlfn.XLOOKUP(A296-2,'LPG Fup'!D:D,'LPG Fup'!M:M,"",0)&lt;0),"I+1"),0)</f>
        <v>0</v>
      </c>
      <c r="R296">
        <f>_xlfn.XLOOKUP(A296,Covid!A:A,Covid!I:I,0,0)</f>
        <v>981</v>
      </c>
      <c r="S296">
        <f>_xlfn.XLOOKUP(A296,Covid!A:A,Covid!K:K,0,0)</f>
        <v>117</v>
      </c>
      <c r="T296" s="145">
        <f>_xlfn.XLOOKUP(A296,Covid!A:A,Covid!K:K,0,0)/_xlfn.XLOOKUP(A296,Covid!A:A,Covid!L:L,0,0)</f>
        <v>6.0018467220683287E-3</v>
      </c>
    </row>
    <row r="297" spans="1:20" x14ac:dyDescent="0.55000000000000004">
      <c r="A297" s="157">
        <v>44278</v>
      </c>
      <c r="B297" s="13">
        <v>1683220</v>
      </c>
      <c r="C297" s="13">
        <v>387160</v>
      </c>
      <c r="D297" s="13">
        <v>5850</v>
      </c>
      <c r="E297" s="13">
        <v>446261</v>
      </c>
      <c r="F297" s="13">
        <v>2522491</v>
      </c>
      <c r="G297">
        <f>IF(OR(_xlfn.XLOOKUP(A297,'LPG Fup'!D:D,'LPG Fup'!L:L,"",0)&gt;0.03,_xlfn.XLOOKUP(A297,'LPG Fup'!D:D,'LPG Fup'!L:L,"",0)&lt;-0.03),_xlfn.XLOOKUP(A297,'LPG Fup'!D:D,'LPG Fup'!L:L,0,0),0)</f>
        <v>0</v>
      </c>
      <c r="H297">
        <f>IF(_xlfn.XLOOKUP(A297,'LPG Fup'!D:D,'LPG Fup'!M:M,0,0)="",0,_xlfn.XLOOKUP(A297,'LPG Fup'!D:D,'LPG Fup'!M:M,0,0))</f>
        <v>0</v>
      </c>
      <c r="I297" s="109">
        <f>_xlfn.XLOOKUP(A297,'Rafineri Fiyatları'!A:A,'Rafineri Fiyatları'!B:B,"",0)</f>
        <v>4467.26</v>
      </c>
      <c r="J297">
        <f t="shared" si="16"/>
        <v>2021</v>
      </c>
      <c r="K297">
        <f t="shared" si="17"/>
        <v>3</v>
      </c>
      <c r="L297">
        <f t="shared" si="18"/>
        <v>23</v>
      </c>
      <c r="M297">
        <f t="shared" si="19"/>
        <v>3</v>
      </c>
      <c r="N297">
        <f>_xlfn.XLOOKUP(A297,tatiller!H:H,tatiller!I:I,0,0)</f>
        <v>0</v>
      </c>
      <c r="O297" cm="1">
        <f t="array" ref="O297">_xlfn.IFNA(_xlfn.IFS(L297=1,"A0",A297=EOMONTH(A297,0),"A-1",L297=2,"A+1"),0)</f>
        <v>0</v>
      </c>
      <c r="P297" cm="1">
        <f t="array" ref="P297">_xlfn.IFNA(_xlfn.IFS(AND(_xlfn.XLOOKUP(A297,'LPG Fup'!D:D,'LPG Fup'!M:M,"",0)&lt;&gt;"",_xlfn.XLOOKUP(A297,'LPG Fup'!D:D,'LPG Fup'!M:M,"",0)&gt;0),"Z-1", AND(_xlfn.XLOOKUP(A297+1,'LPG Fup'!D:D,'LPG Fup'!M:M,"",0)&lt;&gt;"",_xlfn.XLOOKUP(A297+1,'LPG Fup'!D:D,'LPG Fup'!M:M,"",0)&gt;0),"Z-2", AND(_xlfn.XLOOKUP(A297-1,'LPG Fup'!D:D,'LPG Fup'!M:M,"",0)&lt;&gt;"",_xlfn.XLOOKUP(A297-1,'LPG Fup'!D:D,'LPG Fup'!M:M,"",0)&gt;0),"Z", AND(_xlfn.XLOOKUP(A297-2,'LPG Fup'!D:D,'LPG Fup'!M:M,"",0)&lt;&gt;"",_xlfn.XLOOKUP(A297-2,'LPG Fup'!D:D,'LPG Fup'!M:M,"",0)&gt;0),"Z+1"),0)</f>
        <v>0</v>
      </c>
      <c r="Q297" cm="1">
        <f t="array" ref="Q297">_xlfn.IFNA(_xlfn.IFS(AND(_xlfn.XLOOKUP(A297,'LPG Fup'!D:D,'LPG Fup'!M:M,"",0)&lt;&gt;"",_xlfn.XLOOKUP(A297,'LPG Fup'!D:D,'LPG Fup'!M:M,"",0)&lt;0),"I-1", AND(_xlfn.XLOOKUP(A297+1,'LPG Fup'!D:D,'LPG Fup'!M:M,"",0)&lt;&gt;"",_xlfn.XLOOKUP(A297+1,'LPG Fup'!D:D,'LPG Fup'!M:M,"",0)&lt;0),"I-2", AND(_xlfn.XLOOKUP(A297-1,'LPG Fup'!D:D,'LPG Fup'!M:M,"",0)&lt;&gt;"",_xlfn.XLOOKUP(A297-1,'LPG Fup'!D:D,'LPG Fup'!M:M,"",0)&lt;0),"I", AND(_xlfn.XLOOKUP(A297-2,'LPG Fup'!D:D,'LPG Fup'!M:M,"",0)&lt;&gt;"",_xlfn.XLOOKUP(A297-2,'LPG Fup'!D:D,'LPG Fup'!M:M,"",0)&lt;0),"I+1"),0)</f>
        <v>0</v>
      </c>
      <c r="R297">
        <f>_xlfn.XLOOKUP(A297,Covid!A:A,Covid!I:I,0,0)</f>
        <v>1006</v>
      </c>
      <c r="S297">
        <f>_xlfn.XLOOKUP(A297,Covid!A:A,Covid!K:K,0,0)</f>
        <v>138</v>
      </c>
      <c r="T297" s="145">
        <f>_xlfn.XLOOKUP(A297,Covid!A:A,Covid!K:K,0,0)/_xlfn.XLOOKUP(A297,Covid!A:A,Covid!L:L,0,0)</f>
        <v>7.1871256705379931E-3</v>
      </c>
    </row>
    <row r="298" spans="1:20" x14ac:dyDescent="0.55000000000000004">
      <c r="A298" s="157">
        <v>44279</v>
      </c>
      <c r="B298" s="13">
        <v>1306500</v>
      </c>
      <c r="C298" s="13">
        <v>325470</v>
      </c>
      <c r="D298" s="13">
        <v>18237</v>
      </c>
      <c r="E298" s="13">
        <v>405069</v>
      </c>
      <c r="F298" s="13">
        <v>2055276</v>
      </c>
      <c r="G298">
        <f>IF(OR(_xlfn.XLOOKUP(A298,'LPG Fup'!D:D,'LPG Fup'!L:L,"",0)&gt;0.03,_xlfn.XLOOKUP(A298,'LPG Fup'!D:D,'LPG Fup'!L:L,"",0)&lt;-0.03),_xlfn.XLOOKUP(A298,'LPG Fup'!D:D,'LPG Fup'!L:L,0,0),0)</f>
        <v>0</v>
      </c>
      <c r="H298">
        <f>IF(_xlfn.XLOOKUP(A298,'LPG Fup'!D:D,'LPG Fup'!M:M,0,0)="",0,_xlfn.XLOOKUP(A298,'LPG Fup'!D:D,'LPG Fup'!M:M,0,0))</f>
        <v>0</v>
      </c>
      <c r="I298" s="109">
        <f>_xlfn.XLOOKUP(A298,'Rafineri Fiyatları'!A:A,'Rafineri Fiyatları'!B:B,"",0)</f>
        <v>4467.26</v>
      </c>
      <c r="J298">
        <f t="shared" si="16"/>
        <v>2021</v>
      </c>
      <c r="K298">
        <f t="shared" si="17"/>
        <v>3</v>
      </c>
      <c r="L298">
        <f t="shared" si="18"/>
        <v>24</v>
      </c>
      <c r="M298">
        <f t="shared" si="19"/>
        <v>4</v>
      </c>
      <c r="N298">
        <f>_xlfn.XLOOKUP(A298,tatiller!H:H,tatiller!I:I,0,0)</f>
        <v>0</v>
      </c>
      <c r="O298" cm="1">
        <f t="array" ref="O298">_xlfn.IFNA(_xlfn.IFS(L298=1,"A0",A298=EOMONTH(A298,0),"A-1",L298=2,"A+1"),0)</f>
        <v>0</v>
      </c>
      <c r="P298" t="str" cm="1">
        <f t="array" ref="P298">_xlfn.IFNA(_xlfn.IFS(AND(_xlfn.XLOOKUP(A298,'LPG Fup'!D:D,'LPG Fup'!M:M,"",0)&lt;&gt;"",_xlfn.XLOOKUP(A298,'LPG Fup'!D:D,'LPG Fup'!M:M,"",0)&gt;0),"Z-1", AND(_xlfn.XLOOKUP(A298+1,'LPG Fup'!D:D,'LPG Fup'!M:M,"",0)&lt;&gt;"",_xlfn.XLOOKUP(A298+1,'LPG Fup'!D:D,'LPG Fup'!M:M,"",0)&gt;0),"Z-2", AND(_xlfn.XLOOKUP(A298-1,'LPG Fup'!D:D,'LPG Fup'!M:M,"",0)&lt;&gt;"",_xlfn.XLOOKUP(A298-1,'LPG Fup'!D:D,'LPG Fup'!M:M,"",0)&gt;0),"Z", AND(_xlfn.XLOOKUP(A298-2,'LPG Fup'!D:D,'LPG Fup'!M:M,"",0)&lt;&gt;"",_xlfn.XLOOKUP(A298-2,'LPG Fup'!D:D,'LPG Fup'!M:M,"",0)&gt;0),"Z+1"),0)</f>
        <v>Z-2</v>
      </c>
      <c r="Q298" cm="1">
        <f t="array" ref="Q298">_xlfn.IFNA(_xlfn.IFS(AND(_xlfn.XLOOKUP(A298,'LPG Fup'!D:D,'LPG Fup'!M:M,"",0)&lt;&gt;"",_xlfn.XLOOKUP(A298,'LPG Fup'!D:D,'LPG Fup'!M:M,"",0)&lt;0),"I-1", AND(_xlfn.XLOOKUP(A298+1,'LPG Fup'!D:D,'LPG Fup'!M:M,"",0)&lt;&gt;"",_xlfn.XLOOKUP(A298+1,'LPG Fup'!D:D,'LPG Fup'!M:M,"",0)&lt;0),"I-2", AND(_xlfn.XLOOKUP(A298-1,'LPG Fup'!D:D,'LPG Fup'!M:M,"",0)&lt;&gt;"",_xlfn.XLOOKUP(A298-1,'LPG Fup'!D:D,'LPG Fup'!M:M,"",0)&lt;0),"I", AND(_xlfn.XLOOKUP(A298-2,'LPG Fup'!D:D,'LPG Fup'!M:M,"",0)&lt;&gt;"",_xlfn.XLOOKUP(A298-2,'LPG Fup'!D:D,'LPG Fup'!M:M,"",0)&lt;0),"I+1"),0)</f>
        <v>0</v>
      </c>
      <c r="R298">
        <f>_xlfn.XLOOKUP(A298,Covid!A:A,Covid!I:I,0,0)</f>
        <v>1142</v>
      </c>
      <c r="S298">
        <f>_xlfn.XLOOKUP(A298,Covid!A:A,Covid!K:K,0,0)</f>
        <v>146</v>
      </c>
      <c r="T298" s="145">
        <f>_xlfn.XLOOKUP(A298,Covid!A:A,Covid!K:K,0,0)/_xlfn.XLOOKUP(A298,Covid!A:A,Covid!L:L,0,0)</f>
        <v>8.2202578683632684E-3</v>
      </c>
    </row>
    <row r="299" spans="1:20" x14ac:dyDescent="0.55000000000000004">
      <c r="A299" s="157">
        <v>44280</v>
      </c>
      <c r="B299" s="13">
        <v>1665560</v>
      </c>
      <c r="C299" s="13">
        <v>508567</v>
      </c>
      <c r="D299" s="13">
        <v>17962</v>
      </c>
      <c r="E299" s="13">
        <v>422223</v>
      </c>
      <c r="F299" s="13">
        <v>2614312</v>
      </c>
      <c r="G299">
        <f>IF(OR(_xlfn.XLOOKUP(A299,'LPG Fup'!D:D,'LPG Fup'!L:L,"",0)&gt;0.03,_xlfn.XLOOKUP(A299,'LPG Fup'!D:D,'LPG Fup'!L:L,"",0)&lt;-0.03),_xlfn.XLOOKUP(A299,'LPG Fup'!D:D,'LPG Fup'!L:L,0,0),0)</f>
        <v>4.2028141547378779E-2</v>
      </c>
      <c r="H299">
        <f>IF(_xlfn.XLOOKUP(A299,'LPG Fup'!D:D,'LPG Fup'!M:M,0,0)="",0,_xlfn.XLOOKUP(A299,'LPG Fup'!D:D,'LPG Fup'!M:M,0,0))</f>
        <v>344.95040000000063</v>
      </c>
      <c r="I299" s="109">
        <f>_xlfn.XLOOKUP(A299,'Rafineri Fiyatları'!A:A,'Rafineri Fiyatları'!B:B,"",0)</f>
        <v>4467.26</v>
      </c>
      <c r="J299">
        <f t="shared" si="16"/>
        <v>2021</v>
      </c>
      <c r="K299">
        <f t="shared" si="17"/>
        <v>3</v>
      </c>
      <c r="L299">
        <f t="shared" si="18"/>
        <v>25</v>
      </c>
      <c r="M299">
        <f t="shared" si="19"/>
        <v>5</v>
      </c>
      <c r="N299">
        <f>_xlfn.XLOOKUP(A299,tatiller!H:H,tatiller!I:I,0,0)</f>
        <v>0</v>
      </c>
      <c r="O299" cm="1">
        <f t="array" ref="O299">_xlfn.IFNA(_xlfn.IFS(L299=1,"A0",A299=EOMONTH(A299,0),"A-1",L299=2,"A+1"),0)</f>
        <v>0</v>
      </c>
      <c r="P299" t="str" cm="1">
        <f t="array" ref="P299">_xlfn.IFNA(_xlfn.IFS(AND(_xlfn.XLOOKUP(A299,'LPG Fup'!D:D,'LPG Fup'!M:M,"",0)&lt;&gt;"",_xlfn.XLOOKUP(A299,'LPG Fup'!D:D,'LPG Fup'!M:M,"",0)&gt;0),"Z-1", AND(_xlfn.XLOOKUP(A299+1,'LPG Fup'!D:D,'LPG Fup'!M:M,"",0)&lt;&gt;"",_xlfn.XLOOKUP(A299+1,'LPG Fup'!D:D,'LPG Fup'!M:M,"",0)&gt;0),"Z-2", AND(_xlfn.XLOOKUP(A299-1,'LPG Fup'!D:D,'LPG Fup'!M:M,"",0)&lt;&gt;"",_xlfn.XLOOKUP(A299-1,'LPG Fup'!D:D,'LPG Fup'!M:M,"",0)&gt;0),"Z", AND(_xlfn.XLOOKUP(A299-2,'LPG Fup'!D:D,'LPG Fup'!M:M,"",0)&lt;&gt;"",_xlfn.XLOOKUP(A299-2,'LPG Fup'!D:D,'LPG Fup'!M:M,"",0)&gt;0),"Z+1"),0)</f>
        <v>Z-1</v>
      </c>
      <c r="Q299" cm="1">
        <f t="array" ref="Q299">_xlfn.IFNA(_xlfn.IFS(AND(_xlfn.XLOOKUP(A299,'LPG Fup'!D:D,'LPG Fup'!M:M,"",0)&lt;&gt;"",_xlfn.XLOOKUP(A299,'LPG Fup'!D:D,'LPG Fup'!M:M,"",0)&lt;0),"I-1", AND(_xlfn.XLOOKUP(A299+1,'LPG Fup'!D:D,'LPG Fup'!M:M,"",0)&lt;&gt;"",_xlfn.XLOOKUP(A299+1,'LPG Fup'!D:D,'LPG Fup'!M:M,"",0)&lt;0),"I-2", AND(_xlfn.XLOOKUP(A299-1,'LPG Fup'!D:D,'LPG Fup'!M:M,"",0)&lt;&gt;"",_xlfn.XLOOKUP(A299-1,'LPG Fup'!D:D,'LPG Fup'!M:M,"",0)&lt;0),"I", AND(_xlfn.XLOOKUP(A299-2,'LPG Fup'!D:D,'LPG Fup'!M:M,"",0)&lt;&gt;"",_xlfn.XLOOKUP(A299-2,'LPG Fup'!D:D,'LPG Fup'!M:M,"",0)&lt;0),"I+1"),0)</f>
        <v>0</v>
      </c>
      <c r="R299">
        <f>_xlfn.XLOOKUP(A299,Covid!A:A,Covid!I:I,0,0)</f>
        <v>1210</v>
      </c>
      <c r="S299">
        <f>_xlfn.XLOOKUP(A299,Covid!A:A,Covid!K:K,0,0)</f>
        <v>157</v>
      </c>
      <c r="T299" s="145">
        <f>_xlfn.XLOOKUP(A299,Covid!A:A,Covid!K:K,0,0)/_xlfn.XLOOKUP(A299,Covid!A:A,Covid!L:L,0,0)</f>
        <v>8.1830501407276143E-3</v>
      </c>
    </row>
    <row r="300" spans="1:20" x14ac:dyDescent="0.55000000000000004">
      <c r="A300" s="157">
        <v>44281</v>
      </c>
      <c r="B300" s="13">
        <v>1774140</v>
      </c>
      <c r="C300" s="13">
        <v>655429</v>
      </c>
      <c r="D300" s="13">
        <v>24201</v>
      </c>
      <c r="E300" s="13">
        <v>454155</v>
      </c>
      <c r="F300" s="13">
        <v>2907925</v>
      </c>
      <c r="G300">
        <f>IF(OR(_xlfn.XLOOKUP(A300,'LPG Fup'!D:D,'LPG Fup'!L:L,"",0)&gt;0.03,_xlfn.XLOOKUP(A300,'LPG Fup'!D:D,'LPG Fup'!L:L,"",0)&lt;-0.03),_xlfn.XLOOKUP(A300,'LPG Fup'!D:D,'LPG Fup'!L:L,0,0),0)</f>
        <v>0</v>
      </c>
      <c r="H300">
        <f>IF(_xlfn.XLOOKUP(A300,'LPG Fup'!D:D,'LPG Fup'!M:M,0,0)="",0,_xlfn.XLOOKUP(A300,'LPG Fup'!D:D,'LPG Fup'!M:M,0,0))</f>
        <v>0</v>
      </c>
      <c r="I300" s="109">
        <f>_xlfn.XLOOKUP(A300,'Rafineri Fiyatları'!A:A,'Rafineri Fiyatları'!B:B,"",0)</f>
        <v>4624.7602000000006</v>
      </c>
      <c r="J300">
        <f t="shared" si="16"/>
        <v>2021</v>
      </c>
      <c r="K300">
        <f t="shared" si="17"/>
        <v>3</v>
      </c>
      <c r="L300">
        <f t="shared" si="18"/>
        <v>26</v>
      </c>
      <c r="M300">
        <f t="shared" si="19"/>
        <v>6</v>
      </c>
      <c r="N300">
        <f>_xlfn.XLOOKUP(A300,tatiller!H:H,tatiller!I:I,0,0)</f>
        <v>0</v>
      </c>
      <c r="O300" cm="1">
        <f t="array" ref="O300">_xlfn.IFNA(_xlfn.IFS(L300=1,"A0",A300=EOMONTH(A300,0),"A-1",L300=2,"A+1"),0)</f>
        <v>0</v>
      </c>
      <c r="P300" t="str" cm="1">
        <f t="array" ref="P300">_xlfn.IFNA(_xlfn.IFS(AND(_xlfn.XLOOKUP(A300,'LPG Fup'!D:D,'LPG Fup'!M:M,"",0)&lt;&gt;"",_xlfn.XLOOKUP(A300,'LPG Fup'!D:D,'LPG Fup'!M:M,"",0)&gt;0),"Z-1", AND(_xlfn.XLOOKUP(A300+1,'LPG Fup'!D:D,'LPG Fup'!M:M,"",0)&lt;&gt;"",_xlfn.XLOOKUP(A300+1,'LPG Fup'!D:D,'LPG Fup'!M:M,"",0)&gt;0),"Z-2", AND(_xlfn.XLOOKUP(A300-1,'LPG Fup'!D:D,'LPG Fup'!M:M,"",0)&lt;&gt;"",_xlfn.XLOOKUP(A300-1,'LPG Fup'!D:D,'LPG Fup'!M:M,"",0)&gt;0),"Z", AND(_xlfn.XLOOKUP(A300-2,'LPG Fup'!D:D,'LPG Fup'!M:M,"",0)&lt;&gt;"",_xlfn.XLOOKUP(A300-2,'LPG Fup'!D:D,'LPG Fup'!M:M,"",0)&gt;0),"Z+1"),0)</f>
        <v>Z</v>
      </c>
      <c r="Q300" cm="1">
        <f t="array" ref="Q300">_xlfn.IFNA(_xlfn.IFS(AND(_xlfn.XLOOKUP(A300,'LPG Fup'!D:D,'LPG Fup'!M:M,"",0)&lt;&gt;"",_xlfn.XLOOKUP(A300,'LPG Fup'!D:D,'LPG Fup'!M:M,"",0)&lt;0),"I-1", AND(_xlfn.XLOOKUP(A300+1,'LPG Fup'!D:D,'LPG Fup'!M:M,"",0)&lt;&gt;"",_xlfn.XLOOKUP(A300+1,'LPG Fup'!D:D,'LPG Fup'!M:M,"",0)&lt;0),"I-2", AND(_xlfn.XLOOKUP(A300-1,'LPG Fup'!D:D,'LPG Fup'!M:M,"",0)&lt;&gt;"",_xlfn.XLOOKUP(A300-1,'LPG Fup'!D:D,'LPG Fup'!M:M,"",0)&lt;0),"I", AND(_xlfn.XLOOKUP(A300-2,'LPG Fup'!D:D,'LPG Fup'!M:M,"",0)&lt;&gt;"",_xlfn.XLOOKUP(A300-2,'LPG Fup'!D:D,'LPG Fup'!M:M,"",0)&lt;0),"I+1"),0)</f>
        <v>0</v>
      </c>
      <c r="R300">
        <f>_xlfn.XLOOKUP(A300,Covid!A:A,Covid!I:I,0,0)</f>
        <v>1253</v>
      </c>
      <c r="S300">
        <f>_xlfn.XLOOKUP(A300,Covid!A:A,Covid!K:K,0,0)</f>
        <v>153</v>
      </c>
      <c r="T300" s="145">
        <f>_xlfn.XLOOKUP(A300,Covid!A:A,Covid!K:K,0,0)/_xlfn.XLOOKUP(A300,Covid!A:A,Covid!L:L,0,0)</f>
        <v>7.5712589073634205E-3</v>
      </c>
    </row>
    <row r="301" spans="1:20" x14ac:dyDescent="0.55000000000000004">
      <c r="A301" s="157">
        <v>44282</v>
      </c>
      <c r="B301" s="13">
        <v>1135220</v>
      </c>
      <c r="C301" s="13">
        <v>300775</v>
      </c>
      <c r="D301" s="13">
        <v>0</v>
      </c>
      <c r="E301" s="13">
        <v>416486</v>
      </c>
      <c r="F301" s="13">
        <v>1852481</v>
      </c>
      <c r="G301">
        <f>IF(OR(_xlfn.XLOOKUP(A301,'LPG Fup'!D:D,'LPG Fup'!L:L,"",0)&gt;0.03,_xlfn.XLOOKUP(A301,'LPG Fup'!D:D,'LPG Fup'!L:L,"",0)&lt;-0.03),_xlfn.XLOOKUP(A301,'LPG Fup'!D:D,'LPG Fup'!L:L,0,0),0)</f>
        <v>0</v>
      </c>
      <c r="H301">
        <f>IF(_xlfn.XLOOKUP(A301,'LPG Fup'!D:D,'LPG Fup'!M:M,0,0)="",0,_xlfn.XLOOKUP(A301,'LPG Fup'!D:D,'LPG Fup'!M:M,0,0))</f>
        <v>0</v>
      </c>
      <c r="I301" s="109">
        <f>_xlfn.XLOOKUP(A301,'Rafineri Fiyatları'!A:A,'Rafineri Fiyatları'!B:B,"",0)</f>
        <v>4624.7602000000006</v>
      </c>
      <c r="J301">
        <f t="shared" si="16"/>
        <v>2021</v>
      </c>
      <c r="K301">
        <f t="shared" si="17"/>
        <v>3</v>
      </c>
      <c r="L301">
        <f t="shared" si="18"/>
        <v>27</v>
      </c>
      <c r="M301">
        <f t="shared" si="19"/>
        <v>7</v>
      </c>
      <c r="N301">
        <f>_xlfn.XLOOKUP(A301,tatiller!H:H,tatiller!I:I,0,0)</f>
        <v>0</v>
      </c>
      <c r="O301" cm="1">
        <f t="array" ref="O301">_xlfn.IFNA(_xlfn.IFS(L301=1,"A0",A301=EOMONTH(A301,0),"A-1",L301=2,"A+1"),0)</f>
        <v>0</v>
      </c>
      <c r="P301" t="str" cm="1">
        <f t="array" ref="P301">_xlfn.IFNA(_xlfn.IFS(AND(_xlfn.XLOOKUP(A301,'LPG Fup'!D:D,'LPG Fup'!M:M,"",0)&lt;&gt;"",_xlfn.XLOOKUP(A301,'LPG Fup'!D:D,'LPG Fup'!M:M,"",0)&gt;0),"Z-1", AND(_xlfn.XLOOKUP(A301+1,'LPG Fup'!D:D,'LPG Fup'!M:M,"",0)&lt;&gt;"",_xlfn.XLOOKUP(A301+1,'LPG Fup'!D:D,'LPG Fup'!M:M,"",0)&gt;0),"Z-2", AND(_xlfn.XLOOKUP(A301-1,'LPG Fup'!D:D,'LPG Fup'!M:M,"",0)&lt;&gt;"",_xlfn.XLOOKUP(A301-1,'LPG Fup'!D:D,'LPG Fup'!M:M,"",0)&gt;0),"Z", AND(_xlfn.XLOOKUP(A301-2,'LPG Fup'!D:D,'LPG Fup'!M:M,"",0)&lt;&gt;"",_xlfn.XLOOKUP(A301-2,'LPG Fup'!D:D,'LPG Fup'!M:M,"",0)&gt;0),"Z+1"),0)</f>
        <v>Z+1</v>
      </c>
      <c r="Q301" cm="1">
        <f t="array" ref="Q301">_xlfn.IFNA(_xlfn.IFS(AND(_xlfn.XLOOKUP(A301,'LPG Fup'!D:D,'LPG Fup'!M:M,"",0)&lt;&gt;"",_xlfn.XLOOKUP(A301,'LPG Fup'!D:D,'LPG Fup'!M:M,"",0)&lt;0),"I-1", AND(_xlfn.XLOOKUP(A301+1,'LPG Fup'!D:D,'LPG Fup'!M:M,"",0)&lt;&gt;"",_xlfn.XLOOKUP(A301+1,'LPG Fup'!D:D,'LPG Fup'!M:M,"",0)&lt;0),"I-2", AND(_xlfn.XLOOKUP(A301-1,'LPG Fup'!D:D,'LPG Fup'!M:M,"",0)&lt;&gt;"",_xlfn.XLOOKUP(A301-1,'LPG Fup'!D:D,'LPG Fup'!M:M,"",0)&lt;0),"I", AND(_xlfn.XLOOKUP(A301-2,'LPG Fup'!D:D,'LPG Fup'!M:M,"",0)&lt;&gt;"",_xlfn.XLOOKUP(A301-2,'LPG Fup'!D:D,'LPG Fup'!M:M,"",0)&lt;0),"I+1"),0)</f>
        <v>0</v>
      </c>
      <c r="R301">
        <f>_xlfn.XLOOKUP(A301,Covid!A:A,Covid!I:I,0,0)</f>
        <v>1281</v>
      </c>
      <c r="S301">
        <f>_xlfn.XLOOKUP(A301,Covid!A:A,Covid!K:K,0,0)</f>
        <v>151</v>
      </c>
      <c r="T301" s="145">
        <f>_xlfn.XLOOKUP(A301,Covid!A:A,Covid!K:K,0,0)/_xlfn.XLOOKUP(A301,Covid!A:A,Covid!L:L,0,0)</f>
        <v>7.9928011856870637E-3</v>
      </c>
    </row>
    <row r="302" spans="1:20" x14ac:dyDescent="0.55000000000000004">
      <c r="A302" s="157">
        <v>44283</v>
      </c>
      <c r="B302" s="13">
        <v>658160</v>
      </c>
      <c r="C302" s="13">
        <v>0</v>
      </c>
      <c r="D302" s="13">
        <v>2006</v>
      </c>
      <c r="E302" s="13">
        <v>281174</v>
      </c>
      <c r="F302" s="13">
        <v>3103006</v>
      </c>
      <c r="G302">
        <f>IF(OR(_xlfn.XLOOKUP(A302,'LPG Fup'!D:D,'LPG Fup'!L:L,"",0)&gt;0.03,_xlfn.XLOOKUP(A302,'LPG Fup'!D:D,'LPG Fup'!L:L,"",0)&lt;-0.03),_xlfn.XLOOKUP(A302,'LPG Fup'!D:D,'LPG Fup'!L:L,0,0),0)</f>
        <v>0</v>
      </c>
      <c r="H302">
        <f>IF(_xlfn.XLOOKUP(A302,'LPG Fup'!D:D,'LPG Fup'!M:M,0,0)="",0,_xlfn.XLOOKUP(A302,'LPG Fup'!D:D,'LPG Fup'!M:M,0,0))</f>
        <v>0</v>
      </c>
      <c r="I302" s="109">
        <f>_xlfn.XLOOKUP(A302,'Rafineri Fiyatları'!A:A,'Rafineri Fiyatları'!B:B,"",0)</f>
        <v>4624.7602000000006</v>
      </c>
      <c r="J302">
        <f t="shared" si="16"/>
        <v>2021</v>
      </c>
      <c r="K302">
        <f t="shared" si="17"/>
        <v>3</v>
      </c>
      <c r="L302">
        <f t="shared" si="18"/>
        <v>28</v>
      </c>
      <c r="M302">
        <f t="shared" si="19"/>
        <v>1</v>
      </c>
      <c r="N302">
        <f>_xlfn.XLOOKUP(A302,tatiller!H:H,tatiller!I:I,0,0)</f>
        <v>0</v>
      </c>
      <c r="O302" cm="1">
        <f t="array" ref="O302">_xlfn.IFNA(_xlfn.IFS(L302=1,"A0",A302=EOMONTH(A302,0),"A-1",L302=2,"A+1"),0)</f>
        <v>0</v>
      </c>
      <c r="P302" cm="1">
        <f t="array" ref="P302">_xlfn.IFNA(_xlfn.IFS(AND(_xlfn.XLOOKUP(A302,'LPG Fup'!D:D,'LPG Fup'!M:M,"",0)&lt;&gt;"",_xlfn.XLOOKUP(A302,'LPG Fup'!D:D,'LPG Fup'!M:M,"",0)&gt;0),"Z-1", AND(_xlfn.XLOOKUP(A302+1,'LPG Fup'!D:D,'LPG Fup'!M:M,"",0)&lt;&gt;"",_xlfn.XLOOKUP(A302+1,'LPG Fup'!D:D,'LPG Fup'!M:M,"",0)&gt;0),"Z-2", AND(_xlfn.XLOOKUP(A302-1,'LPG Fup'!D:D,'LPG Fup'!M:M,"",0)&lt;&gt;"",_xlfn.XLOOKUP(A302-1,'LPG Fup'!D:D,'LPG Fup'!M:M,"",0)&gt;0),"Z", AND(_xlfn.XLOOKUP(A302-2,'LPG Fup'!D:D,'LPG Fup'!M:M,"",0)&lt;&gt;"",_xlfn.XLOOKUP(A302-2,'LPG Fup'!D:D,'LPG Fup'!M:M,"",0)&gt;0),"Z+1"),0)</f>
        <v>0</v>
      </c>
      <c r="Q302" cm="1">
        <f t="array" ref="Q302">_xlfn.IFNA(_xlfn.IFS(AND(_xlfn.XLOOKUP(A302,'LPG Fup'!D:D,'LPG Fup'!M:M,"",0)&lt;&gt;"",_xlfn.XLOOKUP(A302,'LPG Fup'!D:D,'LPG Fup'!M:M,"",0)&lt;0),"I-1", AND(_xlfn.XLOOKUP(A302+1,'LPG Fup'!D:D,'LPG Fup'!M:M,"",0)&lt;&gt;"",_xlfn.XLOOKUP(A302+1,'LPG Fup'!D:D,'LPG Fup'!M:M,"",0)&lt;0),"I-2", AND(_xlfn.XLOOKUP(A302-1,'LPG Fup'!D:D,'LPG Fup'!M:M,"",0)&lt;&gt;"",_xlfn.XLOOKUP(A302-1,'LPG Fup'!D:D,'LPG Fup'!M:M,"",0)&lt;0),"I", AND(_xlfn.XLOOKUP(A302-2,'LPG Fup'!D:D,'LPG Fup'!M:M,"",0)&lt;&gt;"",_xlfn.XLOOKUP(A302-2,'LPG Fup'!D:D,'LPG Fup'!M:M,"",0)&lt;0),"I+1"),0)</f>
        <v>0</v>
      </c>
      <c r="R302">
        <f>_xlfn.XLOOKUP(A302,Covid!A:A,Covid!I:I,0,0)</f>
        <v>1305</v>
      </c>
      <c r="S302">
        <f>_xlfn.XLOOKUP(A302,Covid!A:A,Covid!K:K,0,0)</f>
        <v>153</v>
      </c>
      <c r="T302" s="145">
        <f>_xlfn.XLOOKUP(A302,Covid!A:A,Covid!K:K,0,0)/_xlfn.XLOOKUP(A302,Covid!A:A,Covid!L:L,0,0)</f>
        <v>8.9140060591936607E-3</v>
      </c>
    </row>
    <row r="303" spans="1:20" x14ac:dyDescent="0.55000000000000004">
      <c r="A303" s="157">
        <v>44284</v>
      </c>
      <c r="B303" s="13">
        <v>1051171</v>
      </c>
      <c r="C303" s="13">
        <v>392011</v>
      </c>
      <c r="D303" s="13">
        <v>14592</v>
      </c>
      <c r="E303" s="13">
        <v>444802</v>
      </c>
      <c r="F303" s="13">
        <v>1902576</v>
      </c>
      <c r="G303">
        <f>IF(OR(_xlfn.XLOOKUP(A303,'LPG Fup'!D:D,'LPG Fup'!L:L,"",0)&gt;0.03,_xlfn.XLOOKUP(A303,'LPG Fup'!D:D,'LPG Fup'!L:L,"",0)&lt;-0.03),_xlfn.XLOOKUP(A303,'LPG Fup'!D:D,'LPG Fup'!L:L,0,0),0)</f>
        <v>0</v>
      </c>
      <c r="H303">
        <f>IF(_xlfn.XLOOKUP(A303,'LPG Fup'!D:D,'LPG Fup'!M:M,0,0)="",0,_xlfn.XLOOKUP(A303,'LPG Fup'!D:D,'LPG Fup'!M:M,0,0))</f>
        <v>0</v>
      </c>
      <c r="I303" s="109">
        <f>_xlfn.XLOOKUP(A303,'Rafineri Fiyatları'!A:A,'Rafineri Fiyatları'!B:B,"",0)</f>
        <v>4624.7602000000006</v>
      </c>
      <c r="J303">
        <f t="shared" si="16"/>
        <v>2021</v>
      </c>
      <c r="K303">
        <f t="shared" si="17"/>
        <v>3</v>
      </c>
      <c r="L303">
        <f t="shared" si="18"/>
        <v>29</v>
      </c>
      <c r="M303">
        <f t="shared" si="19"/>
        <v>2</v>
      </c>
      <c r="N303">
        <f>_xlfn.XLOOKUP(A303,tatiller!H:H,tatiller!I:I,0,0)</f>
        <v>0</v>
      </c>
      <c r="O303" cm="1">
        <f t="array" ref="O303">_xlfn.IFNA(_xlfn.IFS(L303=1,"A0",A303=EOMONTH(A303,0),"A-1",L303=2,"A+1"),0)</f>
        <v>0</v>
      </c>
      <c r="P303" cm="1">
        <f t="array" ref="P303">_xlfn.IFNA(_xlfn.IFS(AND(_xlfn.XLOOKUP(A303,'LPG Fup'!D:D,'LPG Fup'!M:M,"",0)&lt;&gt;"",_xlfn.XLOOKUP(A303,'LPG Fup'!D:D,'LPG Fup'!M:M,"",0)&gt;0),"Z-1", AND(_xlfn.XLOOKUP(A303+1,'LPG Fup'!D:D,'LPG Fup'!M:M,"",0)&lt;&gt;"",_xlfn.XLOOKUP(A303+1,'LPG Fup'!D:D,'LPG Fup'!M:M,"",0)&gt;0),"Z-2", AND(_xlfn.XLOOKUP(A303-1,'LPG Fup'!D:D,'LPG Fup'!M:M,"",0)&lt;&gt;"",_xlfn.XLOOKUP(A303-1,'LPG Fup'!D:D,'LPG Fup'!M:M,"",0)&gt;0),"Z", AND(_xlfn.XLOOKUP(A303-2,'LPG Fup'!D:D,'LPG Fup'!M:M,"",0)&lt;&gt;"",_xlfn.XLOOKUP(A303-2,'LPG Fup'!D:D,'LPG Fup'!M:M,"",0)&gt;0),"Z+1"),0)</f>
        <v>0</v>
      </c>
      <c r="Q303" cm="1">
        <f t="array" ref="Q303">_xlfn.IFNA(_xlfn.IFS(AND(_xlfn.XLOOKUP(A303,'LPG Fup'!D:D,'LPG Fup'!M:M,"",0)&lt;&gt;"",_xlfn.XLOOKUP(A303,'LPG Fup'!D:D,'LPG Fup'!M:M,"",0)&lt;0),"I-1", AND(_xlfn.XLOOKUP(A303+1,'LPG Fup'!D:D,'LPG Fup'!M:M,"",0)&lt;&gt;"",_xlfn.XLOOKUP(A303+1,'LPG Fup'!D:D,'LPG Fup'!M:M,"",0)&lt;0),"I-2", AND(_xlfn.XLOOKUP(A303-1,'LPG Fup'!D:D,'LPG Fup'!M:M,"",0)&lt;&gt;"",_xlfn.XLOOKUP(A303-1,'LPG Fup'!D:D,'LPG Fup'!M:M,"",0)&lt;0),"I", AND(_xlfn.XLOOKUP(A303-2,'LPG Fup'!D:D,'LPG Fup'!M:M,"",0)&lt;&gt;"",_xlfn.XLOOKUP(A303-2,'LPG Fup'!D:D,'LPG Fup'!M:M,"",0)&lt;0),"I+1"),0)</f>
        <v>0</v>
      </c>
      <c r="R303">
        <f>_xlfn.XLOOKUP(A303,Covid!A:A,Covid!I:I,0,0)</f>
        <v>1325</v>
      </c>
      <c r="S303">
        <f>_xlfn.XLOOKUP(A303,Covid!A:A,Covid!K:K,0,0)</f>
        <v>154</v>
      </c>
      <c r="T303" s="145">
        <f>_xlfn.XLOOKUP(A303,Covid!A:A,Covid!K:K,0,0)/_xlfn.XLOOKUP(A303,Covid!A:A,Covid!L:L,0,0)</f>
        <v>8.5484318623369419E-3</v>
      </c>
    </row>
    <row r="304" spans="1:20" x14ac:dyDescent="0.55000000000000004">
      <c r="A304" s="157">
        <v>44285</v>
      </c>
      <c r="B304" s="13">
        <v>882400</v>
      </c>
      <c r="C304" s="13">
        <v>387192</v>
      </c>
      <c r="D304" s="13">
        <v>7662</v>
      </c>
      <c r="E304" s="13">
        <v>607763</v>
      </c>
      <c r="F304" s="13">
        <v>1885017</v>
      </c>
      <c r="G304">
        <f>IF(OR(_xlfn.XLOOKUP(A304,'LPG Fup'!D:D,'LPG Fup'!L:L,"",0)&gt;0.03,_xlfn.XLOOKUP(A304,'LPG Fup'!D:D,'LPG Fup'!L:L,"",0)&lt;-0.03),_xlfn.XLOOKUP(A304,'LPG Fup'!D:D,'LPG Fup'!L:L,0,0),0)</f>
        <v>0</v>
      </c>
      <c r="H304">
        <f>IF(_xlfn.XLOOKUP(A304,'LPG Fup'!D:D,'LPG Fup'!M:M,0,0)="",0,_xlfn.XLOOKUP(A304,'LPG Fup'!D:D,'LPG Fup'!M:M,0,0))</f>
        <v>0</v>
      </c>
      <c r="I304" s="109">
        <f>_xlfn.XLOOKUP(A304,'Rafineri Fiyatları'!A:A,'Rafineri Fiyatları'!B:B,"",0)</f>
        <v>4624.7602000000006</v>
      </c>
      <c r="J304">
        <f t="shared" si="16"/>
        <v>2021</v>
      </c>
      <c r="K304">
        <f t="shared" si="17"/>
        <v>3</v>
      </c>
      <c r="L304">
        <f t="shared" si="18"/>
        <v>30</v>
      </c>
      <c r="M304">
        <f t="shared" si="19"/>
        <v>3</v>
      </c>
      <c r="N304">
        <f>_xlfn.XLOOKUP(A304,tatiller!H:H,tatiller!I:I,0,0)</f>
        <v>0</v>
      </c>
      <c r="O304" cm="1">
        <f t="array" ref="O304">_xlfn.IFNA(_xlfn.IFS(L304=1,"A0",A304=EOMONTH(A304,0),"A-1",L304=2,"A+1"),0)</f>
        <v>0</v>
      </c>
      <c r="P304" cm="1">
        <f t="array" ref="P304">_xlfn.IFNA(_xlfn.IFS(AND(_xlfn.XLOOKUP(A304,'LPG Fup'!D:D,'LPG Fup'!M:M,"",0)&lt;&gt;"",_xlfn.XLOOKUP(A304,'LPG Fup'!D:D,'LPG Fup'!M:M,"",0)&gt;0),"Z-1", AND(_xlfn.XLOOKUP(A304+1,'LPG Fup'!D:D,'LPG Fup'!M:M,"",0)&lt;&gt;"",_xlfn.XLOOKUP(A304+1,'LPG Fup'!D:D,'LPG Fup'!M:M,"",0)&gt;0),"Z-2", AND(_xlfn.XLOOKUP(A304-1,'LPG Fup'!D:D,'LPG Fup'!M:M,"",0)&lt;&gt;"",_xlfn.XLOOKUP(A304-1,'LPG Fup'!D:D,'LPG Fup'!M:M,"",0)&gt;0),"Z", AND(_xlfn.XLOOKUP(A304-2,'LPG Fup'!D:D,'LPG Fup'!M:M,"",0)&lt;&gt;"",_xlfn.XLOOKUP(A304-2,'LPG Fup'!D:D,'LPG Fup'!M:M,"",0)&gt;0),"Z+1"),0)</f>
        <v>0</v>
      </c>
      <c r="Q304" cm="1">
        <f t="array" ref="Q304">_xlfn.IFNA(_xlfn.IFS(AND(_xlfn.XLOOKUP(A304,'LPG Fup'!D:D,'LPG Fup'!M:M,"",0)&lt;&gt;"",_xlfn.XLOOKUP(A304,'LPG Fup'!D:D,'LPG Fup'!M:M,"",0)&lt;0),"I-1", AND(_xlfn.XLOOKUP(A304+1,'LPG Fup'!D:D,'LPG Fup'!M:M,"",0)&lt;&gt;"",_xlfn.XLOOKUP(A304+1,'LPG Fup'!D:D,'LPG Fup'!M:M,"",0)&lt;0),"I-2", AND(_xlfn.XLOOKUP(A304-1,'LPG Fup'!D:D,'LPG Fup'!M:M,"",0)&lt;&gt;"",_xlfn.XLOOKUP(A304-1,'LPG Fup'!D:D,'LPG Fup'!M:M,"",0)&lt;0),"I", AND(_xlfn.XLOOKUP(A304-2,'LPG Fup'!D:D,'LPG Fup'!M:M,"",0)&lt;&gt;"",_xlfn.XLOOKUP(A304-2,'LPG Fup'!D:D,'LPG Fup'!M:M,"",0)&lt;0),"I+1"),0)</f>
        <v>0</v>
      </c>
      <c r="R304">
        <f>_xlfn.XLOOKUP(A304,Covid!A:A,Covid!I:I,0,0)</f>
        <v>1376</v>
      </c>
      <c r="S304">
        <f>_xlfn.XLOOKUP(A304,Covid!A:A,Covid!K:K,0,0)</f>
        <v>155</v>
      </c>
      <c r="T304" s="145">
        <f>_xlfn.XLOOKUP(A304,Covid!A:A,Covid!K:K,0,0)/_xlfn.XLOOKUP(A304,Covid!A:A,Covid!L:L,0,0)</f>
        <v>7.7791718946047675E-3</v>
      </c>
    </row>
    <row r="305" spans="1:20" x14ac:dyDescent="0.55000000000000004">
      <c r="A305" s="157">
        <v>44286</v>
      </c>
      <c r="B305" s="13">
        <v>850320</v>
      </c>
      <c r="C305" s="13">
        <v>523103</v>
      </c>
      <c r="D305" s="13">
        <v>111250</v>
      </c>
      <c r="E305" s="13">
        <v>578636</v>
      </c>
      <c r="F305" s="13">
        <v>2063309</v>
      </c>
      <c r="G305">
        <f>IF(OR(_xlfn.XLOOKUP(A305,'LPG Fup'!D:D,'LPG Fup'!L:L,"",0)&gt;0.03,_xlfn.XLOOKUP(A305,'LPG Fup'!D:D,'LPG Fup'!L:L,"",0)&lt;-0.03),_xlfn.XLOOKUP(A305,'LPG Fup'!D:D,'LPG Fup'!L:L,0,0),0)</f>
        <v>0</v>
      </c>
      <c r="H305">
        <f>IF(_xlfn.XLOOKUP(A305,'LPG Fup'!D:D,'LPG Fup'!M:M,0,0)="",0,_xlfn.XLOOKUP(A305,'LPG Fup'!D:D,'LPG Fup'!M:M,0,0))</f>
        <v>0</v>
      </c>
      <c r="I305" s="109">
        <f>_xlfn.XLOOKUP(A305,'Rafineri Fiyatları'!A:A,'Rafineri Fiyatları'!B:B,"",0)</f>
        <v>4624.7602000000006</v>
      </c>
      <c r="J305">
        <f t="shared" si="16"/>
        <v>2021</v>
      </c>
      <c r="K305">
        <f t="shared" si="17"/>
        <v>3</v>
      </c>
      <c r="L305">
        <f t="shared" si="18"/>
        <v>31</v>
      </c>
      <c r="M305">
        <f t="shared" si="19"/>
        <v>4</v>
      </c>
      <c r="N305">
        <f>_xlfn.XLOOKUP(A305,tatiller!H:H,tatiller!I:I,0,0)</f>
        <v>0</v>
      </c>
      <c r="O305" t="str" cm="1">
        <f t="array" ref="O305">_xlfn.IFNA(_xlfn.IFS(L305=1,"A0",A305=EOMONTH(A305,0),"A-1",L305=2,"A+1"),0)</f>
        <v>A-1</v>
      </c>
      <c r="P305" cm="1">
        <f t="array" ref="P305">_xlfn.IFNA(_xlfn.IFS(AND(_xlfn.XLOOKUP(A305,'LPG Fup'!D:D,'LPG Fup'!M:M,"",0)&lt;&gt;"",_xlfn.XLOOKUP(A305,'LPG Fup'!D:D,'LPG Fup'!M:M,"",0)&gt;0),"Z-1", AND(_xlfn.XLOOKUP(A305+1,'LPG Fup'!D:D,'LPG Fup'!M:M,"",0)&lt;&gt;"",_xlfn.XLOOKUP(A305+1,'LPG Fup'!D:D,'LPG Fup'!M:M,"",0)&gt;0),"Z-2", AND(_xlfn.XLOOKUP(A305-1,'LPG Fup'!D:D,'LPG Fup'!M:M,"",0)&lt;&gt;"",_xlfn.XLOOKUP(A305-1,'LPG Fup'!D:D,'LPG Fup'!M:M,"",0)&gt;0),"Z", AND(_xlfn.XLOOKUP(A305-2,'LPG Fup'!D:D,'LPG Fup'!M:M,"",0)&lt;&gt;"",_xlfn.XLOOKUP(A305-2,'LPG Fup'!D:D,'LPG Fup'!M:M,"",0)&gt;0),"Z+1"),0)</f>
        <v>0</v>
      </c>
      <c r="Q305" cm="1">
        <f t="array" ref="Q305">_xlfn.IFNA(_xlfn.IFS(AND(_xlfn.XLOOKUP(A305,'LPG Fup'!D:D,'LPG Fup'!M:M,"",0)&lt;&gt;"",_xlfn.XLOOKUP(A305,'LPG Fup'!D:D,'LPG Fup'!M:M,"",0)&lt;0),"I-1", AND(_xlfn.XLOOKUP(A305+1,'LPG Fup'!D:D,'LPG Fup'!M:M,"",0)&lt;&gt;"",_xlfn.XLOOKUP(A305+1,'LPG Fup'!D:D,'LPG Fup'!M:M,"",0)&lt;0),"I-2", AND(_xlfn.XLOOKUP(A305-1,'LPG Fup'!D:D,'LPG Fup'!M:M,"",0)&lt;&gt;"",_xlfn.XLOOKUP(A305-1,'LPG Fup'!D:D,'LPG Fup'!M:M,"",0)&lt;0),"I", AND(_xlfn.XLOOKUP(A305-2,'LPG Fup'!D:D,'LPG Fup'!M:M,"",0)&lt;&gt;"",_xlfn.XLOOKUP(A305-2,'LPG Fup'!D:D,'LPG Fup'!M:M,"",0)&lt;0),"I+1"),0)</f>
        <v>0</v>
      </c>
      <c r="R305">
        <f>_xlfn.XLOOKUP(A305,Covid!A:A,Covid!I:I,0,0)</f>
        <v>1401</v>
      </c>
      <c r="S305">
        <f>_xlfn.XLOOKUP(A305,Covid!A:A,Covid!K:K,0,0)</f>
        <v>152</v>
      </c>
      <c r="T305" s="145">
        <f>_xlfn.XLOOKUP(A305,Covid!A:A,Covid!K:K,0,0)/_xlfn.XLOOKUP(A305,Covid!A:A,Covid!L:L,0,0)</f>
        <v>7.9195540040639823E-3</v>
      </c>
    </row>
    <row r="306" spans="1:20" x14ac:dyDescent="0.55000000000000004">
      <c r="A306" s="157">
        <v>44287</v>
      </c>
      <c r="B306" s="13">
        <v>1386240</v>
      </c>
      <c r="C306" s="13">
        <v>318679</v>
      </c>
      <c r="D306" s="13">
        <v>12288</v>
      </c>
      <c r="E306" s="13">
        <v>328080</v>
      </c>
      <c r="F306" s="13">
        <v>4244032</v>
      </c>
      <c r="G306">
        <f>IF(OR(_xlfn.XLOOKUP(A306,'LPG Fup'!D:D,'LPG Fup'!L:L,"",0)&gt;0.03,_xlfn.XLOOKUP(A306,'LPG Fup'!D:D,'LPG Fup'!L:L,"",0)&lt;-0.03),_xlfn.XLOOKUP(A306,'LPG Fup'!D:D,'LPG Fup'!L:L,0,0),0)</f>
        <v>0</v>
      </c>
      <c r="H306">
        <f>IF(_xlfn.XLOOKUP(A306,'LPG Fup'!D:D,'LPG Fup'!M:M,0,0)="",0,_xlfn.XLOOKUP(A306,'LPG Fup'!D:D,'LPG Fup'!M:M,0,0))</f>
        <v>0</v>
      </c>
      <c r="I306" s="109">
        <f>_xlfn.XLOOKUP(A306,'Rafineri Fiyatları'!A:A,'Rafineri Fiyatları'!B:B,"",0)</f>
        <v>4624.7602000000006</v>
      </c>
      <c r="J306">
        <f t="shared" si="16"/>
        <v>2021</v>
      </c>
      <c r="K306">
        <f t="shared" si="17"/>
        <v>4</v>
      </c>
      <c r="L306">
        <f t="shared" si="18"/>
        <v>1</v>
      </c>
      <c r="M306">
        <f t="shared" si="19"/>
        <v>5</v>
      </c>
      <c r="N306">
        <f>_xlfn.XLOOKUP(A306,tatiller!H:H,tatiller!I:I,0,0)</f>
        <v>0</v>
      </c>
      <c r="O306" t="str" cm="1">
        <f t="array" ref="O306">_xlfn.IFNA(_xlfn.IFS(L306=1,"A0",A306=EOMONTH(A306,0),"A-1",L306=2,"A+1"),0)</f>
        <v>A0</v>
      </c>
      <c r="P306" cm="1">
        <f t="array" ref="P306">_xlfn.IFNA(_xlfn.IFS(AND(_xlfn.XLOOKUP(A306,'LPG Fup'!D:D,'LPG Fup'!M:M,"",0)&lt;&gt;"",_xlfn.XLOOKUP(A306,'LPG Fup'!D:D,'LPG Fup'!M:M,"",0)&gt;0),"Z-1", AND(_xlfn.XLOOKUP(A306+1,'LPG Fup'!D:D,'LPG Fup'!M:M,"",0)&lt;&gt;"",_xlfn.XLOOKUP(A306+1,'LPG Fup'!D:D,'LPG Fup'!M:M,"",0)&gt;0),"Z-2", AND(_xlfn.XLOOKUP(A306-1,'LPG Fup'!D:D,'LPG Fup'!M:M,"",0)&lt;&gt;"",_xlfn.XLOOKUP(A306-1,'LPG Fup'!D:D,'LPG Fup'!M:M,"",0)&gt;0),"Z", AND(_xlfn.XLOOKUP(A306-2,'LPG Fup'!D:D,'LPG Fup'!M:M,"",0)&lt;&gt;"",_xlfn.XLOOKUP(A306-2,'LPG Fup'!D:D,'LPG Fup'!M:M,"",0)&gt;0),"Z+1"),0)</f>
        <v>0</v>
      </c>
      <c r="Q306" cm="1">
        <f t="array" ref="Q306">_xlfn.IFNA(_xlfn.IFS(AND(_xlfn.XLOOKUP(A306,'LPG Fup'!D:D,'LPG Fup'!M:M,"",0)&lt;&gt;"",_xlfn.XLOOKUP(A306,'LPG Fup'!D:D,'LPG Fup'!M:M,"",0)&lt;0),"I-1", AND(_xlfn.XLOOKUP(A306+1,'LPG Fup'!D:D,'LPG Fup'!M:M,"",0)&lt;&gt;"",_xlfn.XLOOKUP(A306+1,'LPG Fup'!D:D,'LPG Fup'!M:M,"",0)&lt;0),"I-2", AND(_xlfn.XLOOKUP(A306-1,'LPG Fup'!D:D,'LPG Fup'!M:M,"",0)&lt;&gt;"",_xlfn.XLOOKUP(A306-1,'LPG Fup'!D:D,'LPG Fup'!M:M,"",0)&lt;0),"I", AND(_xlfn.XLOOKUP(A306-2,'LPG Fup'!D:D,'LPG Fup'!M:M,"",0)&lt;&gt;"",_xlfn.XLOOKUP(A306-2,'LPG Fup'!D:D,'LPG Fup'!M:M,"",0)&lt;0),"I+1"),0)</f>
        <v>0</v>
      </c>
      <c r="R306">
        <f>_xlfn.XLOOKUP(A306,Covid!A:A,Covid!I:I,0,0)</f>
        <v>1424</v>
      </c>
      <c r="S306">
        <f>_xlfn.XLOOKUP(A306,Covid!A:A,Covid!K:K,0,0)</f>
        <v>176</v>
      </c>
      <c r="T306" s="145">
        <f>_xlfn.XLOOKUP(A306,Covid!A:A,Covid!K:K,0,0)/_xlfn.XLOOKUP(A306,Covid!A:A,Covid!L:L,0,0)</f>
        <v>8.4546284286880907E-3</v>
      </c>
    </row>
    <row r="307" spans="1:20" x14ac:dyDescent="0.55000000000000004">
      <c r="A307" s="157">
        <v>44288</v>
      </c>
      <c r="B307" s="13">
        <v>1151220</v>
      </c>
      <c r="C307" s="13">
        <v>350861</v>
      </c>
      <c r="D307" s="13">
        <v>27286</v>
      </c>
      <c r="E307" s="13">
        <v>367118</v>
      </c>
      <c r="F307" s="13">
        <v>1896485</v>
      </c>
      <c r="G307">
        <f>IF(OR(_xlfn.XLOOKUP(A307,'LPG Fup'!D:D,'LPG Fup'!L:L,"",0)&gt;0.03,_xlfn.XLOOKUP(A307,'LPG Fup'!D:D,'LPG Fup'!L:L,"",0)&lt;-0.03),_xlfn.XLOOKUP(A307,'LPG Fup'!D:D,'LPG Fup'!L:L,0,0),0)</f>
        <v>0</v>
      </c>
      <c r="H307">
        <f>IF(_xlfn.XLOOKUP(A307,'LPG Fup'!D:D,'LPG Fup'!M:M,0,0)="",0,_xlfn.XLOOKUP(A307,'LPG Fup'!D:D,'LPG Fup'!M:M,0,0))</f>
        <v>0</v>
      </c>
      <c r="I307" s="109">
        <f>_xlfn.XLOOKUP(A307,'Rafineri Fiyatları'!A:A,'Rafineri Fiyatları'!B:B,"",0)</f>
        <v>4624.7602000000006</v>
      </c>
      <c r="J307">
        <f t="shared" si="16"/>
        <v>2021</v>
      </c>
      <c r="K307">
        <f t="shared" si="17"/>
        <v>4</v>
      </c>
      <c r="L307">
        <f t="shared" si="18"/>
        <v>2</v>
      </c>
      <c r="M307">
        <f t="shared" si="19"/>
        <v>6</v>
      </c>
      <c r="N307">
        <f>_xlfn.XLOOKUP(A307,tatiller!H:H,tatiller!I:I,0,0)</f>
        <v>0</v>
      </c>
      <c r="O307" t="str" cm="1">
        <f t="array" ref="O307">_xlfn.IFNA(_xlfn.IFS(L307=1,"A0",A307=EOMONTH(A307,0),"A-1",L307=2,"A+1"),0)</f>
        <v>A+1</v>
      </c>
      <c r="P307" cm="1">
        <f t="array" ref="P307">_xlfn.IFNA(_xlfn.IFS(AND(_xlfn.XLOOKUP(A307,'LPG Fup'!D:D,'LPG Fup'!M:M,"",0)&lt;&gt;"",_xlfn.XLOOKUP(A307,'LPG Fup'!D:D,'LPG Fup'!M:M,"",0)&gt;0),"Z-1", AND(_xlfn.XLOOKUP(A307+1,'LPG Fup'!D:D,'LPG Fup'!M:M,"",0)&lt;&gt;"",_xlfn.XLOOKUP(A307+1,'LPG Fup'!D:D,'LPG Fup'!M:M,"",0)&gt;0),"Z-2", AND(_xlfn.XLOOKUP(A307-1,'LPG Fup'!D:D,'LPG Fup'!M:M,"",0)&lt;&gt;"",_xlfn.XLOOKUP(A307-1,'LPG Fup'!D:D,'LPG Fup'!M:M,"",0)&gt;0),"Z", AND(_xlfn.XLOOKUP(A307-2,'LPG Fup'!D:D,'LPG Fup'!M:M,"",0)&lt;&gt;"",_xlfn.XLOOKUP(A307-2,'LPG Fup'!D:D,'LPG Fup'!M:M,"",0)&gt;0),"Z+1"),0)</f>
        <v>0</v>
      </c>
      <c r="Q307" cm="1">
        <f t="array" ref="Q307">_xlfn.IFNA(_xlfn.IFS(AND(_xlfn.XLOOKUP(A307,'LPG Fup'!D:D,'LPG Fup'!M:M,"",0)&lt;&gt;"",_xlfn.XLOOKUP(A307,'LPG Fup'!D:D,'LPG Fup'!M:M,"",0)&lt;0),"I-1", AND(_xlfn.XLOOKUP(A307+1,'LPG Fup'!D:D,'LPG Fup'!M:M,"",0)&lt;&gt;"",_xlfn.XLOOKUP(A307+1,'LPG Fup'!D:D,'LPG Fup'!M:M,"",0)&lt;0),"I-2", AND(_xlfn.XLOOKUP(A307-1,'LPG Fup'!D:D,'LPG Fup'!M:M,"",0)&lt;&gt;"",_xlfn.XLOOKUP(A307-1,'LPG Fup'!D:D,'LPG Fup'!M:M,"",0)&lt;0),"I", AND(_xlfn.XLOOKUP(A307-2,'LPG Fup'!D:D,'LPG Fup'!M:M,"",0)&lt;&gt;"",_xlfn.XLOOKUP(A307-2,'LPG Fup'!D:D,'LPG Fup'!M:M,"",0)&lt;0),"I+1"),0)</f>
        <v>0</v>
      </c>
      <c r="R307">
        <f>_xlfn.XLOOKUP(A307,Covid!A:A,Covid!I:I,0,0)</f>
        <v>1471</v>
      </c>
      <c r="S307">
        <f>_xlfn.XLOOKUP(A307,Covid!A:A,Covid!K:K,0,0)</f>
        <v>179</v>
      </c>
      <c r="T307" s="145">
        <f>_xlfn.XLOOKUP(A307,Covid!A:A,Covid!K:K,0,0)/_xlfn.XLOOKUP(A307,Covid!A:A,Covid!L:L,0,0)</f>
        <v>7.3303575084974811E-3</v>
      </c>
    </row>
    <row r="308" spans="1:20" x14ac:dyDescent="0.55000000000000004">
      <c r="A308" s="157">
        <v>44289</v>
      </c>
      <c r="B308" s="13">
        <v>1034960</v>
      </c>
      <c r="C308" s="13">
        <v>199749</v>
      </c>
      <c r="D308" s="13">
        <v>10920</v>
      </c>
      <c r="E308" s="13">
        <v>314236</v>
      </c>
      <c r="F308" s="13">
        <v>1559865</v>
      </c>
      <c r="G308">
        <f>IF(OR(_xlfn.XLOOKUP(A308,'LPG Fup'!D:D,'LPG Fup'!L:L,"",0)&gt;0.03,_xlfn.XLOOKUP(A308,'LPG Fup'!D:D,'LPG Fup'!L:L,"",0)&lt;-0.03),_xlfn.XLOOKUP(A308,'LPG Fup'!D:D,'LPG Fup'!L:L,0,0),0)</f>
        <v>0</v>
      </c>
      <c r="H308">
        <f>IF(_xlfn.XLOOKUP(A308,'LPG Fup'!D:D,'LPG Fup'!M:M,0,0)="",0,_xlfn.XLOOKUP(A308,'LPG Fup'!D:D,'LPG Fup'!M:M,0,0))</f>
        <v>0</v>
      </c>
      <c r="I308" s="109">
        <f>_xlfn.XLOOKUP(A308,'Rafineri Fiyatları'!A:A,'Rafineri Fiyatları'!B:B,"",0)</f>
        <v>4624.7602000000006</v>
      </c>
      <c r="J308">
        <f t="shared" si="16"/>
        <v>2021</v>
      </c>
      <c r="K308">
        <f t="shared" si="17"/>
        <v>4</v>
      </c>
      <c r="L308">
        <f t="shared" si="18"/>
        <v>3</v>
      </c>
      <c r="M308">
        <f t="shared" si="19"/>
        <v>7</v>
      </c>
      <c r="N308">
        <f>_xlfn.XLOOKUP(A308,tatiller!H:H,tatiller!I:I,0,0)</f>
        <v>0</v>
      </c>
      <c r="O308" cm="1">
        <f t="array" ref="O308">_xlfn.IFNA(_xlfn.IFS(L308=1,"A0",A308=EOMONTH(A308,0),"A-1",L308=2,"A+1"),0)</f>
        <v>0</v>
      </c>
      <c r="P308" cm="1">
        <f t="array" ref="P308">_xlfn.IFNA(_xlfn.IFS(AND(_xlfn.XLOOKUP(A308,'LPG Fup'!D:D,'LPG Fup'!M:M,"",0)&lt;&gt;"",_xlfn.XLOOKUP(A308,'LPG Fup'!D:D,'LPG Fup'!M:M,"",0)&gt;0),"Z-1", AND(_xlfn.XLOOKUP(A308+1,'LPG Fup'!D:D,'LPG Fup'!M:M,"",0)&lt;&gt;"",_xlfn.XLOOKUP(A308+1,'LPG Fup'!D:D,'LPG Fup'!M:M,"",0)&gt;0),"Z-2", AND(_xlfn.XLOOKUP(A308-1,'LPG Fup'!D:D,'LPG Fup'!M:M,"",0)&lt;&gt;"",_xlfn.XLOOKUP(A308-1,'LPG Fup'!D:D,'LPG Fup'!M:M,"",0)&gt;0),"Z", AND(_xlfn.XLOOKUP(A308-2,'LPG Fup'!D:D,'LPG Fup'!M:M,"",0)&lt;&gt;"",_xlfn.XLOOKUP(A308-2,'LPG Fup'!D:D,'LPG Fup'!M:M,"",0)&gt;0),"Z+1"),0)</f>
        <v>0</v>
      </c>
      <c r="Q308" cm="1">
        <f t="array" ref="Q308">_xlfn.IFNA(_xlfn.IFS(AND(_xlfn.XLOOKUP(A308,'LPG Fup'!D:D,'LPG Fup'!M:M,"",0)&lt;&gt;"",_xlfn.XLOOKUP(A308,'LPG Fup'!D:D,'LPG Fup'!M:M,"",0)&lt;0),"I-1", AND(_xlfn.XLOOKUP(A308+1,'LPG Fup'!D:D,'LPG Fup'!M:M,"",0)&lt;&gt;"",_xlfn.XLOOKUP(A308+1,'LPG Fup'!D:D,'LPG Fup'!M:M,"",0)&lt;0),"I-2", AND(_xlfn.XLOOKUP(A308-1,'LPG Fup'!D:D,'LPG Fup'!M:M,"",0)&lt;&gt;"",_xlfn.XLOOKUP(A308-1,'LPG Fup'!D:D,'LPG Fup'!M:M,"",0)&lt;0),"I", AND(_xlfn.XLOOKUP(A308-2,'LPG Fup'!D:D,'LPG Fup'!M:M,"",0)&lt;&gt;"",_xlfn.XLOOKUP(A308-2,'LPG Fup'!D:D,'LPG Fup'!M:M,"",0)&lt;0),"I+1"),0)</f>
        <v>0</v>
      </c>
      <c r="R308">
        <f>_xlfn.XLOOKUP(A308,Covid!A:A,Covid!I:I,0,0)</f>
        <v>1483</v>
      </c>
      <c r="S308">
        <f>_xlfn.XLOOKUP(A308,Covid!A:A,Covid!K:K,0,0)</f>
        <v>186</v>
      </c>
      <c r="T308" s="145">
        <f>_xlfn.XLOOKUP(A308,Covid!A:A,Covid!K:K,0,0)/_xlfn.XLOOKUP(A308,Covid!A:A,Covid!L:L,0,0)</f>
        <v>8.0124063065391566E-3</v>
      </c>
    </row>
    <row r="309" spans="1:20" x14ac:dyDescent="0.55000000000000004">
      <c r="A309" s="157">
        <v>44290</v>
      </c>
      <c r="B309" s="13">
        <v>778100</v>
      </c>
      <c r="C309" s="13">
        <v>72</v>
      </c>
      <c r="D309" s="13">
        <v>593</v>
      </c>
      <c r="E309" s="13">
        <v>141984</v>
      </c>
      <c r="F309" s="13">
        <v>920749</v>
      </c>
      <c r="G309">
        <f>IF(OR(_xlfn.XLOOKUP(A309,'LPG Fup'!D:D,'LPG Fup'!L:L,"",0)&gt;0.03,_xlfn.XLOOKUP(A309,'LPG Fup'!D:D,'LPG Fup'!L:L,"",0)&lt;-0.03),_xlfn.XLOOKUP(A309,'LPG Fup'!D:D,'LPG Fup'!L:L,0,0),0)</f>
        <v>0</v>
      </c>
      <c r="H309">
        <f>IF(_xlfn.XLOOKUP(A309,'LPG Fup'!D:D,'LPG Fup'!M:M,0,0)="",0,_xlfn.XLOOKUP(A309,'LPG Fup'!D:D,'LPG Fup'!M:M,0,0))</f>
        <v>0</v>
      </c>
      <c r="I309" s="109">
        <f>_xlfn.XLOOKUP(A309,'Rafineri Fiyatları'!A:A,'Rafineri Fiyatları'!B:B,"",0)</f>
        <v>4624.7602000000006</v>
      </c>
      <c r="J309">
        <f t="shared" si="16"/>
        <v>2021</v>
      </c>
      <c r="K309">
        <f t="shared" si="17"/>
        <v>4</v>
      </c>
      <c r="L309">
        <f t="shared" si="18"/>
        <v>4</v>
      </c>
      <c r="M309">
        <f t="shared" si="19"/>
        <v>1</v>
      </c>
      <c r="N309">
        <f>_xlfn.XLOOKUP(A309,tatiller!H:H,tatiller!I:I,0,0)</f>
        <v>0</v>
      </c>
      <c r="O309" cm="1">
        <f t="array" ref="O309">_xlfn.IFNA(_xlfn.IFS(L309=1,"A0",A309=EOMONTH(A309,0),"A-1",L309=2,"A+1"),0)</f>
        <v>0</v>
      </c>
      <c r="P309" cm="1">
        <f t="array" ref="P309">_xlfn.IFNA(_xlfn.IFS(AND(_xlfn.XLOOKUP(A309,'LPG Fup'!D:D,'LPG Fup'!M:M,"",0)&lt;&gt;"",_xlfn.XLOOKUP(A309,'LPG Fup'!D:D,'LPG Fup'!M:M,"",0)&gt;0),"Z-1", AND(_xlfn.XLOOKUP(A309+1,'LPG Fup'!D:D,'LPG Fup'!M:M,"",0)&lt;&gt;"",_xlfn.XLOOKUP(A309+1,'LPG Fup'!D:D,'LPG Fup'!M:M,"",0)&gt;0),"Z-2", AND(_xlfn.XLOOKUP(A309-1,'LPG Fup'!D:D,'LPG Fup'!M:M,"",0)&lt;&gt;"",_xlfn.XLOOKUP(A309-1,'LPG Fup'!D:D,'LPG Fup'!M:M,"",0)&gt;0),"Z", AND(_xlfn.XLOOKUP(A309-2,'LPG Fup'!D:D,'LPG Fup'!M:M,"",0)&lt;&gt;"",_xlfn.XLOOKUP(A309-2,'LPG Fup'!D:D,'LPG Fup'!M:M,"",0)&gt;0),"Z+1"),0)</f>
        <v>0</v>
      </c>
      <c r="Q309" cm="1">
        <f t="array" ref="Q309">_xlfn.IFNA(_xlfn.IFS(AND(_xlfn.XLOOKUP(A309,'LPG Fup'!D:D,'LPG Fup'!M:M,"",0)&lt;&gt;"",_xlfn.XLOOKUP(A309,'LPG Fup'!D:D,'LPG Fup'!M:M,"",0)&lt;0),"I-1", AND(_xlfn.XLOOKUP(A309+1,'LPG Fup'!D:D,'LPG Fup'!M:M,"",0)&lt;&gt;"",_xlfn.XLOOKUP(A309+1,'LPG Fup'!D:D,'LPG Fup'!M:M,"",0)&lt;0),"I-2", AND(_xlfn.XLOOKUP(A309-1,'LPG Fup'!D:D,'LPG Fup'!M:M,"",0)&lt;&gt;"",_xlfn.XLOOKUP(A309-1,'LPG Fup'!D:D,'LPG Fup'!M:M,"",0)&lt;0),"I", AND(_xlfn.XLOOKUP(A309-2,'LPG Fup'!D:D,'LPG Fup'!M:M,"",0)&lt;&gt;"",_xlfn.XLOOKUP(A309-2,'LPG Fup'!D:D,'LPG Fup'!M:M,"",0)&lt;0),"I+1"),0)</f>
        <v>0</v>
      </c>
      <c r="R309">
        <f>_xlfn.XLOOKUP(A309,Covid!A:A,Covid!I:I,0,0)</f>
        <v>1508</v>
      </c>
      <c r="S309">
        <f>_xlfn.XLOOKUP(A309,Covid!A:A,Covid!K:K,0,0)</f>
        <v>185</v>
      </c>
      <c r="T309" s="145">
        <f>_xlfn.XLOOKUP(A309,Covid!A:A,Covid!K:K,0,0)/_xlfn.XLOOKUP(A309,Covid!A:A,Covid!L:L,0,0)</f>
        <v>8.1591249889741563E-3</v>
      </c>
    </row>
    <row r="310" spans="1:20" x14ac:dyDescent="0.55000000000000004">
      <c r="A310" s="157">
        <v>44291</v>
      </c>
      <c r="B310" s="13">
        <v>882580</v>
      </c>
      <c r="C310" s="13">
        <v>405540</v>
      </c>
      <c r="D310" s="13">
        <v>11765</v>
      </c>
      <c r="E310" s="13">
        <v>481903</v>
      </c>
      <c r="F310" s="13">
        <v>1781788</v>
      </c>
      <c r="G310">
        <f>IF(OR(_xlfn.XLOOKUP(A310,'LPG Fup'!D:D,'LPG Fup'!L:L,"",0)&gt;0.03,_xlfn.XLOOKUP(A310,'LPG Fup'!D:D,'LPG Fup'!L:L,"",0)&lt;-0.03),_xlfn.XLOOKUP(A310,'LPG Fup'!D:D,'LPG Fup'!L:L,0,0),0)</f>
        <v>0</v>
      </c>
      <c r="H310">
        <f>IF(_xlfn.XLOOKUP(A310,'LPG Fup'!D:D,'LPG Fup'!M:M,0,0)="",0,_xlfn.XLOOKUP(A310,'LPG Fup'!D:D,'LPG Fup'!M:M,0,0))</f>
        <v>0</v>
      </c>
      <c r="I310" s="109">
        <f>_xlfn.XLOOKUP(A310,'Rafineri Fiyatları'!A:A,'Rafineri Fiyatları'!B:B,"",0)</f>
        <v>4624.7602000000006</v>
      </c>
      <c r="J310">
        <f t="shared" si="16"/>
        <v>2021</v>
      </c>
      <c r="K310">
        <f t="shared" si="17"/>
        <v>4</v>
      </c>
      <c r="L310">
        <f t="shared" si="18"/>
        <v>5</v>
      </c>
      <c r="M310">
        <f t="shared" si="19"/>
        <v>2</v>
      </c>
      <c r="N310">
        <f>_xlfn.XLOOKUP(A310,tatiller!H:H,tatiller!I:I,0,0)</f>
        <v>0</v>
      </c>
      <c r="O310" cm="1">
        <f t="array" ref="O310">_xlfn.IFNA(_xlfn.IFS(L310=1,"A0",A310=EOMONTH(A310,0),"A-1",L310=2,"A+1"),0)</f>
        <v>0</v>
      </c>
      <c r="P310" cm="1">
        <f t="array" ref="P310">_xlfn.IFNA(_xlfn.IFS(AND(_xlfn.XLOOKUP(A310,'LPG Fup'!D:D,'LPG Fup'!M:M,"",0)&lt;&gt;"",_xlfn.XLOOKUP(A310,'LPG Fup'!D:D,'LPG Fup'!M:M,"",0)&gt;0),"Z-1", AND(_xlfn.XLOOKUP(A310+1,'LPG Fup'!D:D,'LPG Fup'!M:M,"",0)&lt;&gt;"",_xlfn.XLOOKUP(A310+1,'LPG Fup'!D:D,'LPG Fup'!M:M,"",0)&gt;0),"Z-2", AND(_xlfn.XLOOKUP(A310-1,'LPG Fup'!D:D,'LPG Fup'!M:M,"",0)&lt;&gt;"",_xlfn.XLOOKUP(A310-1,'LPG Fup'!D:D,'LPG Fup'!M:M,"",0)&gt;0),"Z", AND(_xlfn.XLOOKUP(A310-2,'LPG Fup'!D:D,'LPG Fup'!M:M,"",0)&lt;&gt;"",_xlfn.XLOOKUP(A310-2,'LPG Fup'!D:D,'LPG Fup'!M:M,"",0)&gt;0),"Z+1"),0)</f>
        <v>0</v>
      </c>
      <c r="Q310" cm="1">
        <f t="array" ref="Q310">_xlfn.IFNA(_xlfn.IFS(AND(_xlfn.XLOOKUP(A310,'LPG Fup'!D:D,'LPG Fup'!M:M,"",0)&lt;&gt;"",_xlfn.XLOOKUP(A310,'LPG Fup'!D:D,'LPG Fup'!M:M,"",0)&lt;0),"I-1", AND(_xlfn.XLOOKUP(A310+1,'LPG Fup'!D:D,'LPG Fup'!M:M,"",0)&lt;&gt;"",_xlfn.XLOOKUP(A310+1,'LPG Fup'!D:D,'LPG Fup'!M:M,"",0)&lt;0),"I-2", AND(_xlfn.XLOOKUP(A310-1,'LPG Fup'!D:D,'LPG Fup'!M:M,"",0)&lt;&gt;"",_xlfn.XLOOKUP(A310-1,'LPG Fup'!D:D,'LPG Fup'!M:M,"",0)&lt;0),"I", AND(_xlfn.XLOOKUP(A310-2,'LPG Fup'!D:D,'LPG Fup'!M:M,"",0)&lt;&gt;"",_xlfn.XLOOKUP(A310-2,'LPG Fup'!D:D,'LPG Fup'!M:M,"",0)&lt;0),"I+1"),0)</f>
        <v>0</v>
      </c>
      <c r="R310">
        <f>_xlfn.XLOOKUP(A310,Covid!A:A,Covid!I:I,0,0)</f>
        <v>1706</v>
      </c>
      <c r="S310">
        <f>_xlfn.XLOOKUP(A310,Covid!A:A,Covid!K:K,0,0)</f>
        <v>193</v>
      </c>
      <c r="T310" s="145">
        <f>_xlfn.XLOOKUP(A310,Covid!A:A,Covid!K:K,0,0)/_xlfn.XLOOKUP(A310,Covid!A:A,Covid!L:L,0,0)</f>
        <v>7.5311195223787411E-3</v>
      </c>
    </row>
    <row r="311" spans="1:20" x14ac:dyDescent="0.55000000000000004">
      <c r="A311" s="157">
        <v>44292</v>
      </c>
      <c r="B311" s="13">
        <v>883840</v>
      </c>
      <c r="C311" s="13">
        <v>349462</v>
      </c>
      <c r="D311" s="13">
        <v>4951</v>
      </c>
      <c r="E311" s="13">
        <v>547578</v>
      </c>
      <c r="F311" s="13">
        <v>1785831</v>
      </c>
      <c r="G311">
        <f>IF(OR(_xlfn.XLOOKUP(A311,'LPG Fup'!D:D,'LPG Fup'!L:L,"",0)&gt;0.03,_xlfn.XLOOKUP(A311,'LPG Fup'!D:D,'LPG Fup'!L:L,"",0)&lt;-0.03),_xlfn.XLOOKUP(A311,'LPG Fup'!D:D,'LPG Fup'!L:L,0,0),0)</f>
        <v>0</v>
      </c>
      <c r="H311">
        <f>IF(_xlfn.XLOOKUP(A311,'LPG Fup'!D:D,'LPG Fup'!M:M,0,0)="",0,_xlfn.XLOOKUP(A311,'LPG Fup'!D:D,'LPG Fup'!M:M,0,0))</f>
        <v>0</v>
      </c>
      <c r="I311" s="109">
        <f>_xlfn.XLOOKUP(A311,'Rafineri Fiyatları'!A:A,'Rafineri Fiyatları'!B:B,"",0)</f>
        <v>4624.7602000000006</v>
      </c>
      <c r="J311">
        <f t="shared" si="16"/>
        <v>2021</v>
      </c>
      <c r="K311">
        <f t="shared" si="17"/>
        <v>4</v>
      </c>
      <c r="L311">
        <f t="shared" si="18"/>
        <v>6</v>
      </c>
      <c r="M311">
        <f t="shared" si="19"/>
        <v>3</v>
      </c>
      <c r="N311">
        <f>_xlfn.XLOOKUP(A311,tatiller!H:H,tatiller!I:I,0,0)</f>
        <v>0</v>
      </c>
      <c r="O311" cm="1">
        <f t="array" ref="O311">_xlfn.IFNA(_xlfn.IFS(L311=1,"A0",A311=EOMONTH(A311,0),"A-1",L311=2,"A+1"),0)</f>
        <v>0</v>
      </c>
      <c r="P311" cm="1">
        <f t="array" ref="P311">_xlfn.IFNA(_xlfn.IFS(AND(_xlfn.XLOOKUP(A311,'LPG Fup'!D:D,'LPG Fup'!M:M,"",0)&lt;&gt;"",_xlfn.XLOOKUP(A311,'LPG Fup'!D:D,'LPG Fup'!M:M,"",0)&gt;0),"Z-1", AND(_xlfn.XLOOKUP(A311+1,'LPG Fup'!D:D,'LPG Fup'!M:M,"",0)&lt;&gt;"",_xlfn.XLOOKUP(A311+1,'LPG Fup'!D:D,'LPG Fup'!M:M,"",0)&gt;0),"Z-2", AND(_xlfn.XLOOKUP(A311-1,'LPG Fup'!D:D,'LPG Fup'!M:M,"",0)&lt;&gt;"",_xlfn.XLOOKUP(A311-1,'LPG Fup'!D:D,'LPG Fup'!M:M,"",0)&gt;0),"Z", AND(_xlfn.XLOOKUP(A311-2,'LPG Fup'!D:D,'LPG Fup'!M:M,"",0)&lt;&gt;"",_xlfn.XLOOKUP(A311-2,'LPG Fup'!D:D,'LPG Fup'!M:M,"",0)&gt;0),"Z+1"),0)</f>
        <v>0</v>
      </c>
      <c r="Q311" t="str" cm="1">
        <f t="array" ref="Q311">_xlfn.IFNA(_xlfn.IFS(AND(_xlfn.XLOOKUP(A311,'LPG Fup'!D:D,'LPG Fup'!M:M,"",0)&lt;&gt;"",_xlfn.XLOOKUP(A311,'LPG Fup'!D:D,'LPG Fup'!M:M,"",0)&lt;0),"I-1", AND(_xlfn.XLOOKUP(A311+1,'LPG Fup'!D:D,'LPG Fup'!M:M,"",0)&lt;&gt;"",_xlfn.XLOOKUP(A311+1,'LPG Fup'!D:D,'LPG Fup'!M:M,"",0)&lt;0),"I-2", AND(_xlfn.XLOOKUP(A311-1,'LPG Fup'!D:D,'LPG Fup'!M:M,"",0)&lt;&gt;"",_xlfn.XLOOKUP(A311-1,'LPG Fup'!D:D,'LPG Fup'!M:M,"",0)&lt;0),"I", AND(_xlfn.XLOOKUP(A311-2,'LPG Fup'!D:D,'LPG Fup'!M:M,"",0)&lt;&gt;"",_xlfn.XLOOKUP(A311-2,'LPG Fup'!D:D,'LPG Fup'!M:M,"",0)&lt;0),"I+1"),0)</f>
        <v>I-2</v>
      </c>
      <c r="R311">
        <f>_xlfn.XLOOKUP(A311,Covid!A:A,Covid!I:I,0,0)</f>
        <v>2003</v>
      </c>
      <c r="S311">
        <f>_xlfn.XLOOKUP(A311,Covid!A:A,Covid!K:K,0,0)</f>
        <v>211</v>
      </c>
      <c r="T311" s="145">
        <f>_xlfn.XLOOKUP(A311,Covid!A:A,Covid!K:K,0,0)/_xlfn.XLOOKUP(A311,Covid!A:A,Covid!L:L,0,0)</f>
        <v>7.4040283528668677E-3</v>
      </c>
    </row>
    <row r="312" spans="1:20" x14ac:dyDescent="0.55000000000000004">
      <c r="A312" s="157">
        <v>44293</v>
      </c>
      <c r="B312" s="13">
        <v>952860</v>
      </c>
      <c r="C312" s="13">
        <v>318621</v>
      </c>
      <c r="D312" s="13">
        <v>1800</v>
      </c>
      <c r="E312" s="13">
        <v>415420</v>
      </c>
      <c r="F312" s="13">
        <v>1688701</v>
      </c>
      <c r="G312">
        <f>IF(OR(_xlfn.XLOOKUP(A312,'LPG Fup'!D:D,'LPG Fup'!L:L,"",0)&gt;0.03,_xlfn.XLOOKUP(A312,'LPG Fup'!D:D,'LPG Fup'!L:L,"",0)&lt;-0.03),_xlfn.XLOOKUP(A312,'LPG Fup'!D:D,'LPG Fup'!L:L,0,0),0)</f>
        <v>-3.0270792277809142E-2</v>
      </c>
      <c r="H312">
        <f>IF(_xlfn.XLOOKUP(A312,'LPG Fup'!D:D,'LPG Fup'!M:M,0,0)="",0,_xlfn.XLOOKUP(A312,'LPG Fup'!D:D,'LPG Fup'!M:M,0,0))</f>
        <v>-150.09660000000076</v>
      </c>
      <c r="I312" s="109">
        <f>_xlfn.XLOOKUP(A312,'Rafineri Fiyatları'!A:A,'Rafineri Fiyatları'!B:B,"",0)</f>
        <v>4624.7602000000006</v>
      </c>
      <c r="J312">
        <f t="shared" si="16"/>
        <v>2021</v>
      </c>
      <c r="K312">
        <f t="shared" si="17"/>
        <v>4</v>
      </c>
      <c r="L312">
        <f t="shared" si="18"/>
        <v>7</v>
      </c>
      <c r="M312">
        <f t="shared" si="19"/>
        <v>4</v>
      </c>
      <c r="N312">
        <f>_xlfn.XLOOKUP(A312,tatiller!H:H,tatiller!I:I,0,0)</f>
        <v>0</v>
      </c>
      <c r="O312" cm="1">
        <f t="array" ref="O312">_xlfn.IFNA(_xlfn.IFS(L312=1,"A0",A312=EOMONTH(A312,0),"A-1",L312=2,"A+1"),0)</f>
        <v>0</v>
      </c>
      <c r="P312" cm="1">
        <f t="array" ref="P312">_xlfn.IFNA(_xlfn.IFS(AND(_xlfn.XLOOKUP(A312,'LPG Fup'!D:D,'LPG Fup'!M:M,"",0)&lt;&gt;"",_xlfn.XLOOKUP(A312,'LPG Fup'!D:D,'LPG Fup'!M:M,"",0)&gt;0),"Z-1", AND(_xlfn.XLOOKUP(A312+1,'LPG Fup'!D:D,'LPG Fup'!M:M,"",0)&lt;&gt;"",_xlfn.XLOOKUP(A312+1,'LPG Fup'!D:D,'LPG Fup'!M:M,"",0)&gt;0),"Z-2", AND(_xlfn.XLOOKUP(A312-1,'LPG Fup'!D:D,'LPG Fup'!M:M,"",0)&lt;&gt;"",_xlfn.XLOOKUP(A312-1,'LPG Fup'!D:D,'LPG Fup'!M:M,"",0)&gt;0),"Z", AND(_xlfn.XLOOKUP(A312-2,'LPG Fup'!D:D,'LPG Fup'!M:M,"",0)&lt;&gt;"",_xlfn.XLOOKUP(A312-2,'LPG Fup'!D:D,'LPG Fup'!M:M,"",0)&gt;0),"Z+1"),0)</f>
        <v>0</v>
      </c>
      <c r="Q312" t="str" cm="1">
        <f t="array" ref="Q312">_xlfn.IFNA(_xlfn.IFS(AND(_xlfn.XLOOKUP(A312,'LPG Fup'!D:D,'LPG Fup'!M:M,"",0)&lt;&gt;"",_xlfn.XLOOKUP(A312,'LPG Fup'!D:D,'LPG Fup'!M:M,"",0)&lt;0),"I-1", AND(_xlfn.XLOOKUP(A312+1,'LPG Fup'!D:D,'LPG Fup'!M:M,"",0)&lt;&gt;"",_xlfn.XLOOKUP(A312+1,'LPG Fup'!D:D,'LPG Fup'!M:M,"",0)&lt;0),"I-2", AND(_xlfn.XLOOKUP(A312-1,'LPG Fup'!D:D,'LPG Fup'!M:M,"",0)&lt;&gt;"",_xlfn.XLOOKUP(A312-1,'LPG Fup'!D:D,'LPG Fup'!M:M,"",0)&lt;0),"I", AND(_xlfn.XLOOKUP(A312-2,'LPG Fup'!D:D,'LPG Fup'!M:M,"",0)&lt;&gt;"",_xlfn.XLOOKUP(A312-2,'LPG Fup'!D:D,'LPG Fup'!M:M,"",0)&lt;0),"I+1"),0)</f>
        <v>I-1</v>
      </c>
      <c r="R312">
        <f>_xlfn.XLOOKUP(A312,Covid!A:A,Covid!I:I,0,0)</f>
        <v>2203</v>
      </c>
      <c r="S312">
        <f>_xlfn.XLOOKUP(A312,Covid!A:A,Covid!K:K,0,0)</f>
        <v>276</v>
      </c>
      <c r="T312" s="145">
        <f>_xlfn.XLOOKUP(A312,Covid!A:A,Covid!K:K,0,0)/_xlfn.XLOOKUP(A312,Covid!A:A,Covid!L:L,0,0)</f>
        <v>7.7739909303439145E-3</v>
      </c>
    </row>
    <row r="313" spans="1:20" x14ac:dyDescent="0.55000000000000004">
      <c r="A313" s="157">
        <v>44294</v>
      </c>
      <c r="B313" s="13">
        <v>898660</v>
      </c>
      <c r="C313" s="13">
        <v>225407</v>
      </c>
      <c r="D313" s="13">
        <v>7812</v>
      </c>
      <c r="E313" s="13">
        <v>398646</v>
      </c>
      <c r="F313" s="13">
        <v>1530525</v>
      </c>
      <c r="G313">
        <f>IF(OR(_xlfn.XLOOKUP(A313,'LPG Fup'!D:D,'LPG Fup'!L:L,"",0)&gt;0.03,_xlfn.XLOOKUP(A313,'LPG Fup'!D:D,'LPG Fup'!L:L,"",0)&lt;-0.03),_xlfn.XLOOKUP(A313,'LPG Fup'!D:D,'LPG Fup'!L:L,0,0),0)</f>
        <v>0</v>
      </c>
      <c r="H313">
        <f>IF(_xlfn.XLOOKUP(A313,'LPG Fup'!D:D,'LPG Fup'!M:M,0,0)="",0,_xlfn.XLOOKUP(A313,'LPG Fup'!D:D,'LPG Fup'!M:M,0,0))</f>
        <v>0</v>
      </c>
      <c r="I313" s="109">
        <f>_xlfn.XLOOKUP(A313,'Rafineri Fiyatları'!A:A,'Rafineri Fiyatları'!B:B,"",0)</f>
        <v>4474.6635999999999</v>
      </c>
      <c r="J313">
        <f t="shared" si="16"/>
        <v>2021</v>
      </c>
      <c r="K313">
        <f t="shared" si="17"/>
        <v>4</v>
      </c>
      <c r="L313">
        <f t="shared" si="18"/>
        <v>8</v>
      </c>
      <c r="M313">
        <f t="shared" si="19"/>
        <v>5</v>
      </c>
      <c r="N313">
        <f>_xlfn.XLOOKUP(A313,tatiller!H:H,tatiller!I:I,0,0)</f>
        <v>0</v>
      </c>
      <c r="O313" cm="1">
        <f t="array" ref="O313">_xlfn.IFNA(_xlfn.IFS(L313=1,"A0",A313=EOMONTH(A313,0),"A-1",L313=2,"A+1"),0)</f>
        <v>0</v>
      </c>
      <c r="P313" cm="1">
        <f t="array" ref="P313">_xlfn.IFNA(_xlfn.IFS(AND(_xlfn.XLOOKUP(A313,'LPG Fup'!D:D,'LPG Fup'!M:M,"",0)&lt;&gt;"",_xlfn.XLOOKUP(A313,'LPG Fup'!D:D,'LPG Fup'!M:M,"",0)&gt;0),"Z-1", AND(_xlfn.XLOOKUP(A313+1,'LPG Fup'!D:D,'LPG Fup'!M:M,"",0)&lt;&gt;"",_xlfn.XLOOKUP(A313+1,'LPG Fup'!D:D,'LPG Fup'!M:M,"",0)&gt;0),"Z-2", AND(_xlfn.XLOOKUP(A313-1,'LPG Fup'!D:D,'LPG Fup'!M:M,"",0)&lt;&gt;"",_xlfn.XLOOKUP(A313-1,'LPG Fup'!D:D,'LPG Fup'!M:M,"",0)&gt;0),"Z", AND(_xlfn.XLOOKUP(A313-2,'LPG Fup'!D:D,'LPG Fup'!M:M,"",0)&lt;&gt;"",_xlfn.XLOOKUP(A313-2,'LPG Fup'!D:D,'LPG Fup'!M:M,"",0)&gt;0),"Z+1"),0)</f>
        <v>0</v>
      </c>
      <c r="Q313" t="str" cm="1">
        <f t="array" ref="Q313">_xlfn.IFNA(_xlfn.IFS(AND(_xlfn.XLOOKUP(A313,'LPG Fup'!D:D,'LPG Fup'!M:M,"",0)&lt;&gt;"",_xlfn.XLOOKUP(A313,'LPG Fup'!D:D,'LPG Fup'!M:M,"",0)&lt;0),"I-1", AND(_xlfn.XLOOKUP(A313+1,'LPG Fup'!D:D,'LPG Fup'!M:M,"",0)&lt;&gt;"",_xlfn.XLOOKUP(A313+1,'LPG Fup'!D:D,'LPG Fup'!M:M,"",0)&lt;0),"I-2", AND(_xlfn.XLOOKUP(A313-1,'LPG Fup'!D:D,'LPG Fup'!M:M,"",0)&lt;&gt;"",_xlfn.XLOOKUP(A313-1,'LPG Fup'!D:D,'LPG Fup'!M:M,"",0)&lt;0),"I", AND(_xlfn.XLOOKUP(A313-2,'LPG Fup'!D:D,'LPG Fup'!M:M,"",0)&lt;&gt;"",_xlfn.XLOOKUP(A313-2,'LPG Fup'!D:D,'LPG Fup'!M:M,"",0)&lt;0),"I+1"),0)</f>
        <v>I</v>
      </c>
      <c r="R313">
        <f>_xlfn.XLOOKUP(A313,Covid!A:A,Covid!I:I,0,0)</f>
        <v>2316</v>
      </c>
      <c r="S313">
        <f>_xlfn.XLOOKUP(A313,Covid!A:A,Covid!K:K,0,0)</f>
        <v>258</v>
      </c>
      <c r="T313" s="145">
        <f>_xlfn.XLOOKUP(A313,Covid!A:A,Covid!K:K,0,0)/_xlfn.XLOOKUP(A313,Covid!A:A,Covid!L:L,0,0)</f>
        <v>6.8048741889539487E-3</v>
      </c>
    </row>
    <row r="314" spans="1:20" x14ac:dyDescent="0.55000000000000004">
      <c r="A314" s="157">
        <v>44295</v>
      </c>
      <c r="B314" s="13">
        <v>1006840</v>
      </c>
      <c r="C314" s="13">
        <v>511947</v>
      </c>
      <c r="D314" s="13">
        <v>12709</v>
      </c>
      <c r="E314" s="13">
        <v>513167</v>
      </c>
      <c r="F314" s="13">
        <v>2044663</v>
      </c>
      <c r="G314">
        <f>IF(OR(_xlfn.XLOOKUP(A314,'LPG Fup'!D:D,'LPG Fup'!L:L,"",0)&gt;0.03,_xlfn.XLOOKUP(A314,'LPG Fup'!D:D,'LPG Fup'!L:L,"",0)&lt;-0.03),_xlfn.XLOOKUP(A314,'LPG Fup'!D:D,'LPG Fup'!L:L,0,0),0)</f>
        <v>0</v>
      </c>
      <c r="H314">
        <f>IF(_xlfn.XLOOKUP(A314,'LPG Fup'!D:D,'LPG Fup'!M:M,0,0)="",0,_xlfn.XLOOKUP(A314,'LPG Fup'!D:D,'LPG Fup'!M:M,0,0))</f>
        <v>0</v>
      </c>
      <c r="I314" s="109">
        <f>_xlfn.XLOOKUP(A314,'Rafineri Fiyatları'!A:A,'Rafineri Fiyatları'!B:B,"",0)</f>
        <v>4474.6635999999999</v>
      </c>
      <c r="J314">
        <f t="shared" si="16"/>
        <v>2021</v>
      </c>
      <c r="K314">
        <f t="shared" si="17"/>
        <v>4</v>
      </c>
      <c r="L314">
        <f t="shared" si="18"/>
        <v>9</v>
      </c>
      <c r="M314">
        <f t="shared" si="19"/>
        <v>6</v>
      </c>
      <c r="N314">
        <f>_xlfn.XLOOKUP(A314,tatiller!H:H,tatiller!I:I,0,0)</f>
        <v>0</v>
      </c>
      <c r="O314" cm="1">
        <f t="array" ref="O314">_xlfn.IFNA(_xlfn.IFS(L314=1,"A0",A314=EOMONTH(A314,0),"A-1",L314=2,"A+1"),0)</f>
        <v>0</v>
      </c>
      <c r="P314" cm="1">
        <f t="array" ref="P314">_xlfn.IFNA(_xlfn.IFS(AND(_xlfn.XLOOKUP(A314,'LPG Fup'!D:D,'LPG Fup'!M:M,"",0)&lt;&gt;"",_xlfn.XLOOKUP(A314,'LPG Fup'!D:D,'LPG Fup'!M:M,"",0)&gt;0),"Z-1", AND(_xlfn.XLOOKUP(A314+1,'LPG Fup'!D:D,'LPG Fup'!M:M,"",0)&lt;&gt;"",_xlfn.XLOOKUP(A314+1,'LPG Fup'!D:D,'LPG Fup'!M:M,"",0)&gt;0),"Z-2", AND(_xlfn.XLOOKUP(A314-1,'LPG Fup'!D:D,'LPG Fup'!M:M,"",0)&lt;&gt;"",_xlfn.XLOOKUP(A314-1,'LPG Fup'!D:D,'LPG Fup'!M:M,"",0)&gt;0),"Z", AND(_xlfn.XLOOKUP(A314-2,'LPG Fup'!D:D,'LPG Fup'!M:M,"",0)&lt;&gt;"",_xlfn.XLOOKUP(A314-2,'LPG Fup'!D:D,'LPG Fup'!M:M,"",0)&gt;0),"Z+1"),0)</f>
        <v>0</v>
      </c>
      <c r="Q314" t="str" cm="1">
        <f t="array" ref="Q314">_xlfn.IFNA(_xlfn.IFS(AND(_xlfn.XLOOKUP(A314,'LPG Fup'!D:D,'LPG Fup'!M:M,"",0)&lt;&gt;"",_xlfn.XLOOKUP(A314,'LPG Fup'!D:D,'LPG Fup'!M:M,"",0)&lt;0),"I-1", AND(_xlfn.XLOOKUP(A314+1,'LPG Fup'!D:D,'LPG Fup'!M:M,"",0)&lt;&gt;"",_xlfn.XLOOKUP(A314+1,'LPG Fup'!D:D,'LPG Fup'!M:M,"",0)&lt;0),"I-2", AND(_xlfn.XLOOKUP(A314-1,'LPG Fup'!D:D,'LPG Fup'!M:M,"",0)&lt;&gt;"",_xlfn.XLOOKUP(A314-1,'LPG Fup'!D:D,'LPG Fup'!M:M,"",0)&lt;0),"I", AND(_xlfn.XLOOKUP(A314-2,'LPG Fup'!D:D,'LPG Fup'!M:M,"",0)&lt;&gt;"",_xlfn.XLOOKUP(A314-2,'LPG Fup'!D:D,'LPG Fup'!M:M,"",0)&lt;0),"I+1"),0)</f>
        <v>I+1</v>
      </c>
      <c r="R314">
        <f>_xlfn.XLOOKUP(A314,Covid!A:A,Covid!I:I,0,0)</f>
        <v>2408</v>
      </c>
      <c r="S314">
        <f>_xlfn.XLOOKUP(A314,Covid!A:A,Covid!K:K,0,0)</f>
        <v>253</v>
      </c>
      <c r="T314" s="145">
        <f>_xlfn.XLOOKUP(A314,Covid!A:A,Covid!K:K,0,0)/_xlfn.XLOOKUP(A314,Covid!A:A,Covid!L:L,0,0)</f>
        <v>7.0698038339015255E-3</v>
      </c>
    </row>
    <row r="315" spans="1:20" x14ac:dyDescent="0.55000000000000004">
      <c r="A315" s="157">
        <v>44296</v>
      </c>
      <c r="B315" s="13">
        <v>941200</v>
      </c>
      <c r="C315" s="13">
        <v>303797</v>
      </c>
      <c r="D315" s="13">
        <v>4620</v>
      </c>
      <c r="E315" s="13">
        <v>424677</v>
      </c>
      <c r="F315" s="13">
        <v>1674294</v>
      </c>
      <c r="G315">
        <f>IF(OR(_xlfn.XLOOKUP(A315,'LPG Fup'!D:D,'LPG Fup'!L:L,"",0)&gt;0.03,_xlfn.XLOOKUP(A315,'LPG Fup'!D:D,'LPG Fup'!L:L,"",0)&lt;-0.03),_xlfn.XLOOKUP(A315,'LPG Fup'!D:D,'LPG Fup'!L:L,0,0),0)</f>
        <v>0</v>
      </c>
      <c r="H315">
        <f>IF(_xlfn.XLOOKUP(A315,'LPG Fup'!D:D,'LPG Fup'!M:M,0,0)="",0,_xlfn.XLOOKUP(A315,'LPG Fup'!D:D,'LPG Fup'!M:M,0,0))</f>
        <v>0</v>
      </c>
      <c r="I315" s="109">
        <f>_xlfn.XLOOKUP(A315,'Rafineri Fiyatları'!A:A,'Rafineri Fiyatları'!B:B,"",0)</f>
        <v>4474.6635999999999</v>
      </c>
      <c r="J315">
        <f t="shared" si="16"/>
        <v>2021</v>
      </c>
      <c r="K315">
        <f t="shared" si="17"/>
        <v>4</v>
      </c>
      <c r="L315">
        <f t="shared" si="18"/>
        <v>10</v>
      </c>
      <c r="M315">
        <f t="shared" si="19"/>
        <v>7</v>
      </c>
      <c r="N315">
        <f>_xlfn.XLOOKUP(A315,tatiller!H:H,tatiller!I:I,0,0)</f>
        <v>0</v>
      </c>
      <c r="O315" cm="1">
        <f t="array" ref="O315">_xlfn.IFNA(_xlfn.IFS(L315=1,"A0",A315=EOMONTH(A315,0),"A-1",L315=2,"A+1"),0)</f>
        <v>0</v>
      </c>
      <c r="P315" cm="1">
        <f t="array" ref="P315">_xlfn.IFNA(_xlfn.IFS(AND(_xlfn.XLOOKUP(A315,'LPG Fup'!D:D,'LPG Fup'!M:M,"",0)&lt;&gt;"",_xlfn.XLOOKUP(A315,'LPG Fup'!D:D,'LPG Fup'!M:M,"",0)&gt;0),"Z-1", AND(_xlfn.XLOOKUP(A315+1,'LPG Fup'!D:D,'LPG Fup'!M:M,"",0)&lt;&gt;"",_xlfn.XLOOKUP(A315+1,'LPG Fup'!D:D,'LPG Fup'!M:M,"",0)&gt;0),"Z-2", AND(_xlfn.XLOOKUP(A315-1,'LPG Fup'!D:D,'LPG Fup'!M:M,"",0)&lt;&gt;"",_xlfn.XLOOKUP(A315-1,'LPG Fup'!D:D,'LPG Fup'!M:M,"",0)&gt;0),"Z", AND(_xlfn.XLOOKUP(A315-2,'LPG Fup'!D:D,'LPG Fup'!M:M,"",0)&lt;&gt;"",_xlfn.XLOOKUP(A315-2,'LPG Fup'!D:D,'LPG Fup'!M:M,"",0)&gt;0),"Z+1"),0)</f>
        <v>0</v>
      </c>
      <c r="Q315" cm="1">
        <f t="array" ref="Q315">_xlfn.IFNA(_xlfn.IFS(AND(_xlfn.XLOOKUP(A315,'LPG Fup'!D:D,'LPG Fup'!M:M,"",0)&lt;&gt;"",_xlfn.XLOOKUP(A315,'LPG Fup'!D:D,'LPG Fup'!M:M,"",0)&lt;0),"I-1", AND(_xlfn.XLOOKUP(A315+1,'LPG Fup'!D:D,'LPG Fup'!M:M,"",0)&lt;&gt;"",_xlfn.XLOOKUP(A315+1,'LPG Fup'!D:D,'LPG Fup'!M:M,"",0)&lt;0),"I-2", AND(_xlfn.XLOOKUP(A315-1,'LPG Fup'!D:D,'LPG Fup'!M:M,"",0)&lt;&gt;"",_xlfn.XLOOKUP(A315-1,'LPG Fup'!D:D,'LPG Fup'!M:M,"",0)&lt;0),"I", AND(_xlfn.XLOOKUP(A315-2,'LPG Fup'!D:D,'LPG Fup'!M:M,"",0)&lt;&gt;"",_xlfn.XLOOKUP(A315-2,'LPG Fup'!D:D,'LPG Fup'!M:M,"",0)&lt;0),"I+1"),0)</f>
        <v>0</v>
      </c>
      <c r="R315">
        <f>_xlfn.XLOOKUP(A315,Covid!A:A,Covid!I:I,0,0)</f>
        <v>2497</v>
      </c>
      <c r="S315">
        <f>_xlfn.XLOOKUP(A315,Covid!A:A,Covid!K:K,0,0)</f>
        <v>248</v>
      </c>
      <c r="T315" s="145">
        <f>_xlfn.XLOOKUP(A315,Covid!A:A,Covid!K:K,0,0)/_xlfn.XLOOKUP(A315,Covid!A:A,Covid!L:L,0,0)</f>
        <v>7.6216232828298352E-3</v>
      </c>
    </row>
    <row r="316" spans="1:20" x14ac:dyDescent="0.55000000000000004">
      <c r="A316" s="157">
        <v>44297</v>
      </c>
      <c r="B316" s="13">
        <v>783300</v>
      </c>
      <c r="C316" s="13">
        <v>0</v>
      </c>
      <c r="D316" s="13">
        <v>11020</v>
      </c>
      <c r="E316" s="13">
        <v>103545</v>
      </c>
      <c r="F316" s="13">
        <v>897865</v>
      </c>
      <c r="G316">
        <f>IF(OR(_xlfn.XLOOKUP(A316,'LPG Fup'!D:D,'LPG Fup'!L:L,"",0)&gt;0.03,_xlfn.XLOOKUP(A316,'LPG Fup'!D:D,'LPG Fup'!L:L,"",0)&lt;-0.03),_xlfn.XLOOKUP(A316,'LPG Fup'!D:D,'LPG Fup'!L:L,0,0),0)</f>
        <v>0</v>
      </c>
      <c r="H316">
        <f>IF(_xlfn.XLOOKUP(A316,'LPG Fup'!D:D,'LPG Fup'!M:M,0,0)="",0,_xlfn.XLOOKUP(A316,'LPG Fup'!D:D,'LPG Fup'!M:M,0,0))</f>
        <v>0</v>
      </c>
      <c r="I316" s="109">
        <f>_xlfn.XLOOKUP(A316,'Rafineri Fiyatları'!A:A,'Rafineri Fiyatları'!B:B,"",0)</f>
        <v>4474.6635999999999</v>
      </c>
      <c r="J316">
        <f t="shared" si="16"/>
        <v>2021</v>
      </c>
      <c r="K316">
        <f t="shared" si="17"/>
        <v>4</v>
      </c>
      <c r="L316">
        <f t="shared" si="18"/>
        <v>11</v>
      </c>
      <c r="M316">
        <f t="shared" si="19"/>
        <v>1</v>
      </c>
      <c r="N316">
        <f>_xlfn.XLOOKUP(A316,tatiller!H:H,tatiller!I:I,0,0)</f>
        <v>0</v>
      </c>
      <c r="O316" cm="1">
        <f t="array" ref="O316">_xlfn.IFNA(_xlfn.IFS(L316=1,"A0",A316=EOMONTH(A316,0),"A-1",L316=2,"A+1"),0)</f>
        <v>0</v>
      </c>
      <c r="P316" cm="1">
        <f t="array" ref="P316">_xlfn.IFNA(_xlfn.IFS(AND(_xlfn.XLOOKUP(A316,'LPG Fup'!D:D,'LPG Fup'!M:M,"",0)&lt;&gt;"",_xlfn.XLOOKUP(A316,'LPG Fup'!D:D,'LPG Fup'!M:M,"",0)&gt;0),"Z-1", AND(_xlfn.XLOOKUP(A316+1,'LPG Fup'!D:D,'LPG Fup'!M:M,"",0)&lt;&gt;"",_xlfn.XLOOKUP(A316+1,'LPG Fup'!D:D,'LPG Fup'!M:M,"",0)&gt;0),"Z-2", AND(_xlfn.XLOOKUP(A316-1,'LPG Fup'!D:D,'LPG Fup'!M:M,"",0)&lt;&gt;"",_xlfn.XLOOKUP(A316-1,'LPG Fup'!D:D,'LPG Fup'!M:M,"",0)&gt;0),"Z", AND(_xlfn.XLOOKUP(A316-2,'LPG Fup'!D:D,'LPG Fup'!M:M,"",0)&lt;&gt;"",_xlfn.XLOOKUP(A316-2,'LPG Fup'!D:D,'LPG Fup'!M:M,"",0)&gt;0),"Z+1"),0)</f>
        <v>0</v>
      </c>
      <c r="Q316" cm="1">
        <f t="array" ref="Q316">_xlfn.IFNA(_xlfn.IFS(AND(_xlfn.XLOOKUP(A316,'LPG Fup'!D:D,'LPG Fup'!M:M,"",0)&lt;&gt;"",_xlfn.XLOOKUP(A316,'LPG Fup'!D:D,'LPG Fup'!M:M,"",0)&lt;0),"I-1", AND(_xlfn.XLOOKUP(A316+1,'LPG Fup'!D:D,'LPG Fup'!M:M,"",0)&lt;&gt;"",_xlfn.XLOOKUP(A316+1,'LPG Fup'!D:D,'LPG Fup'!M:M,"",0)&lt;0),"I-2", AND(_xlfn.XLOOKUP(A316-1,'LPG Fup'!D:D,'LPG Fup'!M:M,"",0)&lt;&gt;"",_xlfn.XLOOKUP(A316-1,'LPG Fup'!D:D,'LPG Fup'!M:M,"",0)&lt;0),"I", AND(_xlfn.XLOOKUP(A316-2,'LPG Fup'!D:D,'LPG Fup'!M:M,"",0)&lt;&gt;"",_xlfn.XLOOKUP(A316-2,'LPG Fup'!D:D,'LPG Fup'!M:M,"",0)&lt;0),"I+1"),0)</f>
        <v>0</v>
      </c>
      <c r="R316">
        <f>_xlfn.XLOOKUP(A316,Covid!A:A,Covid!I:I,0,0)</f>
        <v>2548</v>
      </c>
      <c r="S316">
        <f>_xlfn.XLOOKUP(A316,Covid!A:A,Covid!K:K,0,0)</f>
        <v>237</v>
      </c>
      <c r="T316" s="145">
        <f>_xlfn.XLOOKUP(A316,Covid!A:A,Covid!K:K,0,0)/_xlfn.XLOOKUP(A316,Covid!A:A,Covid!L:L,0,0)</f>
        <v>7.8492415711730809E-3</v>
      </c>
    </row>
    <row r="317" spans="1:20" x14ac:dyDescent="0.55000000000000004">
      <c r="A317" s="157">
        <v>44298</v>
      </c>
      <c r="B317" s="13">
        <v>848720</v>
      </c>
      <c r="C317" s="13">
        <v>448739</v>
      </c>
      <c r="D317" s="13">
        <v>9757</v>
      </c>
      <c r="E317" s="13">
        <v>497290</v>
      </c>
      <c r="F317" s="13">
        <v>1804506</v>
      </c>
      <c r="G317">
        <f>IF(OR(_xlfn.XLOOKUP(A317,'LPG Fup'!D:D,'LPG Fup'!L:L,"",0)&gt;0.03,_xlfn.XLOOKUP(A317,'LPG Fup'!D:D,'LPG Fup'!L:L,"",0)&lt;-0.03),_xlfn.XLOOKUP(A317,'LPG Fup'!D:D,'LPG Fup'!L:L,0,0),0)</f>
        <v>0</v>
      </c>
      <c r="H317">
        <f>IF(_xlfn.XLOOKUP(A317,'LPG Fup'!D:D,'LPG Fup'!M:M,0,0)="",0,_xlfn.XLOOKUP(A317,'LPG Fup'!D:D,'LPG Fup'!M:M,0,0))</f>
        <v>0</v>
      </c>
      <c r="I317" s="109">
        <f>_xlfn.XLOOKUP(A317,'Rafineri Fiyatları'!A:A,'Rafineri Fiyatları'!B:B,"",0)</f>
        <v>4474.6635999999999</v>
      </c>
      <c r="J317">
        <f t="shared" si="16"/>
        <v>2021</v>
      </c>
      <c r="K317">
        <f t="shared" si="17"/>
        <v>4</v>
      </c>
      <c r="L317">
        <f t="shared" si="18"/>
        <v>12</v>
      </c>
      <c r="M317">
        <f t="shared" si="19"/>
        <v>2</v>
      </c>
      <c r="N317">
        <f>_xlfn.XLOOKUP(A317,tatiller!H:H,tatiller!I:I,0,0)</f>
        <v>0</v>
      </c>
      <c r="O317" cm="1">
        <f t="array" ref="O317">_xlfn.IFNA(_xlfn.IFS(L317=1,"A0",A317=EOMONTH(A317,0),"A-1",L317=2,"A+1"),0)</f>
        <v>0</v>
      </c>
      <c r="P317" cm="1">
        <f t="array" ref="P317">_xlfn.IFNA(_xlfn.IFS(AND(_xlfn.XLOOKUP(A317,'LPG Fup'!D:D,'LPG Fup'!M:M,"",0)&lt;&gt;"",_xlfn.XLOOKUP(A317,'LPG Fup'!D:D,'LPG Fup'!M:M,"",0)&gt;0),"Z-1", AND(_xlfn.XLOOKUP(A317+1,'LPG Fup'!D:D,'LPG Fup'!M:M,"",0)&lt;&gt;"",_xlfn.XLOOKUP(A317+1,'LPG Fup'!D:D,'LPG Fup'!M:M,"",0)&gt;0),"Z-2", AND(_xlfn.XLOOKUP(A317-1,'LPG Fup'!D:D,'LPG Fup'!M:M,"",0)&lt;&gt;"",_xlfn.XLOOKUP(A317-1,'LPG Fup'!D:D,'LPG Fup'!M:M,"",0)&gt;0),"Z", AND(_xlfn.XLOOKUP(A317-2,'LPG Fup'!D:D,'LPG Fup'!M:M,"",0)&lt;&gt;"",_xlfn.XLOOKUP(A317-2,'LPG Fup'!D:D,'LPG Fup'!M:M,"",0)&gt;0),"Z+1"),0)</f>
        <v>0</v>
      </c>
      <c r="Q317" cm="1">
        <f t="array" ref="Q317">_xlfn.IFNA(_xlfn.IFS(AND(_xlfn.XLOOKUP(A317,'LPG Fup'!D:D,'LPG Fup'!M:M,"",0)&lt;&gt;"",_xlfn.XLOOKUP(A317,'LPG Fup'!D:D,'LPG Fup'!M:M,"",0)&lt;0),"I-1", AND(_xlfn.XLOOKUP(A317+1,'LPG Fup'!D:D,'LPG Fup'!M:M,"",0)&lt;&gt;"",_xlfn.XLOOKUP(A317+1,'LPG Fup'!D:D,'LPG Fup'!M:M,"",0)&lt;0),"I-2", AND(_xlfn.XLOOKUP(A317-1,'LPG Fup'!D:D,'LPG Fup'!M:M,"",0)&lt;&gt;"",_xlfn.XLOOKUP(A317-1,'LPG Fup'!D:D,'LPG Fup'!M:M,"",0)&lt;0),"I", AND(_xlfn.XLOOKUP(A317-2,'LPG Fup'!D:D,'LPG Fup'!M:M,"",0)&lt;&gt;"",_xlfn.XLOOKUP(A317-2,'LPG Fup'!D:D,'LPG Fup'!M:M,"",0)&lt;0),"I+1"),0)</f>
        <v>0</v>
      </c>
      <c r="R317">
        <f>_xlfn.XLOOKUP(A317,Covid!A:A,Covid!I:I,0,0)</f>
        <v>2671</v>
      </c>
      <c r="S317">
        <f>_xlfn.XLOOKUP(A317,Covid!A:A,Covid!K:K,0,0)</f>
        <v>243</v>
      </c>
      <c r="T317" s="145">
        <f>_xlfn.XLOOKUP(A317,Covid!A:A,Covid!K:K,0,0)/_xlfn.XLOOKUP(A317,Covid!A:A,Covid!L:L,0,0)</f>
        <v>5.8954825561647823E-3</v>
      </c>
    </row>
    <row r="318" spans="1:20" x14ac:dyDescent="0.55000000000000004">
      <c r="A318" s="157">
        <v>44299</v>
      </c>
      <c r="B318" s="13">
        <v>1308920</v>
      </c>
      <c r="C318" s="13">
        <v>438502</v>
      </c>
      <c r="D318" s="13">
        <v>11638</v>
      </c>
      <c r="E318" s="13">
        <v>493705</v>
      </c>
      <c r="F318" s="13">
        <v>2252765</v>
      </c>
      <c r="G318">
        <f>IF(OR(_xlfn.XLOOKUP(A318,'LPG Fup'!D:D,'LPG Fup'!L:L,"",0)&gt;0.03,_xlfn.XLOOKUP(A318,'LPG Fup'!D:D,'LPG Fup'!L:L,"",0)&lt;-0.03),_xlfn.XLOOKUP(A318,'LPG Fup'!D:D,'LPG Fup'!L:L,0,0),0)</f>
        <v>0</v>
      </c>
      <c r="H318">
        <f>IF(_xlfn.XLOOKUP(A318,'LPG Fup'!D:D,'LPG Fup'!M:M,0,0)="",0,_xlfn.XLOOKUP(A318,'LPG Fup'!D:D,'LPG Fup'!M:M,0,0))</f>
        <v>0</v>
      </c>
      <c r="I318" s="109">
        <f>_xlfn.XLOOKUP(A318,'Rafineri Fiyatları'!A:A,'Rafineri Fiyatları'!B:B,"",0)</f>
        <v>4474.6635999999999</v>
      </c>
      <c r="J318">
        <f t="shared" si="16"/>
        <v>2021</v>
      </c>
      <c r="K318">
        <f t="shared" si="17"/>
        <v>4</v>
      </c>
      <c r="L318">
        <f t="shared" si="18"/>
        <v>13</v>
      </c>
      <c r="M318">
        <f t="shared" si="19"/>
        <v>3</v>
      </c>
      <c r="N318">
        <f>_xlfn.XLOOKUP(A318,tatiller!H:H,tatiller!I:I,0,0)</f>
        <v>0</v>
      </c>
      <c r="O318" cm="1">
        <f t="array" ref="O318">_xlfn.IFNA(_xlfn.IFS(L318=1,"A0",A318=EOMONTH(A318,0),"A-1",L318=2,"A+1"),0)</f>
        <v>0</v>
      </c>
      <c r="P318" cm="1">
        <f t="array" ref="P318">_xlfn.IFNA(_xlfn.IFS(AND(_xlfn.XLOOKUP(A318,'LPG Fup'!D:D,'LPG Fup'!M:M,"",0)&lt;&gt;"",_xlfn.XLOOKUP(A318,'LPG Fup'!D:D,'LPG Fup'!M:M,"",0)&gt;0),"Z-1", AND(_xlfn.XLOOKUP(A318+1,'LPG Fup'!D:D,'LPG Fup'!M:M,"",0)&lt;&gt;"",_xlfn.XLOOKUP(A318+1,'LPG Fup'!D:D,'LPG Fup'!M:M,"",0)&gt;0),"Z-2", AND(_xlfn.XLOOKUP(A318-1,'LPG Fup'!D:D,'LPG Fup'!M:M,"",0)&lt;&gt;"",_xlfn.XLOOKUP(A318-1,'LPG Fup'!D:D,'LPG Fup'!M:M,"",0)&gt;0),"Z", AND(_xlfn.XLOOKUP(A318-2,'LPG Fup'!D:D,'LPG Fup'!M:M,"",0)&lt;&gt;"",_xlfn.XLOOKUP(A318-2,'LPG Fup'!D:D,'LPG Fup'!M:M,"",0)&gt;0),"Z+1"),0)</f>
        <v>0</v>
      </c>
      <c r="Q318" cm="1">
        <f t="array" ref="Q318">_xlfn.IFNA(_xlfn.IFS(AND(_xlfn.XLOOKUP(A318,'LPG Fup'!D:D,'LPG Fup'!M:M,"",0)&lt;&gt;"",_xlfn.XLOOKUP(A318,'LPG Fup'!D:D,'LPG Fup'!M:M,"",0)&lt;0),"I-1", AND(_xlfn.XLOOKUP(A318+1,'LPG Fup'!D:D,'LPG Fup'!M:M,"",0)&lt;&gt;"",_xlfn.XLOOKUP(A318+1,'LPG Fup'!D:D,'LPG Fup'!M:M,"",0)&lt;0),"I-2", AND(_xlfn.XLOOKUP(A318-1,'LPG Fup'!D:D,'LPG Fup'!M:M,"",0)&lt;&gt;"",_xlfn.XLOOKUP(A318-1,'LPG Fup'!D:D,'LPG Fup'!M:M,"",0)&lt;0),"I", AND(_xlfn.XLOOKUP(A318-2,'LPG Fup'!D:D,'LPG Fup'!M:M,"",0)&lt;&gt;"",_xlfn.XLOOKUP(A318-2,'LPG Fup'!D:D,'LPG Fup'!M:M,"",0)&lt;0),"I+1"),0)</f>
        <v>0</v>
      </c>
      <c r="R318">
        <f>_xlfn.XLOOKUP(A318,Covid!A:A,Covid!I:I,0,0)</f>
        <v>2723</v>
      </c>
      <c r="S318">
        <f>_xlfn.XLOOKUP(A318,Covid!A:A,Covid!K:K,0,0)</f>
        <v>273</v>
      </c>
      <c r="T318" s="145">
        <f>_xlfn.XLOOKUP(A318,Covid!A:A,Covid!K:K,0,0)/_xlfn.XLOOKUP(A318,Covid!A:A,Covid!L:L,0,0)</f>
        <v>5.239520958083832E-3</v>
      </c>
    </row>
    <row r="319" spans="1:20" x14ac:dyDescent="0.55000000000000004">
      <c r="A319" s="157">
        <v>44300</v>
      </c>
      <c r="B319" s="13">
        <v>807220</v>
      </c>
      <c r="C319" s="13">
        <v>344848</v>
      </c>
      <c r="D319" s="13">
        <v>10710</v>
      </c>
      <c r="E319" s="13">
        <v>420724</v>
      </c>
      <c r="F319" s="13">
        <v>1583502</v>
      </c>
      <c r="G319">
        <f>IF(OR(_xlfn.XLOOKUP(A319,'LPG Fup'!D:D,'LPG Fup'!L:L,"",0)&gt;0.03,_xlfn.XLOOKUP(A319,'LPG Fup'!D:D,'LPG Fup'!L:L,"",0)&lt;-0.03),_xlfn.XLOOKUP(A319,'LPG Fup'!D:D,'LPG Fup'!L:L,0,0),0)</f>
        <v>0</v>
      </c>
      <c r="H319">
        <f>IF(_xlfn.XLOOKUP(A319,'LPG Fup'!D:D,'LPG Fup'!M:M,0,0)="",0,_xlfn.XLOOKUP(A319,'LPG Fup'!D:D,'LPG Fup'!M:M,0,0))</f>
        <v>0</v>
      </c>
      <c r="I319" s="109">
        <f>_xlfn.XLOOKUP(A319,'Rafineri Fiyatları'!A:A,'Rafineri Fiyatları'!B:B,"",0)</f>
        <v>4474.6635999999999</v>
      </c>
      <c r="J319">
        <f t="shared" si="16"/>
        <v>2021</v>
      </c>
      <c r="K319">
        <f t="shared" si="17"/>
        <v>4</v>
      </c>
      <c r="L319">
        <f t="shared" si="18"/>
        <v>14</v>
      </c>
      <c r="M319">
        <f t="shared" si="19"/>
        <v>4</v>
      </c>
      <c r="N319">
        <f>_xlfn.XLOOKUP(A319,tatiller!H:H,tatiller!I:I,0,0)</f>
        <v>0</v>
      </c>
      <c r="O319" cm="1">
        <f t="array" ref="O319">_xlfn.IFNA(_xlfn.IFS(L319=1,"A0",A319=EOMONTH(A319,0),"A-1",L319=2,"A+1"),0)</f>
        <v>0</v>
      </c>
      <c r="P319" cm="1">
        <f t="array" ref="P319">_xlfn.IFNA(_xlfn.IFS(AND(_xlfn.XLOOKUP(A319,'LPG Fup'!D:D,'LPG Fup'!M:M,"",0)&lt;&gt;"",_xlfn.XLOOKUP(A319,'LPG Fup'!D:D,'LPG Fup'!M:M,"",0)&gt;0),"Z-1", AND(_xlfn.XLOOKUP(A319+1,'LPG Fup'!D:D,'LPG Fup'!M:M,"",0)&lt;&gt;"",_xlfn.XLOOKUP(A319+1,'LPG Fup'!D:D,'LPG Fup'!M:M,"",0)&gt;0),"Z-2", AND(_xlfn.XLOOKUP(A319-1,'LPG Fup'!D:D,'LPG Fup'!M:M,"",0)&lt;&gt;"",_xlfn.XLOOKUP(A319-1,'LPG Fup'!D:D,'LPG Fup'!M:M,"",0)&gt;0),"Z", AND(_xlfn.XLOOKUP(A319-2,'LPG Fup'!D:D,'LPG Fup'!M:M,"",0)&lt;&gt;"",_xlfn.XLOOKUP(A319-2,'LPG Fup'!D:D,'LPG Fup'!M:M,"",0)&gt;0),"Z+1"),0)</f>
        <v>0</v>
      </c>
      <c r="Q319" cm="1">
        <f t="array" ref="Q319">_xlfn.IFNA(_xlfn.IFS(AND(_xlfn.XLOOKUP(A319,'LPG Fup'!D:D,'LPG Fup'!M:M,"",0)&lt;&gt;"",_xlfn.XLOOKUP(A319,'LPG Fup'!D:D,'LPG Fup'!M:M,"",0)&lt;0),"I-1", AND(_xlfn.XLOOKUP(A319+1,'LPG Fup'!D:D,'LPG Fup'!M:M,"",0)&lt;&gt;"",_xlfn.XLOOKUP(A319+1,'LPG Fup'!D:D,'LPG Fup'!M:M,"",0)&lt;0),"I-2", AND(_xlfn.XLOOKUP(A319-1,'LPG Fup'!D:D,'LPG Fup'!M:M,"",0)&lt;&gt;"",_xlfn.XLOOKUP(A319-1,'LPG Fup'!D:D,'LPG Fup'!M:M,"",0)&lt;0),"I", AND(_xlfn.XLOOKUP(A319-2,'LPG Fup'!D:D,'LPG Fup'!M:M,"",0)&lt;&gt;"",_xlfn.XLOOKUP(A319-2,'LPG Fup'!D:D,'LPG Fup'!M:M,"",0)&lt;0),"I+1"),0)</f>
        <v>0</v>
      </c>
      <c r="R319">
        <f>_xlfn.XLOOKUP(A319,Covid!A:A,Covid!I:I,0,0)</f>
        <v>2802</v>
      </c>
      <c r="S319">
        <f>_xlfn.XLOOKUP(A319,Covid!A:A,Covid!K:K,0,0)</f>
        <v>279</v>
      </c>
      <c r="T319" s="145">
        <f>_xlfn.XLOOKUP(A319,Covid!A:A,Covid!K:K,0,0)/_xlfn.XLOOKUP(A319,Covid!A:A,Covid!L:L,0,0)</f>
        <v>5.0349196037031019E-3</v>
      </c>
    </row>
    <row r="320" spans="1:20" x14ac:dyDescent="0.55000000000000004">
      <c r="A320" s="157">
        <v>44301</v>
      </c>
      <c r="B320" s="13">
        <v>793820</v>
      </c>
      <c r="C320" s="13">
        <v>415504</v>
      </c>
      <c r="D320" s="13">
        <v>6704</v>
      </c>
      <c r="E320" s="13">
        <v>382955</v>
      </c>
      <c r="F320" s="13">
        <v>1598983</v>
      </c>
      <c r="G320">
        <f>IF(OR(_xlfn.XLOOKUP(A320,'LPG Fup'!D:D,'LPG Fup'!L:L,"",0)&gt;0.03,_xlfn.XLOOKUP(A320,'LPG Fup'!D:D,'LPG Fup'!L:L,"",0)&lt;-0.03),_xlfn.XLOOKUP(A320,'LPG Fup'!D:D,'LPG Fup'!L:L,0,0),0)</f>
        <v>0</v>
      </c>
      <c r="H320">
        <f>IF(_xlfn.XLOOKUP(A320,'LPG Fup'!D:D,'LPG Fup'!M:M,0,0)="",0,_xlfn.XLOOKUP(A320,'LPG Fup'!D:D,'LPG Fup'!M:M,0,0))</f>
        <v>0</v>
      </c>
      <c r="I320" s="109">
        <f>_xlfn.XLOOKUP(A320,'Rafineri Fiyatları'!A:A,'Rafineri Fiyatları'!B:B,"",0)</f>
        <v>4474.6635999999999</v>
      </c>
      <c r="J320">
        <f t="shared" si="16"/>
        <v>2021</v>
      </c>
      <c r="K320">
        <f t="shared" si="17"/>
        <v>4</v>
      </c>
      <c r="L320">
        <f t="shared" si="18"/>
        <v>15</v>
      </c>
      <c r="M320">
        <f t="shared" si="19"/>
        <v>5</v>
      </c>
      <c r="N320">
        <f>_xlfn.XLOOKUP(A320,tatiller!H:H,tatiller!I:I,0,0)</f>
        <v>0</v>
      </c>
      <c r="O320" cm="1">
        <f t="array" ref="O320">_xlfn.IFNA(_xlfn.IFS(L320=1,"A0",A320=EOMONTH(A320,0),"A-1",L320=2,"A+1"),0)</f>
        <v>0</v>
      </c>
      <c r="P320" cm="1">
        <f t="array" ref="P320">_xlfn.IFNA(_xlfn.IFS(AND(_xlfn.XLOOKUP(A320,'LPG Fup'!D:D,'LPG Fup'!M:M,"",0)&lt;&gt;"",_xlfn.XLOOKUP(A320,'LPG Fup'!D:D,'LPG Fup'!M:M,"",0)&gt;0),"Z-1", AND(_xlfn.XLOOKUP(A320+1,'LPG Fup'!D:D,'LPG Fup'!M:M,"",0)&lt;&gt;"",_xlfn.XLOOKUP(A320+1,'LPG Fup'!D:D,'LPG Fup'!M:M,"",0)&gt;0),"Z-2", AND(_xlfn.XLOOKUP(A320-1,'LPG Fup'!D:D,'LPG Fup'!M:M,"",0)&lt;&gt;"",_xlfn.XLOOKUP(A320-1,'LPG Fup'!D:D,'LPG Fup'!M:M,"",0)&gt;0),"Z", AND(_xlfn.XLOOKUP(A320-2,'LPG Fup'!D:D,'LPG Fup'!M:M,"",0)&lt;&gt;"",_xlfn.XLOOKUP(A320-2,'LPG Fup'!D:D,'LPG Fup'!M:M,"",0)&gt;0),"Z+1"),0)</f>
        <v>0</v>
      </c>
      <c r="Q320" cm="1">
        <f t="array" ref="Q320">_xlfn.IFNA(_xlfn.IFS(AND(_xlfn.XLOOKUP(A320,'LPG Fup'!D:D,'LPG Fup'!M:M,"",0)&lt;&gt;"",_xlfn.XLOOKUP(A320,'LPG Fup'!D:D,'LPG Fup'!M:M,"",0)&lt;0),"I-1", AND(_xlfn.XLOOKUP(A320+1,'LPG Fup'!D:D,'LPG Fup'!M:M,"",0)&lt;&gt;"",_xlfn.XLOOKUP(A320+1,'LPG Fup'!D:D,'LPG Fup'!M:M,"",0)&lt;0),"I-2", AND(_xlfn.XLOOKUP(A320-1,'LPG Fup'!D:D,'LPG Fup'!M:M,"",0)&lt;&gt;"",_xlfn.XLOOKUP(A320-1,'LPG Fup'!D:D,'LPG Fup'!M:M,"",0)&lt;0),"I", AND(_xlfn.XLOOKUP(A320-2,'LPG Fup'!D:D,'LPG Fup'!M:M,"",0)&lt;&gt;"",_xlfn.XLOOKUP(A320-2,'LPG Fup'!D:D,'LPG Fup'!M:M,"",0)&lt;0),"I+1"),0)</f>
        <v>0</v>
      </c>
      <c r="R320">
        <f>_xlfn.XLOOKUP(A320,Covid!A:A,Covid!I:I,0,0)</f>
        <v>2845</v>
      </c>
      <c r="S320">
        <f>_xlfn.XLOOKUP(A320,Covid!A:A,Covid!K:K,0,0)</f>
        <v>297</v>
      </c>
      <c r="T320" s="145">
        <f>_xlfn.XLOOKUP(A320,Covid!A:A,Covid!K:K,0,0)/_xlfn.XLOOKUP(A320,Covid!A:A,Covid!L:L,0,0)</f>
        <v>5.4104273691113784E-3</v>
      </c>
    </row>
    <row r="321" spans="1:20" x14ac:dyDescent="0.55000000000000004">
      <c r="A321" s="157">
        <v>44302</v>
      </c>
      <c r="B321" s="13">
        <v>1038420</v>
      </c>
      <c r="C321" s="13">
        <v>379150</v>
      </c>
      <c r="D321" s="13">
        <v>0</v>
      </c>
      <c r="E321" s="13">
        <v>430295</v>
      </c>
      <c r="F321" s="13">
        <v>1847865</v>
      </c>
      <c r="G321">
        <f>IF(OR(_xlfn.XLOOKUP(A321,'LPG Fup'!D:D,'LPG Fup'!L:L,"",0)&gt;0.03,_xlfn.XLOOKUP(A321,'LPG Fup'!D:D,'LPG Fup'!L:L,"",0)&lt;-0.03),_xlfn.XLOOKUP(A321,'LPG Fup'!D:D,'LPG Fup'!L:L,0,0),0)</f>
        <v>0</v>
      </c>
      <c r="H321">
        <f>IF(_xlfn.XLOOKUP(A321,'LPG Fup'!D:D,'LPG Fup'!M:M,0,0)="",0,_xlfn.XLOOKUP(A321,'LPG Fup'!D:D,'LPG Fup'!M:M,0,0))</f>
        <v>0</v>
      </c>
      <c r="I321" s="109">
        <f>_xlfn.XLOOKUP(A321,'Rafineri Fiyatları'!A:A,'Rafineri Fiyatları'!B:B,"",0)</f>
        <v>4474.6635999999999</v>
      </c>
      <c r="J321">
        <f t="shared" si="16"/>
        <v>2021</v>
      </c>
      <c r="K321">
        <f t="shared" si="17"/>
        <v>4</v>
      </c>
      <c r="L321">
        <f t="shared" si="18"/>
        <v>16</v>
      </c>
      <c r="M321">
        <f t="shared" si="19"/>
        <v>6</v>
      </c>
      <c r="N321">
        <f>_xlfn.XLOOKUP(A321,tatiller!H:H,tatiller!I:I,0,0)</f>
        <v>0</v>
      </c>
      <c r="O321" cm="1">
        <f t="array" ref="O321">_xlfn.IFNA(_xlfn.IFS(L321=1,"A0",A321=EOMONTH(A321,0),"A-1",L321=2,"A+1"),0)</f>
        <v>0</v>
      </c>
      <c r="P321" cm="1">
        <f t="array" ref="P321">_xlfn.IFNA(_xlfn.IFS(AND(_xlfn.XLOOKUP(A321,'LPG Fup'!D:D,'LPG Fup'!M:M,"",0)&lt;&gt;"",_xlfn.XLOOKUP(A321,'LPG Fup'!D:D,'LPG Fup'!M:M,"",0)&gt;0),"Z-1", AND(_xlfn.XLOOKUP(A321+1,'LPG Fup'!D:D,'LPG Fup'!M:M,"",0)&lt;&gt;"",_xlfn.XLOOKUP(A321+1,'LPG Fup'!D:D,'LPG Fup'!M:M,"",0)&gt;0),"Z-2", AND(_xlfn.XLOOKUP(A321-1,'LPG Fup'!D:D,'LPG Fup'!M:M,"",0)&lt;&gt;"",_xlfn.XLOOKUP(A321-1,'LPG Fup'!D:D,'LPG Fup'!M:M,"",0)&gt;0),"Z", AND(_xlfn.XLOOKUP(A321-2,'LPG Fup'!D:D,'LPG Fup'!M:M,"",0)&lt;&gt;"",_xlfn.XLOOKUP(A321-2,'LPG Fup'!D:D,'LPG Fup'!M:M,"",0)&gt;0),"Z+1"),0)</f>
        <v>0</v>
      </c>
      <c r="Q321" cm="1">
        <f t="array" ref="Q321">_xlfn.IFNA(_xlfn.IFS(AND(_xlfn.XLOOKUP(A321,'LPG Fup'!D:D,'LPG Fup'!M:M,"",0)&lt;&gt;"",_xlfn.XLOOKUP(A321,'LPG Fup'!D:D,'LPG Fup'!M:M,"",0)&lt;0),"I-1", AND(_xlfn.XLOOKUP(A321+1,'LPG Fup'!D:D,'LPG Fup'!M:M,"",0)&lt;&gt;"",_xlfn.XLOOKUP(A321+1,'LPG Fup'!D:D,'LPG Fup'!M:M,"",0)&lt;0),"I-2", AND(_xlfn.XLOOKUP(A321-1,'LPG Fup'!D:D,'LPG Fup'!M:M,"",0)&lt;&gt;"",_xlfn.XLOOKUP(A321-1,'LPG Fup'!D:D,'LPG Fup'!M:M,"",0)&lt;0),"I", AND(_xlfn.XLOOKUP(A321-2,'LPG Fup'!D:D,'LPG Fup'!M:M,"",0)&lt;&gt;"",_xlfn.XLOOKUP(A321-2,'LPG Fup'!D:D,'LPG Fup'!M:M,"",0)&lt;0),"I+1"),0)</f>
        <v>0</v>
      </c>
      <c r="R321">
        <f>_xlfn.XLOOKUP(A321,Covid!A:A,Covid!I:I,0,0)</f>
        <v>2915</v>
      </c>
      <c r="S321">
        <f>_xlfn.XLOOKUP(A321,Covid!A:A,Covid!K:K,0,0)</f>
        <v>289</v>
      </c>
      <c r="T321" s="145">
        <f>_xlfn.XLOOKUP(A321,Covid!A:A,Covid!K:K,0,0)/_xlfn.XLOOKUP(A321,Covid!A:A,Covid!L:L,0,0)</f>
        <v>5.1141390904264729E-3</v>
      </c>
    </row>
    <row r="322" spans="1:20" x14ac:dyDescent="0.55000000000000004">
      <c r="A322" s="157">
        <v>44303</v>
      </c>
      <c r="B322" s="13">
        <v>685280</v>
      </c>
      <c r="C322" s="13">
        <v>293483</v>
      </c>
      <c r="D322" s="13">
        <v>7050</v>
      </c>
      <c r="E322" s="13">
        <v>244732</v>
      </c>
      <c r="F322" s="13">
        <v>1230545</v>
      </c>
      <c r="G322">
        <f>IF(OR(_xlfn.XLOOKUP(A322,'LPG Fup'!D:D,'LPG Fup'!L:L,"",0)&gt;0.03,_xlfn.XLOOKUP(A322,'LPG Fup'!D:D,'LPG Fup'!L:L,"",0)&lt;-0.03),_xlfn.XLOOKUP(A322,'LPG Fup'!D:D,'LPG Fup'!L:L,0,0),0)</f>
        <v>0</v>
      </c>
      <c r="H322">
        <f>IF(_xlfn.XLOOKUP(A322,'LPG Fup'!D:D,'LPG Fup'!M:M,0,0)="",0,_xlfn.XLOOKUP(A322,'LPG Fup'!D:D,'LPG Fup'!M:M,0,0))</f>
        <v>0</v>
      </c>
      <c r="I322" s="109">
        <f>_xlfn.XLOOKUP(A322,'Rafineri Fiyatları'!A:A,'Rafineri Fiyatları'!B:B,"",0)</f>
        <v>4474.6635999999999</v>
      </c>
      <c r="J322">
        <f t="shared" ref="J322:J385" si="20">YEAR(A322)</f>
        <v>2021</v>
      </c>
      <c r="K322">
        <f t="shared" ref="K322:K385" si="21">MONTH(A322)</f>
        <v>4</v>
      </c>
      <c r="L322">
        <f t="shared" ref="L322:L385" si="22">DAY(A322)</f>
        <v>17</v>
      </c>
      <c r="M322">
        <f t="shared" ref="M322:M385" si="23">WEEKDAY(A322)</f>
        <v>7</v>
      </c>
      <c r="N322">
        <f>_xlfn.XLOOKUP(A322,tatiller!H:H,tatiller!I:I,0,0)</f>
        <v>0</v>
      </c>
      <c r="O322" cm="1">
        <f t="array" ref="O322">_xlfn.IFNA(_xlfn.IFS(L322=1,"A0",A322=EOMONTH(A322,0),"A-1",L322=2,"A+1"),0)</f>
        <v>0</v>
      </c>
      <c r="P322" cm="1">
        <f t="array" ref="P322">_xlfn.IFNA(_xlfn.IFS(AND(_xlfn.XLOOKUP(A322,'LPG Fup'!D:D,'LPG Fup'!M:M,"",0)&lt;&gt;"",_xlfn.XLOOKUP(A322,'LPG Fup'!D:D,'LPG Fup'!M:M,"",0)&gt;0),"Z-1", AND(_xlfn.XLOOKUP(A322+1,'LPG Fup'!D:D,'LPG Fup'!M:M,"",0)&lt;&gt;"",_xlfn.XLOOKUP(A322+1,'LPG Fup'!D:D,'LPG Fup'!M:M,"",0)&gt;0),"Z-2", AND(_xlfn.XLOOKUP(A322-1,'LPG Fup'!D:D,'LPG Fup'!M:M,"",0)&lt;&gt;"",_xlfn.XLOOKUP(A322-1,'LPG Fup'!D:D,'LPG Fup'!M:M,"",0)&gt;0),"Z", AND(_xlfn.XLOOKUP(A322-2,'LPG Fup'!D:D,'LPG Fup'!M:M,"",0)&lt;&gt;"",_xlfn.XLOOKUP(A322-2,'LPG Fup'!D:D,'LPG Fup'!M:M,"",0)&gt;0),"Z+1"),0)</f>
        <v>0</v>
      </c>
      <c r="Q322" cm="1">
        <f t="array" ref="Q322">_xlfn.IFNA(_xlfn.IFS(AND(_xlfn.XLOOKUP(A322,'LPG Fup'!D:D,'LPG Fup'!M:M,"",0)&lt;&gt;"",_xlfn.XLOOKUP(A322,'LPG Fup'!D:D,'LPG Fup'!M:M,"",0)&lt;0),"I-1", AND(_xlfn.XLOOKUP(A322+1,'LPG Fup'!D:D,'LPG Fup'!M:M,"",0)&lt;&gt;"",_xlfn.XLOOKUP(A322+1,'LPG Fup'!D:D,'LPG Fup'!M:M,"",0)&lt;0),"I-2", AND(_xlfn.XLOOKUP(A322-1,'LPG Fup'!D:D,'LPG Fup'!M:M,"",0)&lt;&gt;"",_xlfn.XLOOKUP(A322-1,'LPG Fup'!D:D,'LPG Fup'!M:M,"",0)&lt;0),"I", AND(_xlfn.XLOOKUP(A322-2,'LPG Fup'!D:D,'LPG Fup'!M:M,"",0)&lt;&gt;"",_xlfn.XLOOKUP(A322-2,'LPG Fup'!D:D,'LPG Fup'!M:M,"",0)&lt;0),"I+1"),0)</f>
        <v>0</v>
      </c>
      <c r="R322">
        <f>_xlfn.XLOOKUP(A322,Covid!A:A,Covid!I:I,0,0)</f>
        <v>2973</v>
      </c>
      <c r="S322">
        <f>_xlfn.XLOOKUP(A322,Covid!A:A,Covid!K:K,0,0)</f>
        <v>288</v>
      </c>
      <c r="T322" s="145">
        <f>_xlfn.XLOOKUP(A322,Covid!A:A,Covid!K:K,0,0)/_xlfn.XLOOKUP(A322,Covid!A:A,Covid!L:L,0,0)</f>
        <v>5.5189330062854515E-3</v>
      </c>
    </row>
    <row r="323" spans="1:20" x14ac:dyDescent="0.55000000000000004">
      <c r="A323" s="157">
        <v>44304</v>
      </c>
      <c r="B323" s="13">
        <v>696700</v>
      </c>
      <c r="C323" s="13">
        <v>0</v>
      </c>
      <c r="D323" s="13">
        <v>5236</v>
      </c>
      <c r="E323" s="13">
        <v>80312</v>
      </c>
      <c r="F323" s="13">
        <v>782248</v>
      </c>
      <c r="G323">
        <f>IF(OR(_xlfn.XLOOKUP(A323,'LPG Fup'!D:D,'LPG Fup'!L:L,"",0)&gt;0.03,_xlfn.XLOOKUP(A323,'LPG Fup'!D:D,'LPG Fup'!L:L,"",0)&lt;-0.03),_xlfn.XLOOKUP(A323,'LPG Fup'!D:D,'LPG Fup'!L:L,0,0),0)</f>
        <v>0</v>
      </c>
      <c r="H323">
        <f>IF(_xlfn.XLOOKUP(A323,'LPG Fup'!D:D,'LPG Fup'!M:M,0,0)="",0,_xlfn.XLOOKUP(A323,'LPG Fup'!D:D,'LPG Fup'!M:M,0,0))</f>
        <v>0</v>
      </c>
      <c r="I323" s="109">
        <f>_xlfn.XLOOKUP(A323,'Rafineri Fiyatları'!A:A,'Rafineri Fiyatları'!B:B,"",0)</f>
        <v>4474.6635999999999</v>
      </c>
      <c r="J323">
        <f t="shared" si="20"/>
        <v>2021</v>
      </c>
      <c r="K323">
        <f t="shared" si="21"/>
        <v>4</v>
      </c>
      <c r="L323">
        <f t="shared" si="22"/>
        <v>18</v>
      </c>
      <c r="M323">
        <f t="shared" si="23"/>
        <v>1</v>
      </c>
      <c r="N323">
        <f>_xlfn.XLOOKUP(A323,tatiller!H:H,tatiller!I:I,0,0)</f>
        <v>0</v>
      </c>
      <c r="O323" cm="1">
        <f t="array" ref="O323">_xlfn.IFNA(_xlfn.IFS(L323=1,"A0",A323=EOMONTH(A323,0),"A-1",L323=2,"A+1"),0)</f>
        <v>0</v>
      </c>
      <c r="P323" cm="1">
        <f t="array" ref="P323">_xlfn.IFNA(_xlfn.IFS(AND(_xlfn.XLOOKUP(A323,'LPG Fup'!D:D,'LPG Fup'!M:M,"",0)&lt;&gt;"",_xlfn.XLOOKUP(A323,'LPG Fup'!D:D,'LPG Fup'!M:M,"",0)&gt;0),"Z-1", AND(_xlfn.XLOOKUP(A323+1,'LPG Fup'!D:D,'LPG Fup'!M:M,"",0)&lt;&gt;"",_xlfn.XLOOKUP(A323+1,'LPG Fup'!D:D,'LPG Fup'!M:M,"",0)&gt;0),"Z-2", AND(_xlfn.XLOOKUP(A323-1,'LPG Fup'!D:D,'LPG Fup'!M:M,"",0)&lt;&gt;"",_xlfn.XLOOKUP(A323-1,'LPG Fup'!D:D,'LPG Fup'!M:M,"",0)&gt;0),"Z", AND(_xlfn.XLOOKUP(A323-2,'LPG Fup'!D:D,'LPG Fup'!M:M,"",0)&lt;&gt;"",_xlfn.XLOOKUP(A323-2,'LPG Fup'!D:D,'LPG Fup'!M:M,"",0)&gt;0),"Z+1"),0)</f>
        <v>0</v>
      </c>
      <c r="Q323" cm="1">
        <f t="array" ref="Q323">_xlfn.IFNA(_xlfn.IFS(AND(_xlfn.XLOOKUP(A323,'LPG Fup'!D:D,'LPG Fup'!M:M,"",0)&lt;&gt;"",_xlfn.XLOOKUP(A323,'LPG Fup'!D:D,'LPG Fup'!M:M,"",0)&lt;0),"I-1", AND(_xlfn.XLOOKUP(A323+1,'LPG Fup'!D:D,'LPG Fup'!M:M,"",0)&lt;&gt;"",_xlfn.XLOOKUP(A323+1,'LPG Fup'!D:D,'LPG Fup'!M:M,"",0)&lt;0),"I-2", AND(_xlfn.XLOOKUP(A323-1,'LPG Fup'!D:D,'LPG Fup'!M:M,"",0)&lt;&gt;"",_xlfn.XLOOKUP(A323-1,'LPG Fup'!D:D,'LPG Fup'!M:M,"",0)&lt;0),"I", AND(_xlfn.XLOOKUP(A323-2,'LPG Fup'!D:D,'LPG Fup'!M:M,"",0)&lt;&gt;"",_xlfn.XLOOKUP(A323-2,'LPG Fup'!D:D,'LPG Fup'!M:M,"",0)&lt;0),"I+1"),0)</f>
        <v>0</v>
      </c>
      <c r="R323">
        <f>_xlfn.XLOOKUP(A323,Covid!A:A,Covid!I:I,0,0)</f>
        <v>3101</v>
      </c>
      <c r="S323">
        <f>_xlfn.XLOOKUP(A323,Covid!A:A,Covid!K:K,0,0)</f>
        <v>318</v>
      </c>
      <c r="T323" s="145">
        <f>_xlfn.XLOOKUP(A323,Covid!A:A,Covid!K:K,0,0)/_xlfn.XLOOKUP(A323,Covid!A:A,Covid!L:L,0,0)</f>
        <v>7.2510032834731848E-3</v>
      </c>
    </row>
    <row r="324" spans="1:20" x14ac:dyDescent="0.55000000000000004">
      <c r="A324" s="157">
        <v>44305</v>
      </c>
      <c r="B324" s="13">
        <v>419960</v>
      </c>
      <c r="C324" s="13">
        <v>416175</v>
      </c>
      <c r="D324" s="13">
        <v>0</v>
      </c>
      <c r="E324" s="13">
        <v>444575</v>
      </c>
      <c r="F324" s="13">
        <v>1280710</v>
      </c>
      <c r="G324">
        <f>IF(OR(_xlfn.XLOOKUP(A324,'LPG Fup'!D:D,'LPG Fup'!L:L,"",0)&gt;0.03,_xlfn.XLOOKUP(A324,'LPG Fup'!D:D,'LPG Fup'!L:L,"",0)&lt;-0.03),_xlfn.XLOOKUP(A324,'LPG Fup'!D:D,'LPG Fup'!L:L,0,0),0)</f>
        <v>0</v>
      </c>
      <c r="H324">
        <f>IF(_xlfn.XLOOKUP(A324,'LPG Fup'!D:D,'LPG Fup'!M:M,0,0)="",0,_xlfn.XLOOKUP(A324,'LPG Fup'!D:D,'LPG Fup'!M:M,0,0))</f>
        <v>0</v>
      </c>
      <c r="I324" s="109">
        <f>_xlfn.XLOOKUP(A324,'Rafineri Fiyatları'!A:A,'Rafineri Fiyatları'!B:B,"",0)</f>
        <v>4474.6635999999999</v>
      </c>
      <c r="J324">
        <f t="shared" si="20"/>
        <v>2021</v>
      </c>
      <c r="K324">
        <f t="shared" si="21"/>
        <v>4</v>
      </c>
      <c r="L324">
        <f t="shared" si="22"/>
        <v>19</v>
      </c>
      <c r="M324">
        <f t="shared" si="23"/>
        <v>2</v>
      </c>
      <c r="N324">
        <f>_xlfn.XLOOKUP(A324,tatiller!H:H,tatiller!I:I,0,0)</f>
        <v>0</v>
      </c>
      <c r="O324" cm="1">
        <f t="array" ref="O324">_xlfn.IFNA(_xlfn.IFS(L324=1,"A0",A324=EOMONTH(A324,0),"A-1",L324=2,"A+1"),0)</f>
        <v>0</v>
      </c>
      <c r="P324" cm="1">
        <f t="array" ref="P324">_xlfn.IFNA(_xlfn.IFS(AND(_xlfn.XLOOKUP(A324,'LPG Fup'!D:D,'LPG Fup'!M:M,"",0)&lt;&gt;"",_xlfn.XLOOKUP(A324,'LPG Fup'!D:D,'LPG Fup'!M:M,"",0)&gt;0),"Z-1", AND(_xlfn.XLOOKUP(A324+1,'LPG Fup'!D:D,'LPG Fup'!M:M,"",0)&lt;&gt;"",_xlfn.XLOOKUP(A324+1,'LPG Fup'!D:D,'LPG Fup'!M:M,"",0)&gt;0),"Z-2", AND(_xlfn.XLOOKUP(A324-1,'LPG Fup'!D:D,'LPG Fup'!M:M,"",0)&lt;&gt;"",_xlfn.XLOOKUP(A324-1,'LPG Fup'!D:D,'LPG Fup'!M:M,"",0)&gt;0),"Z", AND(_xlfn.XLOOKUP(A324-2,'LPG Fup'!D:D,'LPG Fup'!M:M,"",0)&lt;&gt;"",_xlfn.XLOOKUP(A324-2,'LPG Fup'!D:D,'LPG Fup'!M:M,"",0)&gt;0),"Z+1"),0)</f>
        <v>0</v>
      </c>
      <c r="Q324" cm="1">
        <f t="array" ref="Q324">_xlfn.IFNA(_xlfn.IFS(AND(_xlfn.XLOOKUP(A324,'LPG Fup'!D:D,'LPG Fup'!M:M,"",0)&lt;&gt;"",_xlfn.XLOOKUP(A324,'LPG Fup'!D:D,'LPG Fup'!M:M,"",0)&lt;0),"I-1", AND(_xlfn.XLOOKUP(A324+1,'LPG Fup'!D:D,'LPG Fup'!M:M,"",0)&lt;&gt;"",_xlfn.XLOOKUP(A324+1,'LPG Fup'!D:D,'LPG Fup'!M:M,"",0)&lt;0),"I-2", AND(_xlfn.XLOOKUP(A324-1,'LPG Fup'!D:D,'LPG Fup'!M:M,"",0)&lt;&gt;"",_xlfn.XLOOKUP(A324-1,'LPG Fup'!D:D,'LPG Fup'!M:M,"",0)&lt;0),"I", AND(_xlfn.XLOOKUP(A324-2,'LPG Fup'!D:D,'LPG Fup'!M:M,"",0)&lt;&gt;"",_xlfn.XLOOKUP(A324-2,'LPG Fup'!D:D,'LPG Fup'!M:M,"",0)&lt;0),"I+1"),0)</f>
        <v>0</v>
      </c>
      <c r="R324">
        <f>_xlfn.XLOOKUP(A324,Covid!A:A,Covid!I:I,0,0)</f>
        <v>2862</v>
      </c>
      <c r="S324">
        <f>_xlfn.XLOOKUP(A324,Covid!A:A,Covid!K:K,0,0)</f>
        <v>341</v>
      </c>
      <c r="T324" s="145">
        <f>_xlfn.XLOOKUP(A324,Covid!A:A,Covid!K:K,0,0)/_xlfn.XLOOKUP(A324,Covid!A:A,Covid!L:L,0,0)</f>
        <v>6.9667191043373449E-3</v>
      </c>
    </row>
    <row r="325" spans="1:20" x14ac:dyDescent="0.55000000000000004">
      <c r="A325" s="157">
        <v>44306</v>
      </c>
      <c r="B325" s="13">
        <v>717440</v>
      </c>
      <c r="C325" s="13">
        <v>439850</v>
      </c>
      <c r="D325" s="13">
        <v>9694</v>
      </c>
      <c r="E325" s="13">
        <v>349306</v>
      </c>
      <c r="F325" s="13">
        <v>1516290</v>
      </c>
      <c r="G325">
        <f>IF(OR(_xlfn.XLOOKUP(A325,'LPG Fup'!D:D,'LPG Fup'!L:L,"",0)&gt;0.03,_xlfn.XLOOKUP(A325,'LPG Fup'!D:D,'LPG Fup'!L:L,"",0)&lt;-0.03),_xlfn.XLOOKUP(A325,'LPG Fup'!D:D,'LPG Fup'!L:L,0,0),0)</f>
        <v>0</v>
      </c>
      <c r="H325">
        <f>IF(_xlfn.XLOOKUP(A325,'LPG Fup'!D:D,'LPG Fup'!M:M,0,0)="",0,_xlfn.XLOOKUP(A325,'LPG Fup'!D:D,'LPG Fup'!M:M,0,0))</f>
        <v>0</v>
      </c>
      <c r="I325" s="109">
        <f>_xlfn.XLOOKUP(A325,'Rafineri Fiyatları'!A:A,'Rafineri Fiyatları'!B:B,"",0)</f>
        <v>4474.6635999999999</v>
      </c>
      <c r="J325">
        <f t="shared" si="20"/>
        <v>2021</v>
      </c>
      <c r="K325">
        <f t="shared" si="21"/>
        <v>4</v>
      </c>
      <c r="L325">
        <f t="shared" si="22"/>
        <v>20</v>
      </c>
      <c r="M325">
        <f t="shared" si="23"/>
        <v>3</v>
      </c>
      <c r="N325">
        <f>_xlfn.XLOOKUP(A325,tatiller!H:H,tatiller!I:I,0,0)</f>
        <v>0</v>
      </c>
      <c r="O325" cm="1">
        <f t="array" ref="O325">_xlfn.IFNA(_xlfn.IFS(L325=1,"A0",A325=EOMONTH(A325,0),"A-1",L325=2,"A+1"),0)</f>
        <v>0</v>
      </c>
      <c r="P325" cm="1">
        <f t="array" ref="P325">_xlfn.IFNA(_xlfn.IFS(AND(_xlfn.XLOOKUP(A325,'LPG Fup'!D:D,'LPG Fup'!M:M,"",0)&lt;&gt;"",_xlfn.XLOOKUP(A325,'LPG Fup'!D:D,'LPG Fup'!M:M,"",0)&gt;0),"Z-1", AND(_xlfn.XLOOKUP(A325+1,'LPG Fup'!D:D,'LPG Fup'!M:M,"",0)&lt;&gt;"",_xlfn.XLOOKUP(A325+1,'LPG Fup'!D:D,'LPG Fup'!M:M,"",0)&gt;0),"Z-2", AND(_xlfn.XLOOKUP(A325-1,'LPG Fup'!D:D,'LPG Fup'!M:M,"",0)&lt;&gt;"",_xlfn.XLOOKUP(A325-1,'LPG Fup'!D:D,'LPG Fup'!M:M,"",0)&gt;0),"Z", AND(_xlfn.XLOOKUP(A325-2,'LPG Fup'!D:D,'LPG Fup'!M:M,"",0)&lt;&gt;"",_xlfn.XLOOKUP(A325-2,'LPG Fup'!D:D,'LPG Fup'!M:M,"",0)&gt;0),"Z+1"),0)</f>
        <v>0</v>
      </c>
      <c r="Q325" cm="1">
        <f t="array" ref="Q325">_xlfn.IFNA(_xlfn.IFS(AND(_xlfn.XLOOKUP(A325,'LPG Fup'!D:D,'LPG Fup'!M:M,"",0)&lt;&gt;"",_xlfn.XLOOKUP(A325,'LPG Fup'!D:D,'LPG Fup'!M:M,"",0)&lt;0),"I-1", AND(_xlfn.XLOOKUP(A325+1,'LPG Fup'!D:D,'LPG Fup'!M:M,"",0)&lt;&gt;"",_xlfn.XLOOKUP(A325+1,'LPG Fup'!D:D,'LPG Fup'!M:M,"",0)&lt;0),"I-2", AND(_xlfn.XLOOKUP(A325-1,'LPG Fup'!D:D,'LPG Fup'!M:M,"",0)&lt;&gt;"",_xlfn.XLOOKUP(A325-1,'LPG Fup'!D:D,'LPG Fup'!M:M,"",0)&lt;0),"I", AND(_xlfn.XLOOKUP(A325-2,'LPG Fup'!D:D,'LPG Fup'!M:M,"",0)&lt;&gt;"",_xlfn.XLOOKUP(A325-2,'LPG Fup'!D:D,'LPG Fup'!M:M,"",0)&lt;0),"I+1"),0)</f>
        <v>0</v>
      </c>
      <c r="R325">
        <f>_xlfn.XLOOKUP(A325,Covid!A:A,Covid!I:I,0,0)</f>
        <v>2895</v>
      </c>
      <c r="S325">
        <f>_xlfn.XLOOKUP(A325,Covid!A:A,Covid!K:K,0,0)</f>
        <v>346</v>
      </c>
      <c r="T325" s="145">
        <f>_xlfn.XLOOKUP(A325,Covid!A:A,Covid!K:K,0,0)/_xlfn.XLOOKUP(A325,Covid!A:A,Covid!L:L,0,0)</f>
        <v>6.2239171103755939E-3</v>
      </c>
    </row>
    <row r="326" spans="1:20" x14ac:dyDescent="0.55000000000000004">
      <c r="A326" s="157">
        <v>44307</v>
      </c>
      <c r="B326" s="13">
        <v>840400</v>
      </c>
      <c r="C326" s="13">
        <v>428493</v>
      </c>
      <c r="D326" s="13">
        <v>7259</v>
      </c>
      <c r="E326" s="13">
        <v>391080</v>
      </c>
      <c r="F326" s="13">
        <v>3869563</v>
      </c>
      <c r="G326">
        <f>IF(OR(_xlfn.XLOOKUP(A326,'LPG Fup'!D:D,'LPG Fup'!L:L,"",0)&gt;0.03,_xlfn.XLOOKUP(A326,'LPG Fup'!D:D,'LPG Fup'!L:L,"",0)&lt;-0.03),_xlfn.XLOOKUP(A326,'LPG Fup'!D:D,'LPG Fup'!L:L,0,0),0)</f>
        <v>0</v>
      </c>
      <c r="H326">
        <f>IF(_xlfn.XLOOKUP(A326,'LPG Fup'!D:D,'LPG Fup'!M:M,0,0)="",0,_xlfn.XLOOKUP(A326,'LPG Fup'!D:D,'LPG Fup'!M:M,0,0))</f>
        <v>0</v>
      </c>
      <c r="I326" s="109">
        <f>_xlfn.XLOOKUP(A326,'Rafineri Fiyatları'!A:A,'Rafineri Fiyatları'!B:B,"",0)</f>
        <v>4474.6635999999999</v>
      </c>
      <c r="J326">
        <f t="shared" si="20"/>
        <v>2021</v>
      </c>
      <c r="K326">
        <f t="shared" si="21"/>
        <v>4</v>
      </c>
      <c r="L326">
        <f t="shared" si="22"/>
        <v>21</v>
      </c>
      <c r="M326">
        <f t="shared" si="23"/>
        <v>4</v>
      </c>
      <c r="N326">
        <f>_xlfn.XLOOKUP(A326,tatiller!H:H,tatiller!I:I,0,0)</f>
        <v>0</v>
      </c>
      <c r="O326" cm="1">
        <f t="array" ref="O326">_xlfn.IFNA(_xlfn.IFS(L326=1,"A0",A326=EOMONTH(A326,0),"A-1",L326=2,"A+1"),0)</f>
        <v>0</v>
      </c>
      <c r="P326" cm="1">
        <f t="array" ref="P326">_xlfn.IFNA(_xlfn.IFS(AND(_xlfn.XLOOKUP(A326,'LPG Fup'!D:D,'LPG Fup'!M:M,"",0)&lt;&gt;"",_xlfn.XLOOKUP(A326,'LPG Fup'!D:D,'LPG Fup'!M:M,"",0)&gt;0),"Z-1", AND(_xlfn.XLOOKUP(A326+1,'LPG Fup'!D:D,'LPG Fup'!M:M,"",0)&lt;&gt;"",_xlfn.XLOOKUP(A326+1,'LPG Fup'!D:D,'LPG Fup'!M:M,"",0)&gt;0),"Z-2", AND(_xlfn.XLOOKUP(A326-1,'LPG Fup'!D:D,'LPG Fup'!M:M,"",0)&lt;&gt;"",_xlfn.XLOOKUP(A326-1,'LPG Fup'!D:D,'LPG Fup'!M:M,"",0)&gt;0),"Z", AND(_xlfn.XLOOKUP(A326-2,'LPG Fup'!D:D,'LPG Fup'!M:M,"",0)&lt;&gt;"",_xlfn.XLOOKUP(A326-2,'LPG Fup'!D:D,'LPG Fup'!M:M,"",0)&gt;0),"Z+1"),0)</f>
        <v>0</v>
      </c>
      <c r="Q326" cm="1">
        <f t="array" ref="Q326">_xlfn.IFNA(_xlfn.IFS(AND(_xlfn.XLOOKUP(A326,'LPG Fup'!D:D,'LPG Fup'!M:M,"",0)&lt;&gt;"",_xlfn.XLOOKUP(A326,'LPG Fup'!D:D,'LPG Fup'!M:M,"",0)&lt;0),"I-1", AND(_xlfn.XLOOKUP(A326+1,'LPG Fup'!D:D,'LPG Fup'!M:M,"",0)&lt;&gt;"",_xlfn.XLOOKUP(A326+1,'LPG Fup'!D:D,'LPG Fup'!M:M,"",0)&lt;0),"I-2", AND(_xlfn.XLOOKUP(A326-1,'LPG Fup'!D:D,'LPG Fup'!M:M,"",0)&lt;&gt;"",_xlfn.XLOOKUP(A326-1,'LPG Fup'!D:D,'LPG Fup'!M:M,"",0)&lt;0),"I", AND(_xlfn.XLOOKUP(A326-2,'LPG Fup'!D:D,'LPG Fup'!M:M,"",0)&lt;&gt;"",_xlfn.XLOOKUP(A326-2,'LPG Fup'!D:D,'LPG Fup'!M:M,"",0)&lt;0),"I+1"),0)</f>
        <v>0</v>
      </c>
      <c r="R326">
        <f>_xlfn.XLOOKUP(A326,Covid!A:A,Covid!I:I,0,0)</f>
        <v>2932</v>
      </c>
      <c r="S326">
        <f>_xlfn.XLOOKUP(A326,Covid!A:A,Covid!K:K,0,0)</f>
        <v>362</v>
      </c>
      <c r="T326" s="145">
        <f>_xlfn.XLOOKUP(A326,Covid!A:A,Covid!K:K,0,0)/_xlfn.XLOOKUP(A326,Covid!A:A,Covid!L:L,0,0)</f>
        <v>6.9331392565070002E-3</v>
      </c>
    </row>
    <row r="327" spans="1:20" x14ac:dyDescent="0.55000000000000004">
      <c r="A327" s="157">
        <v>44308</v>
      </c>
      <c r="B327" s="13">
        <v>9165980</v>
      </c>
      <c r="C327" s="13">
        <v>471031</v>
      </c>
      <c r="D327" s="13">
        <v>12553</v>
      </c>
      <c r="E327" s="13">
        <v>411381</v>
      </c>
      <c r="F327" s="13">
        <v>10060945</v>
      </c>
      <c r="G327">
        <f>IF(OR(_xlfn.XLOOKUP(A327,'LPG Fup'!D:D,'LPG Fup'!L:L,"",0)&gt;0.03,_xlfn.XLOOKUP(A327,'LPG Fup'!D:D,'LPG Fup'!L:L,"",0)&lt;-0.03),_xlfn.XLOOKUP(A327,'LPG Fup'!D:D,'LPG Fup'!L:L,0,0),0)</f>
        <v>0</v>
      </c>
      <c r="H327">
        <f>IF(_xlfn.XLOOKUP(A327,'LPG Fup'!D:D,'LPG Fup'!M:M,0,0)="",0,_xlfn.XLOOKUP(A327,'LPG Fup'!D:D,'LPG Fup'!M:M,0,0))</f>
        <v>0</v>
      </c>
      <c r="I327" s="109">
        <f>_xlfn.XLOOKUP(A327,'Rafineri Fiyatları'!A:A,'Rafineri Fiyatları'!B:B,"",0)</f>
        <v>4474.6635999999999</v>
      </c>
      <c r="J327">
        <f t="shared" si="20"/>
        <v>2021</v>
      </c>
      <c r="K327">
        <f t="shared" si="21"/>
        <v>4</v>
      </c>
      <c r="L327">
        <f t="shared" si="22"/>
        <v>22</v>
      </c>
      <c r="M327">
        <f t="shared" si="23"/>
        <v>5</v>
      </c>
      <c r="N327">
        <f>_xlfn.XLOOKUP(A327,tatiller!H:H,tatiller!I:I,0,0)</f>
        <v>0</v>
      </c>
      <c r="O327" cm="1">
        <f t="array" ref="O327">_xlfn.IFNA(_xlfn.IFS(L327=1,"A0",A327=EOMONTH(A327,0),"A-1",L327=2,"A+1"),0)</f>
        <v>0</v>
      </c>
      <c r="P327" cm="1">
        <f t="array" ref="P327">_xlfn.IFNA(_xlfn.IFS(AND(_xlfn.XLOOKUP(A327,'LPG Fup'!D:D,'LPG Fup'!M:M,"",0)&lt;&gt;"",_xlfn.XLOOKUP(A327,'LPG Fup'!D:D,'LPG Fup'!M:M,"",0)&gt;0),"Z-1", AND(_xlfn.XLOOKUP(A327+1,'LPG Fup'!D:D,'LPG Fup'!M:M,"",0)&lt;&gt;"",_xlfn.XLOOKUP(A327+1,'LPG Fup'!D:D,'LPG Fup'!M:M,"",0)&gt;0),"Z-2", AND(_xlfn.XLOOKUP(A327-1,'LPG Fup'!D:D,'LPG Fup'!M:M,"",0)&lt;&gt;"",_xlfn.XLOOKUP(A327-1,'LPG Fup'!D:D,'LPG Fup'!M:M,"",0)&gt;0),"Z", AND(_xlfn.XLOOKUP(A327-2,'LPG Fup'!D:D,'LPG Fup'!M:M,"",0)&lt;&gt;"",_xlfn.XLOOKUP(A327-2,'LPG Fup'!D:D,'LPG Fup'!M:M,"",0)&gt;0),"Z+1"),0)</f>
        <v>0</v>
      </c>
      <c r="Q327" cm="1">
        <f t="array" ref="Q327">_xlfn.IFNA(_xlfn.IFS(AND(_xlfn.XLOOKUP(A327,'LPG Fup'!D:D,'LPG Fup'!M:M,"",0)&lt;&gt;"",_xlfn.XLOOKUP(A327,'LPG Fup'!D:D,'LPG Fup'!M:M,"",0)&lt;0),"I-1", AND(_xlfn.XLOOKUP(A327+1,'LPG Fup'!D:D,'LPG Fup'!M:M,"",0)&lt;&gt;"",_xlfn.XLOOKUP(A327+1,'LPG Fup'!D:D,'LPG Fup'!M:M,"",0)&lt;0),"I-2", AND(_xlfn.XLOOKUP(A327-1,'LPG Fup'!D:D,'LPG Fup'!M:M,"",0)&lt;&gt;"",_xlfn.XLOOKUP(A327-1,'LPG Fup'!D:D,'LPG Fup'!M:M,"",0)&lt;0),"I", AND(_xlfn.XLOOKUP(A327-2,'LPG Fup'!D:D,'LPG Fup'!M:M,"",0)&lt;&gt;"",_xlfn.XLOOKUP(A327-2,'LPG Fup'!D:D,'LPG Fup'!M:M,"",0)&lt;0),"I+1"),0)</f>
        <v>0</v>
      </c>
      <c r="R327">
        <f>_xlfn.XLOOKUP(A327,Covid!A:A,Covid!I:I,0,0)</f>
        <v>3128</v>
      </c>
      <c r="S327">
        <f>_xlfn.XLOOKUP(A327,Covid!A:A,Covid!K:K,0,0)</f>
        <v>354</v>
      </c>
      <c r="T327" s="145">
        <f>_xlfn.XLOOKUP(A327,Covid!A:A,Covid!K:K,0,0)/_xlfn.XLOOKUP(A327,Covid!A:A,Covid!L:L,0,0)</f>
        <v>5.3969173539859432E-3</v>
      </c>
    </row>
    <row r="328" spans="1:20" x14ac:dyDescent="0.55000000000000004">
      <c r="A328" s="157">
        <v>44309</v>
      </c>
      <c r="B328" s="13">
        <v>764380</v>
      </c>
      <c r="C328" s="13">
        <v>106548</v>
      </c>
      <c r="D328" s="13">
        <v>13821</v>
      </c>
      <c r="E328" s="13">
        <v>319060</v>
      </c>
      <c r="F328" s="13">
        <v>1203809</v>
      </c>
      <c r="G328">
        <f>IF(OR(_xlfn.XLOOKUP(A328,'LPG Fup'!D:D,'LPG Fup'!L:L,"",0)&gt;0.03,_xlfn.XLOOKUP(A328,'LPG Fup'!D:D,'LPG Fup'!L:L,"",0)&lt;-0.03),_xlfn.XLOOKUP(A328,'LPG Fup'!D:D,'LPG Fup'!L:L,0,0),0)</f>
        <v>0</v>
      </c>
      <c r="H328">
        <f>IF(_xlfn.XLOOKUP(A328,'LPG Fup'!D:D,'LPG Fup'!M:M,0,0)="",0,_xlfn.XLOOKUP(A328,'LPG Fup'!D:D,'LPG Fup'!M:M,0,0))</f>
        <v>0</v>
      </c>
      <c r="I328" s="109">
        <f>_xlfn.XLOOKUP(A328,'Rafineri Fiyatları'!A:A,'Rafineri Fiyatları'!B:B,"",0)</f>
        <v>4474.6635999999999</v>
      </c>
      <c r="J328">
        <f t="shared" si="20"/>
        <v>2021</v>
      </c>
      <c r="K328">
        <f t="shared" si="21"/>
        <v>4</v>
      </c>
      <c r="L328">
        <f t="shared" si="22"/>
        <v>23</v>
      </c>
      <c r="M328">
        <f t="shared" si="23"/>
        <v>6</v>
      </c>
      <c r="N328" t="str">
        <f>_xlfn.XLOOKUP(A328,tatiller!H:H,tatiller!I:I,0,0)</f>
        <v>T</v>
      </c>
      <c r="O328" cm="1">
        <f t="array" ref="O328">_xlfn.IFNA(_xlfn.IFS(L328=1,"A0",A328=EOMONTH(A328,0),"A-1",L328=2,"A+1"),0)</f>
        <v>0</v>
      </c>
      <c r="P328" cm="1">
        <f t="array" ref="P328">_xlfn.IFNA(_xlfn.IFS(AND(_xlfn.XLOOKUP(A328,'LPG Fup'!D:D,'LPG Fup'!M:M,"",0)&lt;&gt;"",_xlfn.XLOOKUP(A328,'LPG Fup'!D:D,'LPG Fup'!M:M,"",0)&gt;0),"Z-1", AND(_xlfn.XLOOKUP(A328+1,'LPG Fup'!D:D,'LPG Fup'!M:M,"",0)&lt;&gt;"",_xlfn.XLOOKUP(A328+1,'LPG Fup'!D:D,'LPG Fup'!M:M,"",0)&gt;0),"Z-2", AND(_xlfn.XLOOKUP(A328-1,'LPG Fup'!D:D,'LPG Fup'!M:M,"",0)&lt;&gt;"",_xlfn.XLOOKUP(A328-1,'LPG Fup'!D:D,'LPG Fup'!M:M,"",0)&gt;0),"Z", AND(_xlfn.XLOOKUP(A328-2,'LPG Fup'!D:D,'LPG Fup'!M:M,"",0)&lt;&gt;"",_xlfn.XLOOKUP(A328-2,'LPG Fup'!D:D,'LPG Fup'!M:M,"",0)&gt;0),"Z+1"),0)</f>
        <v>0</v>
      </c>
      <c r="Q328" cm="1">
        <f t="array" ref="Q328">_xlfn.IFNA(_xlfn.IFS(AND(_xlfn.XLOOKUP(A328,'LPG Fup'!D:D,'LPG Fup'!M:M,"",0)&lt;&gt;"",_xlfn.XLOOKUP(A328,'LPG Fup'!D:D,'LPG Fup'!M:M,"",0)&lt;0),"I-1", AND(_xlfn.XLOOKUP(A328+1,'LPG Fup'!D:D,'LPG Fup'!M:M,"",0)&lt;&gt;"",_xlfn.XLOOKUP(A328+1,'LPG Fup'!D:D,'LPG Fup'!M:M,"",0)&lt;0),"I-2", AND(_xlfn.XLOOKUP(A328-1,'LPG Fup'!D:D,'LPG Fup'!M:M,"",0)&lt;&gt;"",_xlfn.XLOOKUP(A328-1,'LPG Fup'!D:D,'LPG Fup'!M:M,"",0)&lt;0),"I", AND(_xlfn.XLOOKUP(A328-2,'LPG Fup'!D:D,'LPG Fup'!M:M,"",0)&lt;&gt;"",_xlfn.XLOOKUP(A328-2,'LPG Fup'!D:D,'LPG Fup'!M:M,"",0)&lt;0),"I+1"),0)</f>
        <v>0</v>
      </c>
      <c r="R328">
        <f>_xlfn.XLOOKUP(A328,Covid!A:A,Covid!I:I,0,0)</f>
        <v>3089</v>
      </c>
      <c r="S328">
        <f>_xlfn.XLOOKUP(A328,Covid!A:A,Covid!K:K,0,0)</f>
        <v>343</v>
      </c>
      <c r="T328" s="145">
        <f>_xlfn.XLOOKUP(A328,Covid!A:A,Covid!K:K,0,0)/_xlfn.XLOOKUP(A328,Covid!A:A,Covid!L:L,0,0)</f>
        <v>5.6999468226535495E-3</v>
      </c>
    </row>
    <row r="329" spans="1:20" x14ac:dyDescent="0.55000000000000004">
      <c r="A329" s="157">
        <v>44310</v>
      </c>
      <c r="B329" s="13">
        <v>529860</v>
      </c>
      <c r="C329" s="13">
        <v>344289</v>
      </c>
      <c r="D329" s="13">
        <v>13413</v>
      </c>
      <c r="E329" s="13">
        <v>139748</v>
      </c>
      <c r="F329" s="13">
        <v>1027310</v>
      </c>
      <c r="G329">
        <f>IF(OR(_xlfn.XLOOKUP(A329,'LPG Fup'!D:D,'LPG Fup'!L:L,"",0)&gt;0.03,_xlfn.XLOOKUP(A329,'LPG Fup'!D:D,'LPG Fup'!L:L,"",0)&lt;-0.03),_xlfn.XLOOKUP(A329,'LPG Fup'!D:D,'LPG Fup'!L:L,0,0),0)</f>
        <v>0</v>
      </c>
      <c r="H329">
        <f>IF(_xlfn.XLOOKUP(A329,'LPG Fup'!D:D,'LPG Fup'!M:M,0,0)="",0,_xlfn.XLOOKUP(A329,'LPG Fup'!D:D,'LPG Fup'!M:M,0,0))</f>
        <v>0</v>
      </c>
      <c r="I329" s="109">
        <f>_xlfn.XLOOKUP(A329,'Rafineri Fiyatları'!A:A,'Rafineri Fiyatları'!B:B,"",0)</f>
        <v>4474.6635999999999</v>
      </c>
      <c r="J329">
        <f t="shared" si="20"/>
        <v>2021</v>
      </c>
      <c r="K329">
        <f t="shared" si="21"/>
        <v>4</v>
      </c>
      <c r="L329">
        <f t="shared" si="22"/>
        <v>24</v>
      </c>
      <c r="M329">
        <f t="shared" si="23"/>
        <v>7</v>
      </c>
      <c r="N329">
        <f>_xlfn.XLOOKUP(A329,tatiller!H:H,tatiller!I:I,0,0)</f>
        <v>0</v>
      </c>
      <c r="O329" cm="1">
        <f t="array" ref="O329">_xlfn.IFNA(_xlfn.IFS(L329=1,"A0",A329=EOMONTH(A329,0),"A-1",L329=2,"A+1"),0)</f>
        <v>0</v>
      </c>
      <c r="P329" cm="1">
        <f t="array" ref="P329">_xlfn.IFNA(_xlfn.IFS(AND(_xlfn.XLOOKUP(A329,'LPG Fup'!D:D,'LPG Fup'!M:M,"",0)&lt;&gt;"",_xlfn.XLOOKUP(A329,'LPG Fup'!D:D,'LPG Fup'!M:M,"",0)&gt;0),"Z-1", AND(_xlfn.XLOOKUP(A329+1,'LPG Fup'!D:D,'LPG Fup'!M:M,"",0)&lt;&gt;"",_xlfn.XLOOKUP(A329+1,'LPG Fup'!D:D,'LPG Fup'!M:M,"",0)&gt;0),"Z-2", AND(_xlfn.XLOOKUP(A329-1,'LPG Fup'!D:D,'LPG Fup'!M:M,"",0)&lt;&gt;"",_xlfn.XLOOKUP(A329-1,'LPG Fup'!D:D,'LPG Fup'!M:M,"",0)&gt;0),"Z", AND(_xlfn.XLOOKUP(A329-2,'LPG Fup'!D:D,'LPG Fup'!M:M,"",0)&lt;&gt;"",_xlfn.XLOOKUP(A329-2,'LPG Fup'!D:D,'LPG Fup'!M:M,"",0)&gt;0),"Z+1"),0)</f>
        <v>0</v>
      </c>
      <c r="Q329" cm="1">
        <f t="array" ref="Q329">_xlfn.IFNA(_xlfn.IFS(AND(_xlfn.XLOOKUP(A329,'LPG Fup'!D:D,'LPG Fup'!M:M,"",0)&lt;&gt;"",_xlfn.XLOOKUP(A329,'LPG Fup'!D:D,'LPG Fup'!M:M,"",0)&lt;0),"I-1", AND(_xlfn.XLOOKUP(A329+1,'LPG Fup'!D:D,'LPG Fup'!M:M,"",0)&lt;&gt;"",_xlfn.XLOOKUP(A329+1,'LPG Fup'!D:D,'LPG Fup'!M:M,"",0)&lt;0),"I-2", AND(_xlfn.XLOOKUP(A329-1,'LPG Fup'!D:D,'LPG Fup'!M:M,"",0)&lt;&gt;"",_xlfn.XLOOKUP(A329-1,'LPG Fup'!D:D,'LPG Fup'!M:M,"",0)&lt;0),"I", AND(_xlfn.XLOOKUP(A329-2,'LPG Fup'!D:D,'LPG Fup'!M:M,"",0)&lt;&gt;"",_xlfn.XLOOKUP(A329-2,'LPG Fup'!D:D,'LPG Fup'!M:M,"",0)&lt;0),"I+1"),0)</f>
        <v>0</v>
      </c>
      <c r="R329">
        <f>_xlfn.XLOOKUP(A329,Covid!A:A,Covid!I:I,0,0)</f>
        <v>2905</v>
      </c>
      <c r="S329">
        <f>_xlfn.XLOOKUP(A329,Covid!A:A,Covid!K:K,0,0)</f>
        <v>339</v>
      </c>
      <c r="T329" s="145">
        <f>_xlfn.XLOOKUP(A329,Covid!A:A,Covid!K:K,0,0)/_xlfn.XLOOKUP(A329,Covid!A:A,Covid!L:L,0,0)</f>
        <v>6.4822073923934452E-3</v>
      </c>
    </row>
    <row r="330" spans="1:20" x14ac:dyDescent="0.55000000000000004">
      <c r="A330" s="157">
        <v>44311</v>
      </c>
      <c r="B330" s="13">
        <v>402080</v>
      </c>
      <c r="C330" s="13">
        <v>0</v>
      </c>
      <c r="D330" s="13">
        <v>0</v>
      </c>
      <c r="E330" s="13">
        <v>73061</v>
      </c>
      <c r="F330" s="13">
        <v>475141</v>
      </c>
      <c r="G330">
        <f>IF(OR(_xlfn.XLOOKUP(A330,'LPG Fup'!D:D,'LPG Fup'!L:L,"",0)&gt;0.03,_xlfn.XLOOKUP(A330,'LPG Fup'!D:D,'LPG Fup'!L:L,"",0)&lt;-0.03),_xlfn.XLOOKUP(A330,'LPG Fup'!D:D,'LPG Fup'!L:L,0,0),0)</f>
        <v>0</v>
      </c>
      <c r="H330">
        <f>IF(_xlfn.XLOOKUP(A330,'LPG Fup'!D:D,'LPG Fup'!M:M,0,0)="",0,_xlfn.XLOOKUP(A330,'LPG Fup'!D:D,'LPG Fup'!M:M,0,0))</f>
        <v>0</v>
      </c>
      <c r="I330" s="109">
        <f>_xlfn.XLOOKUP(A330,'Rafineri Fiyatları'!A:A,'Rafineri Fiyatları'!B:B,"",0)</f>
        <v>4474.6635999999999</v>
      </c>
      <c r="J330">
        <f t="shared" si="20"/>
        <v>2021</v>
      </c>
      <c r="K330">
        <f t="shared" si="21"/>
        <v>4</v>
      </c>
      <c r="L330">
        <f t="shared" si="22"/>
        <v>25</v>
      </c>
      <c r="M330">
        <f t="shared" si="23"/>
        <v>1</v>
      </c>
      <c r="N330">
        <f>_xlfn.XLOOKUP(A330,tatiller!H:H,tatiller!I:I,0,0)</f>
        <v>0</v>
      </c>
      <c r="O330" cm="1">
        <f t="array" ref="O330">_xlfn.IFNA(_xlfn.IFS(L330=1,"A0",A330=EOMONTH(A330,0),"A-1",L330=2,"A+1"),0)</f>
        <v>0</v>
      </c>
      <c r="P330" cm="1">
        <f t="array" ref="P330">_xlfn.IFNA(_xlfn.IFS(AND(_xlfn.XLOOKUP(A330,'LPG Fup'!D:D,'LPG Fup'!M:M,"",0)&lt;&gt;"",_xlfn.XLOOKUP(A330,'LPG Fup'!D:D,'LPG Fup'!M:M,"",0)&gt;0),"Z-1", AND(_xlfn.XLOOKUP(A330+1,'LPG Fup'!D:D,'LPG Fup'!M:M,"",0)&lt;&gt;"",_xlfn.XLOOKUP(A330+1,'LPG Fup'!D:D,'LPG Fup'!M:M,"",0)&gt;0),"Z-2", AND(_xlfn.XLOOKUP(A330-1,'LPG Fup'!D:D,'LPG Fup'!M:M,"",0)&lt;&gt;"",_xlfn.XLOOKUP(A330-1,'LPG Fup'!D:D,'LPG Fup'!M:M,"",0)&gt;0),"Z", AND(_xlfn.XLOOKUP(A330-2,'LPG Fup'!D:D,'LPG Fup'!M:M,"",0)&lt;&gt;"",_xlfn.XLOOKUP(A330-2,'LPG Fup'!D:D,'LPG Fup'!M:M,"",0)&gt;0),"Z+1"),0)</f>
        <v>0</v>
      </c>
      <c r="Q330" cm="1">
        <f t="array" ref="Q330">_xlfn.IFNA(_xlfn.IFS(AND(_xlfn.XLOOKUP(A330,'LPG Fup'!D:D,'LPG Fup'!M:M,"",0)&lt;&gt;"",_xlfn.XLOOKUP(A330,'LPG Fup'!D:D,'LPG Fup'!M:M,"",0)&lt;0),"I-1", AND(_xlfn.XLOOKUP(A330+1,'LPG Fup'!D:D,'LPG Fup'!M:M,"",0)&lt;&gt;"",_xlfn.XLOOKUP(A330+1,'LPG Fup'!D:D,'LPG Fup'!M:M,"",0)&lt;0),"I-2", AND(_xlfn.XLOOKUP(A330-1,'LPG Fup'!D:D,'LPG Fup'!M:M,"",0)&lt;&gt;"",_xlfn.XLOOKUP(A330-1,'LPG Fup'!D:D,'LPG Fup'!M:M,"",0)&lt;0),"I", AND(_xlfn.XLOOKUP(A330-2,'LPG Fup'!D:D,'LPG Fup'!M:M,"",0)&lt;&gt;"",_xlfn.XLOOKUP(A330-2,'LPG Fup'!D:D,'LPG Fup'!M:M,"",0)&lt;0),"I+1"),0)</f>
        <v>0</v>
      </c>
      <c r="R330">
        <f>_xlfn.XLOOKUP(A330,Covid!A:A,Covid!I:I,0,0)</f>
        <v>2801</v>
      </c>
      <c r="S330">
        <f>_xlfn.XLOOKUP(A330,Covid!A:A,Covid!K:K,0,0)</f>
        <v>347</v>
      </c>
      <c r="T330" s="145">
        <f>_xlfn.XLOOKUP(A330,Covid!A:A,Covid!K:K,0,0)/_xlfn.XLOOKUP(A330,Covid!A:A,Covid!L:L,0,0)</f>
        <v>6.7725817784370368E-3</v>
      </c>
    </row>
    <row r="331" spans="1:20" x14ac:dyDescent="0.55000000000000004">
      <c r="A331" s="157">
        <v>44312</v>
      </c>
      <c r="B331" s="13">
        <v>328060</v>
      </c>
      <c r="C331" s="13">
        <v>454362</v>
      </c>
      <c r="D331" s="13">
        <v>3594</v>
      </c>
      <c r="E331" s="13">
        <v>452112</v>
      </c>
      <c r="F331" s="13">
        <v>1238128</v>
      </c>
      <c r="G331">
        <f>IF(OR(_xlfn.XLOOKUP(A331,'LPG Fup'!D:D,'LPG Fup'!L:L,"",0)&gt;0.03,_xlfn.XLOOKUP(A331,'LPG Fup'!D:D,'LPG Fup'!L:L,"",0)&lt;-0.03),_xlfn.XLOOKUP(A331,'LPG Fup'!D:D,'LPG Fup'!L:L,0,0),0)</f>
        <v>0</v>
      </c>
      <c r="H331">
        <f>IF(_xlfn.XLOOKUP(A331,'LPG Fup'!D:D,'LPG Fup'!M:M,0,0)="",0,_xlfn.XLOOKUP(A331,'LPG Fup'!D:D,'LPG Fup'!M:M,0,0))</f>
        <v>0</v>
      </c>
      <c r="I331" s="109">
        <f>_xlfn.XLOOKUP(A331,'Rafineri Fiyatları'!A:A,'Rafineri Fiyatları'!B:B,"",0)</f>
        <v>4474.6635999999999</v>
      </c>
      <c r="J331">
        <f t="shared" si="20"/>
        <v>2021</v>
      </c>
      <c r="K331">
        <f t="shared" si="21"/>
        <v>4</v>
      </c>
      <c r="L331">
        <f t="shared" si="22"/>
        <v>26</v>
      </c>
      <c r="M331">
        <f t="shared" si="23"/>
        <v>2</v>
      </c>
      <c r="N331">
        <f>_xlfn.XLOOKUP(A331,tatiller!H:H,tatiller!I:I,0,0)</f>
        <v>0</v>
      </c>
      <c r="O331" cm="1">
        <f t="array" ref="O331">_xlfn.IFNA(_xlfn.IFS(L331=1,"A0",A331=EOMONTH(A331,0),"A-1",L331=2,"A+1"),0)</f>
        <v>0</v>
      </c>
      <c r="P331" cm="1">
        <f t="array" ref="P331">_xlfn.IFNA(_xlfn.IFS(AND(_xlfn.XLOOKUP(A331,'LPG Fup'!D:D,'LPG Fup'!M:M,"",0)&lt;&gt;"",_xlfn.XLOOKUP(A331,'LPG Fup'!D:D,'LPG Fup'!M:M,"",0)&gt;0),"Z-1", AND(_xlfn.XLOOKUP(A331+1,'LPG Fup'!D:D,'LPG Fup'!M:M,"",0)&lt;&gt;"",_xlfn.XLOOKUP(A331+1,'LPG Fup'!D:D,'LPG Fup'!M:M,"",0)&gt;0),"Z-2", AND(_xlfn.XLOOKUP(A331-1,'LPG Fup'!D:D,'LPG Fup'!M:M,"",0)&lt;&gt;"",_xlfn.XLOOKUP(A331-1,'LPG Fup'!D:D,'LPG Fup'!M:M,"",0)&gt;0),"Z", AND(_xlfn.XLOOKUP(A331-2,'LPG Fup'!D:D,'LPG Fup'!M:M,"",0)&lt;&gt;"",_xlfn.XLOOKUP(A331-2,'LPG Fup'!D:D,'LPG Fup'!M:M,"",0)&gt;0),"Z+1"),0)</f>
        <v>0</v>
      </c>
      <c r="Q331" cm="1">
        <f t="array" ref="Q331">_xlfn.IFNA(_xlfn.IFS(AND(_xlfn.XLOOKUP(A331,'LPG Fup'!D:D,'LPG Fup'!M:M,"",0)&lt;&gt;"",_xlfn.XLOOKUP(A331,'LPG Fup'!D:D,'LPG Fup'!M:M,"",0)&lt;0),"I-1", AND(_xlfn.XLOOKUP(A331+1,'LPG Fup'!D:D,'LPG Fup'!M:M,"",0)&lt;&gt;"",_xlfn.XLOOKUP(A331+1,'LPG Fup'!D:D,'LPG Fup'!M:M,"",0)&lt;0),"I-2", AND(_xlfn.XLOOKUP(A331-1,'LPG Fup'!D:D,'LPG Fup'!M:M,"",0)&lt;&gt;"",_xlfn.XLOOKUP(A331-1,'LPG Fup'!D:D,'LPG Fup'!M:M,"",0)&lt;0),"I", AND(_xlfn.XLOOKUP(A331-2,'LPG Fup'!D:D,'LPG Fup'!M:M,"",0)&lt;&gt;"",_xlfn.XLOOKUP(A331-2,'LPG Fup'!D:D,'LPG Fup'!M:M,"",0)&lt;0),"I+1"),0)</f>
        <v>0</v>
      </c>
      <c r="R331">
        <f>_xlfn.XLOOKUP(A331,Covid!A:A,Covid!I:I,0,0)</f>
        <v>2716</v>
      </c>
      <c r="S331">
        <f>_xlfn.XLOOKUP(A331,Covid!A:A,Covid!K:K,0,0)</f>
        <v>353</v>
      </c>
      <c r="T331" s="145">
        <f>_xlfn.XLOOKUP(A331,Covid!A:A,Covid!K:K,0,0)/_xlfn.XLOOKUP(A331,Covid!A:A,Covid!L:L,0,0)</f>
        <v>7.350032273512816E-3</v>
      </c>
    </row>
    <row r="332" spans="1:20" x14ac:dyDescent="0.55000000000000004">
      <c r="A332" s="157">
        <v>44313</v>
      </c>
      <c r="B332" s="13">
        <v>1005820</v>
      </c>
      <c r="C332" s="13">
        <v>434608</v>
      </c>
      <c r="D332" s="13">
        <v>17580</v>
      </c>
      <c r="E332" s="13">
        <v>493068</v>
      </c>
      <c r="F332" s="13">
        <v>1951076</v>
      </c>
      <c r="G332">
        <f>IF(OR(_xlfn.XLOOKUP(A332,'LPG Fup'!D:D,'LPG Fup'!L:L,"",0)&gt;0.03,_xlfn.XLOOKUP(A332,'LPG Fup'!D:D,'LPG Fup'!L:L,"",0)&lt;-0.03),_xlfn.XLOOKUP(A332,'LPG Fup'!D:D,'LPG Fup'!L:L,0,0),0)</f>
        <v>0</v>
      </c>
      <c r="H332">
        <f>IF(_xlfn.XLOOKUP(A332,'LPG Fup'!D:D,'LPG Fup'!M:M,0,0)="",0,_xlfn.XLOOKUP(A332,'LPG Fup'!D:D,'LPG Fup'!M:M,0,0))</f>
        <v>0</v>
      </c>
      <c r="I332" s="109">
        <f>_xlfn.XLOOKUP(A332,'Rafineri Fiyatları'!A:A,'Rafineri Fiyatları'!B:B,"",0)</f>
        <v>4474.6635999999999</v>
      </c>
      <c r="J332">
        <f t="shared" si="20"/>
        <v>2021</v>
      </c>
      <c r="K332">
        <f t="shared" si="21"/>
        <v>4</v>
      </c>
      <c r="L332">
        <f t="shared" si="22"/>
        <v>27</v>
      </c>
      <c r="M332">
        <f t="shared" si="23"/>
        <v>3</v>
      </c>
      <c r="N332">
        <f>_xlfn.XLOOKUP(A332,tatiller!H:H,tatiller!I:I,0,0)</f>
        <v>0</v>
      </c>
      <c r="O332" cm="1">
        <f t="array" ref="O332">_xlfn.IFNA(_xlfn.IFS(L332=1,"A0",A332=EOMONTH(A332,0),"A-1",L332=2,"A+1"),0)</f>
        <v>0</v>
      </c>
      <c r="P332" cm="1">
        <f t="array" ref="P332">_xlfn.IFNA(_xlfn.IFS(AND(_xlfn.XLOOKUP(A332,'LPG Fup'!D:D,'LPG Fup'!M:M,"",0)&lt;&gt;"",_xlfn.XLOOKUP(A332,'LPG Fup'!D:D,'LPG Fup'!M:M,"",0)&gt;0),"Z-1", AND(_xlfn.XLOOKUP(A332+1,'LPG Fup'!D:D,'LPG Fup'!M:M,"",0)&lt;&gt;"",_xlfn.XLOOKUP(A332+1,'LPG Fup'!D:D,'LPG Fup'!M:M,"",0)&gt;0),"Z-2", AND(_xlfn.XLOOKUP(A332-1,'LPG Fup'!D:D,'LPG Fup'!M:M,"",0)&lt;&gt;"",_xlfn.XLOOKUP(A332-1,'LPG Fup'!D:D,'LPG Fup'!M:M,"",0)&gt;0),"Z", AND(_xlfn.XLOOKUP(A332-2,'LPG Fup'!D:D,'LPG Fup'!M:M,"",0)&lt;&gt;"",_xlfn.XLOOKUP(A332-2,'LPG Fup'!D:D,'LPG Fup'!M:M,"",0)&gt;0),"Z+1"),0)</f>
        <v>0</v>
      </c>
      <c r="Q332" cm="1">
        <f t="array" ref="Q332">_xlfn.IFNA(_xlfn.IFS(AND(_xlfn.XLOOKUP(A332,'LPG Fup'!D:D,'LPG Fup'!M:M,"",0)&lt;&gt;"",_xlfn.XLOOKUP(A332,'LPG Fup'!D:D,'LPG Fup'!M:M,"",0)&lt;0),"I-1", AND(_xlfn.XLOOKUP(A332+1,'LPG Fup'!D:D,'LPG Fup'!M:M,"",0)&lt;&gt;"",_xlfn.XLOOKUP(A332+1,'LPG Fup'!D:D,'LPG Fup'!M:M,"",0)&lt;0),"I-2", AND(_xlfn.XLOOKUP(A332-1,'LPG Fup'!D:D,'LPG Fup'!M:M,"",0)&lt;&gt;"",_xlfn.XLOOKUP(A332-1,'LPG Fup'!D:D,'LPG Fup'!M:M,"",0)&lt;0),"I", AND(_xlfn.XLOOKUP(A332-2,'LPG Fup'!D:D,'LPG Fup'!M:M,"",0)&lt;&gt;"",_xlfn.XLOOKUP(A332-2,'LPG Fup'!D:D,'LPG Fup'!M:M,"",0)&lt;0),"I+1"),0)</f>
        <v>0</v>
      </c>
      <c r="R332">
        <f>_xlfn.XLOOKUP(A332,Covid!A:A,Covid!I:I,0,0)</f>
        <v>2703</v>
      </c>
      <c r="S332">
        <f>_xlfn.XLOOKUP(A332,Covid!A:A,Covid!K:K,0,0)</f>
        <v>346</v>
      </c>
      <c r="T332" s="145">
        <f>_xlfn.XLOOKUP(A332,Covid!A:A,Covid!K:K,0,0)/_xlfn.XLOOKUP(A332,Covid!A:A,Covid!L:L,0,0)</f>
        <v>7.5890507106509911E-3</v>
      </c>
    </row>
    <row r="333" spans="1:20" x14ac:dyDescent="0.55000000000000004">
      <c r="A333" s="157">
        <v>44314</v>
      </c>
      <c r="B333" s="13">
        <v>7247900</v>
      </c>
      <c r="C333" s="13">
        <v>566705</v>
      </c>
      <c r="D333" s="13">
        <v>9550</v>
      </c>
      <c r="E333" s="13">
        <v>462701</v>
      </c>
      <c r="F333" s="13">
        <v>8286856</v>
      </c>
      <c r="G333">
        <f>IF(OR(_xlfn.XLOOKUP(A333,'LPG Fup'!D:D,'LPG Fup'!L:L,"",0)&gt;0.03,_xlfn.XLOOKUP(A333,'LPG Fup'!D:D,'LPG Fup'!L:L,"",0)&lt;-0.03),_xlfn.XLOOKUP(A333,'LPG Fup'!D:D,'LPG Fup'!L:L,0,0),0)</f>
        <v>0</v>
      </c>
      <c r="H333">
        <f>IF(_xlfn.XLOOKUP(A333,'LPG Fup'!D:D,'LPG Fup'!M:M,0,0)="",0,_xlfn.XLOOKUP(A333,'LPG Fup'!D:D,'LPG Fup'!M:M,0,0))</f>
        <v>0</v>
      </c>
      <c r="I333" s="109">
        <f>_xlfn.XLOOKUP(A333,'Rafineri Fiyatları'!A:A,'Rafineri Fiyatları'!B:B,"",0)</f>
        <v>4474.6635999999999</v>
      </c>
      <c r="J333">
        <f t="shared" si="20"/>
        <v>2021</v>
      </c>
      <c r="K333">
        <f t="shared" si="21"/>
        <v>4</v>
      </c>
      <c r="L333">
        <f t="shared" si="22"/>
        <v>28</v>
      </c>
      <c r="M333">
        <f t="shared" si="23"/>
        <v>4</v>
      </c>
      <c r="N333">
        <f>_xlfn.XLOOKUP(A333,tatiller!H:H,tatiller!I:I,0,0)</f>
        <v>0</v>
      </c>
      <c r="O333" cm="1">
        <f t="array" ref="O333">_xlfn.IFNA(_xlfn.IFS(L333=1,"A0",A333=EOMONTH(A333,0),"A-1",L333=2,"A+1"),0)</f>
        <v>0</v>
      </c>
      <c r="P333" cm="1">
        <f t="array" ref="P333">_xlfn.IFNA(_xlfn.IFS(AND(_xlfn.XLOOKUP(A333,'LPG Fup'!D:D,'LPG Fup'!M:M,"",0)&lt;&gt;"",_xlfn.XLOOKUP(A333,'LPG Fup'!D:D,'LPG Fup'!M:M,"",0)&gt;0),"Z-1", AND(_xlfn.XLOOKUP(A333+1,'LPG Fup'!D:D,'LPG Fup'!M:M,"",0)&lt;&gt;"",_xlfn.XLOOKUP(A333+1,'LPG Fup'!D:D,'LPG Fup'!M:M,"",0)&gt;0),"Z-2", AND(_xlfn.XLOOKUP(A333-1,'LPG Fup'!D:D,'LPG Fup'!M:M,"",0)&lt;&gt;"",_xlfn.XLOOKUP(A333-1,'LPG Fup'!D:D,'LPG Fup'!M:M,"",0)&gt;0),"Z", AND(_xlfn.XLOOKUP(A333-2,'LPG Fup'!D:D,'LPG Fup'!M:M,"",0)&lt;&gt;"",_xlfn.XLOOKUP(A333-2,'LPG Fup'!D:D,'LPG Fup'!M:M,"",0)&gt;0),"Z+1"),0)</f>
        <v>0</v>
      </c>
      <c r="Q333" cm="1">
        <f t="array" ref="Q333">_xlfn.IFNA(_xlfn.IFS(AND(_xlfn.XLOOKUP(A333,'LPG Fup'!D:D,'LPG Fup'!M:M,"",0)&lt;&gt;"",_xlfn.XLOOKUP(A333,'LPG Fup'!D:D,'LPG Fup'!M:M,"",0)&lt;0),"I-1", AND(_xlfn.XLOOKUP(A333+1,'LPG Fup'!D:D,'LPG Fup'!M:M,"",0)&lt;&gt;"",_xlfn.XLOOKUP(A333+1,'LPG Fup'!D:D,'LPG Fup'!M:M,"",0)&lt;0),"I-2", AND(_xlfn.XLOOKUP(A333-1,'LPG Fup'!D:D,'LPG Fup'!M:M,"",0)&lt;&gt;"",_xlfn.XLOOKUP(A333-1,'LPG Fup'!D:D,'LPG Fup'!M:M,"",0)&lt;0),"I", AND(_xlfn.XLOOKUP(A333-2,'LPG Fup'!D:D,'LPG Fup'!M:M,"",0)&lt;&gt;"",_xlfn.XLOOKUP(A333-2,'LPG Fup'!D:D,'LPG Fup'!M:M,"",0)&lt;0),"I+1"),0)</f>
        <v>0</v>
      </c>
      <c r="R333">
        <f>_xlfn.XLOOKUP(A333,Covid!A:A,Covid!I:I,0,0)</f>
        <v>2728</v>
      </c>
      <c r="S333">
        <f>_xlfn.XLOOKUP(A333,Covid!A:A,Covid!K:K,0,0)</f>
        <v>341</v>
      </c>
      <c r="T333" s="145">
        <f>_xlfn.XLOOKUP(A333,Covid!A:A,Covid!K:K,0,0)/_xlfn.XLOOKUP(A333,Covid!A:A,Covid!L:L,0,0)</f>
        <v>7.5445816186556925E-3</v>
      </c>
    </row>
    <row r="334" spans="1:20" x14ac:dyDescent="0.55000000000000004">
      <c r="A334" s="157">
        <v>44315</v>
      </c>
      <c r="B334" s="13">
        <v>1086580</v>
      </c>
      <c r="C334" s="13">
        <v>479859</v>
      </c>
      <c r="D334" s="13">
        <v>6400</v>
      </c>
      <c r="E334" s="13">
        <v>625792</v>
      </c>
      <c r="F334" s="13">
        <v>2198631</v>
      </c>
      <c r="G334">
        <f>IF(OR(_xlfn.XLOOKUP(A334,'LPG Fup'!D:D,'LPG Fup'!L:L,"",0)&gt;0.03,_xlfn.XLOOKUP(A334,'LPG Fup'!D:D,'LPG Fup'!L:L,"",0)&lt;-0.03),_xlfn.XLOOKUP(A334,'LPG Fup'!D:D,'LPG Fup'!L:L,0,0),0)</f>
        <v>0</v>
      </c>
      <c r="H334">
        <f>IF(_xlfn.XLOOKUP(A334,'LPG Fup'!D:D,'LPG Fup'!M:M,0,0)="",0,_xlfn.XLOOKUP(A334,'LPG Fup'!D:D,'LPG Fup'!M:M,0,0))</f>
        <v>0</v>
      </c>
      <c r="I334" s="109">
        <f>_xlfn.XLOOKUP(A334,'Rafineri Fiyatları'!A:A,'Rafineri Fiyatları'!B:B,"",0)</f>
        <v>4474.6635999999999</v>
      </c>
      <c r="J334">
        <f t="shared" si="20"/>
        <v>2021</v>
      </c>
      <c r="K334">
        <f t="shared" si="21"/>
        <v>4</v>
      </c>
      <c r="L334">
        <f t="shared" si="22"/>
        <v>29</v>
      </c>
      <c r="M334">
        <f t="shared" si="23"/>
        <v>5</v>
      </c>
      <c r="N334">
        <f>_xlfn.XLOOKUP(A334,tatiller!H:H,tatiller!I:I,0,0)</f>
        <v>0</v>
      </c>
      <c r="O334" cm="1">
        <f t="array" ref="O334">_xlfn.IFNA(_xlfn.IFS(L334=1,"A0",A334=EOMONTH(A334,0),"A-1",L334=2,"A+1"),0)</f>
        <v>0</v>
      </c>
      <c r="P334" cm="1">
        <f t="array" ref="P334">_xlfn.IFNA(_xlfn.IFS(AND(_xlfn.XLOOKUP(A334,'LPG Fup'!D:D,'LPG Fup'!M:M,"",0)&lt;&gt;"",_xlfn.XLOOKUP(A334,'LPG Fup'!D:D,'LPG Fup'!M:M,"",0)&gt;0),"Z-1", AND(_xlfn.XLOOKUP(A334+1,'LPG Fup'!D:D,'LPG Fup'!M:M,"",0)&lt;&gt;"",_xlfn.XLOOKUP(A334+1,'LPG Fup'!D:D,'LPG Fup'!M:M,"",0)&gt;0),"Z-2", AND(_xlfn.XLOOKUP(A334-1,'LPG Fup'!D:D,'LPG Fup'!M:M,"",0)&lt;&gt;"",_xlfn.XLOOKUP(A334-1,'LPG Fup'!D:D,'LPG Fup'!M:M,"",0)&gt;0),"Z", AND(_xlfn.XLOOKUP(A334-2,'LPG Fup'!D:D,'LPG Fup'!M:M,"",0)&lt;&gt;"",_xlfn.XLOOKUP(A334-2,'LPG Fup'!D:D,'LPG Fup'!M:M,"",0)&gt;0),"Z+1"),0)</f>
        <v>0</v>
      </c>
      <c r="Q334" cm="1">
        <f t="array" ref="Q334">_xlfn.IFNA(_xlfn.IFS(AND(_xlfn.XLOOKUP(A334,'LPG Fup'!D:D,'LPG Fup'!M:M,"",0)&lt;&gt;"",_xlfn.XLOOKUP(A334,'LPG Fup'!D:D,'LPG Fup'!M:M,"",0)&lt;0),"I-1", AND(_xlfn.XLOOKUP(A334+1,'LPG Fup'!D:D,'LPG Fup'!M:M,"",0)&lt;&gt;"",_xlfn.XLOOKUP(A334+1,'LPG Fup'!D:D,'LPG Fup'!M:M,"",0)&lt;0),"I-2", AND(_xlfn.XLOOKUP(A334-1,'LPG Fup'!D:D,'LPG Fup'!M:M,"",0)&lt;&gt;"",_xlfn.XLOOKUP(A334-1,'LPG Fup'!D:D,'LPG Fup'!M:M,"",0)&lt;0),"I", AND(_xlfn.XLOOKUP(A334-2,'LPG Fup'!D:D,'LPG Fup'!M:M,"",0)&lt;&gt;"",_xlfn.XLOOKUP(A334-2,'LPG Fup'!D:D,'LPG Fup'!M:M,"",0)&lt;0),"I+1"),0)</f>
        <v>0</v>
      </c>
      <c r="R334">
        <f>_xlfn.XLOOKUP(A334,Covid!A:A,Covid!I:I,0,0)</f>
        <v>2715</v>
      </c>
      <c r="S334">
        <f>_xlfn.XLOOKUP(A334,Covid!A:A,Covid!K:K,0,0)</f>
        <v>339</v>
      </c>
      <c r="T334" s="145">
        <f>_xlfn.XLOOKUP(A334,Covid!A:A,Covid!K:K,0,0)/_xlfn.XLOOKUP(A334,Covid!A:A,Covid!L:L,0,0)</f>
        <v>7.8376066400018488E-3</v>
      </c>
    </row>
    <row r="335" spans="1:20" x14ac:dyDescent="0.55000000000000004">
      <c r="A335" s="157">
        <v>44316</v>
      </c>
      <c r="B335" s="13">
        <v>1014480</v>
      </c>
      <c r="C335" s="13">
        <v>602443</v>
      </c>
      <c r="D335" s="13">
        <v>33557</v>
      </c>
      <c r="E335" s="13">
        <v>476900</v>
      </c>
      <c r="F335" s="13">
        <v>2127380</v>
      </c>
      <c r="G335">
        <f>IF(OR(_xlfn.XLOOKUP(A335,'LPG Fup'!D:D,'LPG Fup'!L:L,"",0)&gt;0.03,_xlfn.XLOOKUP(A335,'LPG Fup'!D:D,'LPG Fup'!L:L,"",0)&lt;-0.03),_xlfn.XLOOKUP(A335,'LPG Fup'!D:D,'LPG Fup'!L:L,0,0),0)</f>
        <v>0</v>
      </c>
      <c r="H335">
        <f>IF(_xlfn.XLOOKUP(A335,'LPG Fup'!D:D,'LPG Fup'!M:M,0,0)="",0,_xlfn.XLOOKUP(A335,'LPG Fup'!D:D,'LPG Fup'!M:M,0,0))</f>
        <v>0</v>
      </c>
      <c r="I335" s="109">
        <f>_xlfn.XLOOKUP(A335,'Rafineri Fiyatları'!A:A,'Rafineri Fiyatları'!B:B,"",0)</f>
        <v>4474.6635999999999</v>
      </c>
      <c r="J335">
        <f t="shared" si="20"/>
        <v>2021</v>
      </c>
      <c r="K335">
        <f t="shared" si="21"/>
        <v>4</v>
      </c>
      <c r="L335">
        <f t="shared" si="22"/>
        <v>30</v>
      </c>
      <c r="M335">
        <f t="shared" si="23"/>
        <v>6</v>
      </c>
      <c r="N335">
        <f>_xlfn.XLOOKUP(A335,tatiller!H:H,tatiller!I:I,0,0)</f>
        <v>0</v>
      </c>
      <c r="O335" t="str" cm="1">
        <f t="array" ref="O335">_xlfn.IFNA(_xlfn.IFS(L335=1,"A0",A335=EOMONTH(A335,0),"A-1",L335=2,"A+1"),0)</f>
        <v>A-1</v>
      </c>
      <c r="P335" cm="1">
        <f t="array" ref="P335">_xlfn.IFNA(_xlfn.IFS(AND(_xlfn.XLOOKUP(A335,'LPG Fup'!D:D,'LPG Fup'!M:M,"",0)&lt;&gt;"",_xlfn.XLOOKUP(A335,'LPG Fup'!D:D,'LPG Fup'!M:M,"",0)&gt;0),"Z-1", AND(_xlfn.XLOOKUP(A335+1,'LPG Fup'!D:D,'LPG Fup'!M:M,"",0)&lt;&gt;"",_xlfn.XLOOKUP(A335+1,'LPG Fup'!D:D,'LPG Fup'!M:M,"",0)&gt;0),"Z-2", AND(_xlfn.XLOOKUP(A335-1,'LPG Fup'!D:D,'LPG Fup'!M:M,"",0)&lt;&gt;"",_xlfn.XLOOKUP(A335-1,'LPG Fup'!D:D,'LPG Fup'!M:M,"",0)&gt;0),"Z", AND(_xlfn.XLOOKUP(A335-2,'LPG Fup'!D:D,'LPG Fup'!M:M,"",0)&lt;&gt;"",_xlfn.XLOOKUP(A335-2,'LPG Fup'!D:D,'LPG Fup'!M:M,"",0)&gt;0),"Z+1"),0)</f>
        <v>0</v>
      </c>
      <c r="Q335" cm="1">
        <f t="array" ref="Q335">_xlfn.IFNA(_xlfn.IFS(AND(_xlfn.XLOOKUP(A335,'LPG Fup'!D:D,'LPG Fup'!M:M,"",0)&lt;&gt;"",_xlfn.XLOOKUP(A335,'LPG Fup'!D:D,'LPG Fup'!M:M,"",0)&lt;0),"I-1", AND(_xlfn.XLOOKUP(A335+1,'LPG Fup'!D:D,'LPG Fup'!M:M,"",0)&lt;&gt;"",_xlfn.XLOOKUP(A335+1,'LPG Fup'!D:D,'LPG Fup'!M:M,"",0)&lt;0),"I-2", AND(_xlfn.XLOOKUP(A335-1,'LPG Fup'!D:D,'LPG Fup'!M:M,"",0)&lt;&gt;"",_xlfn.XLOOKUP(A335-1,'LPG Fup'!D:D,'LPG Fup'!M:M,"",0)&lt;0),"I", AND(_xlfn.XLOOKUP(A335-2,'LPG Fup'!D:D,'LPG Fup'!M:M,"",0)&lt;&gt;"",_xlfn.XLOOKUP(A335-2,'LPG Fup'!D:D,'LPG Fup'!M:M,"",0)&lt;0),"I+1"),0)</f>
        <v>0</v>
      </c>
      <c r="R335">
        <f>_xlfn.XLOOKUP(A335,Covid!A:A,Covid!I:I,0,0)</f>
        <v>2673</v>
      </c>
      <c r="S335">
        <f>_xlfn.XLOOKUP(A335,Covid!A:A,Covid!K:K,0,0)</f>
        <v>394</v>
      </c>
      <c r="T335" s="145">
        <f>_xlfn.XLOOKUP(A335,Covid!A:A,Covid!K:K,0,0)/_xlfn.XLOOKUP(A335,Covid!A:A,Covid!L:L,0,0)</f>
        <v>5.7785665048472497E-3</v>
      </c>
    </row>
    <row r="336" spans="1:20" x14ac:dyDescent="0.55000000000000004">
      <c r="A336" s="157">
        <v>44317</v>
      </c>
      <c r="B336" s="13">
        <v>1016880</v>
      </c>
      <c r="C336" s="13">
        <v>72396</v>
      </c>
      <c r="D336" s="13">
        <v>43236</v>
      </c>
      <c r="E336" s="13">
        <v>65249</v>
      </c>
      <c r="F336" s="13">
        <v>1197761</v>
      </c>
      <c r="G336">
        <f>IF(OR(_xlfn.XLOOKUP(A336,'LPG Fup'!D:D,'LPG Fup'!L:L,"",0)&gt;0.03,_xlfn.XLOOKUP(A336,'LPG Fup'!D:D,'LPG Fup'!L:L,"",0)&lt;-0.03),_xlfn.XLOOKUP(A336,'LPG Fup'!D:D,'LPG Fup'!L:L,0,0),0)</f>
        <v>0</v>
      </c>
      <c r="H336">
        <f>IF(_xlfn.XLOOKUP(A336,'LPG Fup'!D:D,'LPG Fup'!M:M,0,0)="",0,_xlfn.XLOOKUP(A336,'LPG Fup'!D:D,'LPG Fup'!M:M,0,0))</f>
        <v>0</v>
      </c>
      <c r="I336" s="109">
        <f>_xlfn.XLOOKUP(A336,'Rafineri Fiyatları'!A:A,'Rafineri Fiyatları'!B:B,"",0)</f>
        <v>4474.6635999999999</v>
      </c>
      <c r="J336">
        <f t="shared" si="20"/>
        <v>2021</v>
      </c>
      <c r="K336">
        <f t="shared" si="21"/>
        <v>5</v>
      </c>
      <c r="L336">
        <f t="shared" si="22"/>
        <v>1</v>
      </c>
      <c r="M336">
        <f t="shared" si="23"/>
        <v>7</v>
      </c>
      <c r="N336" t="str">
        <f>_xlfn.XLOOKUP(A336,tatiller!H:H,tatiller!I:I,0,0)</f>
        <v>T</v>
      </c>
      <c r="O336" t="str" cm="1">
        <f t="array" ref="O336">_xlfn.IFNA(_xlfn.IFS(L336=1,"A0",A336=EOMONTH(A336,0),"A-1",L336=2,"A+1"),0)</f>
        <v>A0</v>
      </c>
      <c r="P336" cm="1">
        <f t="array" ref="P336">_xlfn.IFNA(_xlfn.IFS(AND(_xlfn.XLOOKUP(A336,'LPG Fup'!D:D,'LPG Fup'!M:M,"",0)&lt;&gt;"",_xlfn.XLOOKUP(A336,'LPG Fup'!D:D,'LPG Fup'!M:M,"",0)&gt;0),"Z-1", AND(_xlfn.XLOOKUP(A336+1,'LPG Fup'!D:D,'LPG Fup'!M:M,"",0)&lt;&gt;"",_xlfn.XLOOKUP(A336+1,'LPG Fup'!D:D,'LPG Fup'!M:M,"",0)&gt;0),"Z-2", AND(_xlfn.XLOOKUP(A336-1,'LPG Fup'!D:D,'LPG Fup'!M:M,"",0)&lt;&gt;"",_xlfn.XLOOKUP(A336-1,'LPG Fup'!D:D,'LPG Fup'!M:M,"",0)&gt;0),"Z", AND(_xlfn.XLOOKUP(A336-2,'LPG Fup'!D:D,'LPG Fup'!M:M,"",0)&lt;&gt;"",_xlfn.XLOOKUP(A336-2,'LPG Fup'!D:D,'LPG Fup'!M:M,"",0)&gt;0),"Z+1"),0)</f>
        <v>0</v>
      </c>
      <c r="Q336" cm="1">
        <f t="array" ref="Q336">_xlfn.IFNA(_xlfn.IFS(AND(_xlfn.XLOOKUP(A336,'LPG Fup'!D:D,'LPG Fup'!M:M,"",0)&lt;&gt;"",_xlfn.XLOOKUP(A336,'LPG Fup'!D:D,'LPG Fup'!M:M,"",0)&lt;0),"I-1", AND(_xlfn.XLOOKUP(A336+1,'LPG Fup'!D:D,'LPG Fup'!M:M,"",0)&lt;&gt;"",_xlfn.XLOOKUP(A336+1,'LPG Fup'!D:D,'LPG Fup'!M:M,"",0)&lt;0),"I-2", AND(_xlfn.XLOOKUP(A336-1,'LPG Fup'!D:D,'LPG Fup'!M:M,"",0)&lt;&gt;"",_xlfn.XLOOKUP(A336-1,'LPG Fup'!D:D,'LPG Fup'!M:M,"",0)&lt;0),"I", AND(_xlfn.XLOOKUP(A336-2,'LPG Fup'!D:D,'LPG Fup'!M:M,"",0)&lt;&gt;"",_xlfn.XLOOKUP(A336-2,'LPG Fup'!D:D,'LPG Fup'!M:M,"",0)&lt;0),"I+1"),0)</f>
        <v>0</v>
      </c>
      <c r="R336">
        <f>_xlfn.XLOOKUP(A336,Covid!A:A,Covid!I:I,0,0)</f>
        <v>2615</v>
      </c>
      <c r="S336">
        <f>_xlfn.XLOOKUP(A336,Covid!A:A,Covid!K:K,0,0)</f>
        <v>373</v>
      </c>
      <c r="T336" s="145">
        <f>_xlfn.XLOOKUP(A336,Covid!A:A,Covid!K:K,0,0)/_xlfn.XLOOKUP(A336,Covid!A:A,Covid!L:L,0,0)</f>
        <v>4.5878330176379427E-3</v>
      </c>
    </row>
    <row r="337" spans="1:20" x14ac:dyDescent="0.55000000000000004">
      <c r="A337" s="157">
        <v>44318</v>
      </c>
      <c r="B337" s="13">
        <v>695720</v>
      </c>
      <c r="C337" s="13">
        <v>0</v>
      </c>
      <c r="D337" s="13">
        <v>0</v>
      </c>
      <c r="E337" s="13">
        <v>75702</v>
      </c>
      <c r="F337" s="13">
        <v>771422</v>
      </c>
      <c r="G337">
        <f>IF(OR(_xlfn.XLOOKUP(A337,'LPG Fup'!D:D,'LPG Fup'!L:L,"",0)&gt;0.03,_xlfn.XLOOKUP(A337,'LPG Fup'!D:D,'LPG Fup'!L:L,"",0)&lt;-0.03),_xlfn.XLOOKUP(A337,'LPG Fup'!D:D,'LPG Fup'!L:L,0,0),0)</f>
        <v>0</v>
      </c>
      <c r="H337">
        <f>IF(_xlfn.XLOOKUP(A337,'LPG Fup'!D:D,'LPG Fup'!M:M,0,0)="",0,_xlfn.XLOOKUP(A337,'LPG Fup'!D:D,'LPG Fup'!M:M,0,0))</f>
        <v>0</v>
      </c>
      <c r="I337" s="109">
        <f>_xlfn.XLOOKUP(A337,'Rafineri Fiyatları'!A:A,'Rafineri Fiyatları'!B:B,"",0)</f>
        <v>4474.6635999999999</v>
      </c>
      <c r="J337">
        <f t="shared" si="20"/>
        <v>2021</v>
      </c>
      <c r="K337">
        <f t="shared" si="21"/>
        <v>5</v>
      </c>
      <c r="L337">
        <f t="shared" si="22"/>
        <v>2</v>
      </c>
      <c r="M337">
        <f t="shared" si="23"/>
        <v>1</v>
      </c>
      <c r="N337">
        <f>_xlfn.XLOOKUP(A337,tatiller!H:H,tatiller!I:I,0,0)</f>
        <v>0</v>
      </c>
      <c r="O337" t="str" cm="1">
        <f t="array" ref="O337">_xlfn.IFNA(_xlfn.IFS(L337=1,"A0",A337=EOMONTH(A337,0),"A-1",L337=2,"A+1"),0)</f>
        <v>A+1</v>
      </c>
      <c r="P337" cm="1">
        <f t="array" ref="P337">_xlfn.IFNA(_xlfn.IFS(AND(_xlfn.XLOOKUP(A337,'LPG Fup'!D:D,'LPG Fup'!M:M,"",0)&lt;&gt;"",_xlfn.XLOOKUP(A337,'LPG Fup'!D:D,'LPG Fup'!M:M,"",0)&gt;0),"Z-1", AND(_xlfn.XLOOKUP(A337+1,'LPG Fup'!D:D,'LPG Fup'!M:M,"",0)&lt;&gt;"",_xlfn.XLOOKUP(A337+1,'LPG Fup'!D:D,'LPG Fup'!M:M,"",0)&gt;0),"Z-2", AND(_xlfn.XLOOKUP(A337-1,'LPG Fup'!D:D,'LPG Fup'!M:M,"",0)&lt;&gt;"",_xlfn.XLOOKUP(A337-1,'LPG Fup'!D:D,'LPG Fup'!M:M,"",0)&gt;0),"Z", AND(_xlfn.XLOOKUP(A337-2,'LPG Fup'!D:D,'LPG Fup'!M:M,"",0)&lt;&gt;"",_xlfn.XLOOKUP(A337-2,'LPG Fup'!D:D,'LPG Fup'!M:M,"",0)&gt;0),"Z+1"),0)</f>
        <v>0</v>
      </c>
      <c r="Q337" cm="1">
        <f t="array" ref="Q337">_xlfn.IFNA(_xlfn.IFS(AND(_xlfn.XLOOKUP(A337,'LPG Fup'!D:D,'LPG Fup'!M:M,"",0)&lt;&gt;"",_xlfn.XLOOKUP(A337,'LPG Fup'!D:D,'LPG Fup'!M:M,"",0)&lt;0),"I-1", AND(_xlfn.XLOOKUP(A337+1,'LPG Fup'!D:D,'LPG Fup'!M:M,"",0)&lt;&gt;"",_xlfn.XLOOKUP(A337+1,'LPG Fup'!D:D,'LPG Fup'!M:M,"",0)&lt;0),"I-2", AND(_xlfn.XLOOKUP(A337-1,'LPG Fup'!D:D,'LPG Fup'!M:M,"",0)&lt;&gt;"",_xlfn.XLOOKUP(A337-1,'LPG Fup'!D:D,'LPG Fup'!M:M,"",0)&lt;0),"I", AND(_xlfn.XLOOKUP(A337-2,'LPG Fup'!D:D,'LPG Fup'!M:M,"",0)&lt;&gt;"",_xlfn.XLOOKUP(A337-2,'LPG Fup'!D:D,'LPG Fup'!M:M,"",0)&lt;0),"I+1"),0)</f>
        <v>0</v>
      </c>
      <c r="R337">
        <f>_xlfn.XLOOKUP(A337,Covid!A:A,Covid!I:I,0,0)</f>
        <v>2587</v>
      </c>
      <c r="S337">
        <f>_xlfn.XLOOKUP(A337,Covid!A:A,Covid!K:K,0,0)</f>
        <v>340</v>
      </c>
      <c r="T337" s="145">
        <f>_xlfn.XLOOKUP(A337,Covid!A:A,Covid!K:K,0,0)/_xlfn.XLOOKUP(A337,Covid!A:A,Covid!L:L,0,0)</f>
        <v>4.5223590753105799E-3</v>
      </c>
    </row>
    <row r="338" spans="1:20" x14ac:dyDescent="0.55000000000000004">
      <c r="A338" s="157">
        <v>44319</v>
      </c>
      <c r="B338" s="13">
        <v>990600</v>
      </c>
      <c r="C338" s="13">
        <v>447915</v>
      </c>
      <c r="D338" s="13">
        <v>7441</v>
      </c>
      <c r="E338" s="13">
        <v>203996</v>
      </c>
      <c r="F338" s="13">
        <v>3850113</v>
      </c>
      <c r="G338">
        <f>IF(OR(_xlfn.XLOOKUP(A338,'LPG Fup'!D:D,'LPG Fup'!L:L,"",0)&gt;0.03,_xlfn.XLOOKUP(A338,'LPG Fup'!D:D,'LPG Fup'!L:L,"",0)&lt;-0.03),_xlfn.XLOOKUP(A338,'LPG Fup'!D:D,'LPG Fup'!L:L,0,0),0)</f>
        <v>0</v>
      </c>
      <c r="H338">
        <f>IF(_xlfn.XLOOKUP(A338,'LPG Fup'!D:D,'LPG Fup'!M:M,0,0)="",0,_xlfn.XLOOKUP(A338,'LPG Fup'!D:D,'LPG Fup'!M:M,0,0))</f>
        <v>0</v>
      </c>
      <c r="I338" s="109">
        <f>_xlfn.XLOOKUP(A338,'Rafineri Fiyatları'!A:A,'Rafineri Fiyatları'!B:B,"",0)</f>
        <v>4474.6635999999999</v>
      </c>
      <c r="J338">
        <f t="shared" si="20"/>
        <v>2021</v>
      </c>
      <c r="K338">
        <f t="shared" si="21"/>
        <v>5</v>
      </c>
      <c r="L338">
        <f t="shared" si="22"/>
        <v>3</v>
      </c>
      <c r="M338">
        <f t="shared" si="23"/>
        <v>2</v>
      </c>
      <c r="N338">
        <f>_xlfn.XLOOKUP(A338,tatiller!H:H,tatiller!I:I,0,0)</f>
        <v>0</v>
      </c>
      <c r="O338" cm="1">
        <f t="array" ref="O338">_xlfn.IFNA(_xlfn.IFS(L338=1,"A0",A338=EOMONTH(A338,0),"A-1",L338=2,"A+1"),0)</f>
        <v>0</v>
      </c>
      <c r="P338" cm="1">
        <f t="array" ref="P338">_xlfn.IFNA(_xlfn.IFS(AND(_xlfn.XLOOKUP(A338,'LPG Fup'!D:D,'LPG Fup'!M:M,"",0)&lt;&gt;"",_xlfn.XLOOKUP(A338,'LPG Fup'!D:D,'LPG Fup'!M:M,"",0)&gt;0),"Z-1", AND(_xlfn.XLOOKUP(A338+1,'LPG Fup'!D:D,'LPG Fup'!M:M,"",0)&lt;&gt;"",_xlfn.XLOOKUP(A338+1,'LPG Fup'!D:D,'LPG Fup'!M:M,"",0)&gt;0),"Z-2", AND(_xlfn.XLOOKUP(A338-1,'LPG Fup'!D:D,'LPG Fup'!M:M,"",0)&lt;&gt;"",_xlfn.XLOOKUP(A338-1,'LPG Fup'!D:D,'LPG Fup'!M:M,"",0)&gt;0),"Z", AND(_xlfn.XLOOKUP(A338-2,'LPG Fup'!D:D,'LPG Fup'!M:M,"",0)&lt;&gt;"",_xlfn.XLOOKUP(A338-2,'LPG Fup'!D:D,'LPG Fup'!M:M,"",0)&gt;0),"Z+1"),0)</f>
        <v>0</v>
      </c>
      <c r="Q338" cm="1">
        <f t="array" ref="Q338">_xlfn.IFNA(_xlfn.IFS(AND(_xlfn.XLOOKUP(A338,'LPG Fup'!D:D,'LPG Fup'!M:M,"",0)&lt;&gt;"",_xlfn.XLOOKUP(A338,'LPG Fup'!D:D,'LPG Fup'!M:M,"",0)&lt;0),"I-1", AND(_xlfn.XLOOKUP(A338+1,'LPG Fup'!D:D,'LPG Fup'!M:M,"",0)&lt;&gt;"",_xlfn.XLOOKUP(A338+1,'LPG Fup'!D:D,'LPG Fup'!M:M,"",0)&lt;0),"I-2", AND(_xlfn.XLOOKUP(A338-1,'LPG Fup'!D:D,'LPG Fup'!M:M,"",0)&lt;&gt;"",_xlfn.XLOOKUP(A338-1,'LPG Fup'!D:D,'LPG Fup'!M:M,"",0)&lt;0),"I", AND(_xlfn.XLOOKUP(A338-2,'LPG Fup'!D:D,'LPG Fup'!M:M,"",0)&lt;&gt;"",_xlfn.XLOOKUP(A338-2,'LPG Fup'!D:D,'LPG Fup'!M:M,"",0)&lt;0),"I+1"),0)</f>
        <v>0</v>
      </c>
      <c r="R338">
        <f>_xlfn.XLOOKUP(A338,Covid!A:A,Covid!I:I,0,0)</f>
        <v>2501</v>
      </c>
      <c r="S338">
        <f>_xlfn.XLOOKUP(A338,Covid!A:A,Covid!K:K,0,0)</f>
        <v>347</v>
      </c>
      <c r="T338" s="145">
        <f>_xlfn.XLOOKUP(A338,Covid!A:A,Covid!K:K,0,0)/_xlfn.XLOOKUP(A338,Covid!A:A,Covid!L:L,0,0)</f>
        <v>9.7917489700321686E-3</v>
      </c>
    </row>
    <row r="339" spans="1:20" x14ac:dyDescent="0.55000000000000004">
      <c r="A339" s="157">
        <v>44320</v>
      </c>
      <c r="B339" s="13">
        <v>1242500</v>
      </c>
      <c r="C339" s="13">
        <v>410451</v>
      </c>
      <c r="D339" s="13">
        <v>3883</v>
      </c>
      <c r="E339" s="13">
        <v>262158</v>
      </c>
      <c r="F339" s="13">
        <v>1918992</v>
      </c>
      <c r="G339">
        <f>IF(OR(_xlfn.XLOOKUP(A339,'LPG Fup'!D:D,'LPG Fup'!L:L,"",0)&gt;0.03,_xlfn.XLOOKUP(A339,'LPG Fup'!D:D,'LPG Fup'!L:L,"",0)&lt;-0.03),_xlfn.XLOOKUP(A339,'LPG Fup'!D:D,'LPG Fup'!L:L,0,0),0)</f>
        <v>0</v>
      </c>
      <c r="H339">
        <f>IF(_xlfn.XLOOKUP(A339,'LPG Fup'!D:D,'LPG Fup'!M:M,0,0)="",0,_xlfn.XLOOKUP(A339,'LPG Fup'!D:D,'LPG Fup'!M:M,0,0))</f>
        <v>0</v>
      </c>
      <c r="I339" s="109">
        <f>_xlfn.XLOOKUP(A339,'Rafineri Fiyatları'!A:A,'Rafineri Fiyatları'!B:B,"",0)</f>
        <v>4474.6635999999999</v>
      </c>
      <c r="J339">
        <f t="shared" si="20"/>
        <v>2021</v>
      </c>
      <c r="K339">
        <f t="shared" si="21"/>
        <v>5</v>
      </c>
      <c r="L339">
        <f t="shared" si="22"/>
        <v>4</v>
      </c>
      <c r="M339">
        <f t="shared" si="23"/>
        <v>3</v>
      </c>
      <c r="N339">
        <f>_xlfn.XLOOKUP(A339,tatiller!H:H,tatiller!I:I,0,0)</f>
        <v>0</v>
      </c>
      <c r="O339" cm="1">
        <f t="array" ref="O339">_xlfn.IFNA(_xlfn.IFS(L339=1,"A0",A339=EOMONTH(A339,0),"A-1",L339=2,"A+1"),0)</f>
        <v>0</v>
      </c>
      <c r="P339" cm="1">
        <f t="array" ref="P339">_xlfn.IFNA(_xlfn.IFS(AND(_xlfn.XLOOKUP(A339,'LPG Fup'!D:D,'LPG Fup'!M:M,"",0)&lt;&gt;"",_xlfn.XLOOKUP(A339,'LPG Fup'!D:D,'LPG Fup'!M:M,"",0)&gt;0),"Z-1", AND(_xlfn.XLOOKUP(A339+1,'LPG Fup'!D:D,'LPG Fup'!M:M,"",0)&lt;&gt;"",_xlfn.XLOOKUP(A339+1,'LPG Fup'!D:D,'LPG Fup'!M:M,"",0)&gt;0),"Z-2", AND(_xlfn.XLOOKUP(A339-1,'LPG Fup'!D:D,'LPG Fup'!M:M,"",0)&lt;&gt;"",_xlfn.XLOOKUP(A339-1,'LPG Fup'!D:D,'LPG Fup'!M:M,"",0)&gt;0),"Z", AND(_xlfn.XLOOKUP(A339-2,'LPG Fup'!D:D,'LPG Fup'!M:M,"",0)&lt;&gt;"",_xlfn.XLOOKUP(A339-2,'LPG Fup'!D:D,'LPG Fup'!M:M,"",0)&gt;0),"Z+1"),0)</f>
        <v>0</v>
      </c>
      <c r="Q339" t="str" cm="1">
        <f t="array" ref="Q339">_xlfn.IFNA(_xlfn.IFS(AND(_xlfn.XLOOKUP(A339,'LPG Fup'!D:D,'LPG Fup'!M:M,"",0)&lt;&gt;"",_xlfn.XLOOKUP(A339,'LPG Fup'!D:D,'LPG Fup'!M:M,"",0)&lt;0),"I-1", AND(_xlfn.XLOOKUP(A339+1,'LPG Fup'!D:D,'LPG Fup'!M:M,"",0)&lt;&gt;"",_xlfn.XLOOKUP(A339+1,'LPG Fup'!D:D,'LPG Fup'!M:M,"",0)&lt;0),"I-2", AND(_xlfn.XLOOKUP(A339-1,'LPG Fup'!D:D,'LPG Fup'!M:M,"",0)&lt;&gt;"",_xlfn.XLOOKUP(A339-1,'LPG Fup'!D:D,'LPG Fup'!M:M,"",0)&lt;0),"I", AND(_xlfn.XLOOKUP(A339-2,'LPG Fup'!D:D,'LPG Fup'!M:M,"",0)&lt;&gt;"",_xlfn.XLOOKUP(A339-2,'LPG Fup'!D:D,'LPG Fup'!M:M,"",0)&lt;0),"I+1"),0)</f>
        <v>I-2</v>
      </c>
      <c r="R339">
        <f>_xlfn.XLOOKUP(A339,Covid!A:A,Covid!I:I,0,0)</f>
        <v>2483</v>
      </c>
      <c r="S339">
        <f>_xlfn.XLOOKUP(A339,Covid!A:A,Covid!K:K,0,0)</f>
        <v>336</v>
      </c>
      <c r="T339" s="145">
        <f>_xlfn.XLOOKUP(A339,Covid!A:A,Covid!K:K,0,0)/_xlfn.XLOOKUP(A339,Covid!A:A,Covid!L:L,0,0)</f>
        <v>8.7916688471400915E-3</v>
      </c>
    </row>
    <row r="340" spans="1:20" x14ac:dyDescent="0.55000000000000004">
      <c r="A340" s="157">
        <v>44321</v>
      </c>
      <c r="B340" s="13">
        <v>1081240</v>
      </c>
      <c r="C340" s="13">
        <v>396136</v>
      </c>
      <c r="D340" s="13">
        <v>10799</v>
      </c>
      <c r="E340" s="13">
        <v>237513</v>
      </c>
      <c r="F340" s="13">
        <v>1725688</v>
      </c>
      <c r="G340">
        <f>IF(OR(_xlfn.XLOOKUP(A340,'LPG Fup'!D:D,'LPG Fup'!L:L,"",0)&gt;0.03,_xlfn.XLOOKUP(A340,'LPG Fup'!D:D,'LPG Fup'!L:L,"",0)&lt;-0.03),_xlfn.XLOOKUP(A340,'LPG Fup'!D:D,'LPG Fup'!L:L,0,0),0)</f>
        <v>-3.9113229900192233E-2</v>
      </c>
      <c r="H340">
        <f>IF(_xlfn.XLOOKUP(A340,'LPG Fup'!D:D,'LPG Fup'!M:M,0,0)="",0,_xlfn.XLOOKUP(A340,'LPG Fup'!D:D,'LPG Fup'!M:M,0,0))</f>
        <v>-288.32744999999977</v>
      </c>
      <c r="I340" s="109">
        <f>_xlfn.XLOOKUP(A340,'Rafineri Fiyatları'!A:A,'Rafineri Fiyatları'!B:B,"",0)</f>
        <v>4474.6635999999999</v>
      </c>
      <c r="J340">
        <f t="shared" si="20"/>
        <v>2021</v>
      </c>
      <c r="K340">
        <f t="shared" si="21"/>
        <v>5</v>
      </c>
      <c r="L340">
        <f t="shared" si="22"/>
        <v>5</v>
      </c>
      <c r="M340">
        <f t="shared" si="23"/>
        <v>4</v>
      </c>
      <c r="N340">
        <f>_xlfn.XLOOKUP(A340,tatiller!H:H,tatiller!I:I,0,0)</f>
        <v>0</v>
      </c>
      <c r="O340" cm="1">
        <f t="array" ref="O340">_xlfn.IFNA(_xlfn.IFS(L340=1,"A0",A340=EOMONTH(A340,0),"A-1",L340=2,"A+1"),0)</f>
        <v>0</v>
      </c>
      <c r="P340" cm="1">
        <f t="array" ref="P340">_xlfn.IFNA(_xlfn.IFS(AND(_xlfn.XLOOKUP(A340,'LPG Fup'!D:D,'LPG Fup'!M:M,"",0)&lt;&gt;"",_xlfn.XLOOKUP(A340,'LPG Fup'!D:D,'LPG Fup'!M:M,"",0)&gt;0),"Z-1", AND(_xlfn.XLOOKUP(A340+1,'LPG Fup'!D:D,'LPG Fup'!M:M,"",0)&lt;&gt;"",_xlfn.XLOOKUP(A340+1,'LPG Fup'!D:D,'LPG Fup'!M:M,"",0)&gt;0),"Z-2", AND(_xlfn.XLOOKUP(A340-1,'LPG Fup'!D:D,'LPG Fup'!M:M,"",0)&lt;&gt;"",_xlfn.XLOOKUP(A340-1,'LPG Fup'!D:D,'LPG Fup'!M:M,"",0)&gt;0),"Z", AND(_xlfn.XLOOKUP(A340-2,'LPG Fup'!D:D,'LPG Fup'!M:M,"",0)&lt;&gt;"",_xlfn.XLOOKUP(A340-2,'LPG Fup'!D:D,'LPG Fup'!M:M,"",0)&gt;0),"Z+1"),0)</f>
        <v>0</v>
      </c>
      <c r="Q340" t="str" cm="1">
        <f t="array" ref="Q340">_xlfn.IFNA(_xlfn.IFS(AND(_xlfn.XLOOKUP(A340,'LPG Fup'!D:D,'LPG Fup'!M:M,"",0)&lt;&gt;"",_xlfn.XLOOKUP(A340,'LPG Fup'!D:D,'LPG Fup'!M:M,"",0)&lt;0),"I-1", AND(_xlfn.XLOOKUP(A340+1,'LPG Fup'!D:D,'LPG Fup'!M:M,"",0)&lt;&gt;"",_xlfn.XLOOKUP(A340+1,'LPG Fup'!D:D,'LPG Fup'!M:M,"",0)&lt;0),"I-2", AND(_xlfn.XLOOKUP(A340-1,'LPG Fup'!D:D,'LPG Fup'!M:M,"",0)&lt;&gt;"",_xlfn.XLOOKUP(A340-1,'LPG Fup'!D:D,'LPG Fup'!M:M,"",0)&lt;0),"I", AND(_xlfn.XLOOKUP(A340-2,'LPG Fup'!D:D,'LPG Fup'!M:M,"",0)&lt;&gt;"",_xlfn.XLOOKUP(A340-2,'LPG Fup'!D:D,'LPG Fup'!M:M,"",0)&lt;0),"I+1"),0)</f>
        <v>I-1</v>
      </c>
      <c r="R340">
        <f>_xlfn.XLOOKUP(A340,Covid!A:A,Covid!I:I,0,0)</f>
        <v>2414</v>
      </c>
      <c r="S340">
        <f>_xlfn.XLOOKUP(A340,Covid!A:A,Covid!K:K,0,0)</f>
        <v>356</v>
      </c>
      <c r="T340" s="145">
        <f>_xlfn.XLOOKUP(A340,Covid!A:A,Covid!K:K,0,0)/_xlfn.XLOOKUP(A340,Covid!A:A,Covid!L:L,0,0)</f>
        <v>1.0038348748026168E-2</v>
      </c>
    </row>
    <row r="341" spans="1:20" x14ac:dyDescent="0.55000000000000004">
      <c r="A341" s="157">
        <v>44322</v>
      </c>
      <c r="B341" s="13">
        <v>728500</v>
      </c>
      <c r="C341" s="13">
        <v>592672</v>
      </c>
      <c r="D341" s="13">
        <v>5010</v>
      </c>
      <c r="E341" s="13">
        <v>212138</v>
      </c>
      <c r="F341" s="13">
        <v>1538320</v>
      </c>
      <c r="G341">
        <f>IF(OR(_xlfn.XLOOKUP(A341,'LPG Fup'!D:D,'LPG Fup'!L:L,"",0)&gt;0.03,_xlfn.XLOOKUP(A341,'LPG Fup'!D:D,'LPG Fup'!L:L,"",0)&lt;-0.03),_xlfn.XLOOKUP(A341,'LPG Fup'!D:D,'LPG Fup'!L:L,0,0),0)</f>
        <v>0</v>
      </c>
      <c r="H341">
        <f>IF(_xlfn.XLOOKUP(A341,'LPG Fup'!D:D,'LPG Fup'!M:M,0,0)="",0,_xlfn.XLOOKUP(A341,'LPG Fup'!D:D,'LPG Fup'!M:M,0,0))</f>
        <v>0</v>
      </c>
      <c r="I341" s="109">
        <f>_xlfn.XLOOKUP(A341,'Rafineri Fiyatları'!A:A,'Rafineri Fiyatları'!B:B,"",0)</f>
        <v>4467.3361500000001</v>
      </c>
      <c r="J341">
        <f t="shared" si="20"/>
        <v>2021</v>
      </c>
      <c r="K341">
        <f t="shared" si="21"/>
        <v>5</v>
      </c>
      <c r="L341">
        <f t="shared" si="22"/>
        <v>6</v>
      </c>
      <c r="M341">
        <f t="shared" si="23"/>
        <v>5</v>
      </c>
      <c r="N341">
        <f>_xlfn.XLOOKUP(A341,tatiller!H:H,tatiller!I:I,0,0)</f>
        <v>0</v>
      </c>
      <c r="O341" cm="1">
        <f t="array" ref="O341">_xlfn.IFNA(_xlfn.IFS(L341=1,"A0",A341=EOMONTH(A341,0),"A-1",L341=2,"A+1"),0)</f>
        <v>0</v>
      </c>
      <c r="P341" cm="1">
        <f t="array" ref="P341">_xlfn.IFNA(_xlfn.IFS(AND(_xlfn.XLOOKUP(A341,'LPG Fup'!D:D,'LPG Fup'!M:M,"",0)&lt;&gt;"",_xlfn.XLOOKUP(A341,'LPG Fup'!D:D,'LPG Fup'!M:M,"",0)&gt;0),"Z-1", AND(_xlfn.XLOOKUP(A341+1,'LPG Fup'!D:D,'LPG Fup'!M:M,"",0)&lt;&gt;"",_xlfn.XLOOKUP(A341+1,'LPG Fup'!D:D,'LPG Fup'!M:M,"",0)&gt;0),"Z-2", AND(_xlfn.XLOOKUP(A341-1,'LPG Fup'!D:D,'LPG Fup'!M:M,"",0)&lt;&gt;"",_xlfn.XLOOKUP(A341-1,'LPG Fup'!D:D,'LPG Fup'!M:M,"",0)&gt;0),"Z", AND(_xlfn.XLOOKUP(A341-2,'LPG Fup'!D:D,'LPG Fup'!M:M,"",0)&lt;&gt;"",_xlfn.XLOOKUP(A341-2,'LPG Fup'!D:D,'LPG Fup'!M:M,"",0)&gt;0),"Z+1"),0)</f>
        <v>0</v>
      </c>
      <c r="Q341" t="str" cm="1">
        <f t="array" ref="Q341">_xlfn.IFNA(_xlfn.IFS(AND(_xlfn.XLOOKUP(A341,'LPG Fup'!D:D,'LPG Fup'!M:M,"",0)&lt;&gt;"",_xlfn.XLOOKUP(A341,'LPG Fup'!D:D,'LPG Fup'!M:M,"",0)&lt;0),"I-1", AND(_xlfn.XLOOKUP(A341+1,'LPG Fup'!D:D,'LPG Fup'!M:M,"",0)&lt;&gt;"",_xlfn.XLOOKUP(A341+1,'LPG Fup'!D:D,'LPG Fup'!M:M,"",0)&lt;0),"I-2", AND(_xlfn.XLOOKUP(A341-1,'LPG Fup'!D:D,'LPG Fup'!M:M,"",0)&lt;&gt;"",_xlfn.XLOOKUP(A341-1,'LPG Fup'!D:D,'LPG Fup'!M:M,"",0)&lt;0),"I", AND(_xlfn.XLOOKUP(A341-2,'LPG Fup'!D:D,'LPG Fup'!M:M,"",0)&lt;&gt;"",_xlfn.XLOOKUP(A341-2,'LPG Fup'!D:D,'LPG Fup'!M:M,"",0)&lt;0),"I+1"),0)</f>
        <v>I</v>
      </c>
      <c r="R341">
        <f>_xlfn.XLOOKUP(A341,Covid!A:A,Covid!I:I,0,0)</f>
        <v>2401</v>
      </c>
      <c r="S341">
        <f>_xlfn.XLOOKUP(A341,Covid!A:A,Covid!K:K,0,0)</f>
        <v>304</v>
      </c>
      <c r="T341" s="145">
        <f>_xlfn.XLOOKUP(A341,Covid!A:A,Covid!K:K,0,0)/_xlfn.XLOOKUP(A341,Covid!A:A,Covid!L:L,0,0)</f>
        <v>8.1505710761971151E-3</v>
      </c>
    </row>
    <row r="342" spans="1:20" x14ac:dyDescent="0.55000000000000004">
      <c r="A342" s="157">
        <v>44323</v>
      </c>
      <c r="B342" s="13">
        <v>820840</v>
      </c>
      <c r="C342" s="13">
        <v>533596</v>
      </c>
      <c r="D342" s="13">
        <v>9176</v>
      </c>
      <c r="E342" s="13">
        <v>319675</v>
      </c>
      <c r="F342" s="13">
        <v>1683287</v>
      </c>
      <c r="G342">
        <f>IF(OR(_xlfn.XLOOKUP(A342,'LPG Fup'!D:D,'LPG Fup'!L:L,"",0)&gt;0.03,_xlfn.XLOOKUP(A342,'LPG Fup'!D:D,'LPG Fup'!L:L,"",0)&lt;-0.03),_xlfn.XLOOKUP(A342,'LPG Fup'!D:D,'LPG Fup'!L:L,0,0),0)</f>
        <v>0</v>
      </c>
      <c r="H342">
        <f>IF(_xlfn.XLOOKUP(A342,'LPG Fup'!D:D,'LPG Fup'!M:M,0,0)="",0,_xlfn.XLOOKUP(A342,'LPG Fup'!D:D,'LPG Fup'!M:M,0,0))</f>
        <v>0</v>
      </c>
      <c r="I342" s="109">
        <f>_xlfn.XLOOKUP(A342,'Rafineri Fiyatları'!A:A,'Rafineri Fiyatları'!B:B,"",0)</f>
        <v>4467.3361500000001</v>
      </c>
      <c r="J342">
        <f t="shared" si="20"/>
        <v>2021</v>
      </c>
      <c r="K342">
        <f t="shared" si="21"/>
        <v>5</v>
      </c>
      <c r="L342">
        <f t="shared" si="22"/>
        <v>7</v>
      </c>
      <c r="M342">
        <f t="shared" si="23"/>
        <v>6</v>
      </c>
      <c r="N342">
        <f>_xlfn.XLOOKUP(A342,tatiller!H:H,tatiller!I:I,0,0)</f>
        <v>0</v>
      </c>
      <c r="O342" cm="1">
        <f t="array" ref="O342">_xlfn.IFNA(_xlfn.IFS(L342=1,"A0",A342=EOMONTH(A342,0),"A-1",L342=2,"A+1"),0)</f>
        <v>0</v>
      </c>
      <c r="P342" cm="1">
        <f t="array" ref="P342">_xlfn.IFNA(_xlfn.IFS(AND(_xlfn.XLOOKUP(A342,'LPG Fup'!D:D,'LPG Fup'!M:M,"",0)&lt;&gt;"",_xlfn.XLOOKUP(A342,'LPG Fup'!D:D,'LPG Fup'!M:M,"",0)&gt;0),"Z-1", AND(_xlfn.XLOOKUP(A342+1,'LPG Fup'!D:D,'LPG Fup'!M:M,"",0)&lt;&gt;"",_xlfn.XLOOKUP(A342+1,'LPG Fup'!D:D,'LPG Fup'!M:M,"",0)&gt;0),"Z-2", AND(_xlfn.XLOOKUP(A342-1,'LPG Fup'!D:D,'LPG Fup'!M:M,"",0)&lt;&gt;"",_xlfn.XLOOKUP(A342-1,'LPG Fup'!D:D,'LPG Fup'!M:M,"",0)&gt;0),"Z", AND(_xlfn.XLOOKUP(A342-2,'LPG Fup'!D:D,'LPG Fup'!M:M,"",0)&lt;&gt;"",_xlfn.XLOOKUP(A342-2,'LPG Fup'!D:D,'LPG Fup'!M:M,"",0)&gt;0),"Z+1"),0)</f>
        <v>0</v>
      </c>
      <c r="Q342" t="str" cm="1">
        <f t="array" ref="Q342">_xlfn.IFNA(_xlfn.IFS(AND(_xlfn.XLOOKUP(A342,'LPG Fup'!D:D,'LPG Fup'!M:M,"",0)&lt;&gt;"",_xlfn.XLOOKUP(A342,'LPG Fup'!D:D,'LPG Fup'!M:M,"",0)&lt;0),"I-1", AND(_xlfn.XLOOKUP(A342+1,'LPG Fup'!D:D,'LPG Fup'!M:M,"",0)&lt;&gt;"",_xlfn.XLOOKUP(A342+1,'LPG Fup'!D:D,'LPG Fup'!M:M,"",0)&lt;0),"I-2", AND(_xlfn.XLOOKUP(A342-1,'LPG Fup'!D:D,'LPG Fup'!M:M,"",0)&lt;&gt;"",_xlfn.XLOOKUP(A342-1,'LPG Fup'!D:D,'LPG Fup'!M:M,"",0)&lt;0),"I", AND(_xlfn.XLOOKUP(A342-2,'LPG Fup'!D:D,'LPG Fup'!M:M,"",0)&lt;&gt;"",_xlfn.XLOOKUP(A342-2,'LPG Fup'!D:D,'LPG Fup'!M:M,"",0)&lt;0),"I+1"),0)</f>
        <v>I+1</v>
      </c>
      <c r="R342">
        <f>_xlfn.XLOOKUP(A342,Covid!A:A,Covid!I:I,0,0)</f>
        <v>2210</v>
      </c>
      <c r="S342">
        <f>_xlfn.XLOOKUP(A342,Covid!A:A,Covid!K:K,0,0)</f>
        <v>278</v>
      </c>
      <c r="T342" s="145">
        <f>_xlfn.XLOOKUP(A342,Covid!A:A,Covid!K:K,0,0)/_xlfn.XLOOKUP(A342,Covid!A:A,Covid!L:L,0,0)</f>
        <v>7.8245939936389987E-3</v>
      </c>
    </row>
    <row r="343" spans="1:20" x14ac:dyDescent="0.55000000000000004">
      <c r="A343" s="157">
        <v>44324</v>
      </c>
      <c r="B343" s="13">
        <v>817120</v>
      </c>
      <c r="C343" s="13">
        <v>315508</v>
      </c>
      <c r="D343" s="13">
        <v>10757</v>
      </c>
      <c r="E343" s="13">
        <v>267221</v>
      </c>
      <c r="F343" s="13">
        <v>5410587</v>
      </c>
      <c r="G343">
        <f>IF(OR(_xlfn.XLOOKUP(A343,'LPG Fup'!D:D,'LPG Fup'!L:L,"",0)&gt;0.03,_xlfn.XLOOKUP(A343,'LPG Fup'!D:D,'LPG Fup'!L:L,"",0)&lt;-0.03),_xlfn.XLOOKUP(A343,'LPG Fup'!D:D,'LPG Fup'!L:L,0,0),0)</f>
        <v>0</v>
      </c>
      <c r="H343">
        <f>IF(_xlfn.XLOOKUP(A343,'LPG Fup'!D:D,'LPG Fup'!M:M,0,0)="",0,_xlfn.XLOOKUP(A343,'LPG Fup'!D:D,'LPG Fup'!M:M,0,0))</f>
        <v>0</v>
      </c>
      <c r="I343" s="109">
        <f>_xlfn.XLOOKUP(A343,'Rafineri Fiyatları'!A:A,'Rafineri Fiyatları'!B:B,"",0)</f>
        <v>4467.3361500000001</v>
      </c>
      <c r="J343">
        <f t="shared" si="20"/>
        <v>2021</v>
      </c>
      <c r="K343">
        <f t="shared" si="21"/>
        <v>5</v>
      </c>
      <c r="L343">
        <f t="shared" si="22"/>
        <v>8</v>
      </c>
      <c r="M343">
        <f t="shared" si="23"/>
        <v>7</v>
      </c>
      <c r="N343">
        <f>_xlfn.XLOOKUP(A343,tatiller!H:H,tatiller!I:I,0,0)</f>
        <v>0</v>
      </c>
      <c r="O343" cm="1">
        <f t="array" ref="O343">_xlfn.IFNA(_xlfn.IFS(L343=1,"A0",A343=EOMONTH(A343,0),"A-1",L343=2,"A+1"),0)</f>
        <v>0</v>
      </c>
      <c r="P343" cm="1">
        <f t="array" ref="P343">_xlfn.IFNA(_xlfn.IFS(AND(_xlfn.XLOOKUP(A343,'LPG Fup'!D:D,'LPG Fup'!M:M,"",0)&lt;&gt;"",_xlfn.XLOOKUP(A343,'LPG Fup'!D:D,'LPG Fup'!M:M,"",0)&gt;0),"Z-1", AND(_xlfn.XLOOKUP(A343+1,'LPG Fup'!D:D,'LPG Fup'!M:M,"",0)&lt;&gt;"",_xlfn.XLOOKUP(A343+1,'LPG Fup'!D:D,'LPG Fup'!M:M,"",0)&gt;0),"Z-2", AND(_xlfn.XLOOKUP(A343-1,'LPG Fup'!D:D,'LPG Fup'!M:M,"",0)&lt;&gt;"",_xlfn.XLOOKUP(A343-1,'LPG Fup'!D:D,'LPG Fup'!M:M,"",0)&gt;0),"Z", AND(_xlfn.XLOOKUP(A343-2,'LPG Fup'!D:D,'LPG Fup'!M:M,"",0)&lt;&gt;"",_xlfn.XLOOKUP(A343-2,'LPG Fup'!D:D,'LPG Fup'!M:M,"",0)&gt;0),"Z+1"),0)</f>
        <v>0</v>
      </c>
      <c r="Q343" cm="1">
        <f t="array" ref="Q343">_xlfn.IFNA(_xlfn.IFS(AND(_xlfn.XLOOKUP(A343,'LPG Fup'!D:D,'LPG Fup'!M:M,"",0)&lt;&gt;"",_xlfn.XLOOKUP(A343,'LPG Fup'!D:D,'LPG Fup'!M:M,"",0)&lt;0),"I-1", AND(_xlfn.XLOOKUP(A343+1,'LPG Fup'!D:D,'LPG Fup'!M:M,"",0)&lt;&gt;"",_xlfn.XLOOKUP(A343+1,'LPG Fup'!D:D,'LPG Fup'!M:M,"",0)&lt;0),"I-2", AND(_xlfn.XLOOKUP(A343-1,'LPG Fup'!D:D,'LPG Fup'!M:M,"",0)&lt;&gt;"",_xlfn.XLOOKUP(A343-1,'LPG Fup'!D:D,'LPG Fup'!M:M,"",0)&lt;0),"I", AND(_xlfn.XLOOKUP(A343-2,'LPG Fup'!D:D,'LPG Fup'!M:M,"",0)&lt;&gt;"",_xlfn.XLOOKUP(A343-2,'LPG Fup'!D:D,'LPG Fup'!M:M,"",0)&lt;0),"I+1"),0)</f>
        <v>0</v>
      </c>
      <c r="R343">
        <f>_xlfn.XLOOKUP(A343,Covid!A:A,Covid!I:I,0,0)</f>
        <v>2178</v>
      </c>
      <c r="S343">
        <f>_xlfn.XLOOKUP(A343,Covid!A:A,Covid!K:K,0,0)</f>
        <v>281</v>
      </c>
      <c r="T343" s="145">
        <f>_xlfn.XLOOKUP(A343,Covid!A:A,Covid!K:K,0,0)/_xlfn.XLOOKUP(A343,Covid!A:A,Covid!L:L,0,0)</f>
        <v>9.7245293466223705E-3</v>
      </c>
    </row>
    <row r="344" spans="1:20" x14ac:dyDescent="0.55000000000000004">
      <c r="A344" s="157">
        <v>44325</v>
      </c>
      <c r="B344" s="13">
        <v>535940</v>
      </c>
      <c r="C344" s="13">
        <v>0</v>
      </c>
      <c r="D344" s="13">
        <v>0</v>
      </c>
      <c r="E344" s="13">
        <v>199340</v>
      </c>
      <c r="F344" s="13">
        <v>735280</v>
      </c>
      <c r="G344">
        <f>IF(OR(_xlfn.XLOOKUP(A344,'LPG Fup'!D:D,'LPG Fup'!L:L,"",0)&gt;0.03,_xlfn.XLOOKUP(A344,'LPG Fup'!D:D,'LPG Fup'!L:L,"",0)&lt;-0.03),_xlfn.XLOOKUP(A344,'LPG Fup'!D:D,'LPG Fup'!L:L,0,0),0)</f>
        <v>0</v>
      </c>
      <c r="H344">
        <f>IF(_xlfn.XLOOKUP(A344,'LPG Fup'!D:D,'LPG Fup'!M:M,0,0)="",0,_xlfn.XLOOKUP(A344,'LPG Fup'!D:D,'LPG Fup'!M:M,0,0))</f>
        <v>0</v>
      </c>
      <c r="I344" s="109">
        <f>_xlfn.XLOOKUP(A344,'Rafineri Fiyatları'!A:A,'Rafineri Fiyatları'!B:B,"",0)</f>
        <v>4467.3361500000001</v>
      </c>
      <c r="J344">
        <f t="shared" si="20"/>
        <v>2021</v>
      </c>
      <c r="K344">
        <f t="shared" si="21"/>
        <v>5</v>
      </c>
      <c r="L344">
        <f t="shared" si="22"/>
        <v>9</v>
      </c>
      <c r="M344">
        <f t="shared" si="23"/>
        <v>1</v>
      </c>
      <c r="N344">
        <f>_xlfn.XLOOKUP(A344,tatiller!H:H,tatiller!I:I,0,0)</f>
        <v>0</v>
      </c>
      <c r="O344" cm="1">
        <f t="array" ref="O344">_xlfn.IFNA(_xlfn.IFS(L344=1,"A0",A344=EOMONTH(A344,0),"A-1",L344=2,"A+1"),0)</f>
        <v>0</v>
      </c>
      <c r="P344" cm="1">
        <f t="array" ref="P344">_xlfn.IFNA(_xlfn.IFS(AND(_xlfn.XLOOKUP(A344,'LPG Fup'!D:D,'LPG Fup'!M:M,"",0)&lt;&gt;"",_xlfn.XLOOKUP(A344,'LPG Fup'!D:D,'LPG Fup'!M:M,"",0)&gt;0),"Z-1", AND(_xlfn.XLOOKUP(A344+1,'LPG Fup'!D:D,'LPG Fup'!M:M,"",0)&lt;&gt;"",_xlfn.XLOOKUP(A344+1,'LPG Fup'!D:D,'LPG Fup'!M:M,"",0)&gt;0),"Z-2", AND(_xlfn.XLOOKUP(A344-1,'LPG Fup'!D:D,'LPG Fup'!M:M,"",0)&lt;&gt;"",_xlfn.XLOOKUP(A344-1,'LPG Fup'!D:D,'LPG Fup'!M:M,"",0)&gt;0),"Z", AND(_xlfn.XLOOKUP(A344-2,'LPG Fup'!D:D,'LPG Fup'!M:M,"",0)&lt;&gt;"",_xlfn.XLOOKUP(A344-2,'LPG Fup'!D:D,'LPG Fup'!M:M,"",0)&gt;0),"Z+1"),0)</f>
        <v>0</v>
      </c>
      <c r="Q344" cm="1">
        <f t="array" ref="Q344">_xlfn.IFNA(_xlfn.IFS(AND(_xlfn.XLOOKUP(A344,'LPG Fup'!D:D,'LPG Fup'!M:M,"",0)&lt;&gt;"",_xlfn.XLOOKUP(A344,'LPG Fup'!D:D,'LPG Fup'!M:M,"",0)&lt;0),"I-1", AND(_xlfn.XLOOKUP(A344+1,'LPG Fup'!D:D,'LPG Fup'!M:M,"",0)&lt;&gt;"",_xlfn.XLOOKUP(A344+1,'LPG Fup'!D:D,'LPG Fup'!M:M,"",0)&lt;0),"I-2", AND(_xlfn.XLOOKUP(A344-1,'LPG Fup'!D:D,'LPG Fup'!M:M,"",0)&lt;&gt;"",_xlfn.XLOOKUP(A344-1,'LPG Fup'!D:D,'LPG Fup'!M:M,"",0)&lt;0),"I", AND(_xlfn.XLOOKUP(A344-2,'LPG Fup'!D:D,'LPG Fup'!M:M,"",0)&lt;&gt;"",_xlfn.XLOOKUP(A344-2,'LPG Fup'!D:D,'LPG Fup'!M:M,"",0)&lt;0),"I+1"),0)</f>
        <v>0</v>
      </c>
      <c r="R344">
        <f>_xlfn.XLOOKUP(A344,Covid!A:A,Covid!I:I,0,0)</f>
        <v>2102</v>
      </c>
      <c r="S344">
        <f>_xlfn.XLOOKUP(A344,Covid!A:A,Covid!K:K,0,0)</f>
        <v>283</v>
      </c>
      <c r="T344" s="145">
        <f>_xlfn.XLOOKUP(A344,Covid!A:A,Covid!K:K,0,0)/_xlfn.XLOOKUP(A344,Covid!A:A,Covid!L:L,0,0)</f>
        <v>1.1014244570716899E-2</v>
      </c>
    </row>
    <row r="345" spans="1:20" x14ac:dyDescent="0.55000000000000004">
      <c r="A345" s="157">
        <v>44326</v>
      </c>
      <c r="B345" s="13">
        <v>647840</v>
      </c>
      <c r="C345" s="13">
        <v>610534</v>
      </c>
      <c r="D345" s="13">
        <v>12382</v>
      </c>
      <c r="E345" s="13">
        <v>328561</v>
      </c>
      <c r="F345" s="13">
        <v>1599317</v>
      </c>
      <c r="G345">
        <f>IF(OR(_xlfn.XLOOKUP(A345,'LPG Fup'!D:D,'LPG Fup'!L:L,"",0)&gt;0.03,_xlfn.XLOOKUP(A345,'LPG Fup'!D:D,'LPG Fup'!L:L,"",0)&lt;-0.03),_xlfn.XLOOKUP(A345,'LPG Fup'!D:D,'LPG Fup'!L:L,0,0),0)</f>
        <v>0</v>
      </c>
      <c r="H345">
        <f>IF(_xlfn.XLOOKUP(A345,'LPG Fup'!D:D,'LPG Fup'!M:M,0,0)="",0,_xlfn.XLOOKUP(A345,'LPG Fup'!D:D,'LPG Fup'!M:M,0,0))</f>
        <v>0</v>
      </c>
      <c r="I345" s="109">
        <f>_xlfn.XLOOKUP(A345,'Rafineri Fiyatları'!A:A,'Rafineri Fiyatları'!B:B,"",0)</f>
        <v>4467.3361500000001</v>
      </c>
      <c r="J345">
        <f t="shared" si="20"/>
        <v>2021</v>
      </c>
      <c r="K345">
        <f t="shared" si="21"/>
        <v>5</v>
      </c>
      <c r="L345">
        <f t="shared" si="22"/>
        <v>10</v>
      </c>
      <c r="M345">
        <f t="shared" si="23"/>
        <v>2</v>
      </c>
      <c r="N345" t="str">
        <f>_xlfn.XLOOKUP(A345,tatiller!H:H,tatiller!I:I,0,0)</f>
        <v>RBA-2</v>
      </c>
      <c r="O345" cm="1">
        <f t="array" ref="O345">_xlfn.IFNA(_xlfn.IFS(L345=1,"A0",A345=EOMONTH(A345,0),"A-1",L345=2,"A+1"),0)</f>
        <v>0</v>
      </c>
      <c r="P345" cm="1">
        <f t="array" ref="P345">_xlfn.IFNA(_xlfn.IFS(AND(_xlfn.XLOOKUP(A345,'LPG Fup'!D:D,'LPG Fup'!M:M,"",0)&lt;&gt;"",_xlfn.XLOOKUP(A345,'LPG Fup'!D:D,'LPG Fup'!M:M,"",0)&gt;0),"Z-1", AND(_xlfn.XLOOKUP(A345+1,'LPG Fup'!D:D,'LPG Fup'!M:M,"",0)&lt;&gt;"",_xlfn.XLOOKUP(A345+1,'LPG Fup'!D:D,'LPG Fup'!M:M,"",0)&gt;0),"Z-2", AND(_xlfn.XLOOKUP(A345-1,'LPG Fup'!D:D,'LPG Fup'!M:M,"",0)&lt;&gt;"",_xlfn.XLOOKUP(A345-1,'LPG Fup'!D:D,'LPG Fup'!M:M,"",0)&gt;0),"Z", AND(_xlfn.XLOOKUP(A345-2,'LPG Fup'!D:D,'LPG Fup'!M:M,"",0)&lt;&gt;"",_xlfn.XLOOKUP(A345-2,'LPG Fup'!D:D,'LPG Fup'!M:M,"",0)&gt;0),"Z+1"),0)</f>
        <v>0</v>
      </c>
      <c r="Q345" cm="1">
        <f t="array" ref="Q345">_xlfn.IFNA(_xlfn.IFS(AND(_xlfn.XLOOKUP(A345,'LPG Fup'!D:D,'LPG Fup'!M:M,"",0)&lt;&gt;"",_xlfn.XLOOKUP(A345,'LPG Fup'!D:D,'LPG Fup'!M:M,"",0)&lt;0),"I-1", AND(_xlfn.XLOOKUP(A345+1,'LPG Fup'!D:D,'LPG Fup'!M:M,"",0)&lt;&gt;"",_xlfn.XLOOKUP(A345+1,'LPG Fup'!D:D,'LPG Fup'!M:M,"",0)&lt;0),"I-2", AND(_xlfn.XLOOKUP(A345-1,'LPG Fup'!D:D,'LPG Fup'!M:M,"",0)&lt;&gt;"",_xlfn.XLOOKUP(A345-1,'LPG Fup'!D:D,'LPG Fup'!M:M,"",0)&lt;0),"I", AND(_xlfn.XLOOKUP(A345-2,'LPG Fup'!D:D,'LPG Fup'!M:M,"",0)&lt;&gt;"",_xlfn.XLOOKUP(A345-2,'LPG Fup'!D:D,'LPG Fup'!M:M,"",0)&lt;0),"I+1"),0)</f>
        <v>0</v>
      </c>
      <c r="R345">
        <f>_xlfn.XLOOKUP(A345,Covid!A:A,Covid!I:I,0,0)</f>
        <v>1734</v>
      </c>
      <c r="S345">
        <f>_xlfn.XLOOKUP(A345,Covid!A:A,Covid!K:K,0,0)</f>
        <v>282</v>
      </c>
      <c r="T345" s="145">
        <f>_xlfn.XLOOKUP(A345,Covid!A:A,Covid!K:K,0,0)/_xlfn.XLOOKUP(A345,Covid!A:A,Covid!L:L,0,0)</f>
        <v>1.0462657218120432E-2</v>
      </c>
    </row>
    <row r="346" spans="1:20" x14ac:dyDescent="0.55000000000000004">
      <c r="A346" s="157">
        <v>44327</v>
      </c>
      <c r="B346" s="13">
        <v>862020</v>
      </c>
      <c r="C346" s="13">
        <v>573959</v>
      </c>
      <c r="D346" s="13">
        <v>10217</v>
      </c>
      <c r="E346" s="13">
        <v>339642</v>
      </c>
      <c r="F346" s="13">
        <v>1785838</v>
      </c>
      <c r="G346">
        <f>IF(OR(_xlfn.XLOOKUP(A346,'LPG Fup'!D:D,'LPG Fup'!L:L,"",0)&gt;0.03,_xlfn.XLOOKUP(A346,'LPG Fup'!D:D,'LPG Fup'!L:L,"",0)&lt;-0.03),_xlfn.XLOOKUP(A346,'LPG Fup'!D:D,'LPG Fup'!L:L,0,0),0)</f>
        <v>0</v>
      </c>
      <c r="H346">
        <f>IF(_xlfn.XLOOKUP(A346,'LPG Fup'!D:D,'LPG Fup'!M:M,0,0)="",0,_xlfn.XLOOKUP(A346,'LPG Fup'!D:D,'LPG Fup'!M:M,0,0))</f>
        <v>0</v>
      </c>
      <c r="I346" s="109">
        <f>_xlfn.XLOOKUP(A346,'Rafineri Fiyatları'!A:A,'Rafineri Fiyatları'!B:B,"",0)</f>
        <v>4467.3361500000001</v>
      </c>
      <c r="J346">
        <f t="shared" si="20"/>
        <v>2021</v>
      </c>
      <c r="K346">
        <f t="shared" si="21"/>
        <v>5</v>
      </c>
      <c r="L346">
        <f t="shared" si="22"/>
        <v>11</v>
      </c>
      <c r="M346">
        <f t="shared" si="23"/>
        <v>3</v>
      </c>
      <c r="N346" t="str">
        <f>_xlfn.XLOOKUP(A346,tatiller!H:H,tatiller!I:I,0,0)</f>
        <v>RBA-1</v>
      </c>
      <c r="O346" cm="1">
        <f t="array" ref="O346">_xlfn.IFNA(_xlfn.IFS(L346=1,"A0",A346=EOMONTH(A346,0),"A-1",L346=2,"A+1"),0)</f>
        <v>0</v>
      </c>
      <c r="P346" cm="1">
        <f t="array" ref="P346">_xlfn.IFNA(_xlfn.IFS(AND(_xlfn.XLOOKUP(A346,'LPG Fup'!D:D,'LPG Fup'!M:M,"",0)&lt;&gt;"",_xlfn.XLOOKUP(A346,'LPG Fup'!D:D,'LPG Fup'!M:M,"",0)&gt;0),"Z-1", AND(_xlfn.XLOOKUP(A346+1,'LPG Fup'!D:D,'LPG Fup'!M:M,"",0)&lt;&gt;"",_xlfn.XLOOKUP(A346+1,'LPG Fup'!D:D,'LPG Fup'!M:M,"",0)&gt;0),"Z-2", AND(_xlfn.XLOOKUP(A346-1,'LPG Fup'!D:D,'LPG Fup'!M:M,"",0)&lt;&gt;"",_xlfn.XLOOKUP(A346-1,'LPG Fup'!D:D,'LPG Fup'!M:M,"",0)&gt;0),"Z", AND(_xlfn.XLOOKUP(A346-2,'LPG Fup'!D:D,'LPG Fup'!M:M,"",0)&lt;&gt;"",_xlfn.XLOOKUP(A346-2,'LPG Fup'!D:D,'LPG Fup'!M:M,"",0)&gt;0),"Z+1"),0)</f>
        <v>0</v>
      </c>
      <c r="Q346" cm="1">
        <f t="array" ref="Q346">_xlfn.IFNA(_xlfn.IFS(AND(_xlfn.XLOOKUP(A346,'LPG Fup'!D:D,'LPG Fup'!M:M,"",0)&lt;&gt;"",_xlfn.XLOOKUP(A346,'LPG Fup'!D:D,'LPG Fup'!M:M,"",0)&lt;0),"I-1", AND(_xlfn.XLOOKUP(A346+1,'LPG Fup'!D:D,'LPG Fup'!M:M,"",0)&lt;&gt;"",_xlfn.XLOOKUP(A346+1,'LPG Fup'!D:D,'LPG Fup'!M:M,"",0)&lt;0),"I-2", AND(_xlfn.XLOOKUP(A346-1,'LPG Fup'!D:D,'LPG Fup'!M:M,"",0)&lt;&gt;"",_xlfn.XLOOKUP(A346-1,'LPG Fup'!D:D,'LPG Fup'!M:M,"",0)&lt;0),"I", AND(_xlfn.XLOOKUP(A346-2,'LPG Fup'!D:D,'LPG Fup'!M:M,"",0)&lt;&gt;"",_xlfn.XLOOKUP(A346-2,'LPG Fup'!D:D,'LPG Fup'!M:M,"",0)&lt;0),"I+1"),0)</f>
        <v>0</v>
      </c>
      <c r="R346">
        <f>_xlfn.XLOOKUP(A346,Covid!A:A,Covid!I:I,0,0)</f>
        <v>1582</v>
      </c>
      <c r="S346">
        <f>_xlfn.XLOOKUP(A346,Covid!A:A,Covid!K:K,0,0)</f>
        <v>278</v>
      </c>
      <c r="T346" s="145">
        <f>_xlfn.XLOOKUP(A346,Covid!A:A,Covid!K:K,0,0)/_xlfn.XLOOKUP(A346,Covid!A:A,Covid!L:L,0,0)</f>
        <v>1.2492697613804881E-2</v>
      </c>
    </row>
    <row r="347" spans="1:20" x14ac:dyDescent="0.55000000000000004">
      <c r="A347" s="157">
        <v>44328</v>
      </c>
      <c r="B347" s="13">
        <v>577160</v>
      </c>
      <c r="C347" s="13">
        <v>442637</v>
      </c>
      <c r="D347" s="13">
        <v>1751</v>
      </c>
      <c r="E347" s="13">
        <v>443326</v>
      </c>
      <c r="F347" s="13">
        <v>1464874</v>
      </c>
      <c r="G347">
        <f>IF(OR(_xlfn.XLOOKUP(A347,'LPG Fup'!D:D,'LPG Fup'!L:L,"",0)&gt;0.03,_xlfn.XLOOKUP(A347,'LPG Fup'!D:D,'LPG Fup'!L:L,"",0)&lt;-0.03),_xlfn.XLOOKUP(A347,'LPG Fup'!D:D,'LPG Fup'!L:L,0,0),0)</f>
        <v>0</v>
      </c>
      <c r="H347">
        <f>IF(_xlfn.XLOOKUP(A347,'LPG Fup'!D:D,'LPG Fup'!M:M,0,0)="",0,_xlfn.XLOOKUP(A347,'LPG Fup'!D:D,'LPG Fup'!M:M,0,0))</f>
        <v>0</v>
      </c>
      <c r="I347" s="109">
        <f>_xlfn.XLOOKUP(A347,'Rafineri Fiyatları'!A:A,'Rafineri Fiyatları'!B:B,"",0)</f>
        <v>4467.3361500000001</v>
      </c>
      <c r="J347">
        <f t="shared" si="20"/>
        <v>2021</v>
      </c>
      <c r="K347">
        <f t="shared" si="21"/>
        <v>5</v>
      </c>
      <c r="L347">
        <f t="shared" si="22"/>
        <v>12</v>
      </c>
      <c r="M347">
        <f t="shared" si="23"/>
        <v>4</v>
      </c>
      <c r="N347" t="str">
        <f>_xlfn.XLOOKUP(A347,tatiller!H:H,tatiller!I:I,0,0)</f>
        <v>RBA</v>
      </c>
      <c r="O347" cm="1">
        <f t="array" ref="O347">_xlfn.IFNA(_xlfn.IFS(L347=1,"A0",A347=EOMONTH(A347,0),"A-1",L347=2,"A+1"),0)</f>
        <v>0</v>
      </c>
      <c r="P347" cm="1">
        <f t="array" ref="P347">_xlfn.IFNA(_xlfn.IFS(AND(_xlfn.XLOOKUP(A347,'LPG Fup'!D:D,'LPG Fup'!M:M,"",0)&lt;&gt;"",_xlfn.XLOOKUP(A347,'LPG Fup'!D:D,'LPG Fup'!M:M,"",0)&gt;0),"Z-1", AND(_xlfn.XLOOKUP(A347+1,'LPG Fup'!D:D,'LPG Fup'!M:M,"",0)&lt;&gt;"",_xlfn.XLOOKUP(A347+1,'LPG Fup'!D:D,'LPG Fup'!M:M,"",0)&gt;0),"Z-2", AND(_xlfn.XLOOKUP(A347-1,'LPG Fup'!D:D,'LPG Fup'!M:M,"",0)&lt;&gt;"",_xlfn.XLOOKUP(A347-1,'LPG Fup'!D:D,'LPG Fup'!M:M,"",0)&gt;0),"Z", AND(_xlfn.XLOOKUP(A347-2,'LPG Fup'!D:D,'LPG Fup'!M:M,"",0)&lt;&gt;"",_xlfn.XLOOKUP(A347-2,'LPG Fup'!D:D,'LPG Fup'!M:M,"",0)&gt;0),"Z+1"),0)</f>
        <v>0</v>
      </c>
      <c r="Q347" cm="1">
        <f t="array" ref="Q347">_xlfn.IFNA(_xlfn.IFS(AND(_xlfn.XLOOKUP(A347,'LPG Fup'!D:D,'LPG Fup'!M:M,"",0)&lt;&gt;"",_xlfn.XLOOKUP(A347,'LPG Fup'!D:D,'LPG Fup'!M:M,"",0)&lt;0),"I-1", AND(_xlfn.XLOOKUP(A347+1,'LPG Fup'!D:D,'LPG Fup'!M:M,"",0)&lt;&gt;"",_xlfn.XLOOKUP(A347+1,'LPG Fup'!D:D,'LPG Fup'!M:M,"",0)&lt;0),"I-2", AND(_xlfn.XLOOKUP(A347-1,'LPG Fup'!D:D,'LPG Fup'!M:M,"",0)&lt;&gt;"",_xlfn.XLOOKUP(A347-1,'LPG Fup'!D:D,'LPG Fup'!M:M,"",0)&lt;0),"I", AND(_xlfn.XLOOKUP(A347-2,'LPG Fup'!D:D,'LPG Fup'!M:M,"",0)&lt;&gt;"",_xlfn.XLOOKUP(A347-2,'LPG Fup'!D:D,'LPG Fup'!M:M,"",0)&lt;0),"I+1"),0)</f>
        <v>0</v>
      </c>
      <c r="R347">
        <f>_xlfn.XLOOKUP(A347,Covid!A:A,Covid!I:I,0,0)</f>
        <v>1496</v>
      </c>
      <c r="S347">
        <f>_xlfn.XLOOKUP(A347,Covid!A:A,Covid!K:K,0,0)</f>
        <v>232</v>
      </c>
      <c r="T347" s="145">
        <f>_xlfn.XLOOKUP(A347,Covid!A:A,Covid!K:K,0,0)/_xlfn.XLOOKUP(A347,Covid!A:A,Covid!L:L,0,0)</f>
        <v>6.5970938664088492E-3</v>
      </c>
    </row>
    <row r="348" spans="1:20" x14ac:dyDescent="0.55000000000000004">
      <c r="A348" s="157">
        <v>44329</v>
      </c>
      <c r="B348" s="13">
        <v>661680</v>
      </c>
      <c r="C348" s="13">
        <v>0</v>
      </c>
      <c r="D348" s="13">
        <v>0</v>
      </c>
      <c r="E348" s="13">
        <v>121129</v>
      </c>
      <c r="F348" s="13">
        <v>782809</v>
      </c>
      <c r="G348">
        <f>IF(OR(_xlfn.XLOOKUP(A348,'LPG Fup'!D:D,'LPG Fup'!L:L,"",0)&gt;0.03,_xlfn.XLOOKUP(A348,'LPG Fup'!D:D,'LPG Fup'!L:L,"",0)&lt;-0.03),_xlfn.XLOOKUP(A348,'LPG Fup'!D:D,'LPG Fup'!L:L,0,0),0)</f>
        <v>0</v>
      </c>
      <c r="H348">
        <f>IF(_xlfn.XLOOKUP(A348,'LPG Fup'!D:D,'LPG Fup'!M:M,0,0)="",0,_xlfn.XLOOKUP(A348,'LPG Fup'!D:D,'LPG Fup'!M:M,0,0))</f>
        <v>0</v>
      </c>
      <c r="I348" s="109">
        <f>_xlfn.XLOOKUP(A348,'Rafineri Fiyatları'!A:A,'Rafineri Fiyatları'!B:B,"",0)</f>
        <v>4467.3361500000001</v>
      </c>
      <c r="J348">
        <f t="shared" si="20"/>
        <v>2021</v>
      </c>
      <c r="K348">
        <f t="shared" si="21"/>
        <v>5</v>
      </c>
      <c r="L348">
        <f t="shared" si="22"/>
        <v>13</v>
      </c>
      <c r="M348">
        <f t="shared" si="23"/>
        <v>5</v>
      </c>
      <c r="N348" t="str">
        <f>_xlfn.XLOOKUP(A348,tatiller!H:H,tatiller!I:I,0,0)</f>
        <v>RB1</v>
      </c>
      <c r="O348" cm="1">
        <f t="array" ref="O348">_xlfn.IFNA(_xlfn.IFS(L348=1,"A0",A348=EOMONTH(A348,0),"A-1",L348=2,"A+1"),0)</f>
        <v>0</v>
      </c>
      <c r="P348" cm="1">
        <f t="array" ref="P348">_xlfn.IFNA(_xlfn.IFS(AND(_xlfn.XLOOKUP(A348,'LPG Fup'!D:D,'LPG Fup'!M:M,"",0)&lt;&gt;"",_xlfn.XLOOKUP(A348,'LPG Fup'!D:D,'LPG Fup'!M:M,"",0)&gt;0),"Z-1", AND(_xlfn.XLOOKUP(A348+1,'LPG Fup'!D:D,'LPG Fup'!M:M,"",0)&lt;&gt;"",_xlfn.XLOOKUP(A348+1,'LPG Fup'!D:D,'LPG Fup'!M:M,"",0)&gt;0),"Z-2", AND(_xlfn.XLOOKUP(A348-1,'LPG Fup'!D:D,'LPG Fup'!M:M,"",0)&lt;&gt;"",_xlfn.XLOOKUP(A348-1,'LPG Fup'!D:D,'LPG Fup'!M:M,"",0)&gt;0),"Z", AND(_xlfn.XLOOKUP(A348-2,'LPG Fup'!D:D,'LPG Fup'!M:M,"",0)&lt;&gt;"",_xlfn.XLOOKUP(A348-2,'LPG Fup'!D:D,'LPG Fup'!M:M,"",0)&gt;0),"Z+1"),0)</f>
        <v>0</v>
      </c>
      <c r="Q348" cm="1">
        <f t="array" ref="Q348">_xlfn.IFNA(_xlfn.IFS(AND(_xlfn.XLOOKUP(A348,'LPG Fup'!D:D,'LPG Fup'!M:M,"",0)&lt;&gt;"",_xlfn.XLOOKUP(A348,'LPG Fup'!D:D,'LPG Fup'!M:M,"",0)&lt;0),"I-1", AND(_xlfn.XLOOKUP(A348+1,'LPG Fup'!D:D,'LPG Fup'!M:M,"",0)&lt;&gt;"",_xlfn.XLOOKUP(A348+1,'LPG Fup'!D:D,'LPG Fup'!M:M,"",0)&lt;0),"I-2", AND(_xlfn.XLOOKUP(A348-1,'LPG Fup'!D:D,'LPG Fup'!M:M,"",0)&lt;&gt;"",_xlfn.XLOOKUP(A348-1,'LPG Fup'!D:D,'LPG Fup'!M:M,"",0)&lt;0),"I", AND(_xlfn.XLOOKUP(A348-2,'LPG Fup'!D:D,'LPG Fup'!M:M,"",0)&lt;&gt;"",_xlfn.XLOOKUP(A348-2,'LPG Fup'!D:D,'LPG Fup'!M:M,"",0)&lt;0),"I+1"),0)</f>
        <v>0</v>
      </c>
      <c r="R348">
        <f>_xlfn.XLOOKUP(A348,Covid!A:A,Covid!I:I,0,0)</f>
        <v>1217</v>
      </c>
      <c r="S348">
        <f>_xlfn.XLOOKUP(A348,Covid!A:A,Covid!K:K,0,0)</f>
        <v>238</v>
      </c>
      <c r="T348" s="145">
        <f>_xlfn.XLOOKUP(A348,Covid!A:A,Covid!K:K,0,0)/_xlfn.XLOOKUP(A348,Covid!A:A,Covid!L:L,0,0)</f>
        <v>4.2904528410729736E-3</v>
      </c>
    </row>
    <row r="349" spans="1:20" x14ac:dyDescent="0.55000000000000004">
      <c r="A349" s="157">
        <v>44330</v>
      </c>
      <c r="B349" s="13">
        <v>710520</v>
      </c>
      <c r="C349" s="13">
        <v>12585</v>
      </c>
      <c r="D349" s="13">
        <v>0</v>
      </c>
      <c r="E349" s="13">
        <v>182873</v>
      </c>
      <c r="F349" s="13">
        <v>905978</v>
      </c>
      <c r="G349">
        <f>IF(OR(_xlfn.XLOOKUP(A349,'LPG Fup'!D:D,'LPG Fup'!L:L,"",0)&gt;0.03,_xlfn.XLOOKUP(A349,'LPG Fup'!D:D,'LPG Fup'!L:L,"",0)&lt;-0.03),_xlfn.XLOOKUP(A349,'LPG Fup'!D:D,'LPG Fup'!L:L,0,0),0)</f>
        <v>0</v>
      </c>
      <c r="H349">
        <f>IF(_xlfn.XLOOKUP(A349,'LPG Fup'!D:D,'LPG Fup'!M:M,0,0)="",0,_xlfn.XLOOKUP(A349,'LPG Fup'!D:D,'LPG Fup'!M:M,0,0))</f>
        <v>0</v>
      </c>
      <c r="I349" s="109">
        <f>_xlfn.XLOOKUP(A349,'Rafineri Fiyatları'!A:A,'Rafineri Fiyatları'!B:B,"",0)</f>
        <v>4467.3361500000001</v>
      </c>
      <c r="J349">
        <f t="shared" si="20"/>
        <v>2021</v>
      </c>
      <c r="K349">
        <f t="shared" si="21"/>
        <v>5</v>
      </c>
      <c r="L349">
        <f t="shared" si="22"/>
        <v>14</v>
      </c>
      <c r="M349">
        <f t="shared" si="23"/>
        <v>6</v>
      </c>
      <c r="N349" t="str">
        <f>_xlfn.XLOOKUP(A349,tatiller!H:H,tatiller!I:I,0,0)</f>
        <v>RB2</v>
      </c>
      <c r="O349" cm="1">
        <f t="array" ref="O349">_xlfn.IFNA(_xlfn.IFS(L349=1,"A0",A349=EOMONTH(A349,0),"A-1",L349=2,"A+1"),0)</f>
        <v>0</v>
      </c>
      <c r="P349" cm="1">
        <f t="array" ref="P349">_xlfn.IFNA(_xlfn.IFS(AND(_xlfn.XLOOKUP(A349,'LPG Fup'!D:D,'LPG Fup'!M:M,"",0)&lt;&gt;"",_xlfn.XLOOKUP(A349,'LPG Fup'!D:D,'LPG Fup'!M:M,"",0)&gt;0),"Z-1", AND(_xlfn.XLOOKUP(A349+1,'LPG Fup'!D:D,'LPG Fup'!M:M,"",0)&lt;&gt;"",_xlfn.XLOOKUP(A349+1,'LPG Fup'!D:D,'LPG Fup'!M:M,"",0)&gt;0),"Z-2", AND(_xlfn.XLOOKUP(A349-1,'LPG Fup'!D:D,'LPG Fup'!M:M,"",0)&lt;&gt;"",_xlfn.XLOOKUP(A349-1,'LPG Fup'!D:D,'LPG Fup'!M:M,"",0)&gt;0),"Z", AND(_xlfn.XLOOKUP(A349-2,'LPG Fup'!D:D,'LPG Fup'!M:M,"",0)&lt;&gt;"",_xlfn.XLOOKUP(A349-2,'LPG Fup'!D:D,'LPG Fup'!M:M,"",0)&gt;0),"Z+1"),0)</f>
        <v>0</v>
      </c>
      <c r="Q349" cm="1">
        <f t="array" ref="Q349">_xlfn.IFNA(_xlfn.IFS(AND(_xlfn.XLOOKUP(A349,'LPG Fup'!D:D,'LPG Fup'!M:M,"",0)&lt;&gt;"",_xlfn.XLOOKUP(A349,'LPG Fup'!D:D,'LPG Fup'!M:M,"",0)&lt;0),"I-1", AND(_xlfn.XLOOKUP(A349+1,'LPG Fup'!D:D,'LPG Fup'!M:M,"",0)&lt;&gt;"",_xlfn.XLOOKUP(A349+1,'LPG Fup'!D:D,'LPG Fup'!M:M,"",0)&lt;0),"I-2", AND(_xlfn.XLOOKUP(A349-1,'LPG Fup'!D:D,'LPG Fup'!M:M,"",0)&lt;&gt;"",_xlfn.XLOOKUP(A349-1,'LPG Fup'!D:D,'LPG Fup'!M:M,"",0)&lt;0),"I", AND(_xlfn.XLOOKUP(A349-2,'LPG Fup'!D:D,'LPG Fup'!M:M,"",0)&lt;&gt;"",_xlfn.XLOOKUP(A349-2,'LPG Fup'!D:D,'LPG Fup'!M:M,"",0)&lt;0),"I+1"),0)</f>
        <v>0</v>
      </c>
      <c r="R349">
        <f>_xlfn.XLOOKUP(A349,Covid!A:A,Covid!I:I,0,0)</f>
        <v>1102</v>
      </c>
      <c r="S349">
        <f>_xlfn.XLOOKUP(A349,Covid!A:A,Covid!K:K,0,0)</f>
        <v>242</v>
      </c>
      <c r="T349" s="145">
        <f>_xlfn.XLOOKUP(A349,Covid!A:A,Covid!K:K,0,0)/_xlfn.XLOOKUP(A349,Covid!A:A,Covid!L:L,0,0)</f>
        <v>6.4947263895225567E-3</v>
      </c>
    </row>
    <row r="350" spans="1:20" x14ac:dyDescent="0.55000000000000004">
      <c r="A350" s="157">
        <v>44331</v>
      </c>
      <c r="B350" s="13">
        <v>559900</v>
      </c>
      <c r="C350" s="13">
        <v>321701</v>
      </c>
      <c r="D350" s="13">
        <v>2964</v>
      </c>
      <c r="E350" s="13">
        <v>218850</v>
      </c>
      <c r="F350" s="13">
        <v>1103415</v>
      </c>
      <c r="G350">
        <f>IF(OR(_xlfn.XLOOKUP(A350,'LPG Fup'!D:D,'LPG Fup'!L:L,"",0)&gt;0.03,_xlfn.XLOOKUP(A350,'LPG Fup'!D:D,'LPG Fup'!L:L,"",0)&lt;-0.03),_xlfn.XLOOKUP(A350,'LPG Fup'!D:D,'LPG Fup'!L:L,0,0),0)</f>
        <v>0</v>
      </c>
      <c r="H350">
        <f>IF(_xlfn.XLOOKUP(A350,'LPG Fup'!D:D,'LPG Fup'!M:M,0,0)="",0,_xlfn.XLOOKUP(A350,'LPG Fup'!D:D,'LPG Fup'!M:M,0,0))</f>
        <v>0</v>
      </c>
      <c r="I350" s="109">
        <f>_xlfn.XLOOKUP(A350,'Rafineri Fiyatları'!A:A,'Rafineri Fiyatları'!B:B,"",0)</f>
        <v>4467.3361500000001</v>
      </c>
      <c r="J350">
        <f t="shared" si="20"/>
        <v>2021</v>
      </c>
      <c r="K350">
        <f t="shared" si="21"/>
        <v>5</v>
      </c>
      <c r="L350">
        <f t="shared" si="22"/>
        <v>15</v>
      </c>
      <c r="M350">
        <f t="shared" si="23"/>
        <v>7</v>
      </c>
      <c r="N350" t="str">
        <f>_xlfn.XLOOKUP(A350,tatiller!H:H,tatiller!I:I,0,0)</f>
        <v>RB3</v>
      </c>
      <c r="O350" cm="1">
        <f t="array" ref="O350">_xlfn.IFNA(_xlfn.IFS(L350=1,"A0",A350=EOMONTH(A350,0),"A-1",L350=2,"A+1"),0)</f>
        <v>0</v>
      </c>
      <c r="P350" cm="1">
        <f t="array" ref="P350">_xlfn.IFNA(_xlfn.IFS(AND(_xlfn.XLOOKUP(A350,'LPG Fup'!D:D,'LPG Fup'!M:M,"",0)&lt;&gt;"",_xlfn.XLOOKUP(A350,'LPG Fup'!D:D,'LPG Fup'!M:M,"",0)&gt;0),"Z-1", AND(_xlfn.XLOOKUP(A350+1,'LPG Fup'!D:D,'LPG Fup'!M:M,"",0)&lt;&gt;"",_xlfn.XLOOKUP(A350+1,'LPG Fup'!D:D,'LPG Fup'!M:M,"",0)&gt;0),"Z-2", AND(_xlfn.XLOOKUP(A350-1,'LPG Fup'!D:D,'LPG Fup'!M:M,"",0)&lt;&gt;"",_xlfn.XLOOKUP(A350-1,'LPG Fup'!D:D,'LPG Fup'!M:M,"",0)&gt;0),"Z", AND(_xlfn.XLOOKUP(A350-2,'LPG Fup'!D:D,'LPG Fup'!M:M,"",0)&lt;&gt;"",_xlfn.XLOOKUP(A350-2,'LPG Fup'!D:D,'LPG Fup'!M:M,"",0)&gt;0),"Z+1"),0)</f>
        <v>0</v>
      </c>
      <c r="Q350" cm="1">
        <f t="array" ref="Q350">_xlfn.IFNA(_xlfn.IFS(AND(_xlfn.XLOOKUP(A350,'LPG Fup'!D:D,'LPG Fup'!M:M,"",0)&lt;&gt;"",_xlfn.XLOOKUP(A350,'LPG Fup'!D:D,'LPG Fup'!M:M,"",0)&lt;0),"I-1", AND(_xlfn.XLOOKUP(A350+1,'LPG Fup'!D:D,'LPG Fup'!M:M,"",0)&lt;&gt;"",_xlfn.XLOOKUP(A350+1,'LPG Fup'!D:D,'LPG Fup'!M:M,"",0)&lt;0),"I-2", AND(_xlfn.XLOOKUP(A350-1,'LPG Fup'!D:D,'LPG Fup'!M:M,"",0)&lt;&gt;"",_xlfn.XLOOKUP(A350-1,'LPG Fup'!D:D,'LPG Fup'!M:M,"",0)&lt;0),"I", AND(_xlfn.XLOOKUP(A350-2,'LPG Fup'!D:D,'LPG Fup'!M:M,"",0)&lt;&gt;"",_xlfn.XLOOKUP(A350-2,'LPG Fup'!D:D,'LPG Fup'!M:M,"",0)&lt;0),"I+1"),0)</f>
        <v>0</v>
      </c>
      <c r="R350">
        <f>_xlfn.XLOOKUP(A350,Covid!A:A,Covid!I:I,0,0)</f>
        <v>1084</v>
      </c>
      <c r="S350">
        <f>_xlfn.XLOOKUP(A350,Covid!A:A,Covid!K:K,0,0)</f>
        <v>236</v>
      </c>
      <c r="T350" s="145">
        <f>_xlfn.XLOOKUP(A350,Covid!A:A,Covid!K:K,0,0)/_xlfn.XLOOKUP(A350,Covid!A:A,Covid!L:L,0,0)</f>
        <v>6.0802803112279076E-3</v>
      </c>
    </row>
    <row r="351" spans="1:20" x14ac:dyDescent="0.55000000000000004">
      <c r="A351" s="157">
        <v>44332</v>
      </c>
      <c r="B351" s="13">
        <v>462380</v>
      </c>
      <c r="C351" s="13">
        <v>0</v>
      </c>
      <c r="D351" s="13">
        <v>0</v>
      </c>
      <c r="E351" s="13">
        <v>186894</v>
      </c>
      <c r="F351" s="13">
        <v>649274</v>
      </c>
      <c r="G351">
        <f>IF(OR(_xlfn.XLOOKUP(A351,'LPG Fup'!D:D,'LPG Fup'!L:L,"",0)&gt;0.03,_xlfn.XLOOKUP(A351,'LPG Fup'!D:D,'LPG Fup'!L:L,"",0)&lt;-0.03),_xlfn.XLOOKUP(A351,'LPG Fup'!D:D,'LPG Fup'!L:L,0,0),0)</f>
        <v>0</v>
      </c>
      <c r="H351">
        <f>IF(_xlfn.XLOOKUP(A351,'LPG Fup'!D:D,'LPG Fup'!M:M,0,0)="",0,_xlfn.XLOOKUP(A351,'LPG Fup'!D:D,'LPG Fup'!M:M,0,0))</f>
        <v>0</v>
      </c>
      <c r="I351" s="109">
        <f>_xlfn.XLOOKUP(A351,'Rafineri Fiyatları'!A:A,'Rafineri Fiyatları'!B:B,"",0)</f>
        <v>4467.3361500000001</v>
      </c>
      <c r="J351">
        <f t="shared" si="20"/>
        <v>2021</v>
      </c>
      <c r="K351">
        <f t="shared" si="21"/>
        <v>5</v>
      </c>
      <c r="L351">
        <f t="shared" si="22"/>
        <v>16</v>
      </c>
      <c r="M351">
        <f t="shared" si="23"/>
        <v>1</v>
      </c>
      <c r="N351" t="str">
        <f>_xlfn.XLOOKUP(A351,tatiller!H:H,tatiller!I:I,0,0)</f>
        <v>RB+1</v>
      </c>
      <c r="O351" cm="1">
        <f t="array" ref="O351">_xlfn.IFNA(_xlfn.IFS(L351=1,"A0",A351=EOMONTH(A351,0),"A-1",L351=2,"A+1"),0)</f>
        <v>0</v>
      </c>
      <c r="P351" cm="1">
        <f t="array" ref="P351">_xlfn.IFNA(_xlfn.IFS(AND(_xlfn.XLOOKUP(A351,'LPG Fup'!D:D,'LPG Fup'!M:M,"",0)&lt;&gt;"",_xlfn.XLOOKUP(A351,'LPG Fup'!D:D,'LPG Fup'!M:M,"",0)&gt;0),"Z-1", AND(_xlfn.XLOOKUP(A351+1,'LPG Fup'!D:D,'LPG Fup'!M:M,"",0)&lt;&gt;"",_xlfn.XLOOKUP(A351+1,'LPG Fup'!D:D,'LPG Fup'!M:M,"",0)&gt;0),"Z-2", AND(_xlfn.XLOOKUP(A351-1,'LPG Fup'!D:D,'LPG Fup'!M:M,"",0)&lt;&gt;"",_xlfn.XLOOKUP(A351-1,'LPG Fup'!D:D,'LPG Fup'!M:M,"",0)&gt;0),"Z", AND(_xlfn.XLOOKUP(A351-2,'LPG Fup'!D:D,'LPG Fup'!M:M,"",0)&lt;&gt;"",_xlfn.XLOOKUP(A351-2,'LPG Fup'!D:D,'LPG Fup'!M:M,"",0)&gt;0),"Z+1"),0)</f>
        <v>0</v>
      </c>
      <c r="Q351" cm="1">
        <f t="array" ref="Q351">_xlfn.IFNA(_xlfn.IFS(AND(_xlfn.XLOOKUP(A351,'LPG Fup'!D:D,'LPG Fup'!M:M,"",0)&lt;&gt;"",_xlfn.XLOOKUP(A351,'LPG Fup'!D:D,'LPG Fup'!M:M,"",0)&lt;0),"I-1", AND(_xlfn.XLOOKUP(A351+1,'LPG Fup'!D:D,'LPG Fup'!M:M,"",0)&lt;&gt;"",_xlfn.XLOOKUP(A351+1,'LPG Fup'!D:D,'LPG Fup'!M:M,"",0)&lt;0),"I-2", AND(_xlfn.XLOOKUP(A351-1,'LPG Fup'!D:D,'LPG Fup'!M:M,"",0)&lt;&gt;"",_xlfn.XLOOKUP(A351-1,'LPG Fup'!D:D,'LPG Fup'!M:M,"",0)&lt;0),"I", AND(_xlfn.XLOOKUP(A351-2,'LPG Fup'!D:D,'LPG Fup'!M:M,"",0)&lt;&gt;"",_xlfn.XLOOKUP(A351-2,'LPG Fup'!D:D,'LPG Fup'!M:M,"",0)&lt;0),"I+1"),0)</f>
        <v>0</v>
      </c>
      <c r="R351">
        <f>_xlfn.XLOOKUP(A351,Covid!A:A,Covid!I:I,0,0)</f>
        <v>920</v>
      </c>
      <c r="S351">
        <f>_xlfn.XLOOKUP(A351,Covid!A:A,Covid!K:K,0,0)</f>
        <v>223</v>
      </c>
      <c r="T351" s="145">
        <f>_xlfn.XLOOKUP(A351,Covid!A:A,Covid!K:K,0,0)/_xlfn.XLOOKUP(A351,Covid!A:A,Covid!L:L,0,0)</f>
        <v>1.5466777639062283E-2</v>
      </c>
    </row>
    <row r="352" spans="1:20" x14ac:dyDescent="0.55000000000000004">
      <c r="A352" s="157">
        <v>44333</v>
      </c>
      <c r="B352" s="13">
        <v>735600</v>
      </c>
      <c r="C352" s="13">
        <v>510587</v>
      </c>
      <c r="D352" s="13">
        <v>7602</v>
      </c>
      <c r="E352" s="13">
        <v>452667</v>
      </c>
      <c r="F352" s="13">
        <v>1706456</v>
      </c>
      <c r="G352">
        <f>IF(OR(_xlfn.XLOOKUP(A352,'LPG Fup'!D:D,'LPG Fup'!L:L,"",0)&gt;0.03,_xlfn.XLOOKUP(A352,'LPG Fup'!D:D,'LPG Fup'!L:L,"",0)&lt;-0.03),_xlfn.XLOOKUP(A352,'LPG Fup'!D:D,'LPG Fup'!L:L,0,0),0)</f>
        <v>0</v>
      </c>
      <c r="H352">
        <f>IF(_xlfn.XLOOKUP(A352,'LPG Fup'!D:D,'LPG Fup'!M:M,0,0)="",0,_xlfn.XLOOKUP(A352,'LPG Fup'!D:D,'LPG Fup'!M:M,0,0))</f>
        <v>0</v>
      </c>
      <c r="I352" s="109">
        <f>_xlfn.XLOOKUP(A352,'Rafineri Fiyatları'!A:A,'Rafineri Fiyatları'!B:B,"",0)</f>
        <v>4467.3361500000001</v>
      </c>
      <c r="J352">
        <f t="shared" si="20"/>
        <v>2021</v>
      </c>
      <c r="K352">
        <f t="shared" si="21"/>
        <v>5</v>
      </c>
      <c r="L352">
        <f t="shared" si="22"/>
        <v>17</v>
      </c>
      <c r="M352">
        <f t="shared" si="23"/>
        <v>2</v>
      </c>
      <c r="N352" t="str">
        <f>_xlfn.XLOOKUP(A352,tatiller!H:H,tatiller!I:I,0,0)</f>
        <v>RB+2</v>
      </c>
      <c r="O352" cm="1">
        <f t="array" ref="O352">_xlfn.IFNA(_xlfn.IFS(L352=1,"A0",A352=EOMONTH(A352,0),"A-1",L352=2,"A+1"),0)</f>
        <v>0</v>
      </c>
      <c r="P352" cm="1">
        <f t="array" ref="P352">_xlfn.IFNA(_xlfn.IFS(AND(_xlfn.XLOOKUP(A352,'LPG Fup'!D:D,'LPG Fup'!M:M,"",0)&lt;&gt;"",_xlfn.XLOOKUP(A352,'LPG Fup'!D:D,'LPG Fup'!M:M,"",0)&gt;0),"Z-1", AND(_xlfn.XLOOKUP(A352+1,'LPG Fup'!D:D,'LPG Fup'!M:M,"",0)&lt;&gt;"",_xlfn.XLOOKUP(A352+1,'LPG Fup'!D:D,'LPG Fup'!M:M,"",0)&gt;0),"Z-2", AND(_xlfn.XLOOKUP(A352-1,'LPG Fup'!D:D,'LPG Fup'!M:M,"",0)&lt;&gt;"",_xlfn.XLOOKUP(A352-1,'LPG Fup'!D:D,'LPG Fup'!M:M,"",0)&gt;0),"Z", AND(_xlfn.XLOOKUP(A352-2,'LPG Fup'!D:D,'LPG Fup'!M:M,"",0)&lt;&gt;"",_xlfn.XLOOKUP(A352-2,'LPG Fup'!D:D,'LPG Fup'!M:M,"",0)&gt;0),"Z+1"),0)</f>
        <v>0</v>
      </c>
      <c r="Q352" cm="1">
        <f t="array" ref="Q352">_xlfn.IFNA(_xlfn.IFS(AND(_xlfn.XLOOKUP(A352,'LPG Fup'!D:D,'LPG Fup'!M:M,"",0)&lt;&gt;"",_xlfn.XLOOKUP(A352,'LPG Fup'!D:D,'LPG Fup'!M:M,"",0)&lt;0),"I-1", AND(_xlfn.XLOOKUP(A352+1,'LPG Fup'!D:D,'LPG Fup'!M:M,"",0)&lt;&gt;"",_xlfn.XLOOKUP(A352+1,'LPG Fup'!D:D,'LPG Fup'!M:M,"",0)&lt;0),"I-2", AND(_xlfn.XLOOKUP(A352-1,'LPG Fup'!D:D,'LPG Fup'!M:M,"",0)&lt;&gt;"",_xlfn.XLOOKUP(A352-1,'LPG Fup'!D:D,'LPG Fup'!M:M,"",0)&lt;0),"I", AND(_xlfn.XLOOKUP(A352-2,'LPG Fup'!D:D,'LPG Fup'!M:M,"",0)&lt;&gt;"",_xlfn.XLOOKUP(A352-2,'LPG Fup'!D:D,'LPG Fup'!M:M,"",0)&lt;0),"I+1"),0)</f>
        <v>0</v>
      </c>
      <c r="R352">
        <f>_xlfn.XLOOKUP(A352,Covid!A:A,Covid!I:I,0,0)</f>
        <v>923</v>
      </c>
      <c r="S352">
        <f>_xlfn.XLOOKUP(A352,Covid!A:A,Covid!K:K,0,0)</f>
        <v>223</v>
      </c>
      <c r="T352" s="145">
        <f>_xlfn.XLOOKUP(A352,Covid!A:A,Covid!K:K,0,0)/_xlfn.XLOOKUP(A352,Covid!A:A,Covid!L:L,0,0)</f>
        <v>1.6084824004616274E-2</v>
      </c>
    </row>
    <row r="353" spans="1:20" x14ac:dyDescent="0.55000000000000004">
      <c r="A353" s="157">
        <v>44334</v>
      </c>
      <c r="B353" s="13">
        <v>1381900</v>
      </c>
      <c r="C353" s="13">
        <v>539051</v>
      </c>
      <c r="D353" s="13">
        <v>9432</v>
      </c>
      <c r="E353" s="13">
        <v>500764</v>
      </c>
      <c r="F353" s="13">
        <v>2431147</v>
      </c>
      <c r="G353">
        <f>IF(OR(_xlfn.XLOOKUP(A353,'LPG Fup'!D:D,'LPG Fup'!L:L,"",0)&gt;0.03,_xlfn.XLOOKUP(A353,'LPG Fup'!D:D,'LPG Fup'!L:L,"",0)&lt;-0.03),_xlfn.XLOOKUP(A353,'LPG Fup'!D:D,'LPG Fup'!L:L,0,0),0)</f>
        <v>0</v>
      </c>
      <c r="H353">
        <f>IF(_xlfn.XLOOKUP(A353,'LPG Fup'!D:D,'LPG Fup'!M:M,0,0)="",0,_xlfn.XLOOKUP(A353,'LPG Fup'!D:D,'LPG Fup'!M:M,0,0))</f>
        <v>0</v>
      </c>
      <c r="I353" s="109">
        <f>_xlfn.XLOOKUP(A353,'Rafineri Fiyatları'!A:A,'Rafineri Fiyatları'!B:B,"",0)</f>
        <v>4467.3361500000001</v>
      </c>
      <c r="J353">
        <f t="shared" si="20"/>
        <v>2021</v>
      </c>
      <c r="K353">
        <f t="shared" si="21"/>
        <v>5</v>
      </c>
      <c r="L353">
        <f t="shared" si="22"/>
        <v>18</v>
      </c>
      <c r="M353">
        <f t="shared" si="23"/>
        <v>3</v>
      </c>
      <c r="N353">
        <f>_xlfn.XLOOKUP(A353,tatiller!H:H,tatiller!I:I,0,0)</f>
        <v>0</v>
      </c>
      <c r="O353" cm="1">
        <f t="array" ref="O353">_xlfn.IFNA(_xlfn.IFS(L353=1,"A0",A353=EOMONTH(A353,0),"A-1",L353=2,"A+1"),0)</f>
        <v>0</v>
      </c>
      <c r="P353" cm="1">
        <f t="array" ref="P353">_xlfn.IFNA(_xlfn.IFS(AND(_xlfn.XLOOKUP(A353,'LPG Fup'!D:D,'LPG Fup'!M:M,"",0)&lt;&gt;"",_xlfn.XLOOKUP(A353,'LPG Fup'!D:D,'LPG Fup'!M:M,"",0)&gt;0),"Z-1", AND(_xlfn.XLOOKUP(A353+1,'LPG Fup'!D:D,'LPG Fup'!M:M,"",0)&lt;&gt;"",_xlfn.XLOOKUP(A353+1,'LPG Fup'!D:D,'LPG Fup'!M:M,"",0)&gt;0),"Z-2", AND(_xlfn.XLOOKUP(A353-1,'LPG Fup'!D:D,'LPG Fup'!M:M,"",0)&lt;&gt;"",_xlfn.XLOOKUP(A353-1,'LPG Fup'!D:D,'LPG Fup'!M:M,"",0)&gt;0),"Z", AND(_xlfn.XLOOKUP(A353-2,'LPG Fup'!D:D,'LPG Fup'!M:M,"",0)&lt;&gt;"",_xlfn.XLOOKUP(A353-2,'LPG Fup'!D:D,'LPG Fup'!M:M,"",0)&gt;0),"Z+1"),0)</f>
        <v>0</v>
      </c>
      <c r="Q353" cm="1">
        <f t="array" ref="Q353">_xlfn.IFNA(_xlfn.IFS(AND(_xlfn.XLOOKUP(A353,'LPG Fup'!D:D,'LPG Fup'!M:M,"",0)&lt;&gt;"",_xlfn.XLOOKUP(A353,'LPG Fup'!D:D,'LPG Fup'!M:M,"",0)&lt;0),"I-1", AND(_xlfn.XLOOKUP(A353+1,'LPG Fup'!D:D,'LPG Fup'!M:M,"",0)&lt;&gt;"",_xlfn.XLOOKUP(A353+1,'LPG Fup'!D:D,'LPG Fup'!M:M,"",0)&lt;0),"I-2", AND(_xlfn.XLOOKUP(A353-1,'LPG Fup'!D:D,'LPG Fup'!M:M,"",0)&lt;&gt;"",_xlfn.XLOOKUP(A353-1,'LPG Fup'!D:D,'LPG Fup'!M:M,"",0)&lt;0),"I", AND(_xlfn.XLOOKUP(A353-2,'LPG Fup'!D:D,'LPG Fup'!M:M,"",0)&lt;&gt;"",_xlfn.XLOOKUP(A353-2,'LPG Fup'!D:D,'LPG Fup'!M:M,"",0)&lt;0),"I+1"),0)</f>
        <v>0</v>
      </c>
      <c r="R353">
        <f>_xlfn.XLOOKUP(A353,Covid!A:A,Covid!I:I,0,0)</f>
        <v>916</v>
      </c>
      <c r="S353">
        <f>_xlfn.XLOOKUP(A353,Covid!A:A,Covid!K:K,0,0)</f>
        <v>203</v>
      </c>
      <c r="T353" s="145">
        <f>_xlfn.XLOOKUP(A353,Covid!A:A,Covid!K:K,0,0)/_xlfn.XLOOKUP(A353,Covid!A:A,Covid!L:L,0,0)</f>
        <v>2.0049382716049384E-2</v>
      </c>
    </row>
    <row r="354" spans="1:20" x14ac:dyDescent="0.55000000000000004">
      <c r="A354" s="157">
        <v>44335</v>
      </c>
      <c r="B354" s="13">
        <v>964520</v>
      </c>
      <c r="C354" s="13">
        <v>201247</v>
      </c>
      <c r="D354" s="13">
        <v>7900</v>
      </c>
      <c r="E354" s="13">
        <v>553325</v>
      </c>
      <c r="F354" s="13">
        <v>1726992</v>
      </c>
      <c r="G354">
        <f>IF(OR(_xlfn.XLOOKUP(A354,'LPG Fup'!D:D,'LPG Fup'!L:L,"",0)&gt;0.03,_xlfn.XLOOKUP(A354,'LPG Fup'!D:D,'LPG Fup'!L:L,"",0)&lt;-0.03),_xlfn.XLOOKUP(A354,'LPG Fup'!D:D,'LPG Fup'!L:L,0,0),0)</f>
        <v>0</v>
      </c>
      <c r="H354">
        <f>IF(_xlfn.XLOOKUP(A354,'LPG Fup'!D:D,'LPG Fup'!M:M,0,0)="",0,_xlfn.XLOOKUP(A354,'LPG Fup'!D:D,'LPG Fup'!M:M,0,0))</f>
        <v>0</v>
      </c>
      <c r="I354" s="109">
        <f>_xlfn.XLOOKUP(A354,'Rafineri Fiyatları'!A:A,'Rafineri Fiyatları'!B:B,"",0)</f>
        <v>4467.3361500000001</v>
      </c>
      <c r="J354">
        <f t="shared" si="20"/>
        <v>2021</v>
      </c>
      <c r="K354">
        <f t="shared" si="21"/>
        <v>5</v>
      </c>
      <c r="L354">
        <f t="shared" si="22"/>
        <v>19</v>
      </c>
      <c r="M354">
        <f t="shared" si="23"/>
        <v>4</v>
      </c>
      <c r="N354" t="str">
        <f>_xlfn.XLOOKUP(A354,tatiller!H:H,tatiller!I:I,0,0)</f>
        <v>T</v>
      </c>
      <c r="O354" cm="1">
        <f t="array" ref="O354">_xlfn.IFNA(_xlfn.IFS(L354=1,"A0",A354=EOMONTH(A354,0),"A-1",L354=2,"A+1"),0)</f>
        <v>0</v>
      </c>
      <c r="P354" cm="1">
        <f t="array" ref="P354">_xlfn.IFNA(_xlfn.IFS(AND(_xlfn.XLOOKUP(A354,'LPG Fup'!D:D,'LPG Fup'!M:M,"",0)&lt;&gt;"",_xlfn.XLOOKUP(A354,'LPG Fup'!D:D,'LPG Fup'!M:M,"",0)&gt;0),"Z-1", AND(_xlfn.XLOOKUP(A354+1,'LPG Fup'!D:D,'LPG Fup'!M:M,"",0)&lt;&gt;"",_xlfn.XLOOKUP(A354+1,'LPG Fup'!D:D,'LPG Fup'!M:M,"",0)&gt;0),"Z-2", AND(_xlfn.XLOOKUP(A354-1,'LPG Fup'!D:D,'LPG Fup'!M:M,"",0)&lt;&gt;"",_xlfn.XLOOKUP(A354-1,'LPG Fup'!D:D,'LPG Fup'!M:M,"",0)&gt;0),"Z", AND(_xlfn.XLOOKUP(A354-2,'LPG Fup'!D:D,'LPG Fup'!M:M,"",0)&lt;&gt;"",_xlfn.XLOOKUP(A354-2,'LPG Fup'!D:D,'LPG Fup'!M:M,"",0)&gt;0),"Z+1"),0)</f>
        <v>0</v>
      </c>
      <c r="Q354" cm="1">
        <f t="array" ref="Q354">_xlfn.IFNA(_xlfn.IFS(AND(_xlfn.XLOOKUP(A354,'LPG Fup'!D:D,'LPG Fup'!M:M,"",0)&lt;&gt;"",_xlfn.XLOOKUP(A354,'LPG Fup'!D:D,'LPG Fup'!M:M,"",0)&lt;0),"I-1", AND(_xlfn.XLOOKUP(A354+1,'LPG Fup'!D:D,'LPG Fup'!M:M,"",0)&lt;&gt;"",_xlfn.XLOOKUP(A354+1,'LPG Fup'!D:D,'LPG Fup'!M:M,"",0)&lt;0),"I-2", AND(_xlfn.XLOOKUP(A354-1,'LPG Fup'!D:D,'LPG Fup'!M:M,"",0)&lt;&gt;"",_xlfn.XLOOKUP(A354-1,'LPG Fup'!D:D,'LPG Fup'!M:M,"",0)&lt;0),"I", AND(_xlfn.XLOOKUP(A354-2,'LPG Fup'!D:D,'LPG Fup'!M:M,"",0)&lt;&gt;"",_xlfn.XLOOKUP(A354-2,'LPG Fup'!D:D,'LPG Fup'!M:M,"",0)&lt;0),"I+1"),0)</f>
        <v>0</v>
      </c>
      <c r="R354">
        <f>_xlfn.XLOOKUP(A354,Covid!A:A,Covid!I:I,0,0)</f>
        <v>902</v>
      </c>
      <c r="S354">
        <f>_xlfn.XLOOKUP(A354,Covid!A:A,Covid!K:K,0,0)</f>
        <v>233</v>
      </c>
      <c r="T354" s="145">
        <f>_xlfn.XLOOKUP(A354,Covid!A:A,Covid!K:K,0,0)/_xlfn.XLOOKUP(A354,Covid!A:A,Covid!L:L,0,0)</f>
        <v>2.5132132456045734E-2</v>
      </c>
    </row>
    <row r="355" spans="1:20" x14ac:dyDescent="0.55000000000000004">
      <c r="A355" s="157">
        <v>44336</v>
      </c>
      <c r="B355" s="13">
        <v>1119300</v>
      </c>
      <c r="C355" s="13">
        <v>672627</v>
      </c>
      <c r="D355" s="13">
        <v>8037</v>
      </c>
      <c r="E355" s="13">
        <v>436462</v>
      </c>
      <c r="F355" s="13">
        <v>2236426</v>
      </c>
      <c r="G355">
        <f>IF(OR(_xlfn.XLOOKUP(A355,'LPG Fup'!D:D,'LPG Fup'!L:L,"",0)&gt;0.03,_xlfn.XLOOKUP(A355,'LPG Fup'!D:D,'LPG Fup'!L:L,"",0)&lt;-0.03),_xlfn.XLOOKUP(A355,'LPG Fup'!D:D,'LPG Fup'!L:L,0,0),0)</f>
        <v>0</v>
      </c>
      <c r="H355">
        <f>IF(_xlfn.XLOOKUP(A355,'LPG Fup'!D:D,'LPG Fup'!M:M,0,0)="",0,_xlfn.XLOOKUP(A355,'LPG Fup'!D:D,'LPG Fup'!M:M,0,0))</f>
        <v>0</v>
      </c>
      <c r="I355" s="109">
        <f>_xlfn.XLOOKUP(A355,'Rafineri Fiyatları'!A:A,'Rafineri Fiyatları'!B:B,"",0)</f>
        <v>4997.0361499999999</v>
      </c>
      <c r="J355">
        <f t="shared" si="20"/>
        <v>2021</v>
      </c>
      <c r="K355">
        <f t="shared" si="21"/>
        <v>5</v>
      </c>
      <c r="L355">
        <f t="shared" si="22"/>
        <v>20</v>
      </c>
      <c r="M355">
        <f t="shared" si="23"/>
        <v>5</v>
      </c>
      <c r="N355">
        <f>_xlfn.XLOOKUP(A355,tatiller!H:H,tatiller!I:I,0,0)</f>
        <v>0</v>
      </c>
      <c r="O355" cm="1">
        <f t="array" ref="O355">_xlfn.IFNA(_xlfn.IFS(L355=1,"A0",A355=EOMONTH(A355,0),"A-1",L355=2,"A+1"),0)</f>
        <v>0</v>
      </c>
      <c r="P355" cm="1">
        <f t="array" ref="P355">_xlfn.IFNA(_xlfn.IFS(AND(_xlfn.XLOOKUP(A355,'LPG Fup'!D:D,'LPG Fup'!M:M,"",0)&lt;&gt;"",_xlfn.XLOOKUP(A355,'LPG Fup'!D:D,'LPG Fup'!M:M,"",0)&gt;0),"Z-1", AND(_xlfn.XLOOKUP(A355+1,'LPG Fup'!D:D,'LPG Fup'!M:M,"",0)&lt;&gt;"",_xlfn.XLOOKUP(A355+1,'LPG Fup'!D:D,'LPG Fup'!M:M,"",0)&gt;0),"Z-2", AND(_xlfn.XLOOKUP(A355-1,'LPG Fup'!D:D,'LPG Fup'!M:M,"",0)&lt;&gt;"",_xlfn.XLOOKUP(A355-1,'LPG Fup'!D:D,'LPG Fup'!M:M,"",0)&gt;0),"Z", AND(_xlfn.XLOOKUP(A355-2,'LPG Fup'!D:D,'LPG Fup'!M:M,"",0)&lt;&gt;"",_xlfn.XLOOKUP(A355-2,'LPG Fup'!D:D,'LPG Fup'!M:M,"",0)&gt;0),"Z+1"),0)</f>
        <v>0</v>
      </c>
      <c r="Q355" cm="1">
        <f t="array" ref="Q355">_xlfn.IFNA(_xlfn.IFS(AND(_xlfn.XLOOKUP(A355,'LPG Fup'!D:D,'LPG Fup'!M:M,"",0)&lt;&gt;"",_xlfn.XLOOKUP(A355,'LPG Fup'!D:D,'LPG Fup'!M:M,"",0)&lt;0),"I-1", AND(_xlfn.XLOOKUP(A355+1,'LPG Fup'!D:D,'LPG Fup'!M:M,"",0)&lt;&gt;"",_xlfn.XLOOKUP(A355+1,'LPG Fup'!D:D,'LPG Fup'!M:M,"",0)&lt;0),"I-2", AND(_xlfn.XLOOKUP(A355-1,'LPG Fup'!D:D,'LPG Fup'!M:M,"",0)&lt;&gt;"",_xlfn.XLOOKUP(A355-1,'LPG Fup'!D:D,'LPG Fup'!M:M,"",0)&lt;0),"I", AND(_xlfn.XLOOKUP(A355-2,'LPG Fup'!D:D,'LPG Fup'!M:M,"",0)&lt;&gt;"",_xlfn.XLOOKUP(A355-2,'LPG Fup'!D:D,'LPG Fup'!M:M,"",0)&lt;0),"I+1"),0)</f>
        <v>0</v>
      </c>
      <c r="R355">
        <f>_xlfn.XLOOKUP(A355,Covid!A:A,Covid!I:I,0,0)</f>
        <v>856</v>
      </c>
      <c r="S355">
        <f>_xlfn.XLOOKUP(A355,Covid!A:A,Covid!K:K,0,0)</f>
        <v>207</v>
      </c>
      <c r="T355" s="145">
        <f>_xlfn.XLOOKUP(A355,Covid!A:A,Covid!K:K,0,0)/_xlfn.XLOOKUP(A355,Covid!A:A,Covid!L:L,0,0)</f>
        <v>2.2327688490993421E-2</v>
      </c>
    </row>
    <row r="356" spans="1:20" x14ac:dyDescent="0.55000000000000004">
      <c r="A356" s="157">
        <v>44337</v>
      </c>
      <c r="B356" s="13">
        <v>1186040</v>
      </c>
      <c r="C356" s="13">
        <v>484149</v>
      </c>
      <c r="D356" s="13">
        <v>3290</v>
      </c>
      <c r="E356" s="13">
        <v>483103</v>
      </c>
      <c r="F356" s="13">
        <v>2156582</v>
      </c>
      <c r="G356">
        <f>IF(OR(_xlfn.XLOOKUP(A356,'LPG Fup'!D:D,'LPG Fup'!L:L,"",0)&gt;0.03,_xlfn.XLOOKUP(A356,'LPG Fup'!D:D,'LPG Fup'!L:L,"",0)&lt;-0.03),_xlfn.XLOOKUP(A356,'LPG Fup'!D:D,'LPG Fup'!L:L,0,0),0)</f>
        <v>0</v>
      </c>
      <c r="H356">
        <f>IF(_xlfn.XLOOKUP(A356,'LPG Fup'!D:D,'LPG Fup'!M:M,0,0)="",0,_xlfn.XLOOKUP(A356,'LPG Fup'!D:D,'LPG Fup'!M:M,0,0))</f>
        <v>0</v>
      </c>
      <c r="I356" s="109">
        <f>_xlfn.XLOOKUP(A356,'Rafineri Fiyatları'!A:A,'Rafineri Fiyatları'!B:B,"",0)</f>
        <v>4997.0361499999999</v>
      </c>
      <c r="J356">
        <f t="shared" si="20"/>
        <v>2021</v>
      </c>
      <c r="K356">
        <f t="shared" si="21"/>
        <v>5</v>
      </c>
      <c r="L356">
        <f t="shared" si="22"/>
        <v>21</v>
      </c>
      <c r="M356">
        <f t="shared" si="23"/>
        <v>6</v>
      </c>
      <c r="N356">
        <f>_xlfn.XLOOKUP(A356,tatiller!H:H,tatiller!I:I,0,0)</f>
        <v>0</v>
      </c>
      <c r="O356" cm="1">
        <f t="array" ref="O356">_xlfn.IFNA(_xlfn.IFS(L356=1,"A0",A356=EOMONTH(A356,0),"A-1",L356=2,"A+1"),0)</f>
        <v>0</v>
      </c>
      <c r="P356" cm="1">
        <f t="array" ref="P356">_xlfn.IFNA(_xlfn.IFS(AND(_xlfn.XLOOKUP(A356,'LPG Fup'!D:D,'LPG Fup'!M:M,"",0)&lt;&gt;"",_xlfn.XLOOKUP(A356,'LPG Fup'!D:D,'LPG Fup'!M:M,"",0)&gt;0),"Z-1", AND(_xlfn.XLOOKUP(A356+1,'LPG Fup'!D:D,'LPG Fup'!M:M,"",0)&lt;&gt;"",_xlfn.XLOOKUP(A356+1,'LPG Fup'!D:D,'LPG Fup'!M:M,"",0)&gt;0),"Z-2", AND(_xlfn.XLOOKUP(A356-1,'LPG Fup'!D:D,'LPG Fup'!M:M,"",0)&lt;&gt;"",_xlfn.XLOOKUP(A356-1,'LPG Fup'!D:D,'LPG Fup'!M:M,"",0)&gt;0),"Z", AND(_xlfn.XLOOKUP(A356-2,'LPG Fup'!D:D,'LPG Fup'!M:M,"",0)&lt;&gt;"",_xlfn.XLOOKUP(A356-2,'LPG Fup'!D:D,'LPG Fup'!M:M,"",0)&gt;0),"Z+1"),0)</f>
        <v>0</v>
      </c>
      <c r="Q356" cm="1">
        <f t="array" ref="Q356">_xlfn.IFNA(_xlfn.IFS(AND(_xlfn.XLOOKUP(A356,'LPG Fup'!D:D,'LPG Fup'!M:M,"",0)&lt;&gt;"",_xlfn.XLOOKUP(A356,'LPG Fup'!D:D,'LPG Fup'!M:M,"",0)&lt;0),"I-1", AND(_xlfn.XLOOKUP(A356+1,'LPG Fup'!D:D,'LPG Fup'!M:M,"",0)&lt;&gt;"",_xlfn.XLOOKUP(A356+1,'LPG Fup'!D:D,'LPG Fup'!M:M,"",0)&lt;0),"I-2", AND(_xlfn.XLOOKUP(A356-1,'LPG Fup'!D:D,'LPG Fup'!M:M,"",0)&lt;&gt;"",_xlfn.XLOOKUP(A356-1,'LPG Fup'!D:D,'LPG Fup'!M:M,"",0)&lt;0),"I", AND(_xlfn.XLOOKUP(A356-2,'LPG Fup'!D:D,'LPG Fup'!M:M,"",0)&lt;&gt;"",_xlfn.XLOOKUP(A356-2,'LPG Fup'!D:D,'LPG Fup'!M:M,"",0)&lt;0),"I+1"),0)</f>
        <v>0</v>
      </c>
      <c r="R356">
        <f>_xlfn.XLOOKUP(A356,Covid!A:A,Covid!I:I,0,0)</f>
        <v>846</v>
      </c>
      <c r="S356">
        <f>_xlfn.XLOOKUP(A356,Covid!A:A,Covid!K:K,0,0)</f>
        <v>214</v>
      </c>
      <c r="T356" s="145">
        <f>_xlfn.XLOOKUP(A356,Covid!A:A,Covid!K:K,0,0)/_xlfn.XLOOKUP(A356,Covid!A:A,Covid!L:L,0,0)</f>
        <v>2.4175327609579755E-2</v>
      </c>
    </row>
    <row r="357" spans="1:20" x14ac:dyDescent="0.55000000000000004">
      <c r="A357" s="157">
        <v>44338</v>
      </c>
      <c r="B357" s="13">
        <v>756280</v>
      </c>
      <c r="C357" s="13">
        <v>393827</v>
      </c>
      <c r="D357" s="13">
        <v>6762</v>
      </c>
      <c r="E357" s="13">
        <v>453549</v>
      </c>
      <c r="F357" s="13">
        <v>1610418</v>
      </c>
      <c r="G357">
        <f>IF(OR(_xlfn.XLOOKUP(A357,'LPG Fup'!D:D,'LPG Fup'!L:L,"",0)&gt;0.03,_xlfn.XLOOKUP(A357,'LPG Fup'!D:D,'LPG Fup'!L:L,"",0)&lt;-0.03),_xlfn.XLOOKUP(A357,'LPG Fup'!D:D,'LPG Fup'!L:L,0,0),0)</f>
        <v>0</v>
      </c>
      <c r="H357">
        <f>IF(_xlfn.XLOOKUP(A357,'LPG Fup'!D:D,'LPG Fup'!M:M,0,0)="",0,_xlfn.XLOOKUP(A357,'LPG Fup'!D:D,'LPG Fup'!M:M,0,0))</f>
        <v>0</v>
      </c>
      <c r="I357" s="109">
        <f>_xlfn.XLOOKUP(A357,'Rafineri Fiyatları'!A:A,'Rafineri Fiyatları'!B:B,"",0)</f>
        <v>4997.0361499999999</v>
      </c>
      <c r="J357">
        <f t="shared" si="20"/>
        <v>2021</v>
      </c>
      <c r="K357">
        <f t="shared" si="21"/>
        <v>5</v>
      </c>
      <c r="L357">
        <f t="shared" si="22"/>
        <v>22</v>
      </c>
      <c r="M357">
        <f t="shared" si="23"/>
        <v>7</v>
      </c>
      <c r="N357">
        <f>_xlfn.XLOOKUP(A357,tatiller!H:H,tatiller!I:I,0,0)</f>
        <v>0</v>
      </c>
      <c r="O357" cm="1">
        <f t="array" ref="O357">_xlfn.IFNA(_xlfn.IFS(L357=1,"A0",A357=EOMONTH(A357,0),"A-1",L357=2,"A+1"),0)</f>
        <v>0</v>
      </c>
      <c r="P357" cm="1">
        <f t="array" ref="P357">_xlfn.IFNA(_xlfn.IFS(AND(_xlfn.XLOOKUP(A357,'LPG Fup'!D:D,'LPG Fup'!M:M,"",0)&lt;&gt;"",_xlfn.XLOOKUP(A357,'LPG Fup'!D:D,'LPG Fup'!M:M,"",0)&gt;0),"Z-1", AND(_xlfn.XLOOKUP(A357+1,'LPG Fup'!D:D,'LPG Fup'!M:M,"",0)&lt;&gt;"",_xlfn.XLOOKUP(A357+1,'LPG Fup'!D:D,'LPG Fup'!M:M,"",0)&gt;0),"Z-2", AND(_xlfn.XLOOKUP(A357-1,'LPG Fup'!D:D,'LPG Fup'!M:M,"",0)&lt;&gt;"",_xlfn.XLOOKUP(A357-1,'LPG Fup'!D:D,'LPG Fup'!M:M,"",0)&gt;0),"Z", AND(_xlfn.XLOOKUP(A357-2,'LPG Fup'!D:D,'LPG Fup'!M:M,"",0)&lt;&gt;"",_xlfn.XLOOKUP(A357-2,'LPG Fup'!D:D,'LPG Fup'!M:M,"",0)&gt;0),"Z+1"),0)</f>
        <v>0</v>
      </c>
      <c r="Q357" cm="1">
        <f t="array" ref="Q357">_xlfn.IFNA(_xlfn.IFS(AND(_xlfn.XLOOKUP(A357,'LPG Fup'!D:D,'LPG Fup'!M:M,"",0)&lt;&gt;"",_xlfn.XLOOKUP(A357,'LPG Fup'!D:D,'LPG Fup'!M:M,"",0)&lt;0),"I-1", AND(_xlfn.XLOOKUP(A357+1,'LPG Fup'!D:D,'LPG Fup'!M:M,"",0)&lt;&gt;"",_xlfn.XLOOKUP(A357+1,'LPG Fup'!D:D,'LPG Fup'!M:M,"",0)&lt;0),"I-2", AND(_xlfn.XLOOKUP(A357-1,'LPG Fup'!D:D,'LPG Fup'!M:M,"",0)&lt;&gt;"",_xlfn.XLOOKUP(A357-1,'LPG Fup'!D:D,'LPG Fup'!M:M,"",0)&lt;0),"I", AND(_xlfn.XLOOKUP(A357-2,'LPG Fup'!D:D,'LPG Fup'!M:M,"",0)&lt;&gt;"",_xlfn.XLOOKUP(A357-2,'LPG Fup'!D:D,'LPG Fup'!M:M,"",0)&lt;0),"I+1"),0)</f>
        <v>0</v>
      </c>
      <c r="R357">
        <f>_xlfn.XLOOKUP(A357,Covid!A:A,Covid!I:I,0,0)</f>
        <v>835</v>
      </c>
      <c r="S357">
        <f>_xlfn.XLOOKUP(A357,Covid!A:A,Covid!K:K,0,0)</f>
        <v>231</v>
      </c>
      <c r="T357" s="145">
        <f>_xlfn.XLOOKUP(A357,Covid!A:A,Covid!K:K,0,0)/_xlfn.XLOOKUP(A357,Covid!A:A,Covid!L:L,0,0)</f>
        <v>1.5961857379767828E-2</v>
      </c>
    </row>
    <row r="358" spans="1:20" x14ac:dyDescent="0.55000000000000004">
      <c r="A358" s="157">
        <v>44339</v>
      </c>
      <c r="B358" s="13">
        <v>488320</v>
      </c>
      <c r="C358" s="13">
        <v>0</v>
      </c>
      <c r="D358" s="13">
        <v>0</v>
      </c>
      <c r="E358" s="13">
        <v>204161</v>
      </c>
      <c r="F358" s="13">
        <v>692481</v>
      </c>
      <c r="G358">
        <f>IF(OR(_xlfn.XLOOKUP(A358,'LPG Fup'!D:D,'LPG Fup'!L:L,"",0)&gt;0.03,_xlfn.XLOOKUP(A358,'LPG Fup'!D:D,'LPG Fup'!L:L,"",0)&lt;-0.03),_xlfn.XLOOKUP(A358,'LPG Fup'!D:D,'LPG Fup'!L:L,0,0),0)</f>
        <v>0</v>
      </c>
      <c r="H358">
        <f>IF(_xlfn.XLOOKUP(A358,'LPG Fup'!D:D,'LPG Fup'!M:M,0,0)="",0,_xlfn.XLOOKUP(A358,'LPG Fup'!D:D,'LPG Fup'!M:M,0,0))</f>
        <v>0</v>
      </c>
      <c r="I358" s="109">
        <f>_xlfn.XLOOKUP(A358,'Rafineri Fiyatları'!A:A,'Rafineri Fiyatları'!B:B,"",0)</f>
        <v>4997.0361499999999</v>
      </c>
      <c r="J358">
        <f t="shared" si="20"/>
        <v>2021</v>
      </c>
      <c r="K358">
        <f t="shared" si="21"/>
        <v>5</v>
      </c>
      <c r="L358">
        <f t="shared" si="22"/>
        <v>23</v>
      </c>
      <c r="M358">
        <f t="shared" si="23"/>
        <v>1</v>
      </c>
      <c r="N358">
        <f>_xlfn.XLOOKUP(A358,tatiller!H:H,tatiller!I:I,0,0)</f>
        <v>0</v>
      </c>
      <c r="O358" cm="1">
        <f t="array" ref="O358">_xlfn.IFNA(_xlfn.IFS(L358=1,"A0",A358=EOMONTH(A358,0),"A-1",L358=2,"A+1"),0)</f>
        <v>0</v>
      </c>
      <c r="P358" cm="1">
        <f t="array" ref="P358">_xlfn.IFNA(_xlfn.IFS(AND(_xlfn.XLOOKUP(A358,'LPG Fup'!D:D,'LPG Fup'!M:M,"",0)&lt;&gt;"",_xlfn.XLOOKUP(A358,'LPG Fup'!D:D,'LPG Fup'!M:M,"",0)&gt;0),"Z-1", AND(_xlfn.XLOOKUP(A358+1,'LPG Fup'!D:D,'LPG Fup'!M:M,"",0)&lt;&gt;"",_xlfn.XLOOKUP(A358+1,'LPG Fup'!D:D,'LPG Fup'!M:M,"",0)&gt;0),"Z-2", AND(_xlfn.XLOOKUP(A358-1,'LPG Fup'!D:D,'LPG Fup'!M:M,"",0)&lt;&gt;"",_xlfn.XLOOKUP(A358-1,'LPG Fup'!D:D,'LPG Fup'!M:M,"",0)&gt;0),"Z", AND(_xlfn.XLOOKUP(A358-2,'LPG Fup'!D:D,'LPG Fup'!M:M,"",0)&lt;&gt;"",_xlfn.XLOOKUP(A358-2,'LPG Fup'!D:D,'LPG Fup'!M:M,"",0)&gt;0),"Z+1"),0)</f>
        <v>0</v>
      </c>
      <c r="Q358" cm="1">
        <f t="array" ref="Q358">_xlfn.IFNA(_xlfn.IFS(AND(_xlfn.XLOOKUP(A358,'LPG Fup'!D:D,'LPG Fup'!M:M,"",0)&lt;&gt;"",_xlfn.XLOOKUP(A358,'LPG Fup'!D:D,'LPG Fup'!M:M,"",0)&lt;0),"I-1", AND(_xlfn.XLOOKUP(A358+1,'LPG Fup'!D:D,'LPG Fup'!M:M,"",0)&lt;&gt;"",_xlfn.XLOOKUP(A358+1,'LPG Fup'!D:D,'LPG Fup'!M:M,"",0)&lt;0),"I-2", AND(_xlfn.XLOOKUP(A358-1,'LPG Fup'!D:D,'LPG Fup'!M:M,"",0)&lt;&gt;"",_xlfn.XLOOKUP(A358-1,'LPG Fup'!D:D,'LPG Fup'!M:M,"",0)&lt;0),"I", AND(_xlfn.XLOOKUP(A358-2,'LPG Fup'!D:D,'LPG Fup'!M:M,"",0)&lt;&gt;"",_xlfn.XLOOKUP(A358-2,'LPG Fup'!D:D,'LPG Fup'!M:M,"",0)&lt;0),"I+1"),0)</f>
        <v>0</v>
      </c>
      <c r="R358">
        <f>_xlfn.XLOOKUP(A358,Covid!A:A,Covid!I:I,0,0)</f>
        <v>710</v>
      </c>
      <c r="S358">
        <f>_xlfn.XLOOKUP(A358,Covid!A:A,Covid!K:K,0,0)</f>
        <v>197</v>
      </c>
      <c r="T358" s="145">
        <f>_xlfn.XLOOKUP(A358,Covid!A:A,Covid!K:K,0,0)/_xlfn.XLOOKUP(A358,Covid!A:A,Covid!L:L,0,0)</f>
        <v>1.758614533119086E-2</v>
      </c>
    </row>
    <row r="359" spans="1:20" x14ac:dyDescent="0.55000000000000004">
      <c r="A359" s="157">
        <v>44340</v>
      </c>
      <c r="B359" s="13">
        <v>738300</v>
      </c>
      <c r="C359" s="13">
        <v>448848</v>
      </c>
      <c r="D359" s="13">
        <v>12305</v>
      </c>
      <c r="E359" s="13">
        <v>425818</v>
      </c>
      <c r="F359" s="13">
        <v>1625271</v>
      </c>
      <c r="G359">
        <f>IF(OR(_xlfn.XLOOKUP(A359,'LPG Fup'!D:D,'LPG Fup'!L:L,"",0)&gt;0.03,_xlfn.XLOOKUP(A359,'LPG Fup'!D:D,'LPG Fup'!L:L,"",0)&lt;-0.03),_xlfn.XLOOKUP(A359,'LPG Fup'!D:D,'LPG Fup'!L:L,0,0),0)</f>
        <v>0</v>
      </c>
      <c r="H359">
        <f>IF(_xlfn.XLOOKUP(A359,'LPG Fup'!D:D,'LPG Fup'!M:M,0,0)="",0,_xlfn.XLOOKUP(A359,'LPG Fup'!D:D,'LPG Fup'!M:M,0,0))</f>
        <v>0</v>
      </c>
      <c r="I359" s="109">
        <f>_xlfn.XLOOKUP(A359,'Rafineri Fiyatları'!A:A,'Rafineri Fiyatları'!B:B,"",0)</f>
        <v>4997.0361499999999</v>
      </c>
      <c r="J359">
        <f t="shared" si="20"/>
        <v>2021</v>
      </c>
      <c r="K359">
        <f t="shared" si="21"/>
        <v>5</v>
      </c>
      <c r="L359">
        <f t="shared" si="22"/>
        <v>24</v>
      </c>
      <c r="M359">
        <f t="shared" si="23"/>
        <v>2</v>
      </c>
      <c r="N359">
        <f>_xlfn.XLOOKUP(A359,tatiller!H:H,tatiller!I:I,0,0)</f>
        <v>0</v>
      </c>
      <c r="O359" cm="1">
        <f t="array" ref="O359">_xlfn.IFNA(_xlfn.IFS(L359=1,"A0",A359=EOMONTH(A359,0),"A-1",L359=2,"A+1"),0)</f>
        <v>0</v>
      </c>
      <c r="P359" cm="1">
        <f t="array" ref="P359">_xlfn.IFNA(_xlfn.IFS(AND(_xlfn.XLOOKUP(A359,'LPG Fup'!D:D,'LPG Fup'!M:M,"",0)&lt;&gt;"",_xlfn.XLOOKUP(A359,'LPG Fup'!D:D,'LPG Fup'!M:M,"",0)&gt;0),"Z-1", AND(_xlfn.XLOOKUP(A359+1,'LPG Fup'!D:D,'LPG Fup'!M:M,"",0)&lt;&gt;"",_xlfn.XLOOKUP(A359+1,'LPG Fup'!D:D,'LPG Fup'!M:M,"",0)&gt;0),"Z-2", AND(_xlfn.XLOOKUP(A359-1,'LPG Fup'!D:D,'LPG Fup'!M:M,"",0)&lt;&gt;"",_xlfn.XLOOKUP(A359-1,'LPG Fup'!D:D,'LPG Fup'!M:M,"",0)&gt;0),"Z", AND(_xlfn.XLOOKUP(A359-2,'LPG Fup'!D:D,'LPG Fup'!M:M,"",0)&lt;&gt;"",_xlfn.XLOOKUP(A359-2,'LPG Fup'!D:D,'LPG Fup'!M:M,"",0)&gt;0),"Z+1"),0)</f>
        <v>0</v>
      </c>
      <c r="Q359" cm="1">
        <f t="array" ref="Q359">_xlfn.IFNA(_xlfn.IFS(AND(_xlfn.XLOOKUP(A359,'LPG Fup'!D:D,'LPG Fup'!M:M,"",0)&lt;&gt;"",_xlfn.XLOOKUP(A359,'LPG Fup'!D:D,'LPG Fup'!M:M,"",0)&lt;0),"I-1", AND(_xlfn.XLOOKUP(A359+1,'LPG Fup'!D:D,'LPG Fup'!M:M,"",0)&lt;&gt;"",_xlfn.XLOOKUP(A359+1,'LPG Fup'!D:D,'LPG Fup'!M:M,"",0)&lt;0),"I-2", AND(_xlfn.XLOOKUP(A359-1,'LPG Fup'!D:D,'LPG Fup'!M:M,"",0)&lt;&gt;"",_xlfn.XLOOKUP(A359-1,'LPG Fup'!D:D,'LPG Fup'!M:M,"",0)&lt;0),"I", AND(_xlfn.XLOOKUP(A359-2,'LPG Fup'!D:D,'LPG Fup'!M:M,"",0)&lt;&gt;"",_xlfn.XLOOKUP(A359-2,'LPG Fup'!D:D,'LPG Fup'!M:M,"",0)&lt;0),"I+1"),0)</f>
        <v>0</v>
      </c>
      <c r="R359">
        <f>_xlfn.XLOOKUP(A359,Covid!A:A,Covid!I:I,0,0)</f>
        <v>702</v>
      </c>
      <c r="S359">
        <f>_xlfn.XLOOKUP(A359,Covid!A:A,Covid!K:K,0,0)</f>
        <v>178</v>
      </c>
      <c r="T359" s="145">
        <f>_xlfn.XLOOKUP(A359,Covid!A:A,Covid!K:K,0,0)/_xlfn.XLOOKUP(A359,Covid!A:A,Covid!L:L,0,0)</f>
        <v>1.7794661601519546E-2</v>
      </c>
    </row>
    <row r="360" spans="1:20" x14ac:dyDescent="0.55000000000000004">
      <c r="A360" s="157">
        <v>44341</v>
      </c>
      <c r="B360" s="13">
        <v>789160</v>
      </c>
      <c r="C360" s="13">
        <v>494671</v>
      </c>
      <c r="D360" s="13">
        <v>8481</v>
      </c>
      <c r="E360" s="13">
        <v>557833</v>
      </c>
      <c r="F360" s="13">
        <v>1850145</v>
      </c>
      <c r="G360">
        <f>IF(OR(_xlfn.XLOOKUP(A360,'LPG Fup'!D:D,'LPG Fup'!L:L,"",0)&gt;0.03,_xlfn.XLOOKUP(A360,'LPG Fup'!D:D,'LPG Fup'!L:L,"",0)&lt;-0.03),_xlfn.XLOOKUP(A360,'LPG Fup'!D:D,'LPG Fup'!L:L,0,0),0)</f>
        <v>0</v>
      </c>
      <c r="H360">
        <f>IF(_xlfn.XLOOKUP(A360,'LPG Fup'!D:D,'LPG Fup'!M:M,0,0)="",0,_xlfn.XLOOKUP(A360,'LPG Fup'!D:D,'LPG Fup'!M:M,0,0))</f>
        <v>0</v>
      </c>
      <c r="I360" s="109">
        <f>_xlfn.XLOOKUP(A360,'Rafineri Fiyatları'!A:A,'Rafineri Fiyatları'!B:B,"",0)</f>
        <v>4997.0361499999999</v>
      </c>
      <c r="J360">
        <f t="shared" si="20"/>
        <v>2021</v>
      </c>
      <c r="K360">
        <f t="shared" si="21"/>
        <v>5</v>
      </c>
      <c r="L360">
        <f t="shared" si="22"/>
        <v>25</v>
      </c>
      <c r="M360">
        <f t="shared" si="23"/>
        <v>3</v>
      </c>
      <c r="N360">
        <f>_xlfn.XLOOKUP(A360,tatiller!H:H,tatiller!I:I,0,0)</f>
        <v>0</v>
      </c>
      <c r="O360" cm="1">
        <f t="array" ref="O360">_xlfn.IFNA(_xlfn.IFS(L360=1,"A0",A360=EOMONTH(A360,0),"A-1",L360=2,"A+1"),0)</f>
        <v>0</v>
      </c>
      <c r="P360" cm="1">
        <f t="array" ref="P360">_xlfn.IFNA(_xlfn.IFS(AND(_xlfn.XLOOKUP(A360,'LPG Fup'!D:D,'LPG Fup'!M:M,"",0)&lt;&gt;"",_xlfn.XLOOKUP(A360,'LPG Fup'!D:D,'LPG Fup'!M:M,"",0)&gt;0),"Z-1", AND(_xlfn.XLOOKUP(A360+1,'LPG Fup'!D:D,'LPG Fup'!M:M,"",0)&lt;&gt;"",_xlfn.XLOOKUP(A360+1,'LPG Fup'!D:D,'LPG Fup'!M:M,"",0)&gt;0),"Z-2", AND(_xlfn.XLOOKUP(A360-1,'LPG Fup'!D:D,'LPG Fup'!M:M,"",0)&lt;&gt;"",_xlfn.XLOOKUP(A360-1,'LPG Fup'!D:D,'LPG Fup'!M:M,"",0)&gt;0),"Z", AND(_xlfn.XLOOKUP(A360-2,'LPG Fup'!D:D,'LPG Fup'!M:M,"",0)&lt;&gt;"",_xlfn.XLOOKUP(A360-2,'LPG Fup'!D:D,'LPG Fup'!M:M,"",0)&gt;0),"Z+1"),0)</f>
        <v>0</v>
      </c>
      <c r="Q360" cm="1">
        <f t="array" ref="Q360">_xlfn.IFNA(_xlfn.IFS(AND(_xlfn.XLOOKUP(A360,'LPG Fup'!D:D,'LPG Fup'!M:M,"",0)&lt;&gt;"",_xlfn.XLOOKUP(A360,'LPG Fup'!D:D,'LPG Fup'!M:M,"",0)&lt;0),"I-1", AND(_xlfn.XLOOKUP(A360+1,'LPG Fup'!D:D,'LPG Fup'!M:M,"",0)&lt;&gt;"",_xlfn.XLOOKUP(A360+1,'LPG Fup'!D:D,'LPG Fup'!M:M,"",0)&lt;0),"I-2", AND(_xlfn.XLOOKUP(A360-1,'LPG Fup'!D:D,'LPG Fup'!M:M,"",0)&lt;&gt;"",_xlfn.XLOOKUP(A360-1,'LPG Fup'!D:D,'LPG Fup'!M:M,"",0)&lt;0),"I", AND(_xlfn.XLOOKUP(A360-2,'LPG Fup'!D:D,'LPG Fup'!M:M,"",0)&lt;&gt;"",_xlfn.XLOOKUP(A360-2,'LPG Fup'!D:D,'LPG Fup'!M:M,"",0)&lt;0),"I+1"),0)</f>
        <v>0</v>
      </c>
      <c r="R360">
        <f>_xlfn.XLOOKUP(A360,Covid!A:A,Covid!I:I,0,0)</f>
        <v>693</v>
      </c>
      <c r="S360">
        <f>_xlfn.XLOOKUP(A360,Covid!A:A,Covid!K:K,0,0)</f>
        <v>175</v>
      </c>
      <c r="T360" s="145">
        <f>_xlfn.XLOOKUP(A360,Covid!A:A,Covid!K:K,0,0)/_xlfn.XLOOKUP(A360,Covid!A:A,Covid!L:L,0,0)</f>
        <v>1.5636168691922803E-2</v>
      </c>
    </row>
    <row r="361" spans="1:20" x14ac:dyDescent="0.55000000000000004">
      <c r="A361" s="157">
        <v>44342</v>
      </c>
      <c r="B361" s="13">
        <v>1024960</v>
      </c>
      <c r="C361" s="13">
        <v>408342</v>
      </c>
      <c r="D361" s="13">
        <v>5471</v>
      </c>
      <c r="E361" s="13">
        <v>479207</v>
      </c>
      <c r="F361" s="13">
        <v>5917916</v>
      </c>
      <c r="G361">
        <f>IF(OR(_xlfn.XLOOKUP(A361,'LPG Fup'!D:D,'LPG Fup'!L:L,"",0)&gt;0.03,_xlfn.XLOOKUP(A361,'LPG Fup'!D:D,'LPG Fup'!L:L,"",0)&lt;-0.03),_xlfn.XLOOKUP(A361,'LPG Fup'!D:D,'LPG Fup'!L:L,0,0),0)</f>
        <v>0</v>
      </c>
      <c r="H361">
        <f>IF(_xlfn.XLOOKUP(A361,'LPG Fup'!D:D,'LPG Fup'!M:M,0,0)="",0,_xlfn.XLOOKUP(A361,'LPG Fup'!D:D,'LPG Fup'!M:M,0,0))</f>
        <v>0</v>
      </c>
      <c r="I361" s="109">
        <f>_xlfn.XLOOKUP(A361,'Rafineri Fiyatları'!A:A,'Rafineri Fiyatları'!B:B,"",0)</f>
        <v>4997.0361499999999</v>
      </c>
      <c r="J361">
        <f t="shared" si="20"/>
        <v>2021</v>
      </c>
      <c r="K361">
        <f t="shared" si="21"/>
        <v>5</v>
      </c>
      <c r="L361">
        <f t="shared" si="22"/>
        <v>26</v>
      </c>
      <c r="M361">
        <f t="shared" si="23"/>
        <v>4</v>
      </c>
      <c r="N361">
        <f>_xlfn.XLOOKUP(A361,tatiller!H:H,tatiller!I:I,0,0)</f>
        <v>0</v>
      </c>
      <c r="O361" cm="1">
        <f t="array" ref="O361">_xlfn.IFNA(_xlfn.IFS(L361=1,"A0",A361=EOMONTH(A361,0),"A-1",L361=2,"A+1"),0)</f>
        <v>0</v>
      </c>
      <c r="P361" cm="1">
        <f t="array" ref="P361">_xlfn.IFNA(_xlfn.IFS(AND(_xlfn.XLOOKUP(A361,'LPG Fup'!D:D,'LPG Fup'!M:M,"",0)&lt;&gt;"",_xlfn.XLOOKUP(A361,'LPG Fup'!D:D,'LPG Fup'!M:M,"",0)&gt;0),"Z-1", AND(_xlfn.XLOOKUP(A361+1,'LPG Fup'!D:D,'LPG Fup'!M:M,"",0)&lt;&gt;"",_xlfn.XLOOKUP(A361+1,'LPG Fup'!D:D,'LPG Fup'!M:M,"",0)&gt;0),"Z-2", AND(_xlfn.XLOOKUP(A361-1,'LPG Fup'!D:D,'LPG Fup'!M:M,"",0)&lt;&gt;"",_xlfn.XLOOKUP(A361-1,'LPG Fup'!D:D,'LPG Fup'!M:M,"",0)&gt;0),"Z", AND(_xlfn.XLOOKUP(A361-2,'LPG Fup'!D:D,'LPG Fup'!M:M,"",0)&lt;&gt;"",_xlfn.XLOOKUP(A361-2,'LPG Fup'!D:D,'LPG Fup'!M:M,"",0)&gt;0),"Z+1"),0)</f>
        <v>0</v>
      </c>
      <c r="Q361" cm="1">
        <f t="array" ref="Q361">_xlfn.IFNA(_xlfn.IFS(AND(_xlfn.XLOOKUP(A361,'LPG Fup'!D:D,'LPG Fup'!M:M,"",0)&lt;&gt;"",_xlfn.XLOOKUP(A361,'LPG Fup'!D:D,'LPG Fup'!M:M,"",0)&lt;0),"I-1", AND(_xlfn.XLOOKUP(A361+1,'LPG Fup'!D:D,'LPG Fup'!M:M,"",0)&lt;&gt;"",_xlfn.XLOOKUP(A361+1,'LPG Fup'!D:D,'LPG Fup'!M:M,"",0)&lt;0),"I-2", AND(_xlfn.XLOOKUP(A361-1,'LPG Fup'!D:D,'LPG Fup'!M:M,"",0)&lt;&gt;"",_xlfn.XLOOKUP(A361-1,'LPG Fup'!D:D,'LPG Fup'!M:M,"",0)&lt;0),"I", AND(_xlfn.XLOOKUP(A361-2,'LPG Fup'!D:D,'LPG Fup'!M:M,"",0)&lt;&gt;"",_xlfn.XLOOKUP(A361-2,'LPG Fup'!D:D,'LPG Fup'!M:M,"",0)&lt;0),"I+1"),0)</f>
        <v>0</v>
      </c>
      <c r="R361">
        <f>_xlfn.XLOOKUP(A361,Covid!A:A,Covid!I:I,0,0)</f>
        <v>681</v>
      </c>
      <c r="S361">
        <f>_xlfn.XLOOKUP(A361,Covid!A:A,Covid!K:K,0,0)</f>
        <v>166</v>
      </c>
      <c r="T361" s="145">
        <f>_xlfn.XLOOKUP(A361,Covid!A:A,Covid!K:K,0,0)/_xlfn.XLOOKUP(A361,Covid!A:A,Covid!L:L,0,0)</f>
        <v>1.3600983203605079E-2</v>
      </c>
    </row>
    <row r="362" spans="1:20" x14ac:dyDescent="0.55000000000000004">
      <c r="A362" s="157">
        <v>44343</v>
      </c>
      <c r="B362" s="13">
        <v>920540</v>
      </c>
      <c r="C362" s="13">
        <v>459448</v>
      </c>
      <c r="D362" s="13">
        <v>11720</v>
      </c>
      <c r="E362" s="13">
        <v>450462</v>
      </c>
      <c r="F362" s="13">
        <v>1842170</v>
      </c>
      <c r="G362">
        <f>IF(OR(_xlfn.XLOOKUP(A362,'LPG Fup'!D:D,'LPG Fup'!L:L,"",0)&gt;0.03,_xlfn.XLOOKUP(A362,'LPG Fup'!D:D,'LPG Fup'!L:L,"",0)&lt;-0.03),_xlfn.XLOOKUP(A362,'LPG Fup'!D:D,'LPG Fup'!L:L,0,0),0)</f>
        <v>0</v>
      </c>
      <c r="H362">
        <f>IF(_xlfn.XLOOKUP(A362,'LPG Fup'!D:D,'LPG Fup'!M:M,0,0)="",0,_xlfn.XLOOKUP(A362,'LPG Fup'!D:D,'LPG Fup'!M:M,0,0))</f>
        <v>0</v>
      </c>
      <c r="I362" s="109">
        <f>_xlfn.XLOOKUP(A362,'Rafineri Fiyatları'!A:A,'Rafineri Fiyatları'!B:B,"",0)</f>
        <v>4997.0361499999999</v>
      </c>
      <c r="J362">
        <f t="shared" si="20"/>
        <v>2021</v>
      </c>
      <c r="K362">
        <f t="shared" si="21"/>
        <v>5</v>
      </c>
      <c r="L362">
        <f t="shared" si="22"/>
        <v>27</v>
      </c>
      <c r="M362">
        <f t="shared" si="23"/>
        <v>5</v>
      </c>
      <c r="N362">
        <f>_xlfn.XLOOKUP(A362,tatiller!H:H,tatiller!I:I,0,0)</f>
        <v>0</v>
      </c>
      <c r="O362" cm="1">
        <f t="array" ref="O362">_xlfn.IFNA(_xlfn.IFS(L362=1,"A0",A362=EOMONTH(A362,0),"A-1",L362=2,"A+1"),0)</f>
        <v>0</v>
      </c>
      <c r="P362" cm="1">
        <f t="array" ref="P362">_xlfn.IFNA(_xlfn.IFS(AND(_xlfn.XLOOKUP(A362,'LPG Fup'!D:D,'LPG Fup'!M:M,"",0)&lt;&gt;"",_xlfn.XLOOKUP(A362,'LPG Fup'!D:D,'LPG Fup'!M:M,"",0)&gt;0),"Z-1", AND(_xlfn.XLOOKUP(A362+1,'LPG Fup'!D:D,'LPG Fup'!M:M,"",0)&lt;&gt;"",_xlfn.XLOOKUP(A362+1,'LPG Fup'!D:D,'LPG Fup'!M:M,"",0)&gt;0),"Z-2", AND(_xlfn.XLOOKUP(A362-1,'LPG Fup'!D:D,'LPG Fup'!M:M,"",0)&lt;&gt;"",_xlfn.XLOOKUP(A362-1,'LPG Fup'!D:D,'LPG Fup'!M:M,"",0)&gt;0),"Z", AND(_xlfn.XLOOKUP(A362-2,'LPG Fup'!D:D,'LPG Fup'!M:M,"",0)&lt;&gt;"",_xlfn.XLOOKUP(A362-2,'LPG Fup'!D:D,'LPG Fup'!M:M,"",0)&gt;0),"Z+1"),0)</f>
        <v>0</v>
      </c>
      <c r="Q362" cm="1">
        <f t="array" ref="Q362">_xlfn.IFNA(_xlfn.IFS(AND(_xlfn.XLOOKUP(A362,'LPG Fup'!D:D,'LPG Fup'!M:M,"",0)&lt;&gt;"",_xlfn.XLOOKUP(A362,'LPG Fup'!D:D,'LPG Fup'!M:M,"",0)&lt;0),"I-1", AND(_xlfn.XLOOKUP(A362+1,'LPG Fup'!D:D,'LPG Fup'!M:M,"",0)&lt;&gt;"",_xlfn.XLOOKUP(A362+1,'LPG Fup'!D:D,'LPG Fup'!M:M,"",0)&lt;0),"I-2", AND(_xlfn.XLOOKUP(A362-1,'LPG Fup'!D:D,'LPG Fup'!M:M,"",0)&lt;&gt;"",_xlfn.XLOOKUP(A362-1,'LPG Fup'!D:D,'LPG Fup'!M:M,"",0)&lt;0),"I", AND(_xlfn.XLOOKUP(A362-2,'LPG Fup'!D:D,'LPG Fup'!M:M,"",0)&lt;&gt;"",_xlfn.XLOOKUP(A362-2,'LPG Fup'!D:D,'LPG Fup'!M:M,"",0)&lt;0),"I+1"),0)</f>
        <v>0</v>
      </c>
      <c r="R362">
        <f>_xlfn.XLOOKUP(A362,Covid!A:A,Covid!I:I,0,0)</f>
        <v>673</v>
      </c>
      <c r="S362">
        <f>_xlfn.XLOOKUP(A362,Covid!A:A,Covid!K:K,0,0)</f>
        <v>183</v>
      </c>
      <c r="T362" s="145">
        <f>_xlfn.XLOOKUP(A362,Covid!A:A,Covid!K:K,0,0)/_xlfn.XLOOKUP(A362,Covid!A:A,Covid!L:L,0,0)</f>
        <v>1.3967333231567699E-2</v>
      </c>
    </row>
    <row r="363" spans="1:20" x14ac:dyDescent="0.55000000000000004">
      <c r="A363" s="157">
        <v>44344</v>
      </c>
      <c r="B363" s="13">
        <v>1223560</v>
      </c>
      <c r="C363" s="13">
        <v>482861</v>
      </c>
      <c r="D363" s="13">
        <v>8078</v>
      </c>
      <c r="E363" s="13">
        <v>535967</v>
      </c>
      <c r="F363" s="13">
        <v>2250466</v>
      </c>
      <c r="G363">
        <f>IF(OR(_xlfn.XLOOKUP(A363,'LPG Fup'!D:D,'LPG Fup'!L:L,"",0)&gt;0.03,_xlfn.XLOOKUP(A363,'LPG Fup'!D:D,'LPG Fup'!L:L,"",0)&lt;-0.03),_xlfn.XLOOKUP(A363,'LPG Fup'!D:D,'LPG Fup'!L:L,0,0),0)</f>
        <v>0</v>
      </c>
      <c r="H363">
        <f>IF(_xlfn.XLOOKUP(A363,'LPG Fup'!D:D,'LPG Fup'!M:M,0,0)="",0,_xlfn.XLOOKUP(A363,'LPG Fup'!D:D,'LPG Fup'!M:M,0,0))</f>
        <v>0</v>
      </c>
      <c r="I363" s="109">
        <f>_xlfn.XLOOKUP(A363,'Rafineri Fiyatları'!A:A,'Rafineri Fiyatları'!B:B,"",0)</f>
        <v>4997.0361499999999</v>
      </c>
      <c r="J363">
        <f t="shared" si="20"/>
        <v>2021</v>
      </c>
      <c r="K363">
        <f t="shared" si="21"/>
        <v>5</v>
      </c>
      <c r="L363">
        <f t="shared" si="22"/>
        <v>28</v>
      </c>
      <c r="M363">
        <f t="shared" si="23"/>
        <v>6</v>
      </c>
      <c r="N363">
        <f>_xlfn.XLOOKUP(A363,tatiller!H:H,tatiller!I:I,0,0)</f>
        <v>0</v>
      </c>
      <c r="O363" cm="1">
        <f t="array" ref="O363">_xlfn.IFNA(_xlfn.IFS(L363=1,"A0",A363=EOMONTH(A363,0),"A-1",L363=2,"A+1"),0)</f>
        <v>0</v>
      </c>
      <c r="P363" cm="1">
        <f t="array" ref="P363">_xlfn.IFNA(_xlfn.IFS(AND(_xlfn.XLOOKUP(A363,'LPG Fup'!D:D,'LPG Fup'!M:M,"",0)&lt;&gt;"",_xlfn.XLOOKUP(A363,'LPG Fup'!D:D,'LPG Fup'!M:M,"",0)&gt;0),"Z-1", AND(_xlfn.XLOOKUP(A363+1,'LPG Fup'!D:D,'LPG Fup'!M:M,"",0)&lt;&gt;"",_xlfn.XLOOKUP(A363+1,'LPG Fup'!D:D,'LPG Fup'!M:M,"",0)&gt;0),"Z-2", AND(_xlfn.XLOOKUP(A363-1,'LPG Fup'!D:D,'LPG Fup'!M:M,"",0)&lt;&gt;"",_xlfn.XLOOKUP(A363-1,'LPG Fup'!D:D,'LPG Fup'!M:M,"",0)&gt;0),"Z", AND(_xlfn.XLOOKUP(A363-2,'LPG Fup'!D:D,'LPG Fup'!M:M,"",0)&lt;&gt;"",_xlfn.XLOOKUP(A363-2,'LPG Fup'!D:D,'LPG Fup'!M:M,"",0)&gt;0),"Z+1"),0)</f>
        <v>0</v>
      </c>
      <c r="Q363" cm="1">
        <f t="array" ref="Q363">_xlfn.IFNA(_xlfn.IFS(AND(_xlfn.XLOOKUP(A363,'LPG Fup'!D:D,'LPG Fup'!M:M,"",0)&lt;&gt;"",_xlfn.XLOOKUP(A363,'LPG Fup'!D:D,'LPG Fup'!M:M,"",0)&lt;0),"I-1", AND(_xlfn.XLOOKUP(A363+1,'LPG Fup'!D:D,'LPG Fup'!M:M,"",0)&lt;&gt;"",_xlfn.XLOOKUP(A363+1,'LPG Fup'!D:D,'LPG Fup'!M:M,"",0)&lt;0),"I-2", AND(_xlfn.XLOOKUP(A363-1,'LPG Fup'!D:D,'LPG Fup'!M:M,"",0)&lt;&gt;"",_xlfn.XLOOKUP(A363-1,'LPG Fup'!D:D,'LPG Fup'!M:M,"",0)&lt;0),"I", AND(_xlfn.XLOOKUP(A363-2,'LPG Fup'!D:D,'LPG Fup'!M:M,"",0)&lt;&gt;"",_xlfn.XLOOKUP(A363-2,'LPG Fup'!D:D,'LPG Fup'!M:M,"",0)&lt;0),"I+1"),0)</f>
        <v>0</v>
      </c>
      <c r="R363">
        <f>_xlfn.XLOOKUP(A363,Covid!A:A,Covid!I:I,0,0)</f>
        <v>656</v>
      </c>
      <c r="S363">
        <f>_xlfn.XLOOKUP(A363,Covid!A:A,Covid!K:K,0,0)</f>
        <v>164</v>
      </c>
      <c r="T363" s="145">
        <f>_xlfn.XLOOKUP(A363,Covid!A:A,Covid!K:K,0,0)/_xlfn.XLOOKUP(A363,Covid!A:A,Covid!L:L,0,0)</f>
        <v>1.3350700097688049E-2</v>
      </c>
    </row>
    <row r="364" spans="1:20" x14ac:dyDescent="0.55000000000000004">
      <c r="A364" s="157">
        <v>44345</v>
      </c>
      <c r="B364" s="13">
        <v>778700</v>
      </c>
      <c r="C364" s="13">
        <v>410039</v>
      </c>
      <c r="D364" s="13">
        <v>3302</v>
      </c>
      <c r="E364" s="13">
        <v>414258</v>
      </c>
      <c r="F364" s="13">
        <v>1606299</v>
      </c>
      <c r="G364">
        <f>IF(OR(_xlfn.XLOOKUP(A364,'LPG Fup'!D:D,'LPG Fup'!L:L,"",0)&gt;0.03,_xlfn.XLOOKUP(A364,'LPG Fup'!D:D,'LPG Fup'!L:L,"",0)&lt;-0.03),_xlfn.XLOOKUP(A364,'LPG Fup'!D:D,'LPG Fup'!L:L,0,0),0)</f>
        <v>0</v>
      </c>
      <c r="H364">
        <f>IF(_xlfn.XLOOKUP(A364,'LPG Fup'!D:D,'LPG Fup'!M:M,0,0)="",0,_xlfn.XLOOKUP(A364,'LPG Fup'!D:D,'LPG Fup'!M:M,0,0))</f>
        <v>0</v>
      </c>
      <c r="I364" s="109">
        <f>_xlfn.XLOOKUP(A364,'Rafineri Fiyatları'!A:A,'Rafineri Fiyatları'!B:B,"",0)</f>
        <v>4997.0361499999999</v>
      </c>
      <c r="J364">
        <f t="shared" si="20"/>
        <v>2021</v>
      </c>
      <c r="K364">
        <f t="shared" si="21"/>
        <v>5</v>
      </c>
      <c r="L364">
        <f t="shared" si="22"/>
        <v>29</v>
      </c>
      <c r="M364">
        <f t="shared" si="23"/>
        <v>7</v>
      </c>
      <c r="N364">
        <f>_xlfn.XLOOKUP(A364,tatiller!H:H,tatiller!I:I,0,0)</f>
        <v>0</v>
      </c>
      <c r="O364" cm="1">
        <f t="array" ref="O364">_xlfn.IFNA(_xlfn.IFS(L364=1,"A0",A364=EOMONTH(A364,0),"A-1",L364=2,"A+1"),0)</f>
        <v>0</v>
      </c>
      <c r="P364" cm="1">
        <f t="array" ref="P364">_xlfn.IFNA(_xlfn.IFS(AND(_xlfn.XLOOKUP(A364,'LPG Fup'!D:D,'LPG Fup'!M:M,"",0)&lt;&gt;"",_xlfn.XLOOKUP(A364,'LPG Fup'!D:D,'LPG Fup'!M:M,"",0)&gt;0),"Z-1", AND(_xlfn.XLOOKUP(A364+1,'LPG Fup'!D:D,'LPG Fup'!M:M,"",0)&lt;&gt;"",_xlfn.XLOOKUP(A364+1,'LPG Fup'!D:D,'LPG Fup'!M:M,"",0)&gt;0),"Z-2", AND(_xlfn.XLOOKUP(A364-1,'LPG Fup'!D:D,'LPG Fup'!M:M,"",0)&lt;&gt;"",_xlfn.XLOOKUP(A364-1,'LPG Fup'!D:D,'LPG Fup'!M:M,"",0)&gt;0),"Z", AND(_xlfn.XLOOKUP(A364-2,'LPG Fup'!D:D,'LPG Fup'!M:M,"",0)&lt;&gt;"",_xlfn.XLOOKUP(A364-2,'LPG Fup'!D:D,'LPG Fup'!M:M,"",0)&gt;0),"Z+1"),0)</f>
        <v>0</v>
      </c>
      <c r="Q364" cm="1">
        <f t="array" ref="Q364">_xlfn.IFNA(_xlfn.IFS(AND(_xlfn.XLOOKUP(A364,'LPG Fup'!D:D,'LPG Fup'!M:M,"",0)&lt;&gt;"",_xlfn.XLOOKUP(A364,'LPG Fup'!D:D,'LPG Fup'!M:M,"",0)&lt;0),"I-1", AND(_xlfn.XLOOKUP(A364+1,'LPG Fup'!D:D,'LPG Fup'!M:M,"",0)&lt;&gt;"",_xlfn.XLOOKUP(A364+1,'LPG Fup'!D:D,'LPG Fup'!M:M,"",0)&lt;0),"I-2", AND(_xlfn.XLOOKUP(A364-1,'LPG Fup'!D:D,'LPG Fup'!M:M,"",0)&lt;&gt;"",_xlfn.XLOOKUP(A364-1,'LPG Fup'!D:D,'LPG Fup'!M:M,"",0)&lt;0),"I", AND(_xlfn.XLOOKUP(A364-2,'LPG Fup'!D:D,'LPG Fup'!M:M,"",0)&lt;&gt;"",_xlfn.XLOOKUP(A364-2,'LPG Fup'!D:D,'LPG Fup'!M:M,"",0)&lt;0),"I+1"),0)</f>
        <v>0</v>
      </c>
      <c r="R364">
        <f>_xlfn.XLOOKUP(A364,Covid!A:A,Covid!I:I,0,0)</f>
        <v>605</v>
      </c>
      <c r="S364">
        <f>_xlfn.XLOOKUP(A364,Covid!A:A,Covid!K:K,0,0)</f>
        <v>137</v>
      </c>
      <c r="T364" s="145">
        <f>_xlfn.XLOOKUP(A364,Covid!A:A,Covid!K:K,0,0)/_xlfn.XLOOKUP(A364,Covid!A:A,Covid!L:L,0,0)</f>
        <v>1.2254025044722719E-2</v>
      </c>
    </row>
    <row r="365" spans="1:20" x14ac:dyDescent="0.55000000000000004">
      <c r="A365" s="157">
        <v>44346</v>
      </c>
      <c r="B365" s="13">
        <v>636640</v>
      </c>
      <c r="C365" s="13">
        <v>0</v>
      </c>
      <c r="D365" s="13">
        <v>0</v>
      </c>
      <c r="E365" s="13">
        <v>242148</v>
      </c>
      <c r="F365" s="13">
        <v>878788</v>
      </c>
      <c r="G365">
        <f>IF(OR(_xlfn.XLOOKUP(A365,'LPG Fup'!D:D,'LPG Fup'!L:L,"",0)&gt;0.03,_xlfn.XLOOKUP(A365,'LPG Fup'!D:D,'LPG Fup'!L:L,"",0)&lt;-0.03),_xlfn.XLOOKUP(A365,'LPG Fup'!D:D,'LPG Fup'!L:L,0,0),0)</f>
        <v>0</v>
      </c>
      <c r="H365">
        <f>IF(_xlfn.XLOOKUP(A365,'LPG Fup'!D:D,'LPG Fup'!M:M,0,0)="",0,_xlfn.XLOOKUP(A365,'LPG Fup'!D:D,'LPG Fup'!M:M,0,0))</f>
        <v>0</v>
      </c>
      <c r="I365" s="109">
        <f>_xlfn.XLOOKUP(A365,'Rafineri Fiyatları'!A:A,'Rafineri Fiyatları'!B:B,"",0)</f>
        <v>4997.0361499999999</v>
      </c>
      <c r="J365">
        <f t="shared" si="20"/>
        <v>2021</v>
      </c>
      <c r="K365">
        <f t="shared" si="21"/>
        <v>5</v>
      </c>
      <c r="L365">
        <f t="shared" si="22"/>
        <v>30</v>
      </c>
      <c r="M365">
        <f t="shared" si="23"/>
        <v>1</v>
      </c>
      <c r="N365">
        <f>_xlfn.XLOOKUP(A365,tatiller!H:H,tatiller!I:I,0,0)</f>
        <v>0</v>
      </c>
      <c r="O365" cm="1">
        <f t="array" ref="O365">_xlfn.IFNA(_xlfn.IFS(L365=1,"A0",A365=EOMONTH(A365,0),"A-1",L365=2,"A+1"),0)</f>
        <v>0</v>
      </c>
      <c r="P365" cm="1">
        <f t="array" ref="P365">_xlfn.IFNA(_xlfn.IFS(AND(_xlfn.XLOOKUP(A365,'LPG Fup'!D:D,'LPG Fup'!M:M,"",0)&lt;&gt;"",_xlfn.XLOOKUP(A365,'LPG Fup'!D:D,'LPG Fup'!M:M,"",0)&gt;0),"Z-1", AND(_xlfn.XLOOKUP(A365+1,'LPG Fup'!D:D,'LPG Fup'!M:M,"",0)&lt;&gt;"",_xlfn.XLOOKUP(A365+1,'LPG Fup'!D:D,'LPG Fup'!M:M,"",0)&gt;0),"Z-2", AND(_xlfn.XLOOKUP(A365-1,'LPG Fup'!D:D,'LPG Fup'!M:M,"",0)&lt;&gt;"",_xlfn.XLOOKUP(A365-1,'LPG Fup'!D:D,'LPG Fup'!M:M,"",0)&gt;0),"Z", AND(_xlfn.XLOOKUP(A365-2,'LPG Fup'!D:D,'LPG Fup'!M:M,"",0)&lt;&gt;"",_xlfn.XLOOKUP(A365-2,'LPG Fup'!D:D,'LPG Fup'!M:M,"",0)&gt;0),"Z+1"),0)</f>
        <v>0</v>
      </c>
      <c r="Q365" cm="1">
        <f t="array" ref="Q365">_xlfn.IFNA(_xlfn.IFS(AND(_xlfn.XLOOKUP(A365,'LPG Fup'!D:D,'LPG Fup'!M:M,"",0)&lt;&gt;"",_xlfn.XLOOKUP(A365,'LPG Fup'!D:D,'LPG Fup'!M:M,"",0)&lt;0),"I-1", AND(_xlfn.XLOOKUP(A365+1,'LPG Fup'!D:D,'LPG Fup'!M:M,"",0)&lt;&gt;"",_xlfn.XLOOKUP(A365+1,'LPG Fup'!D:D,'LPG Fup'!M:M,"",0)&lt;0),"I-2", AND(_xlfn.XLOOKUP(A365-1,'LPG Fup'!D:D,'LPG Fup'!M:M,"",0)&lt;&gt;"",_xlfn.XLOOKUP(A365-1,'LPG Fup'!D:D,'LPG Fup'!M:M,"",0)&lt;0),"I", AND(_xlfn.XLOOKUP(A365-2,'LPG Fup'!D:D,'LPG Fup'!M:M,"",0)&lt;&gt;"",_xlfn.XLOOKUP(A365-2,'LPG Fup'!D:D,'LPG Fup'!M:M,"",0)&lt;0),"I+1"),0)</f>
        <v>0</v>
      </c>
      <c r="R365">
        <f>_xlfn.XLOOKUP(A365,Covid!A:A,Covid!I:I,0,0)</f>
        <v>582</v>
      </c>
      <c r="S365">
        <f>_xlfn.XLOOKUP(A365,Covid!A:A,Covid!K:K,0,0)</f>
        <v>134</v>
      </c>
      <c r="T365" s="145">
        <f>_xlfn.XLOOKUP(A365,Covid!A:A,Covid!K:K,0,0)/_xlfn.XLOOKUP(A365,Covid!A:A,Covid!L:L,0,0)</f>
        <v>1.2450060392083991E-2</v>
      </c>
    </row>
    <row r="366" spans="1:20" x14ac:dyDescent="0.55000000000000004">
      <c r="A366" s="157">
        <v>44347</v>
      </c>
      <c r="B366" s="13">
        <v>606660</v>
      </c>
      <c r="C366" s="13">
        <v>826782</v>
      </c>
      <c r="D366" s="13">
        <v>92524</v>
      </c>
      <c r="E366" s="13">
        <v>565315</v>
      </c>
      <c r="F366" s="13">
        <v>2091281</v>
      </c>
      <c r="G366">
        <f>IF(OR(_xlfn.XLOOKUP(A366,'LPG Fup'!D:D,'LPG Fup'!L:L,"",0)&gt;0.03,_xlfn.XLOOKUP(A366,'LPG Fup'!D:D,'LPG Fup'!L:L,"",0)&lt;-0.03),_xlfn.XLOOKUP(A366,'LPG Fup'!D:D,'LPG Fup'!L:L,0,0),0)</f>
        <v>0</v>
      </c>
      <c r="H366">
        <f>IF(_xlfn.XLOOKUP(A366,'LPG Fup'!D:D,'LPG Fup'!M:M,0,0)="",0,_xlfn.XLOOKUP(A366,'LPG Fup'!D:D,'LPG Fup'!M:M,0,0))</f>
        <v>0</v>
      </c>
      <c r="I366" s="109">
        <f>_xlfn.XLOOKUP(A366,'Rafineri Fiyatları'!A:A,'Rafineri Fiyatları'!B:B,"",0)</f>
        <v>4997.0361499999999</v>
      </c>
      <c r="J366">
        <f t="shared" si="20"/>
        <v>2021</v>
      </c>
      <c r="K366">
        <f t="shared" si="21"/>
        <v>5</v>
      </c>
      <c r="L366">
        <f t="shared" si="22"/>
        <v>31</v>
      </c>
      <c r="M366">
        <f t="shared" si="23"/>
        <v>2</v>
      </c>
      <c r="N366">
        <f>_xlfn.XLOOKUP(A366,tatiller!H:H,tatiller!I:I,0,0)</f>
        <v>0</v>
      </c>
      <c r="O366" t="str" cm="1">
        <f t="array" ref="O366">_xlfn.IFNA(_xlfn.IFS(L366=1,"A0",A366=EOMONTH(A366,0),"A-1",L366=2,"A+1"),0)</f>
        <v>A-1</v>
      </c>
      <c r="P366" t="str" cm="1">
        <f t="array" ref="P366">_xlfn.IFNA(_xlfn.IFS(AND(_xlfn.XLOOKUP(A366,'LPG Fup'!D:D,'LPG Fup'!M:M,"",0)&lt;&gt;"",_xlfn.XLOOKUP(A366,'LPG Fup'!D:D,'LPG Fup'!M:M,"",0)&gt;0),"Z-1", AND(_xlfn.XLOOKUP(A366+1,'LPG Fup'!D:D,'LPG Fup'!M:M,"",0)&lt;&gt;"",_xlfn.XLOOKUP(A366+1,'LPG Fup'!D:D,'LPG Fup'!M:M,"",0)&gt;0),"Z-2", AND(_xlfn.XLOOKUP(A366-1,'LPG Fup'!D:D,'LPG Fup'!M:M,"",0)&lt;&gt;"",_xlfn.XLOOKUP(A366-1,'LPG Fup'!D:D,'LPG Fup'!M:M,"",0)&gt;0),"Z", AND(_xlfn.XLOOKUP(A366-2,'LPG Fup'!D:D,'LPG Fup'!M:M,"",0)&lt;&gt;"",_xlfn.XLOOKUP(A366-2,'LPG Fup'!D:D,'LPG Fup'!M:M,"",0)&gt;0),"Z+1"),0)</f>
        <v>Z-2</v>
      </c>
      <c r="Q366" cm="1">
        <f t="array" ref="Q366">_xlfn.IFNA(_xlfn.IFS(AND(_xlfn.XLOOKUP(A366,'LPG Fup'!D:D,'LPG Fup'!M:M,"",0)&lt;&gt;"",_xlfn.XLOOKUP(A366,'LPG Fup'!D:D,'LPG Fup'!M:M,"",0)&lt;0),"I-1", AND(_xlfn.XLOOKUP(A366+1,'LPG Fup'!D:D,'LPG Fup'!M:M,"",0)&lt;&gt;"",_xlfn.XLOOKUP(A366+1,'LPG Fup'!D:D,'LPG Fup'!M:M,"",0)&lt;0),"I-2", AND(_xlfn.XLOOKUP(A366-1,'LPG Fup'!D:D,'LPG Fup'!M:M,"",0)&lt;&gt;"",_xlfn.XLOOKUP(A366-1,'LPG Fup'!D:D,'LPG Fup'!M:M,"",0)&lt;0),"I", AND(_xlfn.XLOOKUP(A366-2,'LPG Fup'!D:D,'LPG Fup'!M:M,"",0)&lt;&gt;"",_xlfn.XLOOKUP(A366-2,'LPG Fup'!D:D,'LPG Fup'!M:M,"",0)&lt;0),"I+1"),0)</f>
        <v>0</v>
      </c>
      <c r="R366">
        <f>_xlfn.XLOOKUP(A366,Covid!A:A,Covid!I:I,0,0)</f>
        <v>596</v>
      </c>
      <c r="S366">
        <f>_xlfn.XLOOKUP(A366,Covid!A:A,Covid!K:K,0,0)</f>
        <v>122</v>
      </c>
      <c r="T366" s="145">
        <f>_xlfn.XLOOKUP(A366,Covid!A:A,Covid!K:K,0,0)/_xlfn.XLOOKUP(A366,Covid!A:A,Covid!L:L,0,0)</f>
        <v>1.2732206219995825E-2</v>
      </c>
    </row>
    <row r="367" spans="1:20" x14ac:dyDescent="0.55000000000000004">
      <c r="A367" s="157">
        <v>44348</v>
      </c>
      <c r="B367" s="13">
        <v>748100</v>
      </c>
      <c r="C367" s="13">
        <v>540430</v>
      </c>
      <c r="D367" s="13">
        <v>16138</v>
      </c>
      <c r="E367" s="13">
        <v>527241</v>
      </c>
      <c r="F367" s="13">
        <v>1831909</v>
      </c>
      <c r="G367">
        <f>IF(OR(_xlfn.XLOOKUP(A367,'LPG Fup'!D:D,'LPG Fup'!L:L,"",0)&gt;0.03,_xlfn.XLOOKUP(A367,'LPG Fup'!D:D,'LPG Fup'!L:L,"",0)&lt;-0.03),_xlfn.XLOOKUP(A367,'LPG Fup'!D:D,'LPG Fup'!L:L,0,0),0)</f>
        <v>3.1191329843915743E-2</v>
      </c>
      <c r="H367">
        <f>IF(_xlfn.XLOOKUP(A367,'LPG Fup'!D:D,'LPG Fup'!M:M,0,0)="",0,_xlfn.XLOOKUP(A367,'LPG Fup'!D:D,'LPG Fup'!M:M,0,0))</f>
        <v>362.73432000000048</v>
      </c>
      <c r="I367" s="109">
        <f>_xlfn.XLOOKUP(A367,'Rafineri Fiyatları'!A:A,'Rafineri Fiyatları'!B:B,"",0)</f>
        <v>4997.0361499999999</v>
      </c>
      <c r="J367">
        <f t="shared" si="20"/>
        <v>2021</v>
      </c>
      <c r="K367">
        <f t="shared" si="21"/>
        <v>6</v>
      </c>
      <c r="L367">
        <f t="shared" si="22"/>
        <v>1</v>
      </c>
      <c r="M367">
        <f t="shared" si="23"/>
        <v>3</v>
      </c>
      <c r="N367">
        <f>_xlfn.XLOOKUP(A367,tatiller!H:H,tatiller!I:I,0,0)</f>
        <v>0</v>
      </c>
      <c r="O367" t="str" cm="1">
        <f t="array" ref="O367">_xlfn.IFNA(_xlfn.IFS(L367=1,"A0",A367=EOMONTH(A367,0),"A-1",L367=2,"A+1"),0)</f>
        <v>A0</v>
      </c>
      <c r="P367" t="str" cm="1">
        <f t="array" ref="P367">_xlfn.IFNA(_xlfn.IFS(AND(_xlfn.XLOOKUP(A367,'LPG Fup'!D:D,'LPG Fup'!M:M,"",0)&lt;&gt;"",_xlfn.XLOOKUP(A367,'LPG Fup'!D:D,'LPG Fup'!M:M,"",0)&gt;0),"Z-1", AND(_xlfn.XLOOKUP(A367+1,'LPG Fup'!D:D,'LPG Fup'!M:M,"",0)&lt;&gt;"",_xlfn.XLOOKUP(A367+1,'LPG Fup'!D:D,'LPG Fup'!M:M,"",0)&gt;0),"Z-2", AND(_xlfn.XLOOKUP(A367-1,'LPG Fup'!D:D,'LPG Fup'!M:M,"",0)&lt;&gt;"",_xlfn.XLOOKUP(A367-1,'LPG Fup'!D:D,'LPG Fup'!M:M,"",0)&gt;0),"Z", AND(_xlfn.XLOOKUP(A367-2,'LPG Fup'!D:D,'LPG Fup'!M:M,"",0)&lt;&gt;"",_xlfn.XLOOKUP(A367-2,'LPG Fup'!D:D,'LPG Fup'!M:M,"",0)&gt;0),"Z+1"),0)</f>
        <v>Z-1</v>
      </c>
      <c r="Q367" cm="1">
        <f t="array" ref="Q367">_xlfn.IFNA(_xlfn.IFS(AND(_xlfn.XLOOKUP(A367,'LPG Fup'!D:D,'LPG Fup'!M:M,"",0)&lt;&gt;"",_xlfn.XLOOKUP(A367,'LPG Fup'!D:D,'LPG Fup'!M:M,"",0)&lt;0),"I-1", AND(_xlfn.XLOOKUP(A367+1,'LPG Fup'!D:D,'LPG Fup'!M:M,"",0)&lt;&gt;"",_xlfn.XLOOKUP(A367+1,'LPG Fup'!D:D,'LPG Fup'!M:M,"",0)&lt;0),"I-2", AND(_xlfn.XLOOKUP(A367-1,'LPG Fup'!D:D,'LPG Fup'!M:M,"",0)&lt;&gt;"",_xlfn.XLOOKUP(A367-1,'LPG Fup'!D:D,'LPG Fup'!M:M,"",0)&lt;0),"I", AND(_xlfn.XLOOKUP(A367-2,'LPG Fup'!D:D,'LPG Fup'!M:M,"",0)&lt;&gt;"",_xlfn.XLOOKUP(A367-2,'LPG Fup'!D:D,'LPG Fup'!M:M,"",0)&lt;0),"I+1"),0)</f>
        <v>0</v>
      </c>
      <c r="R367">
        <f>_xlfn.XLOOKUP(A367,Covid!A:A,Covid!I:I,0,0)</f>
        <v>602</v>
      </c>
      <c r="S367">
        <f>_xlfn.XLOOKUP(A367,Covid!A:A,Covid!K:K,0,0)</f>
        <v>129</v>
      </c>
      <c r="T367" s="145">
        <f>_xlfn.XLOOKUP(A367,Covid!A:A,Covid!K:K,0,0)/_xlfn.XLOOKUP(A367,Covid!A:A,Covid!L:L,0,0)</f>
        <v>1.3640689436396319E-2</v>
      </c>
    </row>
    <row r="368" spans="1:20" x14ac:dyDescent="0.55000000000000004">
      <c r="A368" s="157">
        <v>44349</v>
      </c>
      <c r="B368" s="13">
        <v>1243900</v>
      </c>
      <c r="C368" s="13">
        <v>492111</v>
      </c>
      <c r="D368" s="13">
        <v>24632</v>
      </c>
      <c r="E368" s="13">
        <v>311078</v>
      </c>
      <c r="F368" s="13">
        <v>2071721</v>
      </c>
      <c r="G368">
        <f>IF(OR(_xlfn.XLOOKUP(A368,'LPG Fup'!D:D,'LPG Fup'!L:L,"",0)&gt;0.03,_xlfn.XLOOKUP(A368,'LPG Fup'!D:D,'LPG Fup'!L:L,"",0)&lt;-0.03),_xlfn.XLOOKUP(A368,'LPG Fup'!D:D,'LPG Fup'!L:L,0,0),0)</f>
        <v>0</v>
      </c>
      <c r="H368">
        <f>IF(_xlfn.XLOOKUP(A368,'LPG Fup'!D:D,'LPG Fup'!M:M,0,0)="",0,_xlfn.XLOOKUP(A368,'LPG Fup'!D:D,'LPG Fup'!M:M,0,0))</f>
        <v>0</v>
      </c>
      <c r="I368" s="109">
        <f>_xlfn.XLOOKUP(A368,'Rafineri Fiyatları'!A:A,'Rafineri Fiyatları'!B:B,"",0)</f>
        <v>4996.9704700000002</v>
      </c>
      <c r="J368">
        <f t="shared" si="20"/>
        <v>2021</v>
      </c>
      <c r="K368">
        <f t="shared" si="21"/>
        <v>6</v>
      </c>
      <c r="L368">
        <f t="shared" si="22"/>
        <v>2</v>
      </c>
      <c r="M368">
        <f t="shared" si="23"/>
        <v>4</v>
      </c>
      <c r="N368">
        <f>_xlfn.XLOOKUP(A368,tatiller!H:H,tatiller!I:I,0,0)</f>
        <v>0</v>
      </c>
      <c r="O368" t="str" cm="1">
        <f t="array" ref="O368">_xlfn.IFNA(_xlfn.IFS(L368=1,"A0",A368=EOMONTH(A368,0),"A-1",L368=2,"A+1"),0)</f>
        <v>A+1</v>
      </c>
      <c r="P368" t="str" cm="1">
        <f t="array" ref="P368">_xlfn.IFNA(_xlfn.IFS(AND(_xlfn.XLOOKUP(A368,'LPG Fup'!D:D,'LPG Fup'!M:M,"",0)&lt;&gt;"",_xlfn.XLOOKUP(A368,'LPG Fup'!D:D,'LPG Fup'!M:M,"",0)&gt;0),"Z-1", AND(_xlfn.XLOOKUP(A368+1,'LPG Fup'!D:D,'LPG Fup'!M:M,"",0)&lt;&gt;"",_xlfn.XLOOKUP(A368+1,'LPG Fup'!D:D,'LPG Fup'!M:M,"",0)&gt;0),"Z-2", AND(_xlfn.XLOOKUP(A368-1,'LPG Fup'!D:D,'LPG Fup'!M:M,"",0)&lt;&gt;"",_xlfn.XLOOKUP(A368-1,'LPG Fup'!D:D,'LPG Fup'!M:M,"",0)&gt;0),"Z", AND(_xlfn.XLOOKUP(A368-2,'LPG Fup'!D:D,'LPG Fup'!M:M,"",0)&lt;&gt;"",_xlfn.XLOOKUP(A368-2,'LPG Fup'!D:D,'LPG Fup'!M:M,"",0)&gt;0),"Z+1"),0)</f>
        <v>Z</v>
      </c>
      <c r="Q368" cm="1">
        <f t="array" ref="Q368">_xlfn.IFNA(_xlfn.IFS(AND(_xlfn.XLOOKUP(A368,'LPG Fup'!D:D,'LPG Fup'!M:M,"",0)&lt;&gt;"",_xlfn.XLOOKUP(A368,'LPG Fup'!D:D,'LPG Fup'!M:M,"",0)&lt;0),"I-1", AND(_xlfn.XLOOKUP(A368+1,'LPG Fup'!D:D,'LPG Fup'!M:M,"",0)&lt;&gt;"",_xlfn.XLOOKUP(A368+1,'LPG Fup'!D:D,'LPG Fup'!M:M,"",0)&lt;0),"I-2", AND(_xlfn.XLOOKUP(A368-1,'LPG Fup'!D:D,'LPG Fup'!M:M,"",0)&lt;&gt;"",_xlfn.XLOOKUP(A368-1,'LPG Fup'!D:D,'LPG Fup'!M:M,"",0)&lt;0),"I", AND(_xlfn.XLOOKUP(A368-2,'LPG Fup'!D:D,'LPG Fup'!M:M,"",0)&lt;&gt;"",_xlfn.XLOOKUP(A368-2,'LPG Fup'!D:D,'LPG Fup'!M:M,"",0)&lt;0),"I+1"),0)</f>
        <v>0</v>
      </c>
      <c r="R368">
        <f>_xlfn.XLOOKUP(A368,Covid!A:A,Covid!I:I,0,0)</f>
        <v>586</v>
      </c>
      <c r="S368">
        <f>_xlfn.XLOOKUP(A368,Covid!A:A,Covid!K:K,0,0)</f>
        <v>112</v>
      </c>
      <c r="T368" s="145">
        <f>_xlfn.XLOOKUP(A368,Covid!A:A,Covid!K:K,0,0)/_xlfn.XLOOKUP(A368,Covid!A:A,Covid!L:L,0,0)</f>
        <v>1.5192620727075421E-2</v>
      </c>
    </row>
    <row r="369" spans="1:20" x14ac:dyDescent="0.55000000000000004">
      <c r="A369" s="157">
        <v>44350</v>
      </c>
      <c r="B369" s="13">
        <v>1076220</v>
      </c>
      <c r="C369" s="13">
        <v>339698</v>
      </c>
      <c r="D369" s="13">
        <v>9461</v>
      </c>
      <c r="E369" s="13">
        <v>533640</v>
      </c>
      <c r="F369" s="13">
        <v>1959019</v>
      </c>
      <c r="G369">
        <f>IF(OR(_xlfn.XLOOKUP(A369,'LPG Fup'!D:D,'LPG Fup'!L:L,"",0)&gt;0.03,_xlfn.XLOOKUP(A369,'LPG Fup'!D:D,'LPG Fup'!L:L,"",0)&lt;-0.03),_xlfn.XLOOKUP(A369,'LPG Fup'!D:D,'LPG Fup'!L:L,0,0),0)</f>
        <v>0</v>
      </c>
      <c r="H369">
        <f>IF(_xlfn.XLOOKUP(A369,'LPG Fup'!D:D,'LPG Fup'!M:M,0,0)="",0,_xlfn.XLOOKUP(A369,'LPG Fup'!D:D,'LPG Fup'!M:M,0,0))</f>
        <v>0</v>
      </c>
      <c r="I369" s="109">
        <f>_xlfn.XLOOKUP(A369,'Rafineri Fiyatları'!A:A,'Rafineri Fiyatları'!B:B,"",0)</f>
        <v>4996.9704700000002</v>
      </c>
      <c r="J369">
        <f t="shared" si="20"/>
        <v>2021</v>
      </c>
      <c r="K369">
        <f t="shared" si="21"/>
        <v>6</v>
      </c>
      <c r="L369">
        <f t="shared" si="22"/>
        <v>3</v>
      </c>
      <c r="M369">
        <f t="shared" si="23"/>
        <v>5</v>
      </c>
      <c r="N369">
        <f>_xlfn.XLOOKUP(A369,tatiller!H:H,tatiller!I:I,0,0)</f>
        <v>0</v>
      </c>
      <c r="O369" cm="1">
        <f t="array" ref="O369">_xlfn.IFNA(_xlfn.IFS(L369=1,"A0",A369=EOMONTH(A369,0),"A-1",L369=2,"A+1"),0)</f>
        <v>0</v>
      </c>
      <c r="P369" t="str" cm="1">
        <f t="array" ref="P369">_xlfn.IFNA(_xlfn.IFS(AND(_xlfn.XLOOKUP(A369,'LPG Fup'!D:D,'LPG Fup'!M:M,"",0)&lt;&gt;"",_xlfn.XLOOKUP(A369,'LPG Fup'!D:D,'LPG Fup'!M:M,"",0)&gt;0),"Z-1", AND(_xlfn.XLOOKUP(A369+1,'LPG Fup'!D:D,'LPG Fup'!M:M,"",0)&lt;&gt;"",_xlfn.XLOOKUP(A369+1,'LPG Fup'!D:D,'LPG Fup'!M:M,"",0)&gt;0),"Z-2", AND(_xlfn.XLOOKUP(A369-1,'LPG Fup'!D:D,'LPG Fup'!M:M,"",0)&lt;&gt;"",_xlfn.XLOOKUP(A369-1,'LPG Fup'!D:D,'LPG Fup'!M:M,"",0)&gt;0),"Z", AND(_xlfn.XLOOKUP(A369-2,'LPG Fup'!D:D,'LPG Fup'!M:M,"",0)&lt;&gt;"",_xlfn.XLOOKUP(A369-2,'LPG Fup'!D:D,'LPG Fup'!M:M,"",0)&gt;0),"Z+1"),0)</f>
        <v>Z+1</v>
      </c>
      <c r="Q369" cm="1">
        <f t="array" ref="Q369">_xlfn.IFNA(_xlfn.IFS(AND(_xlfn.XLOOKUP(A369,'LPG Fup'!D:D,'LPG Fup'!M:M,"",0)&lt;&gt;"",_xlfn.XLOOKUP(A369,'LPG Fup'!D:D,'LPG Fup'!M:M,"",0)&lt;0),"I-1", AND(_xlfn.XLOOKUP(A369+1,'LPG Fup'!D:D,'LPG Fup'!M:M,"",0)&lt;&gt;"",_xlfn.XLOOKUP(A369+1,'LPG Fup'!D:D,'LPG Fup'!M:M,"",0)&lt;0),"I-2", AND(_xlfn.XLOOKUP(A369-1,'LPG Fup'!D:D,'LPG Fup'!M:M,"",0)&lt;&gt;"",_xlfn.XLOOKUP(A369-1,'LPG Fup'!D:D,'LPG Fup'!M:M,"",0)&lt;0),"I", AND(_xlfn.XLOOKUP(A369-2,'LPG Fup'!D:D,'LPG Fup'!M:M,"",0)&lt;&gt;"",_xlfn.XLOOKUP(A369-2,'LPG Fup'!D:D,'LPG Fup'!M:M,"",0)&lt;0),"I+1"),0)</f>
        <v>0</v>
      </c>
      <c r="R369">
        <f>_xlfn.XLOOKUP(A369,Covid!A:A,Covid!I:I,0,0)</f>
        <v>563</v>
      </c>
      <c r="S369">
        <f>_xlfn.XLOOKUP(A369,Covid!A:A,Covid!K:K,0,0)</f>
        <v>114</v>
      </c>
      <c r="T369" s="145">
        <f>_xlfn.XLOOKUP(A369,Covid!A:A,Covid!K:K,0,0)/_xlfn.XLOOKUP(A369,Covid!A:A,Covid!L:L,0,0)</f>
        <v>1.3348946135831381E-2</v>
      </c>
    </row>
    <row r="370" spans="1:20" x14ac:dyDescent="0.55000000000000004">
      <c r="A370" s="157">
        <v>44351</v>
      </c>
      <c r="B370" s="13">
        <v>1631760</v>
      </c>
      <c r="C370" s="13">
        <v>307580</v>
      </c>
      <c r="D370" s="13">
        <v>1280</v>
      </c>
      <c r="E370" s="13">
        <v>470273</v>
      </c>
      <c r="F370" s="13">
        <v>2410893</v>
      </c>
      <c r="G370">
        <f>IF(OR(_xlfn.XLOOKUP(A370,'LPG Fup'!D:D,'LPG Fup'!L:L,"",0)&gt;0.03,_xlfn.XLOOKUP(A370,'LPG Fup'!D:D,'LPG Fup'!L:L,"",0)&lt;-0.03),_xlfn.XLOOKUP(A370,'LPG Fup'!D:D,'LPG Fup'!L:L,0,0),0)</f>
        <v>0</v>
      </c>
      <c r="H370">
        <f>IF(_xlfn.XLOOKUP(A370,'LPG Fup'!D:D,'LPG Fup'!M:M,0,0)="",0,_xlfn.XLOOKUP(A370,'LPG Fup'!D:D,'LPG Fup'!M:M,0,0))</f>
        <v>0</v>
      </c>
      <c r="I370" s="109">
        <f>_xlfn.XLOOKUP(A370,'Rafineri Fiyatları'!A:A,'Rafineri Fiyatları'!B:B,"",0)</f>
        <v>4996.9704700000002</v>
      </c>
      <c r="J370">
        <f t="shared" si="20"/>
        <v>2021</v>
      </c>
      <c r="K370">
        <f t="shared" si="21"/>
        <v>6</v>
      </c>
      <c r="L370">
        <f t="shared" si="22"/>
        <v>4</v>
      </c>
      <c r="M370">
        <f t="shared" si="23"/>
        <v>6</v>
      </c>
      <c r="N370">
        <f>_xlfn.XLOOKUP(A370,tatiller!H:H,tatiller!I:I,0,0)</f>
        <v>0</v>
      </c>
      <c r="O370" cm="1">
        <f t="array" ref="O370">_xlfn.IFNA(_xlfn.IFS(L370=1,"A0",A370=EOMONTH(A370,0),"A-1",L370=2,"A+1"),0)</f>
        <v>0</v>
      </c>
      <c r="P370" cm="1">
        <f t="array" ref="P370">_xlfn.IFNA(_xlfn.IFS(AND(_xlfn.XLOOKUP(A370,'LPG Fup'!D:D,'LPG Fup'!M:M,"",0)&lt;&gt;"",_xlfn.XLOOKUP(A370,'LPG Fup'!D:D,'LPG Fup'!M:M,"",0)&gt;0),"Z-1", AND(_xlfn.XLOOKUP(A370+1,'LPG Fup'!D:D,'LPG Fup'!M:M,"",0)&lt;&gt;"",_xlfn.XLOOKUP(A370+1,'LPG Fup'!D:D,'LPG Fup'!M:M,"",0)&gt;0),"Z-2", AND(_xlfn.XLOOKUP(A370-1,'LPG Fup'!D:D,'LPG Fup'!M:M,"",0)&lt;&gt;"",_xlfn.XLOOKUP(A370-1,'LPG Fup'!D:D,'LPG Fup'!M:M,"",0)&gt;0),"Z", AND(_xlfn.XLOOKUP(A370-2,'LPG Fup'!D:D,'LPG Fup'!M:M,"",0)&lt;&gt;"",_xlfn.XLOOKUP(A370-2,'LPG Fup'!D:D,'LPG Fup'!M:M,"",0)&gt;0),"Z+1"),0)</f>
        <v>0</v>
      </c>
      <c r="Q370" cm="1">
        <f t="array" ref="Q370">_xlfn.IFNA(_xlfn.IFS(AND(_xlfn.XLOOKUP(A370,'LPG Fup'!D:D,'LPG Fup'!M:M,"",0)&lt;&gt;"",_xlfn.XLOOKUP(A370,'LPG Fup'!D:D,'LPG Fup'!M:M,"",0)&lt;0),"I-1", AND(_xlfn.XLOOKUP(A370+1,'LPG Fup'!D:D,'LPG Fup'!M:M,"",0)&lt;&gt;"",_xlfn.XLOOKUP(A370+1,'LPG Fup'!D:D,'LPG Fup'!M:M,"",0)&lt;0),"I-2", AND(_xlfn.XLOOKUP(A370-1,'LPG Fup'!D:D,'LPG Fup'!M:M,"",0)&lt;&gt;"",_xlfn.XLOOKUP(A370-1,'LPG Fup'!D:D,'LPG Fup'!M:M,"",0)&lt;0),"I", AND(_xlfn.XLOOKUP(A370-2,'LPG Fup'!D:D,'LPG Fup'!M:M,"",0)&lt;&gt;"",_xlfn.XLOOKUP(A370-2,'LPG Fup'!D:D,'LPG Fup'!M:M,"",0)&lt;0),"I+1"),0)</f>
        <v>0</v>
      </c>
      <c r="R370">
        <f>_xlfn.XLOOKUP(A370,Covid!A:A,Covid!I:I,0,0)</f>
        <v>552</v>
      </c>
      <c r="S370">
        <f>_xlfn.XLOOKUP(A370,Covid!A:A,Covid!K:K,0,0)</f>
        <v>94</v>
      </c>
      <c r="T370" s="145">
        <f>_xlfn.XLOOKUP(A370,Covid!A:A,Covid!K:K,0,0)/_xlfn.XLOOKUP(A370,Covid!A:A,Covid!L:L,0,0)</f>
        <v>1.2340816594459762E-2</v>
      </c>
    </row>
    <row r="371" spans="1:20" x14ac:dyDescent="0.55000000000000004">
      <c r="A371" s="157">
        <v>44352</v>
      </c>
      <c r="B371" s="13">
        <v>1001640</v>
      </c>
      <c r="C371" s="13">
        <v>270373</v>
      </c>
      <c r="D371" s="13">
        <v>9261</v>
      </c>
      <c r="E371" s="13">
        <v>585036</v>
      </c>
      <c r="F371" s="13">
        <v>1866310</v>
      </c>
      <c r="G371">
        <f>IF(OR(_xlfn.XLOOKUP(A371,'LPG Fup'!D:D,'LPG Fup'!L:L,"",0)&gt;0.03,_xlfn.XLOOKUP(A371,'LPG Fup'!D:D,'LPG Fup'!L:L,"",0)&lt;-0.03),_xlfn.XLOOKUP(A371,'LPG Fup'!D:D,'LPG Fup'!L:L,0,0),0)</f>
        <v>0</v>
      </c>
      <c r="H371">
        <f>IF(_xlfn.XLOOKUP(A371,'LPG Fup'!D:D,'LPG Fup'!M:M,0,0)="",0,_xlfn.XLOOKUP(A371,'LPG Fup'!D:D,'LPG Fup'!M:M,0,0))</f>
        <v>0</v>
      </c>
      <c r="I371" s="109">
        <f>_xlfn.XLOOKUP(A371,'Rafineri Fiyatları'!A:A,'Rafineri Fiyatları'!B:B,"",0)</f>
        <v>4996.9704700000002</v>
      </c>
      <c r="J371">
        <f t="shared" si="20"/>
        <v>2021</v>
      </c>
      <c r="K371">
        <f t="shared" si="21"/>
        <v>6</v>
      </c>
      <c r="L371">
        <f t="shared" si="22"/>
        <v>5</v>
      </c>
      <c r="M371">
        <f t="shared" si="23"/>
        <v>7</v>
      </c>
      <c r="N371">
        <f>_xlfn.XLOOKUP(A371,tatiller!H:H,tatiller!I:I,0,0)</f>
        <v>0</v>
      </c>
      <c r="O371" cm="1">
        <f t="array" ref="O371">_xlfn.IFNA(_xlfn.IFS(L371=1,"A0",A371=EOMONTH(A371,0),"A-1",L371=2,"A+1"),0)</f>
        <v>0</v>
      </c>
      <c r="P371" cm="1">
        <f t="array" ref="P371">_xlfn.IFNA(_xlfn.IFS(AND(_xlfn.XLOOKUP(A371,'LPG Fup'!D:D,'LPG Fup'!M:M,"",0)&lt;&gt;"",_xlfn.XLOOKUP(A371,'LPG Fup'!D:D,'LPG Fup'!M:M,"",0)&gt;0),"Z-1", AND(_xlfn.XLOOKUP(A371+1,'LPG Fup'!D:D,'LPG Fup'!M:M,"",0)&lt;&gt;"",_xlfn.XLOOKUP(A371+1,'LPG Fup'!D:D,'LPG Fup'!M:M,"",0)&gt;0),"Z-2", AND(_xlfn.XLOOKUP(A371-1,'LPG Fup'!D:D,'LPG Fup'!M:M,"",0)&lt;&gt;"",_xlfn.XLOOKUP(A371-1,'LPG Fup'!D:D,'LPG Fup'!M:M,"",0)&gt;0),"Z", AND(_xlfn.XLOOKUP(A371-2,'LPG Fup'!D:D,'LPG Fup'!M:M,"",0)&lt;&gt;"",_xlfn.XLOOKUP(A371-2,'LPG Fup'!D:D,'LPG Fup'!M:M,"",0)&gt;0),"Z+1"),0)</f>
        <v>0</v>
      </c>
      <c r="Q371" cm="1">
        <f t="array" ref="Q371">_xlfn.IFNA(_xlfn.IFS(AND(_xlfn.XLOOKUP(A371,'LPG Fup'!D:D,'LPG Fup'!M:M,"",0)&lt;&gt;"",_xlfn.XLOOKUP(A371,'LPG Fup'!D:D,'LPG Fup'!M:M,"",0)&lt;0),"I-1", AND(_xlfn.XLOOKUP(A371+1,'LPG Fup'!D:D,'LPG Fup'!M:M,"",0)&lt;&gt;"",_xlfn.XLOOKUP(A371+1,'LPG Fup'!D:D,'LPG Fup'!M:M,"",0)&lt;0),"I-2", AND(_xlfn.XLOOKUP(A371-1,'LPG Fup'!D:D,'LPG Fup'!M:M,"",0)&lt;&gt;"",_xlfn.XLOOKUP(A371-1,'LPG Fup'!D:D,'LPG Fup'!M:M,"",0)&lt;0),"I", AND(_xlfn.XLOOKUP(A371-2,'LPG Fup'!D:D,'LPG Fup'!M:M,"",0)&lt;&gt;"",_xlfn.XLOOKUP(A371-2,'LPG Fup'!D:D,'LPG Fup'!M:M,"",0)&lt;0),"I+1"),0)</f>
        <v>0</v>
      </c>
      <c r="R371">
        <f>_xlfn.XLOOKUP(A371,Covid!A:A,Covid!I:I,0,0)</f>
        <v>542</v>
      </c>
      <c r="S371">
        <f>_xlfn.XLOOKUP(A371,Covid!A:A,Covid!K:K,0,0)</f>
        <v>92</v>
      </c>
      <c r="T371" s="145">
        <f>_xlfn.XLOOKUP(A371,Covid!A:A,Covid!K:K,0,0)/_xlfn.XLOOKUP(A371,Covid!A:A,Covid!L:L,0,0)</f>
        <v>1.2847367686077363E-2</v>
      </c>
    </row>
    <row r="372" spans="1:20" x14ac:dyDescent="0.55000000000000004">
      <c r="A372" s="157">
        <v>44353</v>
      </c>
      <c r="B372" s="13">
        <v>1348020</v>
      </c>
      <c r="C372" s="13">
        <v>0</v>
      </c>
      <c r="D372" s="13">
        <v>0</v>
      </c>
      <c r="E372" s="13">
        <v>288354</v>
      </c>
      <c r="F372" s="13">
        <v>1636374</v>
      </c>
      <c r="G372">
        <f>IF(OR(_xlfn.XLOOKUP(A372,'LPG Fup'!D:D,'LPG Fup'!L:L,"",0)&gt;0.03,_xlfn.XLOOKUP(A372,'LPG Fup'!D:D,'LPG Fup'!L:L,"",0)&lt;-0.03),_xlfn.XLOOKUP(A372,'LPG Fup'!D:D,'LPG Fup'!L:L,0,0),0)</f>
        <v>0</v>
      </c>
      <c r="H372">
        <f>IF(_xlfn.XLOOKUP(A372,'LPG Fup'!D:D,'LPG Fup'!M:M,0,0)="",0,_xlfn.XLOOKUP(A372,'LPG Fup'!D:D,'LPG Fup'!M:M,0,0))</f>
        <v>0</v>
      </c>
      <c r="I372" s="109">
        <f>_xlfn.XLOOKUP(A372,'Rafineri Fiyatları'!A:A,'Rafineri Fiyatları'!B:B,"",0)</f>
        <v>4996.9704700000002</v>
      </c>
      <c r="J372">
        <f t="shared" si="20"/>
        <v>2021</v>
      </c>
      <c r="K372">
        <f t="shared" si="21"/>
        <v>6</v>
      </c>
      <c r="L372">
        <f t="shared" si="22"/>
        <v>6</v>
      </c>
      <c r="M372">
        <f t="shared" si="23"/>
        <v>1</v>
      </c>
      <c r="N372">
        <f>_xlfn.XLOOKUP(A372,tatiller!H:H,tatiller!I:I,0,0)</f>
        <v>0</v>
      </c>
      <c r="O372" cm="1">
        <f t="array" ref="O372">_xlfn.IFNA(_xlfn.IFS(L372=1,"A0",A372=EOMONTH(A372,0),"A-1",L372=2,"A+1"),0)</f>
        <v>0</v>
      </c>
      <c r="P372" cm="1">
        <f t="array" ref="P372">_xlfn.IFNA(_xlfn.IFS(AND(_xlfn.XLOOKUP(A372,'LPG Fup'!D:D,'LPG Fup'!M:M,"",0)&lt;&gt;"",_xlfn.XLOOKUP(A372,'LPG Fup'!D:D,'LPG Fup'!M:M,"",0)&gt;0),"Z-1", AND(_xlfn.XLOOKUP(A372+1,'LPG Fup'!D:D,'LPG Fup'!M:M,"",0)&lt;&gt;"",_xlfn.XLOOKUP(A372+1,'LPG Fup'!D:D,'LPG Fup'!M:M,"",0)&gt;0),"Z-2", AND(_xlfn.XLOOKUP(A372-1,'LPG Fup'!D:D,'LPG Fup'!M:M,"",0)&lt;&gt;"",_xlfn.XLOOKUP(A372-1,'LPG Fup'!D:D,'LPG Fup'!M:M,"",0)&gt;0),"Z", AND(_xlfn.XLOOKUP(A372-2,'LPG Fup'!D:D,'LPG Fup'!M:M,"",0)&lt;&gt;"",_xlfn.XLOOKUP(A372-2,'LPG Fup'!D:D,'LPG Fup'!M:M,"",0)&gt;0),"Z+1"),0)</f>
        <v>0</v>
      </c>
      <c r="Q372" cm="1">
        <f t="array" ref="Q372">_xlfn.IFNA(_xlfn.IFS(AND(_xlfn.XLOOKUP(A372,'LPG Fup'!D:D,'LPG Fup'!M:M,"",0)&lt;&gt;"",_xlfn.XLOOKUP(A372,'LPG Fup'!D:D,'LPG Fup'!M:M,"",0)&lt;0),"I-1", AND(_xlfn.XLOOKUP(A372+1,'LPG Fup'!D:D,'LPG Fup'!M:M,"",0)&lt;&gt;"",_xlfn.XLOOKUP(A372+1,'LPG Fup'!D:D,'LPG Fup'!M:M,"",0)&lt;0),"I-2", AND(_xlfn.XLOOKUP(A372-1,'LPG Fup'!D:D,'LPG Fup'!M:M,"",0)&lt;&gt;"",_xlfn.XLOOKUP(A372-1,'LPG Fup'!D:D,'LPG Fup'!M:M,"",0)&lt;0),"I", AND(_xlfn.XLOOKUP(A372-2,'LPG Fup'!D:D,'LPG Fup'!M:M,"",0)&lt;&gt;"",_xlfn.XLOOKUP(A372-2,'LPG Fup'!D:D,'LPG Fup'!M:M,"",0)&lt;0),"I+1"),0)</f>
        <v>0</v>
      </c>
      <c r="R372">
        <f>_xlfn.XLOOKUP(A372,Covid!A:A,Covid!I:I,0,0)</f>
        <v>482</v>
      </c>
      <c r="S372">
        <f>_xlfn.XLOOKUP(A372,Covid!A:A,Covid!K:K,0,0)</f>
        <v>96</v>
      </c>
      <c r="T372" s="145">
        <f>_xlfn.XLOOKUP(A372,Covid!A:A,Covid!K:K,0,0)/_xlfn.XLOOKUP(A372,Covid!A:A,Covid!L:L,0,0)</f>
        <v>1.5992003998000999E-2</v>
      </c>
    </row>
    <row r="373" spans="1:20" x14ac:dyDescent="0.55000000000000004">
      <c r="A373" s="157">
        <v>44354</v>
      </c>
      <c r="B373" s="13">
        <v>1229500</v>
      </c>
      <c r="C373" s="13">
        <v>466087</v>
      </c>
      <c r="D373" s="13">
        <v>11486</v>
      </c>
      <c r="E373" s="13">
        <v>553566</v>
      </c>
      <c r="F373" s="13">
        <v>2260639</v>
      </c>
      <c r="G373">
        <f>IF(OR(_xlfn.XLOOKUP(A373,'LPG Fup'!D:D,'LPG Fup'!L:L,"",0)&gt;0.03,_xlfn.XLOOKUP(A373,'LPG Fup'!D:D,'LPG Fup'!L:L,"",0)&lt;-0.03),_xlfn.XLOOKUP(A373,'LPG Fup'!D:D,'LPG Fup'!L:L,0,0),0)</f>
        <v>0</v>
      </c>
      <c r="H373">
        <f>IF(_xlfn.XLOOKUP(A373,'LPG Fup'!D:D,'LPG Fup'!M:M,0,0)="",0,_xlfn.XLOOKUP(A373,'LPG Fup'!D:D,'LPG Fup'!M:M,0,0))</f>
        <v>0</v>
      </c>
      <c r="I373" s="109">
        <f>_xlfn.XLOOKUP(A373,'Rafineri Fiyatları'!A:A,'Rafineri Fiyatları'!B:B,"",0)</f>
        <v>4996.9704700000002</v>
      </c>
      <c r="J373">
        <f t="shared" si="20"/>
        <v>2021</v>
      </c>
      <c r="K373">
        <f t="shared" si="21"/>
        <v>6</v>
      </c>
      <c r="L373">
        <f t="shared" si="22"/>
        <v>7</v>
      </c>
      <c r="M373">
        <f t="shared" si="23"/>
        <v>2</v>
      </c>
      <c r="N373">
        <f>_xlfn.XLOOKUP(A373,tatiller!H:H,tatiller!I:I,0,0)</f>
        <v>0</v>
      </c>
      <c r="O373" cm="1">
        <f t="array" ref="O373">_xlfn.IFNA(_xlfn.IFS(L373=1,"A0",A373=EOMONTH(A373,0),"A-1",L373=2,"A+1"),0)</f>
        <v>0</v>
      </c>
      <c r="P373" cm="1">
        <f t="array" ref="P373">_xlfn.IFNA(_xlfn.IFS(AND(_xlfn.XLOOKUP(A373,'LPG Fup'!D:D,'LPG Fup'!M:M,"",0)&lt;&gt;"",_xlfn.XLOOKUP(A373,'LPG Fup'!D:D,'LPG Fup'!M:M,"",0)&gt;0),"Z-1", AND(_xlfn.XLOOKUP(A373+1,'LPG Fup'!D:D,'LPG Fup'!M:M,"",0)&lt;&gt;"",_xlfn.XLOOKUP(A373+1,'LPG Fup'!D:D,'LPG Fup'!M:M,"",0)&gt;0),"Z-2", AND(_xlfn.XLOOKUP(A373-1,'LPG Fup'!D:D,'LPG Fup'!M:M,"",0)&lt;&gt;"",_xlfn.XLOOKUP(A373-1,'LPG Fup'!D:D,'LPG Fup'!M:M,"",0)&gt;0),"Z", AND(_xlfn.XLOOKUP(A373-2,'LPG Fup'!D:D,'LPG Fup'!M:M,"",0)&lt;&gt;"",_xlfn.XLOOKUP(A373-2,'LPG Fup'!D:D,'LPG Fup'!M:M,"",0)&gt;0),"Z+1"),0)</f>
        <v>0</v>
      </c>
      <c r="Q373" cm="1">
        <f t="array" ref="Q373">_xlfn.IFNA(_xlfn.IFS(AND(_xlfn.XLOOKUP(A373,'LPG Fup'!D:D,'LPG Fup'!M:M,"",0)&lt;&gt;"",_xlfn.XLOOKUP(A373,'LPG Fup'!D:D,'LPG Fup'!M:M,"",0)&lt;0),"I-1", AND(_xlfn.XLOOKUP(A373+1,'LPG Fup'!D:D,'LPG Fup'!M:M,"",0)&lt;&gt;"",_xlfn.XLOOKUP(A373+1,'LPG Fup'!D:D,'LPG Fup'!M:M,"",0)&lt;0),"I-2", AND(_xlfn.XLOOKUP(A373-1,'LPG Fup'!D:D,'LPG Fup'!M:M,"",0)&lt;&gt;"",_xlfn.XLOOKUP(A373-1,'LPG Fup'!D:D,'LPG Fup'!M:M,"",0)&lt;0),"I", AND(_xlfn.XLOOKUP(A373-2,'LPG Fup'!D:D,'LPG Fup'!M:M,"",0)&lt;&gt;"",_xlfn.XLOOKUP(A373-2,'LPG Fup'!D:D,'LPG Fup'!M:M,"",0)&lt;0),"I+1"),0)</f>
        <v>0</v>
      </c>
      <c r="R373">
        <f>_xlfn.XLOOKUP(A373,Covid!A:A,Covid!I:I,0,0)</f>
        <v>495</v>
      </c>
      <c r="S373">
        <f>_xlfn.XLOOKUP(A373,Covid!A:A,Covid!K:K,0,0)</f>
        <v>91</v>
      </c>
      <c r="T373" s="145">
        <f>_xlfn.XLOOKUP(A373,Covid!A:A,Covid!K:K,0,0)/_xlfn.XLOOKUP(A373,Covid!A:A,Covid!L:L,0,0)</f>
        <v>1.3838199513381996E-2</v>
      </c>
    </row>
    <row r="374" spans="1:20" x14ac:dyDescent="0.55000000000000004">
      <c r="A374" s="157">
        <v>44355</v>
      </c>
      <c r="B374" s="13">
        <v>1294940</v>
      </c>
      <c r="C374" s="13">
        <v>382756</v>
      </c>
      <c r="D374" s="13">
        <v>6842</v>
      </c>
      <c r="E374" s="13">
        <v>429514</v>
      </c>
      <c r="F374" s="13">
        <v>2114052</v>
      </c>
      <c r="G374">
        <f>IF(OR(_xlfn.XLOOKUP(A374,'LPG Fup'!D:D,'LPG Fup'!L:L,"",0)&gt;0.03,_xlfn.XLOOKUP(A374,'LPG Fup'!D:D,'LPG Fup'!L:L,"",0)&lt;-0.03),_xlfn.XLOOKUP(A374,'LPG Fup'!D:D,'LPG Fup'!L:L,0,0),0)</f>
        <v>0</v>
      </c>
      <c r="H374">
        <f>IF(_xlfn.XLOOKUP(A374,'LPG Fup'!D:D,'LPG Fup'!M:M,0,0)="",0,_xlfn.XLOOKUP(A374,'LPG Fup'!D:D,'LPG Fup'!M:M,0,0))</f>
        <v>0</v>
      </c>
      <c r="I374" s="109">
        <f>_xlfn.XLOOKUP(A374,'Rafineri Fiyatları'!A:A,'Rafineri Fiyatları'!B:B,"",0)</f>
        <v>4996.9704700000002</v>
      </c>
      <c r="J374">
        <f t="shared" si="20"/>
        <v>2021</v>
      </c>
      <c r="K374">
        <f t="shared" si="21"/>
        <v>6</v>
      </c>
      <c r="L374">
        <f t="shared" si="22"/>
        <v>8</v>
      </c>
      <c r="M374">
        <f t="shared" si="23"/>
        <v>3</v>
      </c>
      <c r="N374">
        <f>_xlfn.XLOOKUP(A374,tatiller!H:H,tatiller!I:I,0,0)</f>
        <v>0</v>
      </c>
      <c r="O374" cm="1">
        <f t="array" ref="O374">_xlfn.IFNA(_xlfn.IFS(L374=1,"A0",A374=EOMONTH(A374,0),"A-1",L374=2,"A+1"),0)</f>
        <v>0</v>
      </c>
      <c r="P374" cm="1">
        <f t="array" ref="P374">_xlfn.IFNA(_xlfn.IFS(AND(_xlfn.XLOOKUP(A374,'LPG Fup'!D:D,'LPG Fup'!M:M,"",0)&lt;&gt;"",_xlfn.XLOOKUP(A374,'LPG Fup'!D:D,'LPG Fup'!M:M,"",0)&gt;0),"Z-1", AND(_xlfn.XLOOKUP(A374+1,'LPG Fup'!D:D,'LPG Fup'!M:M,"",0)&lt;&gt;"",_xlfn.XLOOKUP(A374+1,'LPG Fup'!D:D,'LPG Fup'!M:M,"",0)&gt;0),"Z-2", AND(_xlfn.XLOOKUP(A374-1,'LPG Fup'!D:D,'LPG Fup'!M:M,"",0)&lt;&gt;"",_xlfn.XLOOKUP(A374-1,'LPG Fup'!D:D,'LPG Fup'!M:M,"",0)&gt;0),"Z", AND(_xlfn.XLOOKUP(A374-2,'LPG Fup'!D:D,'LPG Fup'!M:M,"",0)&lt;&gt;"",_xlfn.XLOOKUP(A374-2,'LPG Fup'!D:D,'LPG Fup'!M:M,"",0)&gt;0),"Z+1"),0)</f>
        <v>0</v>
      </c>
      <c r="Q374" cm="1">
        <f t="array" ref="Q374">_xlfn.IFNA(_xlfn.IFS(AND(_xlfn.XLOOKUP(A374,'LPG Fup'!D:D,'LPG Fup'!M:M,"",0)&lt;&gt;"",_xlfn.XLOOKUP(A374,'LPG Fup'!D:D,'LPG Fup'!M:M,"",0)&lt;0),"I-1", AND(_xlfn.XLOOKUP(A374+1,'LPG Fup'!D:D,'LPG Fup'!M:M,"",0)&lt;&gt;"",_xlfn.XLOOKUP(A374+1,'LPG Fup'!D:D,'LPG Fup'!M:M,"",0)&lt;0),"I-2", AND(_xlfn.XLOOKUP(A374-1,'LPG Fup'!D:D,'LPG Fup'!M:M,"",0)&lt;&gt;"",_xlfn.XLOOKUP(A374-1,'LPG Fup'!D:D,'LPG Fup'!M:M,"",0)&lt;0),"I", AND(_xlfn.XLOOKUP(A374-2,'LPG Fup'!D:D,'LPG Fup'!M:M,"",0)&lt;&gt;"",_xlfn.XLOOKUP(A374-2,'LPG Fup'!D:D,'LPG Fup'!M:M,"",0)&lt;0),"I+1"),0)</f>
        <v>0</v>
      </c>
      <c r="R374">
        <f>_xlfn.XLOOKUP(A374,Covid!A:A,Covid!I:I,0,0)</f>
        <v>557</v>
      </c>
      <c r="S374">
        <f>_xlfn.XLOOKUP(A374,Covid!A:A,Covid!K:K,0,0)</f>
        <v>86</v>
      </c>
      <c r="T374" s="145">
        <f>_xlfn.XLOOKUP(A374,Covid!A:A,Covid!K:K,0,0)/_xlfn.XLOOKUP(A374,Covid!A:A,Covid!L:L,0,0)</f>
        <v>1.4736120630568882E-2</v>
      </c>
    </row>
    <row r="375" spans="1:20" x14ac:dyDescent="0.55000000000000004">
      <c r="A375" s="157">
        <v>44356</v>
      </c>
      <c r="B375" s="13">
        <v>1251540</v>
      </c>
      <c r="C375" s="13">
        <v>431770</v>
      </c>
      <c r="D375" s="13">
        <v>3230</v>
      </c>
      <c r="E375" s="13">
        <v>503875</v>
      </c>
      <c r="F375" s="13">
        <v>2190415</v>
      </c>
      <c r="G375">
        <f>IF(OR(_xlfn.XLOOKUP(A375,'LPG Fup'!D:D,'LPG Fup'!L:L,"",0)&gt;0.03,_xlfn.XLOOKUP(A375,'LPG Fup'!D:D,'LPG Fup'!L:L,"",0)&lt;-0.03),_xlfn.XLOOKUP(A375,'LPG Fup'!D:D,'LPG Fup'!L:L,0,0),0)</f>
        <v>0</v>
      </c>
      <c r="H375">
        <f>IF(_xlfn.XLOOKUP(A375,'LPG Fup'!D:D,'LPG Fup'!M:M,0,0)="",0,_xlfn.XLOOKUP(A375,'LPG Fup'!D:D,'LPG Fup'!M:M,0,0))</f>
        <v>0</v>
      </c>
      <c r="I375" s="109">
        <f>_xlfn.XLOOKUP(A375,'Rafineri Fiyatları'!A:A,'Rafineri Fiyatları'!B:B,"",0)</f>
        <v>4996.9704700000002</v>
      </c>
      <c r="J375">
        <f t="shared" si="20"/>
        <v>2021</v>
      </c>
      <c r="K375">
        <f t="shared" si="21"/>
        <v>6</v>
      </c>
      <c r="L375">
        <f t="shared" si="22"/>
        <v>9</v>
      </c>
      <c r="M375">
        <f t="shared" si="23"/>
        <v>4</v>
      </c>
      <c r="N375">
        <f>_xlfn.XLOOKUP(A375,tatiller!H:H,tatiller!I:I,0,0)</f>
        <v>0</v>
      </c>
      <c r="O375" cm="1">
        <f t="array" ref="O375">_xlfn.IFNA(_xlfn.IFS(L375=1,"A0",A375=EOMONTH(A375,0),"A-1",L375=2,"A+1"),0)</f>
        <v>0</v>
      </c>
      <c r="P375" cm="1">
        <f t="array" ref="P375">_xlfn.IFNA(_xlfn.IFS(AND(_xlfn.XLOOKUP(A375,'LPG Fup'!D:D,'LPG Fup'!M:M,"",0)&lt;&gt;"",_xlfn.XLOOKUP(A375,'LPG Fup'!D:D,'LPG Fup'!M:M,"",0)&gt;0),"Z-1", AND(_xlfn.XLOOKUP(A375+1,'LPG Fup'!D:D,'LPG Fup'!M:M,"",0)&lt;&gt;"",_xlfn.XLOOKUP(A375+1,'LPG Fup'!D:D,'LPG Fup'!M:M,"",0)&gt;0),"Z-2", AND(_xlfn.XLOOKUP(A375-1,'LPG Fup'!D:D,'LPG Fup'!M:M,"",0)&lt;&gt;"",_xlfn.XLOOKUP(A375-1,'LPG Fup'!D:D,'LPG Fup'!M:M,"",0)&gt;0),"Z", AND(_xlfn.XLOOKUP(A375-2,'LPG Fup'!D:D,'LPG Fup'!M:M,"",0)&lt;&gt;"",_xlfn.XLOOKUP(A375-2,'LPG Fup'!D:D,'LPG Fup'!M:M,"",0)&gt;0),"Z+1"),0)</f>
        <v>0</v>
      </c>
      <c r="Q375" cm="1">
        <f t="array" ref="Q375">_xlfn.IFNA(_xlfn.IFS(AND(_xlfn.XLOOKUP(A375,'LPG Fup'!D:D,'LPG Fup'!M:M,"",0)&lt;&gt;"",_xlfn.XLOOKUP(A375,'LPG Fup'!D:D,'LPG Fup'!M:M,"",0)&lt;0),"I-1", AND(_xlfn.XLOOKUP(A375+1,'LPG Fup'!D:D,'LPG Fup'!M:M,"",0)&lt;&gt;"",_xlfn.XLOOKUP(A375+1,'LPG Fup'!D:D,'LPG Fup'!M:M,"",0)&lt;0),"I-2", AND(_xlfn.XLOOKUP(A375-1,'LPG Fup'!D:D,'LPG Fup'!M:M,"",0)&lt;&gt;"",_xlfn.XLOOKUP(A375-1,'LPG Fup'!D:D,'LPG Fup'!M:M,"",0)&lt;0),"I", AND(_xlfn.XLOOKUP(A375-2,'LPG Fup'!D:D,'LPG Fup'!M:M,"",0)&lt;&gt;"",_xlfn.XLOOKUP(A375-2,'LPG Fup'!D:D,'LPG Fup'!M:M,"",0)&lt;0),"I+1"),0)</f>
        <v>0</v>
      </c>
      <c r="R375">
        <f>_xlfn.XLOOKUP(A375,Covid!A:A,Covid!I:I,0,0)</f>
        <v>558</v>
      </c>
      <c r="S375">
        <f>_xlfn.XLOOKUP(A375,Covid!A:A,Covid!K:K,0,0)</f>
        <v>87</v>
      </c>
      <c r="T375" s="145">
        <f>_xlfn.XLOOKUP(A375,Covid!A:A,Covid!K:K,0,0)/_xlfn.XLOOKUP(A375,Covid!A:A,Covid!L:L,0,0)</f>
        <v>1.3088611403640741E-2</v>
      </c>
    </row>
    <row r="376" spans="1:20" x14ac:dyDescent="0.55000000000000004">
      <c r="A376" s="157">
        <v>44357</v>
      </c>
      <c r="B376" s="13">
        <v>1376840</v>
      </c>
      <c r="C376" s="13">
        <v>538676</v>
      </c>
      <c r="D376" s="13">
        <v>10802</v>
      </c>
      <c r="E376" s="13">
        <v>439748</v>
      </c>
      <c r="F376" s="13">
        <v>2366066</v>
      </c>
      <c r="G376">
        <f>IF(OR(_xlfn.XLOOKUP(A376,'LPG Fup'!D:D,'LPG Fup'!L:L,"",0)&gt;0.03,_xlfn.XLOOKUP(A376,'LPG Fup'!D:D,'LPG Fup'!L:L,"",0)&lt;-0.03),_xlfn.XLOOKUP(A376,'LPG Fup'!D:D,'LPG Fup'!L:L,0,0),0)</f>
        <v>0</v>
      </c>
      <c r="H376">
        <f>IF(_xlfn.XLOOKUP(A376,'LPG Fup'!D:D,'LPG Fup'!M:M,0,0)="",0,_xlfn.XLOOKUP(A376,'LPG Fup'!D:D,'LPG Fup'!M:M,0,0))</f>
        <v>0</v>
      </c>
      <c r="I376" s="109">
        <f>_xlfn.XLOOKUP(A376,'Rafineri Fiyatları'!A:A,'Rafineri Fiyatları'!B:B,"",0)</f>
        <v>4996.9704700000002</v>
      </c>
      <c r="J376">
        <f t="shared" si="20"/>
        <v>2021</v>
      </c>
      <c r="K376">
        <f t="shared" si="21"/>
        <v>6</v>
      </c>
      <c r="L376">
        <f t="shared" si="22"/>
        <v>10</v>
      </c>
      <c r="M376">
        <f t="shared" si="23"/>
        <v>5</v>
      </c>
      <c r="N376">
        <f>_xlfn.XLOOKUP(A376,tatiller!H:H,tatiller!I:I,0,0)</f>
        <v>0</v>
      </c>
      <c r="O376" cm="1">
        <f t="array" ref="O376">_xlfn.IFNA(_xlfn.IFS(L376=1,"A0",A376=EOMONTH(A376,0),"A-1",L376=2,"A+1"),0)</f>
        <v>0</v>
      </c>
      <c r="P376" cm="1">
        <f t="array" ref="P376">_xlfn.IFNA(_xlfn.IFS(AND(_xlfn.XLOOKUP(A376,'LPG Fup'!D:D,'LPG Fup'!M:M,"",0)&lt;&gt;"",_xlfn.XLOOKUP(A376,'LPG Fup'!D:D,'LPG Fup'!M:M,"",0)&gt;0),"Z-1", AND(_xlfn.XLOOKUP(A376+1,'LPG Fup'!D:D,'LPG Fup'!M:M,"",0)&lt;&gt;"",_xlfn.XLOOKUP(A376+1,'LPG Fup'!D:D,'LPG Fup'!M:M,"",0)&gt;0),"Z-2", AND(_xlfn.XLOOKUP(A376-1,'LPG Fup'!D:D,'LPG Fup'!M:M,"",0)&lt;&gt;"",_xlfn.XLOOKUP(A376-1,'LPG Fup'!D:D,'LPG Fup'!M:M,"",0)&gt;0),"Z", AND(_xlfn.XLOOKUP(A376-2,'LPG Fup'!D:D,'LPG Fup'!M:M,"",0)&lt;&gt;"",_xlfn.XLOOKUP(A376-2,'LPG Fup'!D:D,'LPG Fup'!M:M,"",0)&gt;0),"Z+1"),0)</f>
        <v>0</v>
      </c>
      <c r="Q376" cm="1">
        <f t="array" ref="Q376">_xlfn.IFNA(_xlfn.IFS(AND(_xlfn.XLOOKUP(A376,'LPG Fup'!D:D,'LPG Fup'!M:M,"",0)&lt;&gt;"",_xlfn.XLOOKUP(A376,'LPG Fup'!D:D,'LPG Fup'!M:M,"",0)&lt;0),"I-1", AND(_xlfn.XLOOKUP(A376+1,'LPG Fup'!D:D,'LPG Fup'!M:M,"",0)&lt;&gt;"",_xlfn.XLOOKUP(A376+1,'LPG Fup'!D:D,'LPG Fup'!M:M,"",0)&lt;0),"I-2", AND(_xlfn.XLOOKUP(A376-1,'LPG Fup'!D:D,'LPG Fup'!M:M,"",0)&lt;&gt;"",_xlfn.XLOOKUP(A376-1,'LPG Fup'!D:D,'LPG Fup'!M:M,"",0)&lt;0),"I", AND(_xlfn.XLOOKUP(A376-2,'LPG Fup'!D:D,'LPG Fup'!M:M,"",0)&lt;&gt;"",_xlfn.XLOOKUP(A376-2,'LPG Fup'!D:D,'LPG Fup'!M:M,"",0)&lt;0),"I+1"),0)</f>
        <v>0</v>
      </c>
      <c r="R376">
        <f>_xlfn.XLOOKUP(A376,Covid!A:A,Covid!I:I,0,0)</f>
        <v>563</v>
      </c>
      <c r="S376">
        <f>_xlfn.XLOOKUP(A376,Covid!A:A,Covid!K:K,0,0)</f>
        <v>96</v>
      </c>
      <c r="T376" s="145">
        <f>_xlfn.XLOOKUP(A376,Covid!A:A,Covid!K:K,0,0)/_xlfn.XLOOKUP(A376,Covid!A:A,Covid!L:L,0,0)</f>
        <v>1.3923132704858593E-2</v>
      </c>
    </row>
    <row r="377" spans="1:20" x14ac:dyDescent="0.55000000000000004">
      <c r="A377" s="157">
        <v>44358</v>
      </c>
      <c r="B377" s="13">
        <v>1822240</v>
      </c>
      <c r="C377" s="13">
        <v>627734</v>
      </c>
      <c r="D377" s="13">
        <v>9703</v>
      </c>
      <c r="E377" s="13">
        <v>520530</v>
      </c>
      <c r="F377" s="13">
        <v>2980207</v>
      </c>
      <c r="G377">
        <f>IF(OR(_xlfn.XLOOKUP(A377,'LPG Fup'!D:D,'LPG Fup'!L:L,"",0)&gt;0.03,_xlfn.XLOOKUP(A377,'LPG Fup'!D:D,'LPG Fup'!L:L,"",0)&lt;-0.03),_xlfn.XLOOKUP(A377,'LPG Fup'!D:D,'LPG Fup'!L:L,0,0),0)</f>
        <v>0</v>
      </c>
      <c r="H377">
        <f>IF(_xlfn.XLOOKUP(A377,'LPG Fup'!D:D,'LPG Fup'!M:M,0,0)="",0,_xlfn.XLOOKUP(A377,'LPG Fup'!D:D,'LPG Fup'!M:M,0,0))</f>
        <v>0</v>
      </c>
      <c r="I377" s="109">
        <f>_xlfn.XLOOKUP(A377,'Rafineri Fiyatları'!A:A,'Rafineri Fiyatları'!B:B,"",0)</f>
        <v>4996.9704700000002</v>
      </c>
      <c r="J377">
        <f t="shared" si="20"/>
        <v>2021</v>
      </c>
      <c r="K377">
        <f t="shared" si="21"/>
        <v>6</v>
      </c>
      <c r="L377">
        <f t="shared" si="22"/>
        <v>11</v>
      </c>
      <c r="M377">
        <f t="shared" si="23"/>
        <v>6</v>
      </c>
      <c r="N377">
        <f>_xlfn.XLOOKUP(A377,tatiller!H:H,tatiller!I:I,0,0)</f>
        <v>0</v>
      </c>
      <c r="O377" cm="1">
        <f t="array" ref="O377">_xlfn.IFNA(_xlfn.IFS(L377=1,"A0",A377=EOMONTH(A377,0),"A-1",L377=2,"A+1"),0)</f>
        <v>0</v>
      </c>
      <c r="P377" cm="1">
        <f t="array" ref="P377">_xlfn.IFNA(_xlfn.IFS(AND(_xlfn.XLOOKUP(A377,'LPG Fup'!D:D,'LPG Fup'!M:M,"",0)&lt;&gt;"",_xlfn.XLOOKUP(A377,'LPG Fup'!D:D,'LPG Fup'!M:M,"",0)&gt;0),"Z-1", AND(_xlfn.XLOOKUP(A377+1,'LPG Fup'!D:D,'LPG Fup'!M:M,"",0)&lt;&gt;"",_xlfn.XLOOKUP(A377+1,'LPG Fup'!D:D,'LPG Fup'!M:M,"",0)&gt;0),"Z-2", AND(_xlfn.XLOOKUP(A377-1,'LPG Fup'!D:D,'LPG Fup'!M:M,"",0)&lt;&gt;"",_xlfn.XLOOKUP(A377-1,'LPG Fup'!D:D,'LPG Fup'!M:M,"",0)&gt;0),"Z", AND(_xlfn.XLOOKUP(A377-2,'LPG Fup'!D:D,'LPG Fup'!M:M,"",0)&lt;&gt;"",_xlfn.XLOOKUP(A377-2,'LPG Fup'!D:D,'LPG Fup'!M:M,"",0)&gt;0),"Z+1"),0)</f>
        <v>0</v>
      </c>
      <c r="Q377" cm="1">
        <f t="array" ref="Q377">_xlfn.IFNA(_xlfn.IFS(AND(_xlfn.XLOOKUP(A377,'LPG Fup'!D:D,'LPG Fup'!M:M,"",0)&lt;&gt;"",_xlfn.XLOOKUP(A377,'LPG Fup'!D:D,'LPG Fup'!M:M,"",0)&lt;0),"I-1", AND(_xlfn.XLOOKUP(A377+1,'LPG Fup'!D:D,'LPG Fup'!M:M,"",0)&lt;&gt;"",_xlfn.XLOOKUP(A377+1,'LPG Fup'!D:D,'LPG Fup'!M:M,"",0)&lt;0),"I-2", AND(_xlfn.XLOOKUP(A377-1,'LPG Fup'!D:D,'LPG Fup'!M:M,"",0)&lt;&gt;"",_xlfn.XLOOKUP(A377-1,'LPG Fup'!D:D,'LPG Fup'!M:M,"",0)&lt;0),"I", AND(_xlfn.XLOOKUP(A377-2,'LPG Fup'!D:D,'LPG Fup'!M:M,"",0)&lt;&gt;"",_xlfn.XLOOKUP(A377-2,'LPG Fup'!D:D,'LPG Fup'!M:M,"",0)&lt;0),"I+1"),0)</f>
        <v>0</v>
      </c>
      <c r="R377">
        <f>_xlfn.XLOOKUP(A377,Covid!A:A,Covid!I:I,0,0)</f>
        <v>561</v>
      </c>
      <c r="S377">
        <f>_xlfn.XLOOKUP(A377,Covid!A:A,Covid!K:K,0,0)</f>
        <v>69</v>
      </c>
      <c r="T377" s="145">
        <f>_xlfn.XLOOKUP(A377,Covid!A:A,Covid!K:K,0,0)/_xlfn.XLOOKUP(A377,Covid!A:A,Covid!L:L,0,0)</f>
        <v>1.1098600611227281E-2</v>
      </c>
    </row>
    <row r="378" spans="1:20" x14ac:dyDescent="0.55000000000000004">
      <c r="A378" s="157">
        <v>44359</v>
      </c>
      <c r="B378" s="13">
        <v>1153320</v>
      </c>
      <c r="C378" s="13">
        <v>164656</v>
      </c>
      <c r="D378" s="13">
        <v>9097</v>
      </c>
      <c r="E378" s="13">
        <v>569003</v>
      </c>
      <c r="F378" s="13">
        <v>1896076</v>
      </c>
      <c r="G378">
        <f>IF(OR(_xlfn.XLOOKUP(A378,'LPG Fup'!D:D,'LPG Fup'!L:L,"",0)&gt;0.03,_xlfn.XLOOKUP(A378,'LPG Fup'!D:D,'LPG Fup'!L:L,"",0)&lt;-0.03),_xlfn.XLOOKUP(A378,'LPG Fup'!D:D,'LPG Fup'!L:L,0,0),0)</f>
        <v>0</v>
      </c>
      <c r="H378">
        <f>IF(_xlfn.XLOOKUP(A378,'LPG Fup'!D:D,'LPG Fup'!M:M,0,0)="",0,_xlfn.XLOOKUP(A378,'LPG Fup'!D:D,'LPG Fup'!M:M,0,0))</f>
        <v>0</v>
      </c>
      <c r="I378" s="109">
        <f>_xlfn.XLOOKUP(A378,'Rafineri Fiyatları'!A:A,'Rafineri Fiyatları'!B:B,"",0)</f>
        <v>4996.9704700000002</v>
      </c>
      <c r="J378">
        <f t="shared" si="20"/>
        <v>2021</v>
      </c>
      <c r="K378">
        <f t="shared" si="21"/>
        <v>6</v>
      </c>
      <c r="L378">
        <f t="shared" si="22"/>
        <v>12</v>
      </c>
      <c r="M378">
        <f t="shared" si="23"/>
        <v>7</v>
      </c>
      <c r="N378">
        <f>_xlfn.XLOOKUP(A378,tatiller!H:H,tatiller!I:I,0,0)</f>
        <v>0</v>
      </c>
      <c r="O378" cm="1">
        <f t="array" ref="O378">_xlfn.IFNA(_xlfn.IFS(L378=1,"A0",A378=EOMONTH(A378,0),"A-1",L378=2,"A+1"),0)</f>
        <v>0</v>
      </c>
      <c r="P378" cm="1">
        <f t="array" ref="P378">_xlfn.IFNA(_xlfn.IFS(AND(_xlfn.XLOOKUP(A378,'LPG Fup'!D:D,'LPG Fup'!M:M,"",0)&lt;&gt;"",_xlfn.XLOOKUP(A378,'LPG Fup'!D:D,'LPG Fup'!M:M,"",0)&gt;0),"Z-1", AND(_xlfn.XLOOKUP(A378+1,'LPG Fup'!D:D,'LPG Fup'!M:M,"",0)&lt;&gt;"",_xlfn.XLOOKUP(A378+1,'LPG Fup'!D:D,'LPG Fup'!M:M,"",0)&gt;0),"Z-2", AND(_xlfn.XLOOKUP(A378-1,'LPG Fup'!D:D,'LPG Fup'!M:M,"",0)&lt;&gt;"",_xlfn.XLOOKUP(A378-1,'LPG Fup'!D:D,'LPG Fup'!M:M,"",0)&gt;0),"Z", AND(_xlfn.XLOOKUP(A378-2,'LPG Fup'!D:D,'LPG Fup'!M:M,"",0)&lt;&gt;"",_xlfn.XLOOKUP(A378-2,'LPG Fup'!D:D,'LPG Fup'!M:M,"",0)&gt;0),"Z+1"),0)</f>
        <v>0</v>
      </c>
      <c r="Q378" cm="1">
        <f t="array" ref="Q378">_xlfn.IFNA(_xlfn.IFS(AND(_xlfn.XLOOKUP(A378,'LPG Fup'!D:D,'LPG Fup'!M:M,"",0)&lt;&gt;"",_xlfn.XLOOKUP(A378,'LPG Fup'!D:D,'LPG Fup'!M:M,"",0)&lt;0),"I-1", AND(_xlfn.XLOOKUP(A378+1,'LPG Fup'!D:D,'LPG Fup'!M:M,"",0)&lt;&gt;"",_xlfn.XLOOKUP(A378+1,'LPG Fup'!D:D,'LPG Fup'!M:M,"",0)&lt;0),"I-2", AND(_xlfn.XLOOKUP(A378-1,'LPG Fup'!D:D,'LPG Fup'!M:M,"",0)&lt;&gt;"",_xlfn.XLOOKUP(A378-1,'LPG Fup'!D:D,'LPG Fup'!M:M,"",0)&lt;0),"I", AND(_xlfn.XLOOKUP(A378-2,'LPG Fup'!D:D,'LPG Fup'!M:M,"",0)&lt;&gt;"",_xlfn.XLOOKUP(A378-2,'LPG Fup'!D:D,'LPG Fup'!M:M,"",0)&lt;0),"I+1"),0)</f>
        <v>0</v>
      </c>
      <c r="R378">
        <f>_xlfn.XLOOKUP(A378,Covid!A:A,Covid!I:I,0,0)</f>
        <v>503</v>
      </c>
      <c r="S378">
        <f>_xlfn.XLOOKUP(A378,Covid!A:A,Covid!K:K,0,0)</f>
        <v>75</v>
      </c>
      <c r="T378" s="145">
        <f>_xlfn.XLOOKUP(A378,Covid!A:A,Covid!K:K,0,0)/_xlfn.XLOOKUP(A378,Covid!A:A,Covid!L:L,0,0)</f>
        <v>1.4671361502347418E-2</v>
      </c>
    </row>
    <row r="379" spans="1:20" x14ac:dyDescent="0.55000000000000004">
      <c r="A379" s="157">
        <v>44360</v>
      </c>
      <c r="B379" s="13">
        <v>1239500</v>
      </c>
      <c r="C379" s="13">
        <v>0</v>
      </c>
      <c r="D379" s="13">
        <v>0</v>
      </c>
      <c r="E379" s="13">
        <v>287171</v>
      </c>
      <c r="F379" s="13">
        <v>1526671</v>
      </c>
      <c r="G379">
        <f>IF(OR(_xlfn.XLOOKUP(A379,'LPG Fup'!D:D,'LPG Fup'!L:L,"",0)&gt;0.03,_xlfn.XLOOKUP(A379,'LPG Fup'!D:D,'LPG Fup'!L:L,"",0)&lt;-0.03),_xlfn.XLOOKUP(A379,'LPG Fup'!D:D,'LPG Fup'!L:L,0,0),0)</f>
        <v>0</v>
      </c>
      <c r="H379">
        <f>IF(_xlfn.XLOOKUP(A379,'LPG Fup'!D:D,'LPG Fup'!M:M,0,0)="",0,_xlfn.XLOOKUP(A379,'LPG Fup'!D:D,'LPG Fup'!M:M,0,0))</f>
        <v>0</v>
      </c>
      <c r="I379" s="109">
        <f>_xlfn.XLOOKUP(A379,'Rafineri Fiyatları'!A:A,'Rafineri Fiyatları'!B:B,"",0)</f>
        <v>4996.9704700000002</v>
      </c>
      <c r="J379">
        <f t="shared" si="20"/>
        <v>2021</v>
      </c>
      <c r="K379">
        <f t="shared" si="21"/>
        <v>6</v>
      </c>
      <c r="L379">
        <f t="shared" si="22"/>
        <v>13</v>
      </c>
      <c r="M379">
        <f t="shared" si="23"/>
        <v>1</v>
      </c>
      <c r="N379">
        <f>_xlfn.XLOOKUP(A379,tatiller!H:H,tatiller!I:I,0,0)</f>
        <v>0</v>
      </c>
      <c r="O379" cm="1">
        <f t="array" ref="O379">_xlfn.IFNA(_xlfn.IFS(L379=1,"A0",A379=EOMONTH(A379,0),"A-1",L379=2,"A+1"),0)</f>
        <v>0</v>
      </c>
      <c r="P379" cm="1">
        <f t="array" ref="P379">_xlfn.IFNA(_xlfn.IFS(AND(_xlfn.XLOOKUP(A379,'LPG Fup'!D:D,'LPG Fup'!M:M,"",0)&lt;&gt;"",_xlfn.XLOOKUP(A379,'LPG Fup'!D:D,'LPG Fup'!M:M,"",0)&gt;0),"Z-1", AND(_xlfn.XLOOKUP(A379+1,'LPG Fup'!D:D,'LPG Fup'!M:M,"",0)&lt;&gt;"",_xlfn.XLOOKUP(A379+1,'LPG Fup'!D:D,'LPG Fup'!M:M,"",0)&gt;0),"Z-2", AND(_xlfn.XLOOKUP(A379-1,'LPG Fup'!D:D,'LPG Fup'!M:M,"",0)&lt;&gt;"",_xlfn.XLOOKUP(A379-1,'LPG Fup'!D:D,'LPG Fup'!M:M,"",0)&gt;0),"Z", AND(_xlfn.XLOOKUP(A379-2,'LPG Fup'!D:D,'LPG Fup'!M:M,"",0)&lt;&gt;"",_xlfn.XLOOKUP(A379-2,'LPG Fup'!D:D,'LPG Fup'!M:M,"",0)&gt;0),"Z+1"),0)</f>
        <v>0</v>
      </c>
      <c r="Q379" cm="1">
        <f t="array" ref="Q379">_xlfn.IFNA(_xlfn.IFS(AND(_xlfn.XLOOKUP(A379,'LPG Fup'!D:D,'LPG Fup'!M:M,"",0)&lt;&gt;"",_xlfn.XLOOKUP(A379,'LPG Fup'!D:D,'LPG Fup'!M:M,"",0)&lt;0),"I-1", AND(_xlfn.XLOOKUP(A379+1,'LPG Fup'!D:D,'LPG Fup'!M:M,"",0)&lt;&gt;"",_xlfn.XLOOKUP(A379+1,'LPG Fup'!D:D,'LPG Fup'!M:M,"",0)&lt;0),"I-2", AND(_xlfn.XLOOKUP(A379-1,'LPG Fup'!D:D,'LPG Fup'!M:M,"",0)&lt;&gt;"",_xlfn.XLOOKUP(A379-1,'LPG Fup'!D:D,'LPG Fup'!M:M,"",0)&lt;0),"I", AND(_xlfn.XLOOKUP(A379-2,'LPG Fup'!D:D,'LPG Fup'!M:M,"",0)&lt;&gt;"",_xlfn.XLOOKUP(A379-2,'LPG Fup'!D:D,'LPG Fup'!M:M,"",0)&lt;0),"I+1"),0)</f>
        <v>0</v>
      </c>
      <c r="R379">
        <f>_xlfn.XLOOKUP(A379,Covid!A:A,Covid!I:I,0,0)</f>
        <v>454</v>
      </c>
      <c r="S379">
        <f>_xlfn.XLOOKUP(A379,Covid!A:A,Covid!K:K,0,0)</f>
        <v>53</v>
      </c>
      <c r="T379" s="145">
        <f>_xlfn.XLOOKUP(A379,Covid!A:A,Covid!K:K,0,0)/_xlfn.XLOOKUP(A379,Covid!A:A,Covid!L:L,0,0)</f>
        <v>1.2637100619933238E-2</v>
      </c>
    </row>
    <row r="380" spans="1:20" x14ac:dyDescent="0.55000000000000004">
      <c r="A380" s="157">
        <v>44361</v>
      </c>
      <c r="B380" s="13">
        <v>1551040</v>
      </c>
      <c r="C380" s="13">
        <v>373635</v>
      </c>
      <c r="D380" s="13">
        <v>1740</v>
      </c>
      <c r="E380" s="13">
        <v>523509</v>
      </c>
      <c r="F380" s="13">
        <v>2449924</v>
      </c>
      <c r="G380">
        <f>IF(OR(_xlfn.XLOOKUP(A380,'LPG Fup'!D:D,'LPG Fup'!L:L,"",0)&gt;0.03,_xlfn.XLOOKUP(A380,'LPG Fup'!D:D,'LPG Fup'!L:L,"",0)&lt;-0.03),_xlfn.XLOOKUP(A380,'LPG Fup'!D:D,'LPG Fup'!L:L,0,0),0)</f>
        <v>0</v>
      </c>
      <c r="H380">
        <f>IF(_xlfn.XLOOKUP(A380,'LPG Fup'!D:D,'LPG Fup'!M:M,0,0)="",0,_xlfn.XLOOKUP(A380,'LPG Fup'!D:D,'LPG Fup'!M:M,0,0))</f>
        <v>0</v>
      </c>
      <c r="I380" s="109">
        <f>_xlfn.XLOOKUP(A380,'Rafineri Fiyatları'!A:A,'Rafineri Fiyatları'!B:B,"",0)</f>
        <v>4996.9704700000002</v>
      </c>
      <c r="J380">
        <f t="shared" si="20"/>
        <v>2021</v>
      </c>
      <c r="K380">
        <f t="shared" si="21"/>
        <v>6</v>
      </c>
      <c r="L380">
        <f t="shared" si="22"/>
        <v>14</v>
      </c>
      <c r="M380">
        <f t="shared" si="23"/>
        <v>2</v>
      </c>
      <c r="N380">
        <f>_xlfn.XLOOKUP(A380,tatiller!H:H,tatiller!I:I,0,0)</f>
        <v>0</v>
      </c>
      <c r="O380" cm="1">
        <f t="array" ref="O380">_xlfn.IFNA(_xlfn.IFS(L380=1,"A0",A380=EOMONTH(A380,0),"A-1",L380=2,"A+1"),0)</f>
        <v>0</v>
      </c>
      <c r="P380" cm="1">
        <f t="array" ref="P380">_xlfn.IFNA(_xlfn.IFS(AND(_xlfn.XLOOKUP(A380,'LPG Fup'!D:D,'LPG Fup'!M:M,"",0)&lt;&gt;"",_xlfn.XLOOKUP(A380,'LPG Fup'!D:D,'LPG Fup'!M:M,"",0)&gt;0),"Z-1", AND(_xlfn.XLOOKUP(A380+1,'LPG Fup'!D:D,'LPG Fup'!M:M,"",0)&lt;&gt;"",_xlfn.XLOOKUP(A380+1,'LPG Fup'!D:D,'LPG Fup'!M:M,"",0)&gt;0),"Z-2", AND(_xlfn.XLOOKUP(A380-1,'LPG Fup'!D:D,'LPG Fup'!M:M,"",0)&lt;&gt;"",_xlfn.XLOOKUP(A380-1,'LPG Fup'!D:D,'LPG Fup'!M:M,"",0)&gt;0),"Z", AND(_xlfn.XLOOKUP(A380-2,'LPG Fup'!D:D,'LPG Fup'!M:M,"",0)&lt;&gt;"",_xlfn.XLOOKUP(A380-2,'LPG Fup'!D:D,'LPG Fup'!M:M,"",0)&gt;0),"Z+1"),0)</f>
        <v>0</v>
      </c>
      <c r="Q380" cm="1">
        <f t="array" ref="Q380">_xlfn.IFNA(_xlfn.IFS(AND(_xlfn.XLOOKUP(A380,'LPG Fup'!D:D,'LPG Fup'!M:M,"",0)&lt;&gt;"",_xlfn.XLOOKUP(A380,'LPG Fup'!D:D,'LPG Fup'!M:M,"",0)&lt;0),"I-1", AND(_xlfn.XLOOKUP(A380+1,'LPG Fup'!D:D,'LPG Fup'!M:M,"",0)&lt;&gt;"",_xlfn.XLOOKUP(A380+1,'LPG Fup'!D:D,'LPG Fup'!M:M,"",0)&lt;0),"I-2", AND(_xlfn.XLOOKUP(A380-1,'LPG Fup'!D:D,'LPG Fup'!M:M,"",0)&lt;&gt;"",_xlfn.XLOOKUP(A380-1,'LPG Fup'!D:D,'LPG Fup'!M:M,"",0)&lt;0),"I", AND(_xlfn.XLOOKUP(A380-2,'LPG Fup'!D:D,'LPG Fup'!M:M,"",0)&lt;&gt;"",_xlfn.XLOOKUP(A380-2,'LPG Fup'!D:D,'LPG Fup'!M:M,"",0)&lt;0),"I+1"),0)</f>
        <v>0</v>
      </c>
      <c r="R380">
        <f>_xlfn.XLOOKUP(A380,Covid!A:A,Covid!I:I,0,0)</f>
        <v>428</v>
      </c>
      <c r="S380">
        <f>_xlfn.XLOOKUP(A380,Covid!A:A,Covid!K:K,0,0)</f>
        <v>74</v>
      </c>
      <c r="T380" s="145">
        <f>_xlfn.XLOOKUP(A380,Covid!A:A,Covid!K:K,0,0)/_xlfn.XLOOKUP(A380,Covid!A:A,Covid!L:L,0,0)</f>
        <v>1.6139585605234461E-2</v>
      </c>
    </row>
    <row r="381" spans="1:20" x14ac:dyDescent="0.55000000000000004">
      <c r="A381" s="157">
        <v>44362</v>
      </c>
      <c r="B381" s="13">
        <v>1015920</v>
      </c>
      <c r="C381" s="13">
        <v>409794</v>
      </c>
      <c r="D381" s="13">
        <v>9481</v>
      </c>
      <c r="E381" s="13">
        <v>504642</v>
      </c>
      <c r="F381" s="13">
        <v>1939837</v>
      </c>
      <c r="G381">
        <f>IF(OR(_xlfn.XLOOKUP(A381,'LPG Fup'!D:D,'LPG Fup'!L:L,"",0)&gt;0.03,_xlfn.XLOOKUP(A381,'LPG Fup'!D:D,'LPG Fup'!L:L,"",0)&lt;-0.03),_xlfn.XLOOKUP(A381,'LPG Fup'!D:D,'LPG Fup'!L:L,0,0),0)</f>
        <v>0</v>
      </c>
      <c r="H381">
        <f>IF(_xlfn.XLOOKUP(A381,'LPG Fup'!D:D,'LPG Fup'!M:M,0,0)="",0,_xlfn.XLOOKUP(A381,'LPG Fup'!D:D,'LPG Fup'!M:M,0,0))</f>
        <v>0</v>
      </c>
      <c r="I381" s="109">
        <f>_xlfn.XLOOKUP(A381,'Rafineri Fiyatları'!A:A,'Rafineri Fiyatları'!B:B,"",0)</f>
        <v>4996.9704700000002</v>
      </c>
      <c r="J381">
        <f t="shared" si="20"/>
        <v>2021</v>
      </c>
      <c r="K381">
        <f t="shared" si="21"/>
        <v>6</v>
      </c>
      <c r="L381">
        <f t="shared" si="22"/>
        <v>15</v>
      </c>
      <c r="M381">
        <f t="shared" si="23"/>
        <v>3</v>
      </c>
      <c r="N381">
        <f>_xlfn.XLOOKUP(A381,tatiller!H:H,tatiller!I:I,0,0)</f>
        <v>0</v>
      </c>
      <c r="O381" cm="1">
        <f t="array" ref="O381">_xlfn.IFNA(_xlfn.IFS(L381=1,"A0",A381=EOMONTH(A381,0),"A-1",L381=2,"A+1"),0)</f>
        <v>0</v>
      </c>
      <c r="P381" cm="1">
        <f t="array" ref="P381">_xlfn.IFNA(_xlfn.IFS(AND(_xlfn.XLOOKUP(A381,'LPG Fup'!D:D,'LPG Fup'!M:M,"",0)&lt;&gt;"",_xlfn.XLOOKUP(A381,'LPG Fup'!D:D,'LPG Fup'!M:M,"",0)&gt;0),"Z-1", AND(_xlfn.XLOOKUP(A381+1,'LPG Fup'!D:D,'LPG Fup'!M:M,"",0)&lt;&gt;"",_xlfn.XLOOKUP(A381+1,'LPG Fup'!D:D,'LPG Fup'!M:M,"",0)&gt;0),"Z-2", AND(_xlfn.XLOOKUP(A381-1,'LPG Fup'!D:D,'LPG Fup'!M:M,"",0)&lt;&gt;"",_xlfn.XLOOKUP(A381-1,'LPG Fup'!D:D,'LPG Fup'!M:M,"",0)&gt;0),"Z", AND(_xlfn.XLOOKUP(A381-2,'LPG Fup'!D:D,'LPG Fup'!M:M,"",0)&lt;&gt;"",_xlfn.XLOOKUP(A381-2,'LPG Fup'!D:D,'LPG Fup'!M:M,"",0)&gt;0),"Z+1"),0)</f>
        <v>0</v>
      </c>
      <c r="Q381" cm="1">
        <f t="array" ref="Q381">_xlfn.IFNA(_xlfn.IFS(AND(_xlfn.XLOOKUP(A381,'LPG Fup'!D:D,'LPG Fup'!M:M,"",0)&lt;&gt;"",_xlfn.XLOOKUP(A381,'LPG Fup'!D:D,'LPG Fup'!M:M,"",0)&lt;0),"I-1", AND(_xlfn.XLOOKUP(A381+1,'LPG Fup'!D:D,'LPG Fup'!M:M,"",0)&lt;&gt;"",_xlfn.XLOOKUP(A381+1,'LPG Fup'!D:D,'LPG Fup'!M:M,"",0)&lt;0),"I-2", AND(_xlfn.XLOOKUP(A381-1,'LPG Fup'!D:D,'LPG Fup'!M:M,"",0)&lt;&gt;"",_xlfn.XLOOKUP(A381-1,'LPG Fup'!D:D,'LPG Fup'!M:M,"",0)&lt;0),"I", AND(_xlfn.XLOOKUP(A381-2,'LPG Fup'!D:D,'LPG Fup'!M:M,"",0)&lt;&gt;"",_xlfn.XLOOKUP(A381-2,'LPG Fup'!D:D,'LPG Fup'!M:M,"",0)&lt;0),"I+1"),0)</f>
        <v>0</v>
      </c>
      <c r="R381">
        <f>_xlfn.XLOOKUP(A381,Covid!A:A,Covid!I:I,0,0)</f>
        <v>532</v>
      </c>
      <c r="S381">
        <f>_xlfn.XLOOKUP(A381,Covid!A:A,Covid!K:K,0,0)</f>
        <v>84</v>
      </c>
      <c r="T381" s="145">
        <f>_xlfn.XLOOKUP(A381,Covid!A:A,Covid!K:K,0,0)/_xlfn.XLOOKUP(A381,Covid!A:A,Covid!L:L,0,0)</f>
        <v>2.0066889632107024E-2</v>
      </c>
    </row>
    <row r="382" spans="1:20" x14ac:dyDescent="0.55000000000000004">
      <c r="A382" s="157">
        <v>44363</v>
      </c>
      <c r="B382" s="13">
        <v>1388000</v>
      </c>
      <c r="C382" s="13">
        <v>422148</v>
      </c>
      <c r="D382" s="13">
        <v>9056</v>
      </c>
      <c r="E382" s="13">
        <v>495683</v>
      </c>
      <c r="F382" s="13">
        <v>2314887</v>
      </c>
      <c r="G382">
        <f>IF(OR(_xlfn.XLOOKUP(A382,'LPG Fup'!D:D,'LPG Fup'!L:L,"",0)&gt;0.03,_xlfn.XLOOKUP(A382,'LPG Fup'!D:D,'LPG Fup'!L:L,"",0)&lt;-0.03),_xlfn.XLOOKUP(A382,'LPG Fup'!D:D,'LPG Fup'!L:L,0,0),0)</f>
        <v>0</v>
      </c>
      <c r="H382">
        <f>IF(_xlfn.XLOOKUP(A382,'LPG Fup'!D:D,'LPG Fup'!M:M,0,0)="",0,_xlfn.XLOOKUP(A382,'LPG Fup'!D:D,'LPG Fup'!M:M,0,0))</f>
        <v>0</v>
      </c>
      <c r="I382" s="109">
        <f>_xlfn.XLOOKUP(A382,'Rafineri Fiyatları'!A:A,'Rafineri Fiyatları'!B:B,"",0)</f>
        <v>4996.9704700000002</v>
      </c>
      <c r="J382">
        <f t="shared" si="20"/>
        <v>2021</v>
      </c>
      <c r="K382">
        <f t="shared" si="21"/>
        <v>6</v>
      </c>
      <c r="L382">
        <f t="shared" si="22"/>
        <v>16</v>
      </c>
      <c r="M382">
        <f t="shared" si="23"/>
        <v>4</v>
      </c>
      <c r="N382">
        <f>_xlfn.XLOOKUP(A382,tatiller!H:H,tatiller!I:I,0,0)</f>
        <v>0</v>
      </c>
      <c r="O382" cm="1">
        <f t="array" ref="O382">_xlfn.IFNA(_xlfn.IFS(L382=1,"A0",A382=EOMONTH(A382,0),"A-1",L382=2,"A+1"),0)</f>
        <v>0</v>
      </c>
      <c r="P382" cm="1">
        <f t="array" ref="P382">_xlfn.IFNA(_xlfn.IFS(AND(_xlfn.XLOOKUP(A382,'LPG Fup'!D:D,'LPG Fup'!M:M,"",0)&lt;&gt;"",_xlfn.XLOOKUP(A382,'LPG Fup'!D:D,'LPG Fup'!M:M,"",0)&gt;0),"Z-1", AND(_xlfn.XLOOKUP(A382+1,'LPG Fup'!D:D,'LPG Fup'!M:M,"",0)&lt;&gt;"",_xlfn.XLOOKUP(A382+1,'LPG Fup'!D:D,'LPG Fup'!M:M,"",0)&gt;0),"Z-2", AND(_xlfn.XLOOKUP(A382-1,'LPG Fup'!D:D,'LPG Fup'!M:M,"",0)&lt;&gt;"",_xlfn.XLOOKUP(A382-1,'LPG Fup'!D:D,'LPG Fup'!M:M,"",0)&gt;0),"Z", AND(_xlfn.XLOOKUP(A382-2,'LPG Fup'!D:D,'LPG Fup'!M:M,"",0)&lt;&gt;"",_xlfn.XLOOKUP(A382-2,'LPG Fup'!D:D,'LPG Fup'!M:M,"",0)&gt;0),"Z+1"),0)</f>
        <v>0</v>
      </c>
      <c r="Q382" cm="1">
        <f t="array" ref="Q382">_xlfn.IFNA(_xlfn.IFS(AND(_xlfn.XLOOKUP(A382,'LPG Fup'!D:D,'LPG Fup'!M:M,"",0)&lt;&gt;"",_xlfn.XLOOKUP(A382,'LPG Fup'!D:D,'LPG Fup'!M:M,"",0)&lt;0),"I-1", AND(_xlfn.XLOOKUP(A382+1,'LPG Fup'!D:D,'LPG Fup'!M:M,"",0)&lt;&gt;"",_xlfn.XLOOKUP(A382+1,'LPG Fup'!D:D,'LPG Fup'!M:M,"",0)&lt;0),"I-2", AND(_xlfn.XLOOKUP(A382-1,'LPG Fup'!D:D,'LPG Fup'!M:M,"",0)&lt;&gt;"",_xlfn.XLOOKUP(A382-1,'LPG Fup'!D:D,'LPG Fup'!M:M,"",0)&lt;0),"I", AND(_xlfn.XLOOKUP(A382-2,'LPG Fup'!D:D,'LPG Fup'!M:M,"",0)&lt;&gt;"",_xlfn.XLOOKUP(A382-2,'LPG Fup'!D:D,'LPG Fup'!M:M,"",0)&lt;0),"I+1"),0)</f>
        <v>0</v>
      </c>
      <c r="R382">
        <f>_xlfn.XLOOKUP(A382,Covid!A:A,Covid!I:I,0,0)</f>
        <v>548</v>
      </c>
      <c r="S382">
        <f>_xlfn.XLOOKUP(A382,Covid!A:A,Covid!K:K,0,0)</f>
        <v>71</v>
      </c>
      <c r="T382" s="145">
        <f>_xlfn.XLOOKUP(A382,Covid!A:A,Covid!K:K,0,0)/_xlfn.XLOOKUP(A382,Covid!A:A,Covid!L:L,0,0)</f>
        <v>1.5328151986183074E-2</v>
      </c>
    </row>
    <row r="383" spans="1:20" x14ac:dyDescent="0.55000000000000004">
      <c r="A383" s="157">
        <v>44364</v>
      </c>
      <c r="B383" s="13">
        <v>1124440</v>
      </c>
      <c r="C383" s="13">
        <v>385492</v>
      </c>
      <c r="D383" s="13">
        <v>3830</v>
      </c>
      <c r="E383" s="13">
        <v>520505</v>
      </c>
      <c r="F383" s="13">
        <v>2034267</v>
      </c>
      <c r="G383">
        <f>IF(OR(_xlfn.XLOOKUP(A383,'LPG Fup'!D:D,'LPG Fup'!L:L,"",0)&gt;0.03,_xlfn.XLOOKUP(A383,'LPG Fup'!D:D,'LPG Fup'!L:L,"",0)&lt;-0.03),_xlfn.XLOOKUP(A383,'LPG Fup'!D:D,'LPG Fup'!L:L,0,0),0)</f>
        <v>0</v>
      </c>
      <c r="H383">
        <f>IF(_xlfn.XLOOKUP(A383,'LPG Fup'!D:D,'LPG Fup'!M:M,0,0)="",0,_xlfn.XLOOKUP(A383,'LPG Fup'!D:D,'LPG Fup'!M:M,0,0))</f>
        <v>0</v>
      </c>
      <c r="I383" s="109">
        <f>_xlfn.XLOOKUP(A383,'Rafineri Fiyatları'!A:A,'Rafineri Fiyatları'!B:B,"",0)</f>
        <v>4996.9704700000002</v>
      </c>
      <c r="J383">
        <f t="shared" si="20"/>
        <v>2021</v>
      </c>
      <c r="K383">
        <f t="shared" si="21"/>
        <v>6</v>
      </c>
      <c r="L383">
        <f t="shared" si="22"/>
        <v>17</v>
      </c>
      <c r="M383">
        <f t="shared" si="23"/>
        <v>5</v>
      </c>
      <c r="N383">
        <f>_xlfn.XLOOKUP(A383,tatiller!H:H,tatiller!I:I,0,0)</f>
        <v>0</v>
      </c>
      <c r="O383" cm="1">
        <f t="array" ref="O383">_xlfn.IFNA(_xlfn.IFS(L383=1,"A0",A383=EOMONTH(A383,0),"A-1",L383=2,"A+1"),0)</f>
        <v>0</v>
      </c>
      <c r="P383" cm="1">
        <f t="array" ref="P383">_xlfn.IFNA(_xlfn.IFS(AND(_xlfn.XLOOKUP(A383,'LPG Fup'!D:D,'LPG Fup'!M:M,"",0)&lt;&gt;"",_xlfn.XLOOKUP(A383,'LPG Fup'!D:D,'LPG Fup'!M:M,"",0)&gt;0),"Z-1", AND(_xlfn.XLOOKUP(A383+1,'LPG Fup'!D:D,'LPG Fup'!M:M,"",0)&lt;&gt;"",_xlfn.XLOOKUP(A383+1,'LPG Fup'!D:D,'LPG Fup'!M:M,"",0)&gt;0),"Z-2", AND(_xlfn.XLOOKUP(A383-1,'LPG Fup'!D:D,'LPG Fup'!M:M,"",0)&lt;&gt;"",_xlfn.XLOOKUP(A383-1,'LPG Fup'!D:D,'LPG Fup'!M:M,"",0)&gt;0),"Z", AND(_xlfn.XLOOKUP(A383-2,'LPG Fup'!D:D,'LPG Fup'!M:M,"",0)&lt;&gt;"",_xlfn.XLOOKUP(A383-2,'LPG Fup'!D:D,'LPG Fup'!M:M,"",0)&gt;0),"Z+1"),0)</f>
        <v>0</v>
      </c>
      <c r="Q383" cm="1">
        <f t="array" ref="Q383">_xlfn.IFNA(_xlfn.IFS(AND(_xlfn.XLOOKUP(A383,'LPG Fup'!D:D,'LPG Fup'!M:M,"",0)&lt;&gt;"",_xlfn.XLOOKUP(A383,'LPG Fup'!D:D,'LPG Fup'!M:M,"",0)&lt;0),"I-1", AND(_xlfn.XLOOKUP(A383+1,'LPG Fup'!D:D,'LPG Fup'!M:M,"",0)&lt;&gt;"",_xlfn.XLOOKUP(A383+1,'LPG Fup'!D:D,'LPG Fup'!M:M,"",0)&lt;0),"I-2", AND(_xlfn.XLOOKUP(A383-1,'LPG Fup'!D:D,'LPG Fup'!M:M,"",0)&lt;&gt;"",_xlfn.XLOOKUP(A383-1,'LPG Fup'!D:D,'LPG Fup'!M:M,"",0)&lt;0),"I", AND(_xlfn.XLOOKUP(A383-2,'LPG Fup'!D:D,'LPG Fup'!M:M,"",0)&lt;&gt;"",_xlfn.XLOOKUP(A383-2,'LPG Fup'!D:D,'LPG Fup'!M:M,"",0)&lt;0),"I+1"),0)</f>
        <v>0</v>
      </c>
      <c r="R383">
        <f>_xlfn.XLOOKUP(A383,Covid!A:A,Covid!I:I,0,0)</f>
        <v>509</v>
      </c>
      <c r="S383">
        <f>_xlfn.XLOOKUP(A383,Covid!A:A,Covid!K:K,0,0)</f>
        <v>62</v>
      </c>
      <c r="T383" s="145">
        <f>_xlfn.XLOOKUP(A383,Covid!A:A,Covid!K:K,0,0)/_xlfn.XLOOKUP(A383,Covid!A:A,Covid!L:L,0,0)</f>
        <v>1.4965001206854936E-2</v>
      </c>
    </row>
    <row r="384" spans="1:20" x14ac:dyDescent="0.55000000000000004">
      <c r="A384" s="157">
        <v>44365</v>
      </c>
      <c r="B384" s="13">
        <v>1311580</v>
      </c>
      <c r="C384" s="13">
        <v>454234</v>
      </c>
      <c r="D384" s="13">
        <v>12722</v>
      </c>
      <c r="E384" s="13">
        <v>527916</v>
      </c>
      <c r="F384" s="13">
        <v>2306452</v>
      </c>
      <c r="G384">
        <f>IF(OR(_xlfn.XLOOKUP(A384,'LPG Fup'!D:D,'LPG Fup'!L:L,"",0)&gt;0.03,_xlfn.XLOOKUP(A384,'LPG Fup'!D:D,'LPG Fup'!L:L,"",0)&lt;-0.03),_xlfn.XLOOKUP(A384,'LPG Fup'!D:D,'LPG Fup'!L:L,0,0),0)</f>
        <v>0</v>
      </c>
      <c r="H384">
        <f>IF(_xlfn.XLOOKUP(A384,'LPG Fup'!D:D,'LPG Fup'!M:M,0,0)="",0,_xlfn.XLOOKUP(A384,'LPG Fup'!D:D,'LPG Fup'!M:M,0,0))</f>
        <v>0</v>
      </c>
      <c r="I384" s="109">
        <f>_xlfn.XLOOKUP(A384,'Rafineri Fiyatları'!A:A,'Rafineri Fiyatları'!B:B,"",0)</f>
        <v>4996.9704700000002</v>
      </c>
      <c r="J384">
        <f t="shared" si="20"/>
        <v>2021</v>
      </c>
      <c r="K384">
        <f t="shared" si="21"/>
        <v>6</v>
      </c>
      <c r="L384">
        <f t="shared" si="22"/>
        <v>18</v>
      </c>
      <c r="M384">
        <f t="shared" si="23"/>
        <v>6</v>
      </c>
      <c r="N384">
        <f>_xlfn.XLOOKUP(A384,tatiller!H:H,tatiller!I:I,0,0)</f>
        <v>0</v>
      </c>
      <c r="O384" cm="1">
        <f t="array" ref="O384">_xlfn.IFNA(_xlfn.IFS(L384=1,"A0",A384=EOMONTH(A384,0),"A-1",L384=2,"A+1"),0)</f>
        <v>0</v>
      </c>
      <c r="P384" cm="1">
        <f t="array" ref="P384">_xlfn.IFNA(_xlfn.IFS(AND(_xlfn.XLOOKUP(A384,'LPG Fup'!D:D,'LPG Fup'!M:M,"",0)&lt;&gt;"",_xlfn.XLOOKUP(A384,'LPG Fup'!D:D,'LPG Fup'!M:M,"",0)&gt;0),"Z-1", AND(_xlfn.XLOOKUP(A384+1,'LPG Fup'!D:D,'LPG Fup'!M:M,"",0)&lt;&gt;"",_xlfn.XLOOKUP(A384+1,'LPG Fup'!D:D,'LPG Fup'!M:M,"",0)&gt;0),"Z-2", AND(_xlfn.XLOOKUP(A384-1,'LPG Fup'!D:D,'LPG Fup'!M:M,"",0)&lt;&gt;"",_xlfn.XLOOKUP(A384-1,'LPG Fup'!D:D,'LPG Fup'!M:M,"",0)&gt;0),"Z", AND(_xlfn.XLOOKUP(A384-2,'LPG Fup'!D:D,'LPG Fup'!M:M,"",0)&lt;&gt;"",_xlfn.XLOOKUP(A384-2,'LPG Fup'!D:D,'LPG Fup'!M:M,"",0)&gt;0),"Z+1"),0)</f>
        <v>0</v>
      </c>
      <c r="Q384" cm="1">
        <f t="array" ref="Q384">_xlfn.IFNA(_xlfn.IFS(AND(_xlfn.XLOOKUP(A384,'LPG Fup'!D:D,'LPG Fup'!M:M,"",0)&lt;&gt;"",_xlfn.XLOOKUP(A384,'LPG Fup'!D:D,'LPG Fup'!M:M,"",0)&lt;0),"I-1", AND(_xlfn.XLOOKUP(A384+1,'LPG Fup'!D:D,'LPG Fup'!M:M,"",0)&lt;&gt;"",_xlfn.XLOOKUP(A384+1,'LPG Fup'!D:D,'LPG Fup'!M:M,"",0)&lt;0),"I-2", AND(_xlfn.XLOOKUP(A384-1,'LPG Fup'!D:D,'LPG Fup'!M:M,"",0)&lt;&gt;"",_xlfn.XLOOKUP(A384-1,'LPG Fup'!D:D,'LPG Fup'!M:M,"",0)&lt;0),"I", AND(_xlfn.XLOOKUP(A384-2,'LPG Fup'!D:D,'LPG Fup'!M:M,"",0)&lt;&gt;"",_xlfn.XLOOKUP(A384-2,'LPG Fup'!D:D,'LPG Fup'!M:M,"",0)&lt;0),"I+1"),0)</f>
        <v>0</v>
      </c>
      <c r="R384">
        <f>_xlfn.XLOOKUP(A384,Covid!A:A,Covid!I:I,0,0)</f>
        <v>497</v>
      </c>
      <c r="S384">
        <f>_xlfn.XLOOKUP(A384,Covid!A:A,Covid!K:K,0,0)</f>
        <v>59</v>
      </c>
      <c r="T384" s="145">
        <f>_xlfn.XLOOKUP(A384,Covid!A:A,Covid!K:K,0,0)/_xlfn.XLOOKUP(A384,Covid!A:A,Covid!L:L,0,0)</f>
        <v>1.3327309690535352E-2</v>
      </c>
    </row>
    <row r="385" spans="1:20" x14ac:dyDescent="0.55000000000000004">
      <c r="A385" s="157">
        <v>44366</v>
      </c>
      <c r="B385" s="13">
        <v>1036580</v>
      </c>
      <c r="C385" s="13">
        <v>234536</v>
      </c>
      <c r="D385" s="13">
        <v>0</v>
      </c>
      <c r="E385" s="13">
        <v>600252</v>
      </c>
      <c r="F385" s="13">
        <v>4071321</v>
      </c>
      <c r="G385">
        <f>IF(OR(_xlfn.XLOOKUP(A385,'LPG Fup'!D:D,'LPG Fup'!L:L,"",0)&gt;0.03,_xlfn.XLOOKUP(A385,'LPG Fup'!D:D,'LPG Fup'!L:L,"",0)&lt;-0.03),_xlfn.XLOOKUP(A385,'LPG Fup'!D:D,'LPG Fup'!L:L,0,0),0)</f>
        <v>0</v>
      </c>
      <c r="H385">
        <f>IF(_xlfn.XLOOKUP(A385,'LPG Fup'!D:D,'LPG Fup'!M:M,0,0)="",0,_xlfn.XLOOKUP(A385,'LPG Fup'!D:D,'LPG Fup'!M:M,0,0))</f>
        <v>0</v>
      </c>
      <c r="I385" s="109">
        <f>_xlfn.XLOOKUP(A385,'Rafineri Fiyatları'!A:A,'Rafineri Fiyatları'!B:B,"",0)</f>
        <v>4996.9704700000002</v>
      </c>
      <c r="J385">
        <f t="shared" si="20"/>
        <v>2021</v>
      </c>
      <c r="K385">
        <f t="shared" si="21"/>
        <v>6</v>
      </c>
      <c r="L385">
        <f t="shared" si="22"/>
        <v>19</v>
      </c>
      <c r="M385">
        <f t="shared" si="23"/>
        <v>7</v>
      </c>
      <c r="N385">
        <f>_xlfn.XLOOKUP(A385,tatiller!H:H,tatiller!I:I,0,0)</f>
        <v>0</v>
      </c>
      <c r="O385" cm="1">
        <f t="array" ref="O385">_xlfn.IFNA(_xlfn.IFS(L385=1,"A0",A385=EOMONTH(A385,0),"A-1",L385=2,"A+1"),0)</f>
        <v>0</v>
      </c>
      <c r="P385" cm="1">
        <f t="array" ref="P385">_xlfn.IFNA(_xlfn.IFS(AND(_xlfn.XLOOKUP(A385,'LPG Fup'!D:D,'LPG Fup'!M:M,"",0)&lt;&gt;"",_xlfn.XLOOKUP(A385,'LPG Fup'!D:D,'LPG Fup'!M:M,"",0)&gt;0),"Z-1", AND(_xlfn.XLOOKUP(A385+1,'LPG Fup'!D:D,'LPG Fup'!M:M,"",0)&lt;&gt;"",_xlfn.XLOOKUP(A385+1,'LPG Fup'!D:D,'LPG Fup'!M:M,"",0)&gt;0),"Z-2", AND(_xlfn.XLOOKUP(A385-1,'LPG Fup'!D:D,'LPG Fup'!M:M,"",0)&lt;&gt;"",_xlfn.XLOOKUP(A385-1,'LPG Fup'!D:D,'LPG Fup'!M:M,"",0)&gt;0),"Z", AND(_xlfn.XLOOKUP(A385-2,'LPG Fup'!D:D,'LPG Fup'!M:M,"",0)&lt;&gt;"",_xlfn.XLOOKUP(A385-2,'LPG Fup'!D:D,'LPG Fup'!M:M,"",0)&gt;0),"Z+1"),0)</f>
        <v>0</v>
      </c>
      <c r="Q385" cm="1">
        <f t="array" ref="Q385">_xlfn.IFNA(_xlfn.IFS(AND(_xlfn.XLOOKUP(A385,'LPG Fup'!D:D,'LPG Fup'!M:M,"",0)&lt;&gt;"",_xlfn.XLOOKUP(A385,'LPG Fup'!D:D,'LPG Fup'!M:M,"",0)&lt;0),"I-1", AND(_xlfn.XLOOKUP(A385+1,'LPG Fup'!D:D,'LPG Fup'!M:M,"",0)&lt;&gt;"",_xlfn.XLOOKUP(A385+1,'LPG Fup'!D:D,'LPG Fup'!M:M,"",0)&lt;0),"I-2", AND(_xlfn.XLOOKUP(A385-1,'LPG Fup'!D:D,'LPG Fup'!M:M,"",0)&lt;&gt;"",_xlfn.XLOOKUP(A385-1,'LPG Fup'!D:D,'LPG Fup'!M:M,"",0)&lt;0),"I", AND(_xlfn.XLOOKUP(A385-2,'LPG Fup'!D:D,'LPG Fup'!M:M,"",0)&lt;&gt;"",_xlfn.XLOOKUP(A385-2,'LPG Fup'!D:D,'LPG Fup'!M:M,"",0)&lt;0),"I+1"),0)</f>
        <v>0</v>
      </c>
      <c r="R385">
        <f>_xlfn.XLOOKUP(A385,Covid!A:A,Covid!I:I,0,0)</f>
        <v>494</v>
      </c>
      <c r="S385">
        <f>_xlfn.XLOOKUP(A385,Covid!A:A,Covid!K:K,0,0)</f>
        <v>51</v>
      </c>
      <c r="T385" s="145">
        <f>_xlfn.XLOOKUP(A385,Covid!A:A,Covid!K:K,0,0)/_xlfn.XLOOKUP(A385,Covid!A:A,Covid!L:L,0,0)</f>
        <v>1.2157330154946364E-2</v>
      </c>
    </row>
    <row r="386" spans="1:20" x14ac:dyDescent="0.55000000000000004">
      <c r="A386" s="157">
        <v>44367</v>
      </c>
      <c r="B386" s="13">
        <v>692780</v>
      </c>
      <c r="C386" s="13">
        <v>0</v>
      </c>
      <c r="D386" s="13">
        <v>0</v>
      </c>
      <c r="E386" s="13">
        <v>309099</v>
      </c>
      <c r="F386" s="13">
        <v>1001879</v>
      </c>
      <c r="G386">
        <f>IF(OR(_xlfn.XLOOKUP(A386,'LPG Fup'!D:D,'LPG Fup'!L:L,"",0)&gt;0.03,_xlfn.XLOOKUP(A386,'LPG Fup'!D:D,'LPG Fup'!L:L,"",0)&lt;-0.03),_xlfn.XLOOKUP(A386,'LPG Fup'!D:D,'LPG Fup'!L:L,0,0),0)</f>
        <v>0</v>
      </c>
      <c r="H386">
        <f>IF(_xlfn.XLOOKUP(A386,'LPG Fup'!D:D,'LPG Fup'!M:M,0,0)="",0,_xlfn.XLOOKUP(A386,'LPG Fup'!D:D,'LPG Fup'!M:M,0,0))</f>
        <v>0</v>
      </c>
      <c r="I386" s="109">
        <f>_xlfn.XLOOKUP(A386,'Rafineri Fiyatları'!A:A,'Rafineri Fiyatları'!B:B,"",0)</f>
        <v>4996.9704700000002</v>
      </c>
      <c r="J386">
        <f t="shared" ref="J386:J449" si="24">YEAR(A386)</f>
        <v>2021</v>
      </c>
      <c r="K386">
        <f t="shared" ref="K386:K449" si="25">MONTH(A386)</f>
        <v>6</v>
      </c>
      <c r="L386">
        <f t="shared" ref="L386:L449" si="26">DAY(A386)</f>
        <v>20</v>
      </c>
      <c r="M386">
        <f t="shared" ref="M386:M449" si="27">WEEKDAY(A386)</f>
        <v>1</v>
      </c>
      <c r="N386">
        <f>_xlfn.XLOOKUP(A386,tatiller!H:H,tatiller!I:I,0,0)</f>
        <v>0</v>
      </c>
      <c r="O386" cm="1">
        <f t="array" ref="O386">_xlfn.IFNA(_xlfn.IFS(L386=1,"A0",A386=EOMONTH(A386,0),"A-1",L386=2,"A+1"),0)</f>
        <v>0</v>
      </c>
      <c r="P386" cm="1">
        <f t="array" ref="P386">_xlfn.IFNA(_xlfn.IFS(AND(_xlfn.XLOOKUP(A386,'LPG Fup'!D:D,'LPG Fup'!M:M,"",0)&lt;&gt;"",_xlfn.XLOOKUP(A386,'LPG Fup'!D:D,'LPG Fup'!M:M,"",0)&gt;0),"Z-1", AND(_xlfn.XLOOKUP(A386+1,'LPG Fup'!D:D,'LPG Fup'!M:M,"",0)&lt;&gt;"",_xlfn.XLOOKUP(A386+1,'LPG Fup'!D:D,'LPG Fup'!M:M,"",0)&gt;0),"Z-2", AND(_xlfn.XLOOKUP(A386-1,'LPG Fup'!D:D,'LPG Fup'!M:M,"",0)&lt;&gt;"",_xlfn.XLOOKUP(A386-1,'LPG Fup'!D:D,'LPG Fup'!M:M,"",0)&gt;0),"Z", AND(_xlfn.XLOOKUP(A386-2,'LPG Fup'!D:D,'LPG Fup'!M:M,"",0)&lt;&gt;"",_xlfn.XLOOKUP(A386-2,'LPG Fup'!D:D,'LPG Fup'!M:M,"",0)&gt;0),"Z+1"),0)</f>
        <v>0</v>
      </c>
      <c r="Q386" cm="1">
        <f t="array" ref="Q386">_xlfn.IFNA(_xlfn.IFS(AND(_xlfn.XLOOKUP(A386,'LPG Fup'!D:D,'LPG Fup'!M:M,"",0)&lt;&gt;"",_xlfn.XLOOKUP(A386,'LPG Fup'!D:D,'LPG Fup'!M:M,"",0)&lt;0),"I-1", AND(_xlfn.XLOOKUP(A386+1,'LPG Fup'!D:D,'LPG Fup'!M:M,"",0)&lt;&gt;"",_xlfn.XLOOKUP(A386+1,'LPG Fup'!D:D,'LPG Fup'!M:M,"",0)&lt;0),"I-2", AND(_xlfn.XLOOKUP(A386-1,'LPG Fup'!D:D,'LPG Fup'!M:M,"",0)&lt;&gt;"",_xlfn.XLOOKUP(A386-1,'LPG Fup'!D:D,'LPG Fup'!M:M,"",0)&lt;0),"I", AND(_xlfn.XLOOKUP(A386-2,'LPG Fup'!D:D,'LPG Fup'!M:M,"",0)&lt;&gt;"",_xlfn.XLOOKUP(A386-2,'LPG Fup'!D:D,'LPG Fup'!M:M,"",0)&lt;0),"I+1"),0)</f>
        <v>0</v>
      </c>
      <c r="R386">
        <f>_xlfn.XLOOKUP(A386,Covid!A:A,Covid!I:I,0,0)</f>
        <v>409</v>
      </c>
      <c r="S386">
        <f>_xlfn.XLOOKUP(A386,Covid!A:A,Covid!K:K,0,0)</f>
        <v>63</v>
      </c>
      <c r="T386" s="145">
        <f>_xlfn.XLOOKUP(A386,Covid!A:A,Covid!K:K,0,0)/_xlfn.XLOOKUP(A386,Covid!A:A,Covid!L:L,0,0)</f>
        <v>1.4932448447499408E-2</v>
      </c>
    </row>
    <row r="387" spans="1:20" x14ac:dyDescent="0.55000000000000004">
      <c r="A387" s="157">
        <v>44368</v>
      </c>
      <c r="B387" s="13">
        <v>1227720</v>
      </c>
      <c r="C387" s="13">
        <v>488751</v>
      </c>
      <c r="D387" s="13">
        <v>8317</v>
      </c>
      <c r="E387" s="13">
        <v>548830</v>
      </c>
      <c r="F387" s="13">
        <v>2273618</v>
      </c>
      <c r="G387">
        <f>IF(OR(_xlfn.XLOOKUP(A387,'LPG Fup'!D:D,'LPG Fup'!L:L,"",0)&gt;0.03,_xlfn.XLOOKUP(A387,'LPG Fup'!D:D,'LPG Fup'!L:L,"",0)&lt;-0.03),_xlfn.XLOOKUP(A387,'LPG Fup'!D:D,'LPG Fup'!L:L,0,0),0)</f>
        <v>0</v>
      </c>
      <c r="H387">
        <f>IF(_xlfn.XLOOKUP(A387,'LPG Fup'!D:D,'LPG Fup'!M:M,0,0)="",0,_xlfn.XLOOKUP(A387,'LPG Fup'!D:D,'LPG Fup'!M:M,0,0))</f>
        <v>0</v>
      </c>
      <c r="I387" s="109">
        <f>_xlfn.XLOOKUP(A387,'Rafineri Fiyatları'!A:A,'Rafineri Fiyatları'!B:B,"",0)</f>
        <v>4996.9704700000002</v>
      </c>
      <c r="J387">
        <f t="shared" si="24"/>
        <v>2021</v>
      </c>
      <c r="K387">
        <f t="shared" si="25"/>
        <v>6</v>
      </c>
      <c r="L387">
        <f t="shared" si="26"/>
        <v>21</v>
      </c>
      <c r="M387">
        <f t="shared" si="27"/>
        <v>2</v>
      </c>
      <c r="N387">
        <f>_xlfn.XLOOKUP(A387,tatiller!H:H,tatiller!I:I,0,0)</f>
        <v>0</v>
      </c>
      <c r="O387" cm="1">
        <f t="array" ref="O387">_xlfn.IFNA(_xlfn.IFS(L387=1,"A0",A387=EOMONTH(A387,0),"A-1",L387=2,"A+1"),0)</f>
        <v>0</v>
      </c>
      <c r="P387" cm="1">
        <f t="array" ref="P387">_xlfn.IFNA(_xlfn.IFS(AND(_xlfn.XLOOKUP(A387,'LPG Fup'!D:D,'LPG Fup'!M:M,"",0)&lt;&gt;"",_xlfn.XLOOKUP(A387,'LPG Fup'!D:D,'LPG Fup'!M:M,"",0)&gt;0),"Z-1", AND(_xlfn.XLOOKUP(A387+1,'LPG Fup'!D:D,'LPG Fup'!M:M,"",0)&lt;&gt;"",_xlfn.XLOOKUP(A387+1,'LPG Fup'!D:D,'LPG Fup'!M:M,"",0)&gt;0),"Z-2", AND(_xlfn.XLOOKUP(A387-1,'LPG Fup'!D:D,'LPG Fup'!M:M,"",0)&lt;&gt;"",_xlfn.XLOOKUP(A387-1,'LPG Fup'!D:D,'LPG Fup'!M:M,"",0)&gt;0),"Z", AND(_xlfn.XLOOKUP(A387-2,'LPG Fup'!D:D,'LPG Fup'!M:M,"",0)&lt;&gt;"",_xlfn.XLOOKUP(A387-2,'LPG Fup'!D:D,'LPG Fup'!M:M,"",0)&gt;0),"Z+1"),0)</f>
        <v>0</v>
      </c>
      <c r="Q387" cm="1">
        <f t="array" ref="Q387">_xlfn.IFNA(_xlfn.IFS(AND(_xlfn.XLOOKUP(A387,'LPG Fup'!D:D,'LPG Fup'!M:M,"",0)&lt;&gt;"",_xlfn.XLOOKUP(A387,'LPG Fup'!D:D,'LPG Fup'!M:M,"",0)&lt;0),"I-1", AND(_xlfn.XLOOKUP(A387+1,'LPG Fup'!D:D,'LPG Fup'!M:M,"",0)&lt;&gt;"",_xlfn.XLOOKUP(A387+1,'LPG Fup'!D:D,'LPG Fup'!M:M,"",0)&lt;0),"I-2", AND(_xlfn.XLOOKUP(A387-1,'LPG Fup'!D:D,'LPG Fup'!M:M,"",0)&lt;&gt;"",_xlfn.XLOOKUP(A387-1,'LPG Fup'!D:D,'LPG Fup'!M:M,"",0)&lt;0),"I", AND(_xlfn.XLOOKUP(A387-2,'LPG Fup'!D:D,'LPG Fup'!M:M,"",0)&lt;&gt;"",_xlfn.XLOOKUP(A387-2,'LPG Fup'!D:D,'LPG Fup'!M:M,"",0)&lt;0),"I+1"),0)</f>
        <v>0</v>
      </c>
      <c r="R387">
        <f>_xlfn.XLOOKUP(A387,Covid!A:A,Covid!I:I,0,0)</f>
        <v>429</v>
      </c>
      <c r="S387">
        <f>_xlfn.XLOOKUP(A387,Covid!A:A,Covid!K:K,0,0)</f>
        <v>51</v>
      </c>
      <c r="T387" s="145">
        <f>_xlfn.XLOOKUP(A387,Covid!A:A,Covid!K:K,0,0)/_xlfn.XLOOKUP(A387,Covid!A:A,Covid!L:L,0,0)</f>
        <v>1.0013744354997054E-2</v>
      </c>
    </row>
    <row r="388" spans="1:20" x14ac:dyDescent="0.55000000000000004">
      <c r="A388" s="157">
        <v>44369</v>
      </c>
      <c r="B388" s="13">
        <v>1320800</v>
      </c>
      <c r="C388" s="13">
        <v>425855</v>
      </c>
      <c r="D388" s="13">
        <v>10491</v>
      </c>
      <c r="E388" s="13">
        <v>461965</v>
      </c>
      <c r="F388" s="13">
        <v>2219111</v>
      </c>
      <c r="G388">
        <f>IF(OR(_xlfn.XLOOKUP(A388,'LPG Fup'!D:D,'LPG Fup'!L:L,"",0)&gt;0.03,_xlfn.XLOOKUP(A388,'LPG Fup'!D:D,'LPG Fup'!L:L,"",0)&lt;-0.03),_xlfn.XLOOKUP(A388,'LPG Fup'!D:D,'LPG Fup'!L:L,0,0),0)</f>
        <v>0</v>
      </c>
      <c r="H388">
        <f>IF(_xlfn.XLOOKUP(A388,'LPG Fup'!D:D,'LPG Fup'!M:M,0,0)="",0,_xlfn.XLOOKUP(A388,'LPG Fup'!D:D,'LPG Fup'!M:M,0,0))</f>
        <v>0</v>
      </c>
      <c r="I388" s="109">
        <f>_xlfn.XLOOKUP(A388,'Rafineri Fiyatları'!A:A,'Rafineri Fiyatları'!B:B,"",0)</f>
        <v>4996.9704700000002</v>
      </c>
      <c r="J388">
        <f t="shared" si="24"/>
        <v>2021</v>
      </c>
      <c r="K388">
        <f t="shared" si="25"/>
        <v>6</v>
      </c>
      <c r="L388">
        <f t="shared" si="26"/>
        <v>22</v>
      </c>
      <c r="M388">
        <f t="shared" si="27"/>
        <v>3</v>
      </c>
      <c r="N388">
        <f>_xlfn.XLOOKUP(A388,tatiller!H:H,tatiller!I:I,0,0)</f>
        <v>0</v>
      </c>
      <c r="O388" cm="1">
        <f t="array" ref="O388">_xlfn.IFNA(_xlfn.IFS(L388=1,"A0",A388=EOMONTH(A388,0),"A-1",L388=2,"A+1"),0)</f>
        <v>0</v>
      </c>
      <c r="P388" cm="1">
        <f t="array" ref="P388">_xlfn.IFNA(_xlfn.IFS(AND(_xlfn.XLOOKUP(A388,'LPG Fup'!D:D,'LPG Fup'!M:M,"",0)&lt;&gt;"",_xlfn.XLOOKUP(A388,'LPG Fup'!D:D,'LPG Fup'!M:M,"",0)&gt;0),"Z-1", AND(_xlfn.XLOOKUP(A388+1,'LPG Fup'!D:D,'LPG Fup'!M:M,"",0)&lt;&gt;"",_xlfn.XLOOKUP(A388+1,'LPG Fup'!D:D,'LPG Fup'!M:M,"",0)&gt;0),"Z-2", AND(_xlfn.XLOOKUP(A388-1,'LPG Fup'!D:D,'LPG Fup'!M:M,"",0)&lt;&gt;"",_xlfn.XLOOKUP(A388-1,'LPG Fup'!D:D,'LPG Fup'!M:M,"",0)&gt;0),"Z", AND(_xlfn.XLOOKUP(A388-2,'LPG Fup'!D:D,'LPG Fup'!M:M,"",0)&lt;&gt;"",_xlfn.XLOOKUP(A388-2,'LPG Fup'!D:D,'LPG Fup'!M:M,"",0)&gt;0),"Z+1"),0)</f>
        <v>0</v>
      </c>
      <c r="Q388" cm="1">
        <f t="array" ref="Q388">_xlfn.IFNA(_xlfn.IFS(AND(_xlfn.XLOOKUP(A388,'LPG Fup'!D:D,'LPG Fup'!M:M,"",0)&lt;&gt;"",_xlfn.XLOOKUP(A388,'LPG Fup'!D:D,'LPG Fup'!M:M,"",0)&lt;0),"I-1", AND(_xlfn.XLOOKUP(A388+1,'LPG Fup'!D:D,'LPG Fup'!M:M,"",0)&lt;&gt;"",_xlfn.XLOOKUP(A388+1,'LPG Fup'!D:D,'LPG Fup'!M:M,"",0)&lt;0),"I-2", AND(_xlfn.XLOOKUP(A388-1,'LPG Fup'!D:D,'LPG Fup'!M:M,"",0)&lt;&gt;"",_xlfn.XLOOKUP(A388-1,'LPG Fup'!D:D,'LPG Fup'!M:M,"",0)&lt;0),"I", AND(_xlfn.XLOOKUP(A388-2,'LPG Fup'!D:D,'LPG Fup'!M:M,"",0)&lt;&gt;"",_xlfn.XLOOKUP(A388-2,'LPG Fup'!D:D,'LPG Fup'!M:M,"",0)&lt;0),"I+1"),0)</f>
        <v>0</v>
      </c>
      <c r="R388">
        <f>_xlfn.XLOOKUP(A388,Covid!A:A,Covid!I:I,0,0)</f>
        <v>565</v>
      </c>
      <c r="S388">
        <f>_xlfn.XLOOKUP(A388,Covid!A:A,Covid!K:K,0,0)</f>
        <v>57</v>
      </c>
      <c r="T388" s="145">
        <f>_xlfn.XLOOKUP(A388,Covid!A:A,Covid!K:K,0,0)/_xlfn.XLOOKUP(A388,Covid!A:A,Covid!L:L,0,0)</f>
        <v>1.0932105868814729E-2</v>
      </c>
    </row>
    <row r="389" spans="1:20" x14ac:dyDescent="0.55000000000000004">
      <c r="A389" s="157">
        <v>44370</v>
      </c>
      <c r="B389" s="13">
        <v>1411960</v>
      </c>
      <c r="C389" s="13">
        <v>458356</v>
      </c>
      <c r="D389" s="13">
        <v>12209</v>
      </c>
      <c r="E389" s="13">
        <v>486872</v>
      </c>
      <c r="F389" s="13">
        <v>2369397</v>
      </c>
      <c r="G389">
        <f>IF(OR(_xlfn.XLOOKUP(A389,'LPG Fup'!D:D,'LPG Fup'!L:L,"",0)&gt;0.03,_xlfn.XLOOKUP(A389,'LPG Fup'!D:D,'LPG Fup'!L:L,"",0)&lt;-0.03),_xlfn.XLOOKUP(A389,'LPG Fup'!D:D,'LPG Fup'!L:L,0,0),0)</f>
        <v>0</v>
      </c>
      <c r="H389">
        <f>IF(_xlfn.XLOOKUP(A389,'LPG Fup'!D:D,'LPG Fup'!M:M,0,0)="",0,_xlfn.XLOOKUP(A389,'LPG Fup'!D:D,'LPG Fup'!M:M,0,0))</f>
        <v>0</v>
      </c>
      <c r="I389" s="109">
        <f>_xlfn.XLOOKUP(A389,'Rafineri Fiyatları'!A:A,'Rafineri Fiyatları'!B:B,"",0)</f>
        <v>4996.9704700000002</v>
      </c>
      <c r="J389">
        <f t="shared" si="24"/>
        <v>2021</v>
      </c>
      <c r="K389">
        <f t="shared" si="25"/>
        <v>6</v>
      </c>
      <c r="L389">
        <f t="shared" si="26"/>
        <v>23</v>
      </c>
      <c r="M389">
        <f t="shared" si="27"/>
        <v>4</v>
      </c>
      <c r="N389">
        <f>_xlfn.XLOOKUP(A389,tatiller!H:H,tatiller!I:I,0,0)</f>
        <v>0</v>
      </c>
      <c r="O389" cm="1">
        <f t="array" ref="O389">_xlfn.IFNA(_xlfn.IFS(L389=1,"A0",A389=EOMONTH(A389,0),"A-1",L389=2,"A+1"),0)</f>
        <v>0</v>
      </c>
      <c r="P389" cm="1">
        <f t="array" ref="P389">_xlfn.IFNA(_xlfn.IFS(AND(_xlfn.XLOOKUP(A389,'LPG Fup'!D:D,'LPG Fup'!M:M,"",0)&lt;&gt;"",_xlfn.XLOOKUP(A389,'LPG Fup'!D:D,'LPG Fup'!M:M,"",0)&gt;0),"Z-1", AND(_xlfn.XLOOKUP(A389+1,'LPG Fup'!D:D,'LPG Fup'!M:M,"",0)&lt;&gt;"",_xlfn.XLOOKUP(A389+1,'LPG Fup'!D:D,'LPG Fup'!M:M,"",0)&gt;0),"Z-2", AND(_xlfn.XLOOKUP(A389-1,'LPG Fup'!D:D,'LPG Fup'!M:M,"",0)&lt;&gt;"",_xlfn.XLOOKUP(A389-1,'LPG Fup'!D:D,'LPG Fup'!M:M,"",0)&gt;0),"Z", AND(_xlfn.XLOOKUP(A389-2,'LPG Fup'!D:D,'LPG Fup'!M:M,"",0)&lt;&gt;"",_xlfn.XLOOKUP(A389-2,'LPG Fup'!D:D,'LPG Fup'!M:M,"",0)&gt;0),"Z+1"),0)</f>
        <v>0</v>
      </c>
      <c r="Q389" cm="1">
        <f t="array" ref="Q389">_xlfn.IFNA(_xlfn.IFS(AND(_xlfn.XLOOKUP(A389,'LPG Fup'!D:D,'LPG Fup'!M:M,"",0)&lt;&gt;"",_xlfn.XLOOKUP(A389,'LPG Fup'!D:D,'LPG Fup'!M:M,"",0)&lt;0),"I-1", AND(_xlfn.XLOOKUP(A389+1,'LPG Fup'!D:D,'LPG Fup'!M:M,"",0)&lt;&gt;"",_xlfn.XLOOKUP(A389+1,'LPG Fup'!D:D,'LPG Fup'!M:M,"",0)&lt;0),"I-2", AND(_xlfn.XLOOKUP(A389-1,'LPG Fup'!D:D,'LPG Fup'!M:M,"",0)&lt;&gt;"",_xlfn.XLOOKUP(A389-1,'LPG Fup'!D:D,'LPG Fup'!M:M,"",0)&lt;0),"I", AND(_xlfn.XLOOKUP(A389-2,'LPG Fup'!D:D,'LPG Fup'!M:M,"",0)&lt;&gt;"",_xlfn.XLOOKUP(A389-2,'LPG Fup'!D:D,'LPG Fup'!M:M,"",0)&lt;0),"I+1"),0)</f>
        <v>0</v>
      </c>
      <c r="R389">
        <f>_xlfn.XLOOKUP(A389,Covid!A:A,Covid!I:I,0,0)</f>
        <v>550</v>
      </c>
      <c r="S389">
        <f>_xlfn.XLOOKUP(A389,Covid!A:A,Covid!K:K,0,0)</f>
        <v>65</v>
      </c>
      <c r="T389" s="145">
        <f>_xlfn.XLOOKUP(A389,Covid!A:A,Covid!K:K,0,0)/_xlfn.XLOOKUP(A389,Covid!A:A,Covid!L:L,0,0)</f>
        <v>1.0985296603008281E-2</v>
      </c>
    </row>
    <row r="390" spans="1:20" x14ac:dyDescent="0.55000000000000004">
      <c r="A390" s="157">
        <v>44371</v>
      </c>
      <c r="B390" s="13">
        <v>1573900</v>
      </c>
      <c r="C390" s="13">
        <v>521449</v>
      </c>
      <c r="D390" s="13">
        <v>7243</v>
      </c>
      <c r="E390" s="13">
        <v>538762</v>
      </c>
      <c r="F390" s="13">
        <v>2641354</v>
      </c>
      <c r="G390">
        <f>IF(OR(_xlfn.XLOOKUP(A390,'LPG Fup'!D:D,'LPG Fup'!L:L,"",0)&gt;0.03,_xlfn.XLOOKUP(A390,'LPG Fup'!D:D,'LPG Fup'!L:L,"",0)&lt;-0.03),_xlfn.XLOOKUP(A390,'LPG Fup'!D:D,'LPG Fup'!L:L,0,0),0)</f>
        <v>0</v>
      </c>
      <c r="H390">
        <f>IF(_xlfn.XLOOKUP(A390,'LPG Fup'!D:D,'LPG Fup'!M:M,0,0)="",0,_xlfn.XLOOKUP(A390,'LPG Fup'!D:D,'LPG Fup'!M:M,0,0))</f>
        <v>0</v>
      </c>
      <c r="I390" s="109">
        <f>_xlfn.XLOOKUP(A390,'Rafineri Fiyatları'!A:A,'Rafineri Fiyatları'!B:B,"",0)</f>
        <v>4996.9704700000002</v>
      </c>
      <c r="J390">
        <f t="shared" si="24"/>
        <v>2021</v>
      </c>
      <c r="K390">
        <f t="shared" si="25"/>
        <v>6</v>
      </c>
      <c r="L390">
        <f t="shared" si="26"/>
        <v>24</v>
      </c>
      <c r="M390">
        <f t="shared" si="27"/>
        <v>5</v>
      </c>
      <c r="N390">
        <f>_xlfn.XLOOKUP(A390,tatiller!H:H,tatiller!I:I,0,0)</f>
        <v>0</v>
      </c>
      <c r="O390" cm="1">
        <f t="array" ref="O390">_xlfn.IFNA(_xlfn.IFS(L390=1,"A0",A390=EOMONTH(A390,0),"A-1",L390=2,"A+1"),0)</f>
        <v>0</v>
      </c>
      <c r="P390" cm="1">
        <f t="array" ref="P390">_xlfn.IFNA(_xlfn.IFS(AND(_xlfn.XLOOKUP(A390,'LPG Fup'!D:D,'LPG Fup'!M:M,"",0)&lt;&gt;"",_xlfn.XLOOKUP(A390,'LPG Fup'!D:D,'LPG Fup'!M:M,"",0)&gt;0),"Z-1", AND(_xlfn.XLOOKUP(A390+1,'LPG Fup'!D:D,'LPG Fup'!M:M,"",0)&lt;&gt;"",_xlfn.XLOOKUP(A390+1,'LPG Fup'!D:D,'LPG Fup'!M:M,"",0)&gt;0),"Z-2", AND(_xlfn.XLOOKUP(A390-1,'LPG Fup'!D:D,'LPG Fup'!M:M,"",0)&lt;&gt;"",_xlfn.XLOOKUP(A390-1,'LPG Fup'!D:D,'LPG Fup'!M:M,"",0)&gt;0),"Z", AND(_xlfn.XLOOKUP(A390-2,'LPG Fup'!D:D,'LPG Fup'!M:M,"",0)&lt;&gt;"",_xlfn.XLOOKUP(A390-2,'LPG Fup'!D:D,'LPG Fup'!M:M,"",0)&gt;0),"Z+1"),0)</f>
        <v>0</v>
      </c>
      <c r="Q390" cm="1">
        <f t="array" ref="Q390">_xlfn.IFNA(_xlfn.IFS(AND(_xlfn.XLOOKUP(A390,'LPG Fup'!D:D,'LPG Fup'!M:M,"",0)&lt;&gt;"",_xlfn.XLOOKUP(A390,'LPG Fup'!D:D,'LPG Fup'!M:M,"",0)&lt;0),"I-1", AND(_xlfn.XLOOKUP(A390+1,'LPG Fup'!D:D,'LPG Fup'!M:M,"",0)&lt;&gt;"",_xlfn.XLOOKUP(A390+1,'LPG Fup'!D:D,'LPG Fup'!M:M,"",0)&lt;0),"I-2", AND(_xlfn.XLOOKUP(A390-1,'LPG Fup'!D:D,'LPG Fup'!M:M,"",0)&lt;&gt;"",_xlfn.XLOOKUP(A390-1,'LPG Fup'!D:D,'LPG Fup'!M:M,"",0)&lt;0),"I", AND(_xlfn.XLOOKUP(A390-2,'LPG Fup'!D:D,'LPG Fup'!M:M,"",0)&lt;&gt;"",_xlfn.XLOOKUP(A390-2,'LPG Fup'!D:D,'LPG Fup'!M:M,"",0)&lt;0),"I+1"),0)</f>
        <v>0</v>
      </c>
      <c r="R390">
        <f>_xlfn.XLOOKUP(A390,Covid!A:A,Covid!I:I,0,0)</f>
        <v>498</v>
      </c>
      <c r="S390">
        <f>_xlfn.XLOOKUP(A390,Covid!A:A,Covid!K:K,0,0)</f>
        <v>59</v>
      </c>
      <c r="T390" s="145">
        <f>_xlfn.XLOOKUP(A390,Covid!A:A,Covid!K:K,0,0)/_xlfn.XLOOKUP(A390,Covid!A:A,Covid!L:L,0,0)</f>
        <v>1.0092370851864523E-2</v>
      </c>
    </row>
    <row r="391" spans="1:20" x14ac:dyDescent="0.55000000000000004">
      <c r="A391" s="157">
        <v>44372</v>
      </c>
      <c r="B391" s="13">
        <v>1942780</v>
      </c>
      <c r="C391" s="13">
        <v>482052</v>
      </c>
      <c r="D391" s="13">
        <v>7505</v>
      </c>
      <c r="E391" s="13">
        <v>545037</v>
      </c>
      <c r="F391" s="13">
        <v>5177320</v>
      </c>
      <c r="G391">
        <f>IF(OR(_xlfn.XLOOKUP(A391,'LPG Fup'!D:D,'LPG Fup'!L:L,"",0)&gt;0.03,_xlfn.XLOOKUP(A391,'LPG Fup'!D:D,'LPG Fup'!L:L,"",0)&lt;-0.03),_xlfn.XLOOKUP(A391,'LPG Fup'!D:D,'LPG Fup'!L:L,0,0),0)</f>
        <v>0</v>
      </c>
      <c r="H391">
        <f>IF(_xlfn.XLOOKUP(A391,'LPG Fup'!D:D,'LPG Fup'!M:M,0,0)="",0,_xlfn.XLOOKUP(A391,'LPG Fup'!D:D,'LPG Fup'!M:M,0,0))</f>
        <v>0</v>
      </c>
      <c r="I391" s="109">
        <f>_xlfn.XLOOKUP(A391,'Rafineri Fiyatları'!A:A,'Rafineri Fiyatları'!B:B,"",0)</f>
        <v>4996.9704700000002</v>
      </c>
      <c r="J391">
        <f t="shared" si="24"/>
        <v>2021</v>
      </c>
      <c r="K391">
        <f t="shared" si="25"/>
        <v>6</v>
      </c>
      <c r="L391">
        <f t="shared" si="26"/>
        <v>25</v>
      </c>
      <c r="M391">
        <f t="shared" si="27"/>
        <v>6</v>
      </c>
      <c r="N391">
        <f>_xlfn.XLOOKUP(A391,tatiller!H:H,tatiller!I:I,0,0)</f>
        <v>0</v>
      </c>
      <c r="O391" cm="1">
        <f t="array" ref="O391">_xlfn.IFNA(_xlfn.IFS(L391=1,"A0",A391=EOMONTH(A391,0),"A-1",L391=2,"A+1"),0)</f>
        <v>0</v>
      </c>
      <c r="P391" cm="1">
        <f t="array" ref="P391">_xlfn.IFNA(_xlfn.IFS(AND(_xlfn.XLOOKUP(A391,'LPG Fup'!D:D,'LPG Fup'!M:M,"",0)&lt;&gt;"",_xlfn.XLOOKUP(A391,'LPG Fup'!D:D,'LPG Fup'!M:M,"",0)&gt;0),"Z-1", AND(_xlfn.XLOOKUP(A391+1,'LPG Fup'!D:D,'LPG Fup'!M:M,"",0)&lt;&gt;"",_xlfn.XLOOKUP(A391+1,'LPG Fup'!D:D,'LPG Fup'!M:M,"",0)&gt;0),"Z-2", AND(_xlfn.XLOOKUP(A391-1,'LPG Fup'!D:D,'LPG Fup'!M:M,"",0)&lt;&gt;"",_xlfn.XLOOKUP(A391-1,'LPG Fup'!D:D,'LPG Fup'!M:M,"",0)&gt;0),"Z", AND(_xlfn.XLOOKUP(A391-2,'LPG Fup'!D:D,'LPG Fup'!M:M,"",0)&lt;&gt;"",_xlfn.XLOOKUP(A391-2,'LPG Fup'!D:D,'LPG Fup'!M:M,"",0)&gt;0),"Z+1"),0)</f>
        <v>0</v>
      </c>
      <c r="Q391" cm="1">
        <f t="array" ref="Q391">_xlfn.IFNA(_xlfn.IFS(AND(_xlfn.XLOOKUP(A391,'LPG Fup'!D:D,'LPG Fup'!M:M,"",0)&lt;&gt;"",_xlfn.XLOOKUP(A391,'LPG Fup'!D:D,'LPG Fup'!M:M,"",0)&lt;0),"I-1", AND(_xlfn.XLOOKUP(A391+1,'LPG Fup'!D:D,'LPG Fup'!M:M,"",0)&lt;&gt;"",_xlfn.XLOOKUP(A391+1,'LPG Fup'!D:D,'LPG Fup'!M:M,"",0)&lt;0),"I-2", AND(_xlfn.XLOOKUP(A391-1,'LPG Fup'!D:D,'LPG Fup'!M:M,"",0)&lt;&gt;"",_xlfn.XLOOKUP(A391-1,'LPG Fup'!D:D,'LPG Fup'!M:M,"",0)&lt;0),"I", AND(_xlfn.XLOOKUP(A391-2,'LPG Fup'!D:D,'LPG Fup'!M:M,"",0)&lt;&gt;"",_xlfn.XLOOKUP(A391-2,'LPG Fup'!D:D,'LPG Fup'!M:M,"",0)&lt;0),"I+1"),0)</f>
        <v>0</v>
      </c>
      <c r="R391">
        <f>_xlfn.XLOOKUP(A391,Covid!A:A,Covid!I:I,0,0)</f>
        <v>477</v>
      </c>
      <c r="S391">
        <f>_xlfn.XLOOKUP(A391,Covid!A:A,Covid!K:K,0,0)</f>
        <v>56</v>
      </c>
      <c r="T391" s="145">
        <f>_xlfn.XLOOKUP(A391,Covid!A:A,Covid!K:K,0,0)/_xlfn.XLOOKUP(A391,Covid!A:A,Covid!L:L,0,0)</f>
        <v>7.7951002227171495E-3</v>
      </c>
    </row>
    <row r="392" spans="1:20" x14ac:dyDescent="0.55000000000000004">
      <c r="A392" s="157">
        <v>44373</v>
      </c>
      <c r="B392" s="13">
        <v>1239740</v>
      </c>
      <c r="C392" s="13">
        <v>272661</v>
      </c>
      <c r="D392" s="13">
        <v>2682</v>
      </c>
      <c r="E392" s="13">
        <v>555103</v>
      </c>
      <c r="F392" s="13">
        <v>2070186</v>
      </c>
      <c r="G392">
        <f>IF(OR(_xlfn.XLOOKUP(A392,'LPG Fup'!D:D,'LPG Fup'!L:L,"",0)&gt;0.03,_xlfn.XLOOKUP(A392,'LPG Fup'!D:D,'LPG Fup'!L:L,"",0)&lt;-0.03),_xlfn.XLOOKUP(A392,'LPG Fup'!D:D,'LPG Fup'!L:L,0,0),0)</f>
        <v>0</v>
      </c>
      <c r="H392">
        <f>IF(_xlfn.XLOOKUP(A392,'LPG Fup'!D:D,'LPG Fup'!M:M,0,0)="",0,_xlfn.XLOOKUP(A392,'LPG Fup'!D:D,'LPG Fup'!M:M,0,0))</f>
        <v>0</v>
      </c>
      <c r="I392" s="109">
        <f>_xlfn.XLOOKUP(A392,'Rafineri Fiyatları'!A:A,'Rafineri Fiyatları'!B:B,"",0)</f>
        <v>4996.9704700000002</v>
      </c>
      <c r="J392">
        <f t="shared" si="24"/>
        <v>2021</v>
      </c>
      <c r="K392">
        <f t="shared" si="25"/>
        <v>6</v>
      </c>
      <c r="L392">
        <f t="shared" si="26"/>
        <v>26</v>
      </c>
      <c r="M392">
        <f t="shared" si="27"/>
        <v>7</v>
      </c>
      <c r="N392">
        <f>_xlfn.XLOOKUP(A392,tatiller!H:H,tatiller!I:I,0,0)</f>
        <v>0</v>
      </c>
      <c r="O392" cm="1">
        <f t="array" ref="O392">_xlfn.IFNA(_xlfn.IFS(L392=1,"A0",A392=EOMONTH(A392,0),"A-1",L392=2,"A+1"),0)</f>
        <v>0</v>
      </c>
      <c r="P392" cm="1">
        <f t="array" ref="P392">_xlfn.IFNA(_xlfn.IFS(AND(_xlfn.XLOOKUP(A392,'LPG Fup'!D:D,'LPG Fup'!M:M,"",0)&lt;&gt;"",_xlfn.XLOOKUP(A392,'LPG Fup'!D:D,'LPG Fup'!M:M,"",0)&gt;0),"Z-1", AND(_xlfn.XLOOKUP(A392+1,'LPG Fup'!D:D,'LPG Fup'!M:M,"",0)&lt;&gt;"",_xlfn.XLOOKUP(A392+1,'LPG Fup'!D:D,'LPG Fup'!M:M,"",0)&gt;0),"Z-2", AND(_xlfn.XLOOKUP(A392-1,'LPG Fup'!D:D,'LPG Fup'!M:M,"",0)&lt;&gt;"",_xlfn.XLOOKUP(A392-1,'LPG Fup'!D:D,'LPG Fup'!M:M,"",0)&gt;0),"Z", AND(_xlfn.XLOOKUP(A392-2,'LPG Fup'!D:D,'LPG Fup'!M:M,"",0)&lt;&gt;"",_xlfn.XLOOKUP(A392-2,'LPG Fup'!D:D,'LPG Fup'!M:M,"",0)&gt;0),"Z+1"),0)</f>
        <v>0</v>
      </c>
      <c r="Q392" cm="1">
        <f t="array" ref="Q392">_xlfn.IFNA(_xlfn.IFS(AND(_xlfn.XLOOKUP(A392,'LPG Fup'!D:D,'LPG Fup'!M:M,"",0)&lt;&gt;"",_xlfn.XLOOKUP(A392,'LPG Fup'!D:D,'LPG Fup'!M:M,"",0)&lt;0),"I-1", AND(_xlfn.XLOOKUP(A392+1,'LPG Fup'!D:D,'LPG Fup'!M:M,"",0)&lt;&gt;"",_xlfn.XLOOKUP(A392+1,'LPG Fup'!D:D,'LPG Fup'!M:M,"",0)&lt;0),"I-2", AND(_xlfn.XLOOKUP(A392-1,'LPG Fup'!D:D,'LPG Fup'!M:M,"",0)&lt;&gt;"",_xlfn.XLOOKUP(A392-1,'LPG Fup'!D:D,'LPG Fup'!M:M,"",0)&lt;0),"I", AND(_xlfn.XLOOKUP(A392-2,'LPG Fup'!D:D,'LPG Fup'!M:M,"",0)&lt;&gt;"",_xlfn.XLOOKUP(A392-2,'LPG Fup'!D:D,'LPG Fup'!M:M,"",0)&lt;0),"I+1"),0)</f>
        <v>0</v>
      </c>
      <c r="R392">
        <f>_xlfn.XLOOKUP(A392,Covid!A:A,Covid!I:I,0,0)</f>
        <v>470</v>
      </c>
      <c r="S392">
        <f>_xlfn.XLOOKUP(A392,Covid!A:A,Covid!K:K,0,0)</f>
        <v>51</v>
      </c>
      <c r="T392" s="145">
        <f>_xlfn.XLOOKUP(A392,Covid!A:A,Covid!K:K,0,0)/_xlfn.XLOOKUP(A392,Covid!A:A,Covid!L:L,0,0)</f>
        <v>6.8900297216968383E-3</v>
      </c>
    </row>
    <row r="393" spans="1:20" x14ac:dyDescent="0.55000000000000004">
      <c r="A393" s="157">
        <v>44374</v>
      </c>
      <c r="B393" s="13">
        <v>1253760</v>
      </c>
      <c r="C393" s="13">
        <v>0</v>
      </c>
      <c r="D393" s="13">
        <v>0</v>
      </c>
      <c r="E393" s="13">
        <v>304474</v>
      </c>
      <c r="F393" s="13">
        <v>1558234</v>
      </c>
      <c r="G393">
        <f>IF(OR(_xlfn.XLOOKUP(A393,'LPG Fup'!D:D,'LPG Fup'!L:L,"",0)&gt;0.03,_xlfn.XLOOKUP(A393,'LPG Fup'!D:D,'LPG Fup'!L:L,"",0)&lt;-0.03),_xlfn.XLOOKUP(A393,'LPG Fup'!D:D,'LPG Fup'!L:L,0,0),0)</f>
        <v>0</v>
      </c>
      <c r="H393">
        <f>IF(_xlfn.XLOOKUP(A393,'LPG Fup'!D:D,'LPG Fup'!M:M,0,0)="",0,_xlfn.XLOOKUP(A393,'LPG Fup'!D:D,'LPG Fup'!M:M,0,0))</f>
        <v>0</v>
      </c>
      <c r="I393" s="109">
        <f>_xlfn.XLOOKUP(A393,'Rafineri Fiyatları'!A:A,'Rafineri Fiyatları'!B:B,"",0)</f>
        <v>4996.9704700000002</v>
      </c>
      <c r="J393">
        <f t="shared" si="24"/>
        <v>2021</v>
      </c>
      <c r="K393">
        <f t="shared" si="25"/>
        <v>6</v>
      </c>
      <c r="L393">
        <f t="shared" si="26"/>
        <v>27</v>
      </c>
      <c r="M393">
        <f t="shared" si="27"/>
        <v>1</v>
      </c>
      <c r="N393">
        <f>_xlfn.XLOOKUP(A393,tatiller!H:H,tatiller!I:I,0,0)</f>
        <v>0</v>
      </c>
      <c r="O393" cm="1">
        <f t="array" ref="O393">_xlfn.IFNA(_xlfn.IFS(L393=1,"A0",A393=EOMONTH(A393,0),"A-1",L393=2,"A+1"),0)</f>
        <v>0</v>
      </c>
      <c r="P393" cm="1">
        <f t="array" ref="P393">_xlfn.IFNA(_xlfn.IFS(AND(_xlfn.XLOOKUP(A393,'LPG Fup'!D:D,'LPG Fup'!M:M,"",0)&lt;&gt;"",_xlfn.XLOOKUP(A393,'LPG Fup'!D:D,'LPG Fup'!M:M,"",0)&gt;0),"Z-1", AND(_xlfn.XLOOKUP(A393+1,'LPG Fup'!D:D,'LPG Fup'!M:M,"",0)&lt;&gt;"",_xlfn.XLOOKUP(A393+1,'LPG Fup'!D:D,'LPG Fup'!M:M,"",0)&gt;0),"Z-2", AND(_xlfn.XLOOKUP(A393-1,'LPG Fup'!D:D,'LPG Fup'!M:M,"",0)&lt;&gt;"",_xlfn.XLOOKUP(A393-1,'LPG Fup'!D:D,'LPG Fup'!M:M,"",0)&gt;0),"Z", AND(_xlfn.XLOOKUP(A393-2,'LPG Fup'!D:D,'LPG Fup'!M:M,"",0)&lt;&gt;"",_xlfn.XLOOKUP(A393-2,'LPG Fup'!D:D,'LPG Fup'!M:M,"",0)&gt;0),"Z+1"),0)</f>
        <v>0</v>
      </c>
      <c r="Q393" cm="1">
        <f t="array" ref="Q393">_xlfn.IFNA(_xlfn.IFS(AND(_xlfn.XLOOKUP(A393,'LPG Fup'!D:D,'LPG Fup'!M:M,"",0)&lt;&gt;"",_xlfn.XLOOKUP(A393,'LPG Fup'!D:D,'LPG Fup'!M:M,"",0)&lt;0),"I-1", AND(_xlfn.XLOOKUP(A393+1,'LPG Fup'!D:D,'LPG Fup'!M:M,"",0)&lt;&gt;"",_xlfn.XLOOKUP(A393+1,'LPG Fup'!D:D,'LPG Fup'!M:M,"",0)&lt;0),"I-2", AND(_xlfn.XLOOKUP(A393-1,'LPG Fup'!D:D,'LPG Fup'!M:M,"",0)&lt;&gt;"",_xlfn.XLOOKUP(A393-1,'LPG Fup'!D:D,'LPG Fup'!M:M,"",0)&lt;0),"I", AND(_xlfn.XLOOKUP(A393-2,'LPG Fup'!D:D,'LPG Fup'!M:M,"",0)&lt;&gt;"",_xlfn.XLOOKUP(A393-2,'LPG Fup'!D:D,'LPG Fup'!M:M,"",0)&lt;0),"I+1"),0)</f>
        <v>0</v>
      </c>
      <c r="R393">
        <f>_xlfn.XLOOKUP(A393,Covid!A:A,Covid!I:I,0,0)</f>
        <v>390</v>
      </c>
      <c r="S393">
        <f>_xlfn.XLOOKUP(A393,Covid!A:A,Covid!K:K,0,0)</f>
        <v>52</v>
      </c>
      <c r="T393" s="145">
        <f>_xlfn.XLOOKUP(A393,Covid!A:A,Covid!K:K,0,0)/_xlfn.XLOOKUP(A393,Covid!A:A,Covid!L:L,0,0)</f>
        <v>8.7586323058783892E-3</v>
      </c>
    </row>
    <row r="394" spans="1:20" x14ac:dyDescent="0.55000000000000004">
      <c r="A394" s="157">
        <v>44375</v>
      </c>
      <c r="B394" s="13">
        <v>1270080</v>
      </c>
      <c r="C394" s="13">
        <v>608717</v>
      </c>
      <c r="D394" s="13">
        <v>11707</v>
      </c>
      <c r="E394" s="13">
        <v>501018</v>
      </c>
      <c r="F394" s="13">
        <v>2391522</v>
      </c>
      <c r="G394">
        <f>IF(OR(_xlfn.XLOOKUP(A394,'LPG Fup'!D:D,'LPG Fup'!L:L,"",0)&gt;0.03,_xlfn.XLOOKUP(A394,'LPG Fup'!D:D,'LPG Fup'!L:L,"",0)&lt;-0.03),_xlfn.XLOOKUP(A394,'LPG Fup'!D:D,'LPG Fup'!L:L,0,0),0)</f>
        <v>0</v>
      </c>
      <c r="H394">
        <f>IF(_xlfn.XLOOKUP(A394,'LPG Fup'!D:D,'LPG Fup'!M:M,0,0)="",0,_xlfn.XLOOKUP(A394,'LPG Fup'!D:D,'LPG Fup'!M:M,0,0))</f>
        <v>0</v>
      </c>
      <c r="I394" s="109">
        <f>_xlfn.XLOOKUP(A394,'Rafineri Fiyatları'!A:A,'Rafineri Fiyatları'!B:B,"",0)</f>
        <v>4996.9704700000002</v>
      </c>
      <c r="J394">
        <f t="shared" si="24"/>
        <v>2021</v>
      </c>
      <c r="K394">
        <f t="shared" si="25"/>
        <v>6</v>
      </c>
      <c r="L394">
        <f t="shared" si="26"/>
        <v>28</v>
      </c>
      <c r="M394">
        <f t="shared" si="27"/>
        <v>2</v>
      </c>
      <c r="N394">
        <f>_xlfn.XLOOKUP(A394,tatiller!H:H,tatiller!I:I,0,0)</f>
        <v>0</v>
      </c>
      <c r="O394" cm="1">
        <f t="array" ref="O394">_xlfn.IFNA(_xlfn.IFS(L394=1,"A0",A394=EOMONTH(A394,0),"A-1",L394=2,"A+1"),0)</f>
        <v>0</v>
      </c>
      <c r="P394" cm="1">
        <f t="array" ref="P394">_xlfn.IFNA(_xlfn.IFS(AND(_xlfn.XLOOKUP(A394,'LPG Fup'!D:D,'LPG Fup'!M:M,"",0)&lt;&gt;"",_xlfn.XLOOKUP(A394,'LPG Fup'!D:D,'LPG Fup'!M:M,"",0)&gt;0),"Z-1", AND(_xlfn.XLOOKUP(A394+1,'LPG Fup'!D:D,'LPG Fup'!M:M,"",0)&lt;&gt;"",_xlfn.XLOOKUP(A394+1,'LPG Fup'!D:D,'LPG Fup'!M:M,"",0)&gt;0),"Z-2", AND(_xlfn.XLOOKUP(A394-1,'LPG Fup'!D:D,'LPG Fup'!M:M,"",0)&lt;&gt;"",_xlfn.XLOOKUP(A394-1,'LPG Fup'!D:D,'LPG Fup'!M:M,"",0)&gt;0),"Z", AND(_xlfn.XLOOKUP(A394-2,'LPG Fup'!D:D,'LPG Fup'!M:M,"",0)&lt;&gt;"",_xlfn.XLOOKUP(A394-2,'LPG Fup'!D:D,'LPG Fup'!M:M,"",0)&gt;0),"Z+1"),0)</f>
        <v>0</v>
      </c>
      <c r="Q394" cm="1">
        <f t="array" ref="Q394">_xlfn.IFNA(_xlfn.IFS(AND(_xlfn.XLOOKUP(A394,'LPG Fup'!D:D,'LPG Fup'!M:M,"",0)&lt;&gt;"",_xlfn.XLOOKUP(A394,'LPG Fup'!D:D,'LPG Fup'!M:M,"",0)&lt;0),"I-1", AND(_xlfn.XLOOKUP(A394+1,'LPG Fup'!D:D,'LPG Fup'!M:M,"",0)&lt;&gt;"",_xlfn.XLOOKUP(A394+1,'LPG Fup'!D:D,'LPG Fup'!M:M,"",0)&lt;0),"I-2", AND(_xlfn.XLOOKUP(A394-1,'LPG Fup'!D:D,'LPG Fup'!M:M,"",0)&lt;&gt;"",_xlfn.XLOOKUP(A394-1,'LPG Fup'!D:D,'LPG Fup'!M:M,"",0)&lt;0),"I", AND(_xlfn.XLOOKUP(A394-2,'LPG Fup'!D:D,'LPG Fup'!M:M,"",0)&lt;&gt;"",_xlfn.XLOOKUP(A394-2,'LPG Fup'!D:D,'LPG Fup'!M:M,"",0)&lt;0),"I+1"),0)</f>
        <v>0</v>
      </c>
      <c r="R394">
        <f>_xlfn.XLOOKUP(A394,Covid!A:A,Covid!I:I,0,0)</f>
        <v>431</v>
      </c>
      <c r="S394">
        <f>_xlfn.XLOOKUP(A394,Covid!A:A,Covid!K:K,0,0)</f>
        <v>58</v>
      </c>
      <c r="T394" s="145">
        <f>_xlfn.XLOOKUP(A394,Covid!A:A,Covid!K:K,0,0)/_xlfn.XLOOKUP(A394,Covid!A:A,Covid!L:L,0,0)</f>
        <v>1.0887929416181715E-2</v>
      </c>
    </row>
    <row r="395" spans="1:20" x14ac:dyDescent="0.55000000000000004">
      <c r="A395" s="157">
        <v>44376</v>
      </c>
      <c r="B395" s="13">
        <v>1375720</v>
      </c>
      <c r="C395" s="13">
        <v>606383</v>
      </c>
      <c r="D395" s="13">
        <v>4061</v>
      </c>
      <c r="E395" s="13">
        <v>551026</v>
      </c>
      <c r="F395" s="13">
        <v>2537190</v>
      </c>
      <c r="G395">
        <f>IF(OR(_xlfn.XLOOKUP(A395,'LPG Fup'!D:D,'LPG Fup'!L:L,"",0)&gt;0.03,_xlfn.XLOOKUP(A395,'LPG Fup'!D:D,'LPG Fup'!L:L,"",0)&lt;-0.03),_xlfn.XLOOKUP(A395,'LPG Fup'!D:D,'LPG Fup'!L:L,0,0),0)</f>
        <v>0</v>
      </c>
      <c r="H395">
        <f>IF(_xlfn.XLOOKUP(A395,'LPG Fup'!D:D,'LPG Fup'!M:M,0,0)="",0,_xlfn.XLOOKUP(A395,'LPG Fup'!D:D,'LPG Fup'!M:M,0,0))</f>
        <v>0</v>
      </c>
      <c r="I395" s="109">
        <f>_xlfn.XLOOKUP(A395,'Rafineri Fiyatları'!A:A,'Rafineri Fiyatları'!B:B,"",0)</f>
        <v>4996.9704700000002</v>
      </c>
      <c r="J395">
        <f t="shared" si="24"/>
        <v>2021</v>
      </c>
      <c r="K395">
        <f t="shared" si="25"/>
        <v>6</v>
      </c>
      <c r="L395">
        <f t="shared" si="26"/>
        <v>29</v>
      </c>
      <c r="M395">
        <f t="shared" si="27"/>
        <v>3</v>
      </c>
      <c r="N395">
        <f>_xlfn.XLOOKUP(A395,tatiller!H:H,tatiller!I:I,0,0)</f>
        <v>0</v>
      </c>
      <c r="O395" cm="1">
        <f t="array" ref="O395">_xlfn.IFNA(_xlfn.IFS(L395=1,"A0",A395=EOMONTH(A395,0),"A-1",L395=2,"A+1"),0)</f>
        <v>0</v>
      </c>
      <c r="P395" cm="1">
        <f t="array" ref="P395">_xlfn.IFNA(_xlfn.IFS(AND(_xlfn.XLOOKUP(A395,'LPG Fup'!D:D,'LPG Fup'!M:M,"",0)&lt;&gt;"",_xlfn.XLOOKUP(A395,'LPG Fup'!D:D,'LPG Fup'!M:M,"",0)&gt;0),"Z-1", AND(_xlfn.XLOOKUP(A395+1,'LPG Fup'!D:D,'LPG Fup'!M:M,"",0)&lt;&gt;"",_xlfn.XLOOKUP(A395+1,'LPG Fup'!D:D,'LPG Fup'!M:M,"",0)&gt;0),"Z-2", AND(_xlfn.XLOOKUP(A395-1,'LPG Fup'!D:D,'LPG Fup'!M:M,"",0)&lt;&gt;"",_xlfn.XLOOKUP(A395-1,'LPG Fup'!D:D,'LPG Fup'!M:M,"",0)&gt;0),"Z", AND(_xlfn.XLOOKUP(A395-2,'LPG Fup'!D:D,'LPG Fup'!M:M,"",0)&lt;&gt;"",_xlfn.XLOOKUP(A395-2,'LPG Fup'!D:D,'LPG Fup'!M:M,"",0)&gt;0),"Z+1"),0)</f>
        <v>0</v>
      </c>
      <c r="Q395" cm="1">
        <f t="array" ref="Q395">_xlfn.IFNA(_xlfn.IFS(AND(_xlfn.XLOOKUP(A395,'LPG Fup'!D:D,'LPG Fup'!M:M,"",0)&lt;&gt;"",_xlfn.XLOOKUP(A395,'LPG Fup'!D:D,'LPG Fup'!M:M,"",0)&lt;0),"I-1", AND(_xlfn.XLOOKUP(A395+1,'LPG Fup'!D:D,'LPG Fup'!M:M,"",0)&lt;&gt;"",_xlfn.XLOOKUP(A395+1,'LPG Fup'!D:D,'LPG Fup'!M:M,"",0)&lt;0),"I-2", AND(_xlfn.XLOOKUP(A395-1,'LPG Fup'!D:D,'LPG Fup'!M:M,"",0)&lt;&gt;"",_xlfn.XLOOKUP(A395-1,'LPG Fup'!D:D,'LPG Fup'!M:M,"",0)&lt;0),"I", AND(_xlfn.XLOOKUP(A395-2,'LPG Fup'!D:D,'LPG Fup'!M:M,"",0)&lt;&gt;"",_xlfn.XLOOKUP(A395-2,'LPG Fup'!D:D,'LPG Fup'!M:M,"",0)&lt;0),"I+1"),0)</f>
        <v>0</v>
      </c>
      <c r="R395">
        <f>_xlfn.XLOOKUP(A395,Covid!A:A,Covid!I:I,0,0)</f>
        <v>510</v>
      </c>
      <c r="S395">
        <f>_xlfn.XLOOKUP(A395,Covid!A:A,Covid!K:K,0,0)</f>
        <v>53</v>
      </c>
      <c r="T395" s="145">
        <f>_xlfn.XLOOKUP(A395,Covid!A:A,Covid!K:K,0,0)/_xlfn.XLOOKUP(A395,Covid!A:A,Covid!L:L,0,0)</f>
        <v>8.1089351285189726E-3</v>
      </c>
    </row>
    <row r="396" spans="1:20" x14ac:dyDescent="0.55000000000000004">
      <c r="A396" s="157">
        <v>44377</v>
      </c>
      <c r="B396" s="13">
        <v>1249080</v>
      </c>
      <c r="C396" s="13">
        <v>856702</v>
      </c>
      <c r="D396" s="13">
        <v>71278</v>
      </c>
      <c r="E396" s="13">
        <v>662262</v>
      </c>
      <c r="F396" s="13">
        <v>2839322</v>
      </c>
      <c r="G396">
        <f>IF(OR(_xlfn.XLOOKUP(A396,'LPG Fup'!D:D,'LPG Fup'!L:L,"",0)&gt;0.03,_xlfn.XLOOKUP(A396,'LPG Fup'!D:D,'LPG Fup'!L:L,"",0)&lt;-0.03),_xlfn.XLOOKUP(A396,'LPG Fup'!D:D,'LPG Fup'!L:L,0,0),0)</f>
        <v>0</v>
      </c>
      <c r="H396">
        <f>IF(_xlfn.XLOOKUP(A396,'LPG Fup'!D:D,'LPG Fup'!M:M,0,0)="",0,_xlfn.XLOOKUP(A396,'LPG Fup'!D:D,'LPG Fup'!M:M,0,0))</f>
        <v>0</v>
      </c>
      <c r="I396" s="109">
        <f>_xlfn.XLOOKUP(A396,'Rafineri Fiyatları'!A:A,'Rafineri Fiyatları'!B:B,"",0)</f>
        <v>4996.9704700000002</v>
      </c>
      <c r="J396">
        <f t="shared" si="24"/>
        <v>2021</v>
      </c>
      <c r="K396">
        <f t="shared" si="25"/>
        <v>6</v>
      </c>
      <c r="L396">
        <f t="shared" si="26"/>
        <v>30</v>
      </c>
      <c r="M396">
        <f t="shared" si="27"/>
        <v>4</v>
      </c>
      <c r="N396">
        <f>_xlfn.XLOOKUP(A396,tatiller!H:H,tatiller!I:I,0,0)</f>
        <v>0</v>
      </c>
      <c r="O396" t="str" cm="1">
        <f t="array" ref="O396">_xlfn.IFNA(_xlfn.IFS(L396=1,"A0",A396=EOMONTH(A396,0),"A-1",L396=2,"A+1"),0)</f>
        <v>A-1</v>
      </c>
      <c r="P396" t="str" cm="1">
        <f t="array" ref="P396">_xlfn.IFNA(_xlfn.IFS(AND(_xlfn.XLOOKUP(A396,'LPG Fup'!D:D,'LPG Fup'!M:M,"",0)&lt;&gt;"",_xlfn.XLOOKUP(A396,'LPG Fup'!D:D,'LPG Fup'!M:M,"",0)&gt;0),"Z-1", AND(_xlfn.XLOOKUP(A396+1,'LPG Fup'!D:D,'LPG Fup'!M:M,"",0)&lt;&gt;"",_xlfn.XLOOKUP(A396+1,'LPG Fup'!D:D,'LPG Fup'!M:M,"",0)&gt;0),"Z-2", AND(_xlfn.XLOOKUP(A396-1,'LPG Fup'!D:D,'LPG Fup'!M:M,"",0)&lt;&gt;"",_xlfn.XLOOKUP(A396-1,'LPG Fup'!D:D,'LPG Fup'!M:M,"",0)&gt;0),"Z", AND(_xlfn.XLOOKUP(A396-2,'LPG Fup'!D:D,'LPG Fup'!M:M,"",0)&lt;&gt;"",_xlfn.XLOOKUP(A396-2,'LPG Fup'!D:D,'LPG Fup'!M:M,"",0)&gt;0),"Z+1"),0)</f>
        <v>Z-2</v>
      </c>
      <c r="Q396" cm="1">
        <f t="array" ref="Q396">_xlfn.IFNA(_xlfn.IFS(AND(_xlfn.XLOOKUP(A396,'LPG Fup'!D:D,'LPG Fup'!M:M,"",0)&lt;&gt;"",_xlfn.XLOOKUP(A396,'LPG Fup'!D:D,'LPG Fup'!M:M,"",0)&lt;0),"I-1", AND(_xlfn.XLOOKUP(A396+1,'LPG Fup'!D:D,'LPG Fup'!M:M,"",0)&lt;&gt;"",_xlfn.XLOOKUP(A396+1,'LPG Fup'!D:D,'LPG Fup'!M:M,"",0)&lt;0),"I-2", AND(_xlfn.XLOOKUP(A396-1,'LPG Fup'!D:D,'LPG Fup'!M:M,"",0)&lt;&gt;"",_xlfn.XLOOKUP(A396-1,'LPG Fup'!D:D,'LPG Fup'!M:M,"",0)&lt;0),"I", AND(_xlfn.XLOOKUP(A396-2,'LPG Fup'!D:D,'LPG Fup'!M:M,"",0)&lt;&gt;"",_xlfn.XLOOKUP(A396-2,'LPG Fup'!D:D,'LPG Fup'!M:M,"",0)&lt;0),"I+1"),0)</f>
        <v>0</v>
      </c>
      <c r="R396">
        <f>_xlfn.XLOOKUP(A396,Covid!A:A,Covid!I:I,0,0)</f>
        <v>522</v>
      </c>
      <c r="S396">
        <f>_xlfn.XLOOKUP(A396,Covid!A:A,Covid!K:K,0,0)</f>
        <v>45</v>
      </c>
      <c r="T396" s="145">
        <f>_xlfn.XLOOKUP(A396,Covid!A:A,Covid!K:K,0,0)/_xlfn.XLOOKUP(A396,Covid!A:A,Covid!L:L,0,0)</f>
        <v>6.2578222778473091E-3</v>
      </c>
    </row>
    <row r="397" spans="1:20" x14ac:dyDescent="0.55000000000000004">
      <c r="A397" s="157">
        <v>44378</v>
      </c>
      <c r="B397" s="13">
        <v>1628980</v>
      </c>
      <c r="C397" s="13">
        <v>812772</v>
      </c>
      <c r="D397" s="13">
        <v>9839</v>
      </c>
      <c r="E397" s="13">
        <v>584093</v>
      </c>
      <c r="F397" s="13">
        <v>3035684</v>
      </c>
      <c r="G397">
        <f>IF(OR(_xlfn.XLOOKUP(A397,'LPG Fup'!D:D,'LPG Fup'!L:L,"",0)&gt;0.03,_xlfn.XLOOKUP(A397,'LPG Fup'!D:D,'LPG Fup'!L:L,"",0)&lt;-0.03),_xlfn.XLOOKUP(A397,'LPG Fup'!D:D,'LPG Fup'!L:L,0,0),0)</f>
        <v>6.4146237242056897E-2</v>
      </c>
      <c r="H397">
        <f>IF(_xlfn.XLOOKUP(A397,'LPG Fup'!D:D,'LPG Fup'!M:M,0,0)="",0,_xlfn.XLOOKUP(A397,'LPG Fup'!D:D,'LPG Fup'!M:M,0,0))</f>
        <v>1045.4973299999992</v>
      </c>
      <c r="I397" s="109">
        <f>_xlfn.XLOOKUP(A397,'Rafineri Fiyatları'!A:A,'Rafineri Fiyatları'!B:B,"",0)</f>
        <v>4996.9704700000002</v>
      </c>
      <c r="J397">
        <f t="shared" si="24"/>
        <v>2021</v>
      </c>
      <c r="K397">
        <f t="shared" si="25"/>
        <v>7</v>
      </c>
      <c r="L397">
        <f t="shared" si="26"/>
        <v>1</v>
      </c>
      <c r="M397">
        <f t="shared" si="27"/>
        <v>5</v>
      </c>
      <c r="N397">
        <f>_xlfn.XLOOKUP(A397,tatiller!H:H,tatiller!I:I,0,0)</f>
        <v>0</v>
      </c>
      <c r="O397" t="str" cm="1">
        <f t="array" ref="O397">_xlfn.IFNA(_xlfn.IFS(L397=1,"A0",A397=EOMONTH(A397,0),"A-1",L397=2,"A+1"),0)</f>
        <v>A0</v>
      </c>
      <c r="P397" t="str" cm="1">
        <f t="array" ref="P397">_xlfn.IFNA(_xlfn.IFS(AND(_xlfn.XLOOKUP(A397,'LPG Fup'!D:D,'LPG Fup'!M:M,"",0)&lt;&gt;"",_xlfn.XLOOKUP(A397,'LPG Fup'!D:D,'LPG Fup'!M:M,"",0)&gt;0),"Z-1", AND(_xlfn.XLOOKUP(A397+1,'LPG Fup'!D:D,'LPG Fup'!M:M,"",0)&lt;&gt;"",_xlfn.XLOOKUP(A397+1,'LPG Fup'!D:D,'LPG Fup'!M:M,"",0)&gt;0),"Z-2", AND(_xlfn.XLOOKUP(A397-1,'LPG Fup'!D:D,'LPG Fup'!M:M,"",0)&lt;&gt;"",_xlfn.XLOOKUP(A397-1,'LPG Fup'!D:D,'LPG Fup'!M:M,"",0)&gt;0),"Z", AND(_xlfn.XLOOKUP(A397-2,'LPG Fup'!D:D,'LPG Fup'!M:M,"",0)&lt;&gt;"",_xlfn.XLOOKUP(A397-2,'LPG Fup'!D:D,'LPG Fup'!M:M,"",0)&gt;0),"Z+1"),0)</f>
        <v>Z-1</v>
      </c>
      <c r="Q397" cm="1">
        <f t="array" ref="Q397">_xlfn.IFNA(_xlfn.IFS(AND(_xlfn.XLOOKUP(A397,'LPG Fup'!D:D,'LPG Fup'!M:M,"",0)&lt;&gt;"",_xlfn.XLOOKUP(A397,'LPG Fup'!D:D,'LPG Fup'!M:M,"",0)&lt;0),"I-1", AND(_xlfn.XLOOKUP(A397+1,'LPG Fup'!D:D,'LPG Fup'!M:M,"",0)&lt;&gt;"",_xlfn.XLOOKUP(A397+1,'LPG Fup'!D:D,'LPG Fup'!M:M,"",0)&lt;0),"I-2", AND(_xlfn.XLOOKUP(A397-1,'LPG Fup'!D:D,'LPG Fup'!M:M,"",0)&lt;&gt;"",_xlfn.XLOOKUP(A397-1,'LPG Fup'!D:D,'LPG Fup'!M:M,"",0)&lt;0),"I", AND(_xlfn.XLOOKUP(A397-2,'LPG Fup'!D:D,'LPG Fup'!M:M,"",0)&lt;&gt;"",_xlfn.XLOOKUP(A397-2,'LPG Fup'!D:D,'LPG Fup'!M:M,"",0)&lt;0),"I+1"),0)</f>
        <v>0</v>
      </c>
      <c r="R397">
        <f>_xlfn.XLOOKUP(A397,Covid!A:A,Covid!I:I,0,0)</f>
        <v>462</v>
      </c>
      <c r="S397">
        <f>_xlfn.XLOOKUP(A397,Covid!A:A,Covid!K:K,0,0)</f>
        <v>42</v>
      </c>
      <c r="T397" s="145">
        <f>_xlfn.XLOOKUP(A397,Covid!A:A,Covid!K:K,0,0)/_xlfn.XLOOKUP(A397,Covid!A:A,Covid!L:L,0,0)</f>
        <v>6.753497346840328E-3</v>
      </c>
    </row>
    <row r="398" spans="1:20" x14ac:dyDescent="0.55000000000000004">
      <c r="A398" s="157">
        <v>44379</v>
      </c>
      <c r="B398" s="13">
        <v>2095440</v>
      </c>
      <c r="C398" s="13">
        <v>237272</v>
      </c>
      <c r="D398" s="13">
        <v>10365</v>
      </c>
      <c r="E398" s="13">
        <v>438210</v>
      </c>
      <c r="F398" s="13">
        <v>2781287</v>
      </c>
      <c r="G398">
        <f>IF(OR(_xlfn.XLOOKUP(A398,'LPG Fup'!D:D,'LPG Fup'!L:L,"",0)&gt;0.03,_xlfn.XLOOKUP(A398,'LPG Fup'!D:D,'LPG Fup'!L:L,"",0)&lt;-0.03),_xlfn.XLOOKUP(A398,'LPG Fup'!D:D,'LPG Fup'!L:L,0,0),0)</f>
        <v>0</v>
      </c>
      <c r="H398">
        <f>IF(_xlfn.XLOOKUP(A398,'LPG Fup'!D:D,'LPG Fup'!M:M,0,0)="",0,_xlfn.XLOOKUP(A398,'LPG Fup'!D:D,'LPG Fup'!M:M,0,0))</f>
        <v>0</v>
      </c>
      <c r="I398" s="109">
        <f>_xlfn.XLOOKUP(A398,'Rafineri Fiyatları'!A:A,'Rafineri Fiyatları'!B:B,"",0)</f>
        <v>5594.5700000000006</v>
      </c>
      <c r="J398">
        <f t="shared" si="24"/>
        <v>2021</v>
      </c>
      <c r="K398">
        <f t="shared" si="25"/>
        <v>7</v>
      </c>
      <c r="L398">
        <f t="shared" si="26"/>
        <v>2</v>
      </c>
      <c r="M398">
        <f t="shared" si="27"/>
        <v>6</v>
      </c>
      <c r="N398">
        <f>_xlfn.XLOOKUP(A398,tatiller!H:H,tatiller!I:I,0,0)</f>
        <v>0</v>
      </c>
      <c r="O398" t="str" cm="1">
        <f t="array" ref="O398">_xlfn.IFNA(_xlfn.IFS(L398=1,"A0",A398=EOMONTH(A398,0),"A-1",L398=2,"A+1"),0)</f>
        <v>A+1</v>
      </c>
      <c r="P398" t="str" cm="1">
        <f t="array" ref="P398">_xlfn.IFNA(_xlfn.IFS(AND(_xlfn.XLOOKUP(A398,'LPG Fup'!D:D,'LPG Fup'!M:M,"",0)&lt;&gt;"",_xlfn.XLOOKUP(A398,'LPG Fup'!D:D,'LPG Fup'!M:M,"",0)&gt;0),"Z-1", AND(_xlfn.XLOOKUP(A398+1,'LPG Fup'!D:D,'LPG Fup'!M:M,"",0)&lt;&gt;"",_xlfn.XLOOKUP(A398+1,'LPG Fup'!D:D,'LPG Fup'!M:M,"",0)&gt;0),"Z-2", AND(_xlfn.XLOOKUP(A398-1,'LPG Fup'!D:D,'LPG Fup'!M:M,"",0)&lt;&gt;"",_xlfn.XLOOKUP(A398-1,'LPG Fup'!D:D,'LPG Fup'!M:M,"",0)&gt;0),"Z", AND(_xlfn.XLOOKUP(A398-2,'LPG Fup'!D:D,'LPG Fup'!M:M,"",0)&lt;&gt;"",_xlfn.XLOOKUP(A398-2,'LPG Fup'!D:D,'LPG Fup'!M:M,"",0)&gt;0),"Z+1"),0)</f>
        <v>Z</v>
      </c>
      <c r="Q398" cm="1">
        <f t="array" ref="Q398">_xlfn.IFNA(_xlfn.IFS(AND(_xlfn.XLOOKUP(A398,'LPG Fup'!D:D,'LPG Fup'!M:M,"",0)&lt;&gt;"",_xlfn.XLOOKUP(A398,'LPG Fup'!D:D,'LPG Fup'!M:M,"",0)&lt;0),"I-1", AND(_xlfn.XLOOKUP(A398+1,'LPG Fup'!D:D,'LPG Fup'!M:M,"",0)&lt;&gt;"",_xlfn.XLOOKUP(A398+1,'LPG Fup'!D:D,'LPG Fup'!M:M,"",0)&lt;0),"I-2", AND(_xlfn.XLOOKUP(A398-1,'LPG Fup'!D:D,'LPG Fup'!M:M,"",0)&lt;&gt;"",_xlfn.XLOOKUP(A398-1,'LPG Fup'!D:D,'LPG Fup'!M:M,"",0)&lt;0),"I", AND(_xlfn.XLOOKUP(A398-2,'LPG Fup'!D:D,'LPG Fup'!M:M,"",0)&lt;&gt;"",_xlfn.XLOOKUP(A398-2,'LPG Fup'!D:D,'LPG Fup'!M:M,"",0)&lt;0),"I+1"),0)</f>
        <v>0</v>
      </c>
      <c r="R398">
        <f>_xlfn.XLOOKUP(A398,Covid!A:A,Covid!I:I,0,0)</f>
        <v>461</v>
      </c>
      <c r="S398">
        <f>_xlfn.XLOOKUP(A398,Covid!A:A,Covid!K:K,0,0)</f>
        <v>55</v>
      </c>
      <c r="T398" s="145">
        <f>_xlfn.XLOOKUP(A398,Covid!A:A,Covid!K:K,0,0)/_xlfn.XLOOKUP(A398,Covid!A:A,Covid!L:L,0,0)</f>
        <v>1.0276532137518685E-2</v>
      </c>
    </row>
    <row r="399" spans="1:20" x14ac:dyDescent="0.55000000000000004">
      <c r="A399" s="157">
        <v>44380</v>
      </c>
      <c r="B399" s="13">
        <v>1370600</v>
      </c>
      <c r="C399" s="13">
        <v>134433</v>
      </c>
      <c r="D399" s="13">
        <v>0</v>
      </c>
      <c r="E399" s="13">
        <v>544890</v>
      </c>
      <c r="F399" s="13">
        <v>2049923</v>
      </c>
      <c r="G399">
        <f>IF(OR(_xlfn.XLOOKUP(A399,'LPG Fup'!D:D,'LPG Fup'!L:L,"",0)&gt;0.03,_xlfn.XLOOKUP(A399,'LPG Fup'!D:D,'LPG Fup'!L:L,"",0)&lt;-0.03),_xlfn.XLOOKUP(A399,'LPG Fup'!D:D,'LPG Fup'!L:L,0,0),0)</f>
        <v>0</v>
      </c>
      <c r="H399">
        <f>IF(_xlfn.XLOOKUP(A399,'LPG Fup'!D:D,'LPG Fup'!M:M,0,0)="",0,_xlfn.XLOOKUP(A399,'LPG Fup'!D:D,'LPG Fup'!M:M,0,0))</f>
        <v>0</v>
      </c>
      <c r="I399" s="109">
        <f>_xlfn.XLOOKUP(A399,'Rafineri Fiyatları'!A:A,'Rafineri Fiyatları'!B:B,"",0)</f>
        <v>5594.5700000000006</v>
      </c>
      <c r="J399">
        <f t="shared" si="24"/>
        <v>2021</v>
      </c>
      <c r="K399">
        <f t="shared" si="25"/>
        <v>7</v>
      </c>
      <c r="L399">
        <f t="shared" si="26"/>
        <v>3</v>
      </c>
      <c r="M399">
        <f t="shared" si="27"/>
        <v>7</v>
      </c>
      <c r="N399">
        <f>_xlfn.XLOOKUP(A399,tatiller!H:H,tatiller!I:I,0,0)</f>
        <v>0</v>
      </c>
      <c r="O399" cm="1">
        <f t="array" ref="O399">_xlfn.IFNA(_xlfn.IFS(L399=1,"A0",A399=EOMONTH(A399,0),"A-1",L399=2,"A+1"),0)</f>
        <v>0</v>
      </c>
      <c r="P399" t="str" cm="1">
        <f t="array" ref="P399">_xlfn.IFNA(_xlfn.IFS(AND(_xlfn.XLOOKUP(A399,'LPG Fup'!D:D,'LPG Fup'!M:M,"",0)&lt;&gt;"",_xlfn.XLOOKUP(A399,'LPG Fup'!D:D,'LPG Fup'!M:M,"",0)&gt;0),"Z-1", AND(_xlfn.XLOOKUP(A399+1,'LPG Fup'!D:D,'LPG Fup'!M:M,"",0)&lt;&gt;"",_xlfn.XLOOKUP(A399+1,'LPG Fup'!D:D,'LPG Fup'!M:M,"",0)&gt;0),"Z-2", AND(_xlfn.XLOOKUP(A399-1,'LPG Fup'!D:D,'LPG Fup'!M:M,"",0)&lt;&gt;"",_xlfn.XLOOKUP(A399-1,'LPG Fup'!D:D,'LPG Fup'!M:M,"",0)&gt;0),"Z", AND(_xlfn.XLOOKUP(A399-2,'LPG Fup'!D:D,'LPG Fup'!M:M,"",0)&lt;&gt;"",_xlfn.XLOOKUP(A399-2,'LPG Fup'!D:D,'LPG Fup'!M:M,"",0)&gt;0),"Z+1"),0)</f>
        <v>Z+1</v>
      </c>
      <c r="Q399" cm="1">
        <f t="array" ref="Q399">_xlfn.IFNA(_xlfn.IFS(AND(_xlfn.XLOOKUP(A399,'LPG Fup'!D:D,'LPG Fup'!M:M,"",0)&lt;&gt;"",_xlfn.XLOOKUP(A399,'LPG Fup'!D:D,'LPG Fup'!M:M,"",0)&lt;0),"I-1", AND(_xlfn.XLOOKUP(A399+1,'LPG Fup'!D:D,'LPG Fup'!M:M,"",0)&lt;&gt;"",_xlfn.XLOOKUP(A399+1,'LPG Fup'!D:D,'LPG Fup'!M:M,"",0)&lt;0),"I-2", AND(_xlfn.XLOOKUP(A399-1,'LPG Fup'!D:D,'LPG Fup'!M:M,"",0)&lt;&gt;"",_xlfn.XLOOKUP(A399-1,'LPG Fup'!D:D,'LPG Fup'!M:M,"",0)&lt;0),"I", AND(_xlfn.XLOOKUP(A399-2,'LPG Fup'!D:D,'LPG Fup'!M:M,"",0)&lt;&gt;"",_xlfn.XLOOKUP(A399-2,'LPG Fup'!D:D,'LPG Fup'!M:M,"",0)&lt;0),"I+1"),0)</f>
        <v>0</v>
      </c>
      <c r="R399">
        <f>_xlfn.XLOOKUP(A399,Covid!A:A,Covid!I:I,0,0)</f>
        <v>478</v>
      </c>
      <c r="S399">
        <f>_xlfn.XLOOKUP(A399,Covid!A:A,Covid!K:K,0,0)</f>
        <v>45</v>
      </c>
      <c r="T399" s="145">
        <f>_xlfn.XLOOKUP(A399,Covid!A:A,Covid!K:K,0,0)/_xlfn.XLOOKUP(A399,Covid!A:A,Covid!L:L,0,0)</f>
        <v>9.1593730917972731E-3</v>
      </c>
    </row>
    <row r="400" spans="1:20" x14ac:dyDescent="0.55000000000000004">
      <c r="A400" s="157">
        <v>44381</v>
      </c>
      <c r="B400" s="13">
        <v>1272200</v>
      </c>
      <c r="C400" s="13">
        <v>0</v>
      </c>
      <c r="D400" s="13">
        <v>0</v>
      </c>
      <c r="E400" s="13">
        <v>474346</v>
      </c>
      <c r="F400" s="13">
        <v>1746546</v>
      </c>
      <c r="G400">
        <f>IF(OR(_xlfn.XLOOKUP(A400,'LPG Fup'!D:D,'LPG Fup'!L:L,"",0)&gt;0.03,_xlfn.XLOOKUP(A400,'LPG Fup'!D:D,'LPG Fup'!L:L,"",0)&lt;-0.03),_xlfn.XLOOKUP(A400,'LPG Fup'!D:D,'LPG Fup'!L:L,0,0),0)</f>
        <v>0</v>
      </c>
      <c r="H400">
        <f>IF(_xlfn.XLOOKUP(A400,'LPG Fup'!D:D,'LPG Fup'!M:M,0,0)="",0,_xlfn.XLOOKUP(A400,'LPG Fup'!D:D,'LPG Fup'!M:M,0,0))</f>
        <v>0</v>
      </c>
      <c r="I400" s="109">
        <f>_xlfn.XLOOKUP(A400,'Rafineri Fiyatları'!A:A,'Rafineri Fiyatları'!B:B,"",0)</f>
        <v>5594.5700000000006</v>
      </c>
      <c r="J400">
        <f t="shared" si="24"/>
        <v>2021</v>
      </c>
      <c r="K400">
        <f t="shared" si="25"/>
        <v>7</v>
      </c>
      <c r="L400">
        <f t="shared" si="26"/>
        <v>4</v>
      </c>
      <c r="M400">
        <f t="shared" si="27"/>
        <v>1</v>
      </c>
      <c r="N400">
        <f>_xlfn.XLOOKUP(A400,tatiller!H:H,tatiller!I:I,0,0)</f>
        <v>0</v>
      </c>
      <c r="O400" cm="1">
        <f t="array" ref="O400">_xlfn.IFNA(_xlfn.IFS(L400=1,"A0",A400=EOMONTH(A400,0),"A-1",L400=2,"A+1"),0)</f>
        <v>0</v>
      </c>
      <c r="P400" cm="1">
        <f t="array" ref="P400">_xlfn.IFNA(_xlfn.IFS(AND(_xlfn.XLOOKUP(A400,'LPG Fup'!D:D,'LPG Fup'!M:M,"",0)&lt;&gt;"",_xlfn.XLOOKUP(A400,'LPG Fup'!D:D,'LPG Fup'!M:M,"",0)&gt;0),"Z-1", AND(_xlfn.XLOOKUP(A400+1,'LPG Fup'!D:D,'LPG Fup'!M:M,"",0)&lt;&gt;"",_xlfn.XLOOKUP(A400+1,'LPG Fup'!D:D,'LPG Fup'!M:M,"",0)&gt;0),"Z-2", AND(_xlfn.XLOOKUP(A400-1,'LPG Fup'!D:D,'LPG Fup'!M:M,"",0)&lt;&gt;"",_xlfn.XLOOKUP(A400-1,'LPG Fup'!D:D,'LPG Fup'!M:M,"",0)&gt;0),"Z", AND(_xlfn.XLOOKUP(A400-2,'LPG Fup'!D:D,'LPG Fup'!M:M,"",0)&lt;&gt;"",_xlfn.XLOOKUP(A400-2,'LPG Fup'!D:D,'LPG Fup'!M:M,"",0)&gt;0),"Z+1"),0)</f>
        <v>0</v>
      </c>
      <c r="Q400" cm="1">
        <f t="array" ref="Q400">_xlfn.IFNA(_xlfn.IFS(AND(_xlfn.XLOOKUP(A400,'LPG Fup'!D:D,'LPG Fup'!M:M,"",0)&lt;&gt;"",_xlfn.XLOOKUP(A400,'LPG Fup'!D:D,'LPG Fup'!M:M,"",0)&lt;0),"I-1", AND(_xlfn.XLOOKUP(A400+1,'LPG Fup'!D:D,'LPG Fup'!M:M,"",0)&lt;&gt;"",_xlfn.XLOOKUP(A400+1,'LPG Fup'!D:D,'LPG Fup'!M:M,"",0)&lt;0),"I-2", AND(_xlfn.XLOOKUP(A400-1,'LPG Fup'!D:D,'LPG Fup'!M:M,"",0)&lt;&gt;"",_xlfn.XLOOKUP(A400-1,'LPG Fup'!D:D,'LPG Fup'!M:M,"",0)&lt;0),"I", AND(_xlfn.XLOOKUP(A400-2,'LPG Fup'!D:D,'LPG Fup'!M:M,"",0)&lt;&gt;"",_xlfn.XLOOKUP(A400-2,'LPG Fup'!D:D,'LPG Fup'!M:M,"",0)&lt;0),"I+1"),0)</f>
        <v>0</v>
      </c>
      <c r="R400">
        <f>_xlfn.XLOOKUP(A400,Covid!A:A,Covid!I:I,0,0)</f>
        <v>404</v>
      </c>
      <c r="S400">
        <f>_xlfn.XLOOKUP(A400,Covid!A:A,Covid!K:K,0,0)</f>
        <v>50</v>
      </c>
      <c r="T400" s="145">
        <f>_xlfn.XLOOKUP(A400,Covid!A:A,Covid!K:K,0,0)/_xlfn.XLOOKUP(A400,Covid!A:A,Covid!L:L,0,0)</f>
        <v>1.2016342225426579E-2</v>
      </c>
    </row>
    <row r="401" spans="1:20" x14ac:dyDescent="0.55000000000000004">
      <c r="A401" s="157">
        <v>44382</v>
      </c>
      <c r="B401" s="13">
        <v>1915320</v>
      </c>
      <c r="C401" s="13">
        <v>323105</v>
      </c>
      <c r="D401" s="13">
        <v>2849</v>
      </c>
      <c r="E401" s="13">
        <v>584669</v>
      </c>
      <c r="F401" s="13">
        <v>2825943</v>
      </c>
      <c r="G401">
        <f>IF(OR(_xlfn.XLOOKUP(A401,'LPG Fup'!D:D,'LPG Fup'!L:L,"",0)&gt;0.03,_xlfn.XLOOKUP(A401,'LPG Fup'!D:D,'LPG Fup'!L:L,"",0)&lt;-0.03),_xlfn.XLOOKUP(A401,'LPG Fup'!D:D,'LPG Fup'!L:L,0,0),0)</f>
        <v>0</v>
      </c>
      <c r="H401">
        <f>IF(_xlfn.XLOOKUP(A401,'LPG Fup'!D:D,'LPG Fup'!M:M,0,0)="",0,_xlfn.XLOOKUP(A401,'LPG Fup'!D:D,'LPG Fup'!M:M,0,0))</f>
        <v>0</v>
      </c>
      <c r="I401" s="109">
        <f>_xlfn.XLOOKUP(A401,'Rafineri Fiyatları'!A:A,'Rafineri Fiyatları'!B:B,"",0)</f>
        <v>5594.5700000000006</v>
      </c>
      <c r="J401">
        <f t="shared" si="24"/>
        <v>2021</v>
      </c>
      <c r="K401">
        <f t="shared" si="25"/>
        <v>7</v>
      </c>
      <c r="L401">
        <f t="shared" si="26"/>
        <v>5</v>
      </c>
      <c r="M401">
        <f t="shared" si="27"/>
        <v>2</v>
      </c>
      <c r="N401">
        <f>_xlfn.XLOOKUP(A401,tatiller!H:H,tatiller!I:I,0,0)</f>
        <v>0</v>
      </c>
      <c r="O401" cm="1">
        <f t="array" ref="O401">_xlfn.IFNA(_xlfn.IFS(L401=1,"A0",A401=EOMONTH(A401,0),"A-1",L401=2,"A+1"),0)</f>
        <v>0</v>
      </c>
      <c r="P401" cm="1">
        <f t="array" ref="P401">_xlfn.IFNA(_xlfn.IFS(AND(_xlfn.XLOOKUP(A401,'LPG Fup'!D:D,'LPG Fup'!M:M,"",0)&lt;&gt;"",_xlfn.XLOOKUP(A401,'LPG Fup'!D:D,'LPG Fup'!M:M,"",0)&gt;0),"Z-1", AND(_xlfn.XLOOKUP(A401+1,'LPG Fup'!D:D,'LPG Fup'!M:M,"",0)&lt;&gt;"",_xlfn.XLOOKUP(A401+1,'LPG Fup'!D:D,'LPG Fup'!M:M,"",0)&gt;0),"Z-2", AND(_xlfn.XLOOKUP(A401-1,'LPG Fup'!D:D,'LPG Fup'!M:M,"",0)&lt;&gt;"",_xlfn.XLOOKUP(A401-1,'LPG Fup'!D:D,'LPG Fup'!M:M,"",0)&gt;0),"Z", AND(_xlfn.XLOOKUP(A401-2,'LPG Fup'!D:D,'LPG Fup'!M:M,"",0)&lt;&gt;"",_xlfn.XLOOKUP(A401-2,'LPG Fup'!D:D,'LPG Fup'!M:M,"",0)&gt;0),"Z+1"),0)</f>
        <v>0</v>
      </c>
      <c r="Q401" cm="1">
        <f t="array" ref="Q401">_xlfn.IFNA(_xlfn.IFS(AND(_xlfn.XLOOKUP(A401,'LPG Fup'!D:D,'LPG Fup'!M:M,"",0)&lt;&gt;"",_xlfn.XLOOKUP(A401,'LPG Fup'!D:D,'LPG Fup'!M:M,"",0)&lt;0),"I-1", AND(_xlfn.XLOOKUP(A401+1,'LPG Fup'!D:D,'LPG Fup'!M:M,"",0)&lt;&gt;"",_xlfn.XLOOKUP(A401+1,'LPG Fup'!D:D,'LPG Fup'!M:M,"",0)&lt;0),"I-2", AND(_xlfn.XLOOKUP(A401-1,'LPG Fup'!D:D,'LPG Fup'!M:M,"",0)&lt;&gt;"",_xlfn.XLOOKUP(A401-1,'LPG Fup'!D:D,'LPG Fup'!M:M,"",0)&lt;0),"I", AND(_xlfn.XLOOKUP(A401-2,'LPG Fup'!D:D,'LPG Fup'!M:M,"",0)&lt;&gt;"",_xlfn.XLOOKUP(A401-2,'LPG Fup'!D:D,'LPG Fup'!M:M,"",0)&lt;0),"I+1"),0)</f>
        <v>0</v>
      </c>
      <c r="R401">
        <f>_xlfn.XLOOKUP(A401,Covid!A:A,Covid!I:I,0,0)</f>
        <v>0</v>
      </c>
      <c r="S401">
        <f>_xlfn.XLOOKUP(A401,Covid!A:A,Covid!K:K,0,0)</f>
        <v>35</v>
      </c>
      <c r="T401" s="145">
        <f>_xlfn.XLOOKUP(A401,Covid!A:A,Covid!K:K,0,0)/_xlfn.XLOOKUP(A401,Covid!A:A,Covid!L:L,0,0)</f>
        <v>7.3917634635691657E-3</v>
      </c>
    </row>
    <row r="402" spans="1:20" x14ac:dyDescent="0.55000000000000004">
      <c r="A402" s="157">
        <v>44383</v>
      </c>
      <c r="B402" s="13">
        <v>1737020</v>
      </c>
      <c r="C402" s="13">
        <v>338711</v>
      </c>
      <c r="D402" s="13">
        <v>8460</v>
      </c>
      <c r="E402" s="13">
        <v>511735</v>
      </c>
      <c r="F402" s="13">
        <v>2595926</v>
      </c>
      <c r="G402">
        <f>IF(OR(_xlfn.XLOOKUP(A402,'LPG Fup'!D:D,'LPG Fup'!L:L,"",0)&gt;0.03,_xlfn.XLOOKUP(A402,'LPG Fup'!D:D,'LPG Fup'!L:L,"",0)&lt;-0.03),_xlfn.XLOOKUP(A402,'LPG Fup'!D:D,'LPG Fup'!L:L,0,0),0)</f>
        <v>0</v>
      </c>
      <c r="H402">
        <f>IF(_xlfn.XLOOKUP(A402,'LPG Fup'!D:D,'LPG Fup'!M:M,0,0)="",0,_xlfn.XLOOKUP(A402,'LPG Fup'!D:D,'LPG Fup'!M:M,0,0))</f>
        <v>0</v>
      </c>
      <c r="I402" s="109">
        <f>_xlfn.XLOOKUP(A402,'Rafineri Fiyatları'!A:A,'Rafineri Fiyatları'!B:B,"",0)</f>
        <v>5594.5700000000006</v>
      </c>
      <c r="J402">
        <f t="shared" si="24"/>
        <v>2021</v>
      </c>
      <c r="K402">
        <f t="shared" si="25"/>
        <v>7</v>
      </c>
      <c r="L402">
        <f t="shared" si="26"/>
        <v>6</v>
      </c>
      <c r="M402">
        <f t="shared" si="27"/>
        <v>3</v>
      </c>
      <c r="N402">
        <f>_xlfn.XLOOKUP(A402,tatiller!H:H,tatiller!I:I,0,0)</f>
        <v>0</v>
      </c>
      <c r="O402" cm="1">
        <f t="array" ref="O402">_xlfn.IFNA(_xlfn.IFS(L402=1,"A0",A402=EOMONTH(A402,0),"A-1",L402=2,"A+1"),0)</f>
        <v>0</v>
      </c>
      <c r="P402" cm="1">
        <f t="array" ref="P402">_xlfn.IFNA(_xlfn.IFS(AND(_xlfn.XLOOKUP(A402,'LPG Fup'!D:D,'LPG Fup'!M:M,"",0)&lt;&gt;"",_xlfn.XLOOKUP(A402,'LPG Fup'!D:D,'LPG Fup'!M:M,"",0)&gt;0),"Z-1", AND(_xlfn.XLOOKUP(A402+1,'LPG Fup'!D:D,'LPG Fup'!M:M,"",0)&lt;&gt;"",_xlfn.XLOOKUP(A402+1,'LPG Fup'!D:D,'LPG Fup'!M:M,"",0)&gt;0),"Z-2", AND(_xlfn.XLOOKUP(A402-1,'LPG Fup'!D:D,'LPG Fup'!M:M,"",0)&lt;&gt;"",_xlfn.XLOOKUP(A402-1,'LPG Fup'!D:D,'LPG Fup'!M:M,"",0)&gt;0),"Z", AND(_xlfn.XLOOKUP(A402-2,'LPG Fup'!D:D,'LPG Fup'!M:M,"",0)&lt;&gt;"",_xlfn.XLOOKUP(A402-2,'LPG Fup'!D:D,'LPG Fup'!M:M,"",0)&gt;0),"Z+1"),0)</f>
        <v>0</v>
      </c>
      <c r="Q402" cm="1">
        <f t="array" ref="Q402">_xlfn.IFNA(_xlfn.IFS(AND(_xlfn.XLOOKUP(A402,'LPG Fup'!D:D,'LPG Fup'!M:M,"",0)&lt;&gt;"",_xlfn.XLOOKUP(A402,'LPG Fup'!D:D,'LPG Fup'!M:M,"",0)&lt;0),"I-1", AND(_xlfn.XLOOKUP(A402+1,'LPG Fup'!D:D,'LPG Fup'!M:M,"",0)&lt;&gt;"",_xlfn.XLOOKUP(A402+1,'LPG Fup'!D:D,'LPG Fup'!M:M,"",0)&lt;0),"I-2", AND(_xlfn.XLOOKUP(A402-1,'LPG Fup'!D:D,'LPG Fup'!M:M,"",0)&lt;&gt;"",_xlfn.XLOOKUP(A402-1,'LPG Fup'!D:D,'LPG Fup'!M:M,"",0)&lt;0),"I", AND(_xlfn.XLOOKUP(A402-2,'LPG Fup'!D:D,'LPG Fup'!M:M,"",0)&lt;&gt;"",_xlfn.XLOOKUP(A402-2,'LPG Fup'!D:D,'LPG Fup'!M:M,"",0)&lt;0),"I+1"),0)</f>
        <v>0</v>
      </c>
      <c r="R402">
        <f>_xlfn.XLOOKUP(A402,Covid!A:A,Covid!I:I,0,0)</f>
        <v>0</v>
      </c>
      <c r="S402">
        <f>_xlfn.XLOOKUP(A402,Covid!A:A,Covid!K:K,0,0)</f>
        <v>37</v>
      </c>
      <c r="T402" s="145">
        <f>_xlfn.XLOOKUP(A402,Covid!A:A,Covid!K:K,0,0)/_xlfn.XLOOKUP(A402,Covid!A:A,Covid!L:L,0,0)</f>
        <v>8.322087269455691E-3</v>
      </c>
    </row>
    <row r="403" spans="1:20" x14ac:dyDescent="0.55000000000000004">
      <c r="A403" s="157">
        <v>44384</v>
      </c>
      <c r="B403" s="13">
        <v>1804740</v>
      </c>
      <c r="C403" s="13">
        <v>363276</v>
      </c>
      <c r="D403" s="13">
        <v>8323</v>
      </c>
      <c r="E403" s="13">
        <v>610468</v>
      </c>
      <c r="F403" s="13">
        <v>2786807</v>
      </c>
      <c r="G403">
        <f>IF(OR(_xlfn.XLOOKUP(A403,'LPG Fup'!D:D,'LPG Fup'!L:L,"",0)&gt;0.03,_xlfn.XLOOKUP(A403,'LPG Fup'!D:D,'LPG Fup'!L:L,"",0)&lt;-0.03),_xlfn.XLOOKUP(A403,'LPG Fup'!D:D,'LPG Fup'!L:L,0,0),0)</f>
        <v>0</v>
      </c>
      <c r="H403">
        <f>IF(_xlfn.XLOOKUP(A403,'LPG Fup'!D:D,'LPG Fup'!M:M,0,0)="",0,_xlfn.XLOOKUP(A403,'LPG Fup'!D:D,'LPG Fup'!M:M,0,0))</f>
        <v>0</v>
      </c>
      <c r="I403" s="109">
        <f>_xlfn.XLOOKUP(A403,'Rafineri Fiyatları'!A:A,'Rafineri Fiyatları'!B:B,"",0)</f>
        <v>5594.5700000000006</v>
      </c>
      <c r="J403">
        <f t="shared" si="24"/>
        <v>2021</v>
      </c>
      <c r="K403">
        <f t="shared" si="25"/>
        <v>7</v>
      </c>
      <c r="L403">
        <f t="shared" si="26"/>
        <v>7</v>
      </c>
      <c r="M403">
        <f t="shared" si="27"/>
        <v>4</v>
      </c>
      <c r="N403">
        <f>_xlfn.XLOOKUP(A403,tatiller!H:H,tatiller!I:I,0,0)</f>
        <v>0</v>
      </c>
      <c r="O403" cm="1">
        <f t="array" ref="O403">_xlfn.IFNA(_xlfn.IFS(L403=1,"A0",A403=EOMONTH(A403,0),"A-1",L403=2,"A+1"),0)</f>
        <v>0</v>
      </c>
      <c r="P403" cm="1">
        <f t="array" ref="P403">_xlfn.IFNA(_xlfn.IFS(AND(_xlfn.XLOOKUP(A403,'LPG Fup'!D:D,'LPG Fup'!M:M,"",0)&lt;&gt;"",_xlfn.XLOOKUP(A403,'LPG Fup'!D:D,'LPG Fup'!M:M,"",0)&gt;0),"Z-1", AND(_xlfn.XLOOKUP(A403+1,'LPG Fup'!D:D,'LPG Fup'!M:M,"",0)&lt;&gt;"",_xlfn.XLOOKUP(A403+1,'LPG Fup'!D:D,'LPG Fup'!M:M,"",0)&gt;0),"Z-2", AND(_xlfn.XLOOKUP(A403-1,'LPG Fup'!D:D,'LPG Fup'!M:M,"",0)&lt;&gt;"",_xlfn.XLOOKUP(A403-1,'LPG Fup'!D:D,'LPG Fup'!M:M,"",0)&gt;0),"Z", AND(_xlfn.XLOOKUP(A403-2,'LPG Fup'!D:D,'LPG Fup'!M:M,"",0)&lt;&gt;"",_xlfn.XLOOKUP(A403-2,'LPG Fup'!D:D,'LPG Fup'!M:M,"",0)&gt;0),"Z+1"),0)</f>
        <v>0</v>
      </c>
      <c r="Q403" cm="1">
        <f t="array" ref="Q403">_xlfn.IFNA(_xlfn.IFS(AND(_xlfn.XLOOKUP(A403,'LPG Fup'!D:D,'LPG Fup'!M:M,"",0)&lt;&gt;"",_xlfn.XLOOKUP(A403,'LPG Fup'!D:D,'LPG Fup'!M:M,"",0)&lt;0),"I-1", AND(_xlfn.XLOOKUP(A403+1,'LPG Fup'!D:D,'LPG Fup'!M:M,"",0)&lt;&gt;"",_xlfn.XLOOKUP(A403+1,'LPG Fup'!D:D,'LPG Fup'!M:M,"",0)&lt;0),"I-2", AND(_xlfn.XLOOKUP(A403-1,'LPG Fup'!D:D,'LPG Fup'!M:M,"",0)&lt;&gt;"",_xlfn.XLOOKUP(A403-1,'LPG Fup'!D:D,'LPG Fup'!M:M,"",0)&lt;0),"I", AND(_xlfn.XLOOKUP(A403-2,'LPG Fup'!D:D,'LPG Fup'!M:M,"",0)&lt;&gt;"",_xlfn.XLOOKUP(A403-2,'LPG Fup'!D:D,'LPG Fup'!M:M,"",0)&lt;0),"I+1"),0)</f>
        <v>0</v>
      </c>
      <c r="R403">
        <f>_xlfn.XLOOKUP(A403,Covid!A:A,Covid!I:I,0,0)</f>
        <v>0</v>
      </c>
      <c r="S403">
        <f>_xlfn.XLOOKUP(A403,Covid!A:A,Covid!K:K,0,0)</f>
        <v>52</v>
      </c>
      <c r="T403" s="145">
        <f>_xlfn.XLOOKUP(A403,Covid!A:A,Covid!K:K,0,0)/_xlfn.XLOOKUP(A403,Covid!A:A,Covid!L:L,0,0)</f>
        <v>1.1216566005176877E-2</v>
      </c>
    </row>
    <row r="404" spans="1:20" x14ac:dyDescent="0.55000000000000004">
      <c r="A404" s="157">
        <v>44385</v>
      </c>
      <c r="B404" s="13">
        <v>1872380</v>
      </c>
      <c r="C404" s="13">
        <v>398158</v>
      </c>
      <c r="D404" s="13">
        <v>16694</v>
      </c>
      <c r="E404" s="13">
        <v>482614</v>
      </c>
      <c r="F404" s="13">
        <v>2769846</v>
      </c>
      <c r="G404">
        <f>IF(OR(_xlfn.XLOOKUP(A404,'LPG Fup'!D:D,'LPG Fup'!L:L,"",0)&gt;0.03,_xlfn.XLOOKUP(A404,'LPG Fup'!D:D,'LPG Fup'!L:L,"",0)&lt;-0.03),_xlfn.XLOOKUP(A404,'LPG Fup'!D:D,'LPG Fup'!L:L,0,0),0)</f>
        <v>0</v>
      </c>
      <c r="H404">
        <f>IF(_xlfn.XLOOKUP(A404,'LPG Fup'!D:D,'LPG Fup'!M:M,0,0)="",0,_xlfn.XLOOKUP(A404,'LPG Fup'!D:D,'LPG Fup'!M:M,0,0))</f>
        <v>0</v>
      </c>
      <c r="I404" s="109">
        <f>_xlfn.XLOOKUP(A404,'Rafineri Fiyatları'!A:A,'Rafineri Fiyatları'!B:B,"",0)</f>
        <v>5594.5700000000006</v>
      </c>
      <c r="J404">
        <f t="shared" si="24"/>
        <v>2021</v>
      </c>
      <c r="K404">
        <f t="shared" si="25"/>
        <v>7</v>
      </c>
      <c r="L404">
        <f t="shared" si="26"/>
        <v>8</v>
      </c>
      <c r="M404">
        <f t="shared" si="27"/>
        <v>5</v>
      </c>
      <c r="N404">
        <f>_xlfn.XLOOKUP(A404,tatiller!H:H,tatiller!I:I,0,0)</f>
        <v>0</v>
      </c>
      <c r="O404" cm="1">
        <f t="array" ref="O404">_xlfn.IFNA(_xlfn.IFS(L404=1,"A0",A404=EOMONTH(A404,0),"A-1",L404=2,"A+1"),0)</f>
        <v>0</v>
      </c>
      <c r="P404" cm="1">
        <f t="array" ref="P404">_xlfn.IFNA(_xlfn.IFS(AND(_xlfn.XLOOKUP(A404,'LPG Fup'!D:D,'LPG Fup'!M:M,"",0)&lt;&gt;"",_xlfn.XLOOKUP(A404,'LPG Fup'!D:D,'LPG Fup'!M:M,"",0)&gt;0),"Z-1", AND(_xlfn.XLOOKUP(A404+1,'LPG Fup'!D:D,'LPG Fup'!M:M,"",0)&lt;&gt;"",_xlfn.XLOOKUP(A404+1,'LPG Fup'!D:D,'LPG Fup'!M:M,"",0)&gt;0),"Z-2", AND(_xlfn.XLOOKUP(A404-1,'LPG Fup'!D:D,'LPG Fup'!M:M,"",0)&lt;&gt;"",_xlfn.XLOOKUP(A404-1,'LPG Fup'!D:D,'LPG Fup'!M:M,"",0)&gt;0),"Z", AND(_xlfn.XLOOKUP(A404-2,'LPG Fup'!D:D,'LPG Fup'!M:M,"",0)&lt;&gt;"",_xlfn.XLOOKUP(A404-2,'LPG Fup'!D:D,'LPG Fup'!M:M,"",0)&gt;0),"Z+1"),0)</f>
        <v>0</v>
      </c>
      <c r="Q404" cm="1">
        <f t="array" ref="Q404">_xlfn.IFNA(_xlfn.IFS(AND(_xlfn.XLOOKUP(A404,'LPG Fup'!D:D,'LPG Fup'!M:M,"",0)&lt;&gt;"",_xlfn.XLOOKUP(A404,'LPG Fup'!D:D,'LPG Fup'!M:M,"",0)&lt;0),"I-1", AND(_xlfn.XLOOKUP(A404+1,'LPG Fup'!D:D,'LPG Fup'!M:M,"",0)&lt;&gt;"",_xlfn.XLOOKUP(A404+1,'LPG Fup'!D:D,'LPG Fup'!M:M,"",0)&lt;0),"I-2", AND(_xlfn.XLOOKUP(A404-1,'LPG Fup'!D:D,'LPG Fup'!M:M,"",0)&lt;&gt;"",_xlfn.XLOOKUP(A404-1,'LPG Fup'!D:D,'LPG Fup'!M:M,"",0)&lt;0),"I", AND(_xlfn.XLOOKUP(A404-2,'LPG Fup'!D:D,'LPG Fup'!M:M,"",0)&lt;&gt;"",_xlfn.XLOOKUP(A404-2,'LPG Fup'!D:D,'LPG Fup'!M:M,"",0)&lt;0),"I+1"),0)</f>
        <v>0</v>
      </c>
      <c r="R404">
        <f>_xlfn.XLOOKUP(A404,Covid!A:A,Covid!I:I,0,0)</f>
        <v>0</v>
      </c>
      <c r="S404">
        <f>_xlfn.XLOOKUP(A404,Covid!A:A,Covid!K:K,0,0)</f>
        <v>48</v>
      </c>
      <c r="T404" s="145">
        <f>_xlfn.XLOOKUP(A404,Covid!A:A,Covid!K:K,0,0)/_xlfn.XLOOKUP(A404,Covid!A:A,Covid!L:L,0,0)</f>
        <v>9.5770151636073424E-3</v>
      </c>
    </row>
    <row r="405" spans="1:20" x14ac:dyDescent="0.55000000000000004">
      <c r="A405" s="157">
        <v>44386</v>
      </c>
      <c r="B405" s="13">
        <v>1798240</v>
      </c>
      <c r="C405" s="13">
        <v>427788</v>
      </c>
      <c r="D405" s="13">
        <v>2519</v>
      </c>
      <c r="E405" s="13">
        <v>602665</v>
      </c>
      <c r="F405" s="13">
        <v>2831212</v>
      </c>
      <c r="G405">
        <f>IF(OR(_xlfn.XLOOKUP(A405,'LPG Fup'!D:D,'LPG Fup'!L:L,"",0)&gt;0.03,_xlfn.XLOOKUP(A405,'LPG Fup'!D:D,'LPG Fup'!L:L,"",0)&lt;-0.03),_xlfn.XLOOKUP(A405,'LPG Fup'!D:D,'LPG Fup'!L:L,0,0),0)</f>
        <v>0</v>
      </c>
      <c r="H405">
        <f>IF(_xlfn.XLOOKUP(A405,'LPG Fup'!D:D,'LPG Fup'!M:M,0,0)="",0,_xlfn.XLOOKUP(A405,'LPG Fup'!D:D,'LPG Fup'!M:M,0,0))</f>
        <v>0</v>
      </c>
      <c r="I405" s="109">
        <f>_xlfn.XLOOKUP(A405,'Rafineri Fiyatları'!A:A,'Rafineri Fiyatları'!B:B,"",0)</f>
        <v>5594.5700000000006</v>
      </c>
      <c r="J405">
        <f t="shared" si="24"/>
        <v>2021</v>
      </c>
      <c r="K405">
        <f t="shared" si="25"/>
        <v>7</v>
      </c>
      <c r="L405">
        <f t="shared" si="26"/>
        <v>9</v>
      </c>
      <c r="M405">
        <f t="shared" si="27"/>
        <v>6</v>
      </c>
      <c r="N405">
        <f>_xlfn.XLOOKUP(A405,tatiller!H:H,tatiller!I:I,0,0)</f>
        <v>0</v>
      </c>
      <c r="O405" cm="1">
        <f t="array" ref="O405">_xlfn.IFNA(_xlfn.IFS(L405=1,"A0",A405=EOMONTH(A405,0),"A-1",L405=2,"A+1"),0)</f>
        <v>0</v>
      </c>
      <c r="P405" cm="1">
        <f t="array" ref="P405">_xlfn.IFNA(_xlfn.IFS(AND(_xlfn.XLOOKUP(A405,'LPG Fup'!D:D,'LPG Fup'!M:M,"",0)&lt;&gt;"",_xlfn.XLOOKUP(A405,'LPG Fup'!D:D,'LPG Fup'!M:M,"",0)&gt;0),"Z-1", AND(_xlfn.XLOOKUP(A405+1,'LPG Fup'!D:D,'LPG Fup'!M:M,"",0)&lt;&gt;"",_xlfn.XLOOKUP(A405+1,'LPG Fup'!D:D,'LPG Fup'!M:M,"",0)&gt;0),"Z-2", AND(_xlfn.XLOOKUP(A405-1,'LPG Fup'!D:D,'LPG Fup'!M:M,"",0)&lt;&gt;"",_xlfn.XLOOKUP(A405-1,'LPG Fup'!D:D,'LPG Fup'!M:M,"",0)&gt;0),"Z", AND(_xlfn.XLOOKUP(A405-2,'LPG Fup'!D:D,'LPG Fup'!M:M,"",0)&lt;&gt;"",_xlfn.XLOOKUP(A405-2,'LPG Fup'!D:D,'LPG Fup'!M:M,"",0)&gt;0),"Z+1"),0)</f>
        <v>0</v>
      </c>
      <c r="Q405" cm="1">
        <f t="array" ref="Q405">_xlfn.IFNA(_xlfn.IFS(AND(_xlfn.XLOOKUP(A405,'LPG Fup'!D:D,'LPG Fup'!M:M,"",0)&lt;&gt;"",_xlfn.XLOOKUP(A405,'LPG Fup'!D:D,'LPG Fup'!M:M,"",0)&lt;0),"I-1", AND(_xlfn.XLOOKUP(A405+1,'LPG Fup'!D:D,'LPG Fup'!M:M,"",0)&lt;&gt;"",_xlfn.XLOOKUP(A405+1,'LPG Fup'!D:D,'LPG Fup'!M:M,"",0)&lt;0),"I-2", AND(_xlfn.XLOOKUP(A405-1,'LPG Fup'!D:D,'LPG Fup'!M:M,"",0)&lt;&gt;"",_xlfn.XLOOKUP(A405-1,'LPG Fup'!D:D,'LPG Fup'!M:M,"",0)&lt;0),"I", AND(_xlfn.XLOOKUP(A405-2,'LPG Fup'!D:D,'LPG Fup'!M:M,"",0)&lt;&gt;"",_xlfn.XLOOKUP(A405-2,'LPG Fup'!D:D,'LPG Fup'!M:M,"",0)&lt;0),"I+1"),0)</f>
        <v>0</v>
      </c>
      <c r="R405">
        <f>_xlfn.XLOOKUP(A405,Covid!A:A,Covid!I:I,0,0)</f>
        <v>0</v>
      </c>
      <c r="S405">
        <f>_xlfn.XLOOKUP(A405,Covid!A:A,Covid!K:K,0,0)</f>
        <v>59</v>
      </c>
      <c r="T405" s="145">
        <f>_xlfn.XLOOKUP(A405,Covid!A:A,Covid!K:K,0,0)/_xlfn.XLOOKUP(A405,Covid!A:A,Covid!L:L,0,0)</f>
        <v>1.1509949278189621E-2</v>
      </c>
    </row>
    <row r="406" spans="1:20" x14ac:dyDescent="0.55000000000000004">
      <c r="A406" s="157">
        <v>44387</v>
      </c>
      <c r="B406" s="13">
        <v>1106680</v>
      </c>
      <c r="C406" s="13">
        <v>227329</v>
      </c>
      <c r="D406" s="13">
        <v>8499</v>
      </c>
      <c r="E406" s="13">
        <v>665118</v>
      </c>
      <c r="F406" s="13">
        <v>2007626</v>
      </c>
      <c r="G406">
        <f>IF(OR(_xlfn.XLOOKUP(A406,'LPG Fup'!D:D,'LPG Fup'!L:L,"",0)&gt;0.03,_xlfn.XLOOKUP(A406,'LPG Fup'!D:D,'LPG Fup'!L:L,"",0)&lt;-0.03),_xlfn.XLOOKUP(A406,'LPG Fup'!D:D,'LPG Fup'!L:L,0,0),0)</f>
        <v>0</v>
      </c>
      <c r="H406">
        <f>IF(_xlfn.XLOOKUP(A406,'LPG Fup'!D:D,'LPG Fup'!M:M,0,0)="",0,_xlfn.XLOOKUP(A406,'LPG Fup'!D:D,'LPG Fup'!M:M,0,0))</f>
        <v>0</v>
      </c>
      <c r="I406" s="109">
        <f>_xlfn.XLOOKUP(A406,'Rafineri Fiyatları'!A:A,'Rafineri Fiyatları'!B:B,"",0)</f>
        <v>5594.5700000000006</v>
      </c>
      <c r="J406">
        <f t="shared" si="24"/>
        <v>2021</v>
      </c>
      <c r="K406">
        <f t="shared" si="25"/>
        <v>7</v>
      </c>
      <c r="L406">
        <f t="shared" si="26"/>
        <v>10</v>
      </c>
      <c r="M406">
        <f t="shared" si="27"/>
        <v>7</v>
      </c>
      <c r="N406">
        <f>_xlfn.XLOOKUP(A406,tatiller!H:H,tatiller!I:I,0,0)</f>
        <v>0</v>
      </c>
      <c r="O406" cm="1">
        <f t="array" ref="O406">_xlfn.IFNA(_xlfn.IFS(L406=1,"A0",A406=EOMONTH(A406,0),"A-1",L406=2,"A+1"),0)</f>
        <v>0</v>
      </c>
      <c r="P406" cm="1">
        <f t="array" ref="P406">_xlfn.IFNA(_xlfn.IFS(AND(_xlfn.XLOOKUP(A406,'LPG Fup'!D:D,'LPG Fup'!M:M,"",0)&lt;&gt;"",_xlfn.XLOOKUP(A406,'LPG Fup'!D:D,'LPG Fup'!M:M,"",0)&gt;0),"Z-1", AND(_xlfn.XLOOKUP(A406+1,'LPG Fup'!D:D,'LPG Fup'!M:M,"",0)&lt;&gt;"",_xlfn.XLOOKUP(A406+1,'LPG Fup'!D:D,'LPG Fup'!M:M,"",0)&gt;0),"Z-2", AND(_xlfn.XLOOKUP(A406-1,'LPG Fup'!D:D,'LPG Fup'!M:M,"",0)&lt;&gt;"",_xlfn.XLOOKUP(A406-1,'LPG Fup'!D:D,'LPG Fup'!M:M,"",0)&gt;0),"Z", AND(_xlfn.XLOOKUP(A406-2,'LPG Fup'!D:D,'LPG Fup'!M:M,"",0)&lt;&gt;"",_xlfn.XLOOKUP(A406-2,'LPG Fup'!D:D,'LPG Fup'!M:M,"",0)&gt;0),"Z+1"),0)</f>
        <v>0</v>
      </c>
      <c r="Q406" cm="1">
        <f t="array" ref="Q406">_xlfn.IFNA(_xlfn.IFS(AND(_xlfn.XLOOKUP(A406,'LPG Fup'!D:D,'LPG Fup'!M:M,"",0)&lt;&gt;"",_xlfn.XLOOKUP(A406,'LPG Fup'!D:D,'LPG Fup'!M:M,"",0)&lt;0),"I-1", AND(_xlfn.XLOOKUP(A406+1,'LPG Fup'!D:D,'LPG Fup'!M:M,"",0)&lt;&gt;"",_xlfn.XLOOKUP(A406+1,'LPG Fup'!D:D,'LPG Fup'!M:M,"",0)&lt;0),"I-2", AND(_xlfn.XLOOKUP(A406-1,'LPG Fup'!D:D,'LPG Fup'!M:M,"",0)&lt;&gt;"",_xlfn.XLOOKUP(A406-1,'LPG Fup'!D:D,'LPG Fup'!M:M,"",0)&lt;0),"I", AND(_xlfn.XLOOKUP(A406-2,'LPG Fup'!D:D,'LPG Fup'!M:M,"",0)&lt;&gt;"",_xlfn.XLOOKUP(A406-2,'LPG Fup'!D:D,'LPG Fup'!M:M,"",0)&lt;0),"I+1"),0)</f>
        <v>0</v>
      </c>
      <c r="R406">
        <f>_xlfn.XLOOKUP(A406,Covid!A:A,Covid!I:I,0,0)</f>
        <v>0</v>
      </c>
      <c r="S406">
        <f>_xlfn.XLOOKUP(A406,Covid!A:A,Covid!K:K,0,0)</f>
        <v>37</v>
      </c>
      <c r="T406" s="145">
        <f>_xlfn.XLOOKUP(A406,Covid!A:A,Covid!K:K,0,0)/_xlfn.XLOOKUP(A406,Covid!A:A,Covid!L:L,0,0)</f>
        <v>7.0921985815602835E-3</v>
      </c>
    </row>
    <row r="407" spans="1:20" x14ac:dyDescent="0.55000000000000004">
      <c r="A407" s="157">
        <v>44388</v>
      </c>
      <c r="B407" s="13">
        <v>1488200</v>
      </c>
      <c r="C407" s="13">
        <v>0</v>
      </c>
      <c r="D407" s="13">
        <v>0</v>
      </c>
      <c r="E407" s="13">
        <v>478352</v>
      </c>
      <c r="F407" s="13">
        <v>4166381</v>
      </c>
      <c r="G407">
        <f>IF(OR(_xlfn.XLOOKUP(A407,'LPG Fup'!D:D,'LPG Fup'!L:L,"",0)&gt;0.03,_xlfn.XLOOKUP(A407,'LPG Fup'!D:D,'LPG Fup'!L:L,"",0)&lt;-0.03),_xlfn.XLOOKUP(A407,'LPG Fup'!D:D,'LPG Fup'!L:L,0,0),0)</f>
        <v>0</v>
      </c>
      <c r="H407">
        <f>IF(_xlfn.XLOOKUP(A407,'LPG Fup'!D:D,'LPG Fup'!M:M,0,0)="",0,_xlfn.XLOOKUP(A407,'LPG Fup'!D:D,'LPG Fup'!M:M,0,0))</f>
        <v>0</v>
      </c>
      <c r="I407" s="109">
        <f>_xlfn.XLOOKUP(A407,'Rafineri Fiyatları'!A:A,'Rafineri Fiyatları'!B:B,"",0)</f>
        <v>5594.5700000000006</v>
      </c>
      <c r="J407">
        <f t="shared" si="24"/>
        <v>2021</v>
      </c>
      <c r="K407">
        <f t="shared" si="25"/>
        <v>7</v>
      </c>
      <c r="L407">
        <f t="shared" si="26"/>
        <v>11</v>
      </c>
      <c r="M407">
        <f t="shared" si="27"/>
        <v>1</v>
      </c>
      <c r="N407">
        <f>_xlfn.XLOOKUP(A407,tatiller!H:H,tatiller!I:I,0,0)</f>
        <v>0</v>
      </c>
      <c r="O407" cm="1">
        <f t="array" ref="O407">_xlfn.IFNA(_xlfn.IFS(L407=1,"A0",A407=EOMONTH(A407,0),"A-1",L407=2,"A+1"),0)</f>
        <v>0</v>
      </c>
      <c r="P407" cm="1">
        <f t="array" ref="P407">_xlfn.IFNA(_xlfn.IFS(AND(_xlfn.XLOOKUP(A407,'LPG Fup'!D:D,'LPG Fup'!M:M,"",0)&lt;&gt;"",_xlfn.XLOOKUP(A407,'LPG Fup'!D:D,'LPG Fup'!M:M,"",0)&gt;0),"Z-1", AND(_xlfn.XLOOKUP(A407+1,'LPG Fup'!D:D,'LPG Fup'!M:M,"",0)&lt;&gt;"",_xlfn.XLOOKUP(A407+1,'LPG Fup'!D:D,'LPG Fup'!M:M,"",0)&gt;0),"Z-2", AND(_xlfn.XLOOKUP(A407-1,'LPG Fup'!D:D,'LPG Fup'!M:M,"",0)&lt;&gt;"",_xlfn.XLOOKUP(A407-1,'LPG Fup'!D:D,'LPG Fup'!M:M,"",0)&gt;0),"Z", AND(_xlfn.XLOOKUP(A407-2,'LPG Fup'!D:D,'LPG Fup'!M:M,"",0)&lt;&gt;"",_xlfn.XLOOKUP(A407-2,'LPG Fup'!D:D,'LPG Fup'!M:M,"",0)&gt;0),"Z+1"),0)</f>
        <v>0</v>
      </c>
      <c r="Q407" cm="1">
        <f t="array" ref="Q407">_xlfn.IFNA(_xlfn.IFS(AND(_xlfn.XLOOKUP(A407,'LPG Fup'!D:D,'LPG Fup'!M:M,"",0)&lt;&gt;"",_xlfn.XLOOKUP(A407,'LPG Fup'!D:D,'LPG Fup'!M:M,"",0)&lt;0),"I-1", AND(_xlfn.XLOOKUP(A407+1,'LPG Fup'!D:D,'LPG Fup'!M:M,"",0)&lt;&gt;"",_xlfn.XLOOKUP(A407+1,'LPG Fup'!D:D,'LPG Fup'!M:M,"",0)&lt;0),"I-2", AND(_xlfn.XLOOKUP(A407-1,'LPG Fup'!D:D,'LPG Fup'!M:M,"",0)&lt;&gt;"",_xlfn.XLOOKUP(A407-1,'LPG Fup'!D:D,'LPG Fup'!M:M,"",0)&lt;0),"I", AND(_xlfn.XLOOKUP(A407-2,'LPG Fup'!D:D,'LPG Fup'!M:M,"",0)&lt;&gt;"",_xlfn.XLOOKUP(A407-2,'LPG Fup'!D:D,'LPG Fup'!M:M,"",0)&lt;0),"I+1"),0)</f>
        <v>0</v>
      </c>
      <c r="R407">
        <f>_xlfn.XLOOKUP(A407,Covid!A:A,Covid!I:I,0,0)</f>
        <v>0</v>
      </c>
      <c r="S407">
        <f>_xlfn.XLOOKUP(A407,Covid!A:A,Covid!K:K,0,0)</f>
        <v>37</v>
      </c>
      <c r="T407" s="145">
        <f>_xlfn.XLOOKUP(A407,Covid!A:A,Covid!K:K,0,0)/_xlfn.XLOOKUP(A407,Covid!A:A,Covid!L:L,0,0)</f>
        <v>7.0583746661579553E-3</v>
      </c>
    </row>
    <row r="408" spans="1:20" x14ac:dyDescent="0.55000000000000004">
      <c r="A408" s="157">
        <v>44389</v>
      </c>
      <c r="B408" s="13">
        <v>1783600</v>
      </c>
      <c r="C408" s="13">
        <v>545750</v>
      </c>
      <c r="D408" s="13">
        <v>0</v>
      </c>
      <c r="E408" s="13">
        <v>565807</v>
      </c>
      <c r="F408" s="13">
        <v>2895157</v>
      </c>
      <c r="G408">
        <f>IF(OR(_xlfn.XLOOKUP(A408,'LPG Fup'!D:D,'LPG Fup'!L:L,"",0)&gt;0.03,_xlfn.XLOOKUP(A408,'LPG Fup'!D:D,'LPG Fup'!L:L,"",0)&lt;-0.03),_xlfn.XLOOKUP(A408,'LPG Fup'!D:D,'LPG Fup'!L:L,0,0),0)</f>
        <v>0</v>
      </c>
      <c r="H408">
        <f>IF(_xlfn.XLOOKUP(A408,'LPG Fup'!D:D,'LPG Fup'!M:M,0,0)="",0,_xlfn.XLOOKUP(A408,'LPG Fup'!D:D,'LPG Fup'!M:M,0,0))</f>
        <v>0</v>
      </c>
      <c r="I408" s="109">
        <f>_xlfn.XLOOKUP(A408,'Rafineri Fiyatları'!A:A,'Rafineri Fiyatları'!B:B,"",0)</f>
        <v>5594.5700000000006</v>
      </c>
      <c r="J408">
        <f t="shared" si="24"/>
        <v>2021</v>
      </c>
      <c r="K408">
        <f t="shared" si="25"/>
        <v>7</v>
      </c>
      <c r="L408">
        <f t="shared" si="26"/>
        <v>12</v>
      </c>
      <c r="M408">
        <f t="shared" si="27"/>
        <v>2</v>
      </c>
      <c r="N408">
        <f>_xlfn.XLOOKUP(A408,tatiller!H:H,tatiller!I:I,0,0)</f>
        <v>0</v>
      </c>
      <c r="O408" cm="1">
        <f t="array" ref="O408">_xlfn.IFNA(_xlfn.IFS(L408=1,"A0",A408=EOMONTH(A408,0),"A-1",L408=2,"A+1"),0)</f>
        <v>0</v>
      </c>
      <c r="P408" cm="1">
        <f t="array" ref="P408">_xlfn.IFNA(_xlfn.IFS(AND(_xlfn.XLOOKUP(A408,'LPG Fup'!D:D,'LPG Fup'!M:M,"",0)&lt;&gt;"",_xlfn.XLOOKUP(A408,'LPG Fup'!D:D,'LPG Fup'!M:M,"",0)&gt;0),"Z-1", AND(_xlfn.XLOOKUP(A408+1,'LPG Fup'!D:D,'LPG Fup'!M:M,"",0)&lt;&gt;"",_xlfn.XLOOKUP(A408+1,'LPG Fup'!D:D,'LPG Fup'!M:M,"",0)&gt;0),"Z-2", AND(_xlfn.XLOOKUP(A408-1,'LPG Fup'!D:D,'LPG Fup'!M:M,"",0)&lt;&gt;"",_xlfn.XLOOKUP(A408-1,'LPG Fup'!D:D,'LPG Fup'!M:M,"",0)&gt;0),"Z", AND(_xlfn.XLOOKUP(A408-2,'LPG Fup'!D:D,'LPG Fup'!M:M,"",0)&lt;&gt;"",_xlfn.XLOOKUP(A408-2,'LPG Fup'!D:D,'LPG Fup'!M:M,"",0)&gt;0),"Z+1"),0)</f>
        <v>0</v>
      </c>
      <c r="Q408" cm="1">
        <f t="array" ref="Q408">_xlfn.IFNA(_xlfn.IFS(AND(_xlfn.XLOOKUP(A408,'LPG Fup'!D:D,'LPG Fup'!M:M,"",0)&lt;&gt;"",_xlfn.XLOOKUP(A408,'LPG Fup'!D:D,'LPG Fup'!M:M,"",0)&lt;0),"I-1", AND(_xlfn.XLOOKUP(A408+1,'LPG Fup'!D:D,'LPG Fup'!M:M,"",0)&lt;&gt;"",_xlfn.XLOOKUP(A408+1,'LPG Fup'!D:D,'LPG Fup'!M:M,"",0)&lt;0),"I-2", AND(_xlfn.XLOOKUP(A408-1,'LPG Fup'!D:D,'LPG Fup'!M:M,"",0)&lt;&gt;"",_xlfn.XLOOKUP(A408-1,'LPG Fup'!D:D,'LPG Fup'!M:M,"",0)&lt;0),"I", AND(_xlfn.XLOOKUP(A408-2,'LPG Fup'!D:D,'LPG Fup'!M:M,"",0)&lt;&gt;"",_xlfn.XLOOKUP(A408-2,'LPG Fup'!D:D,'LPG Fup'!M:M,"",0)&lt;0),"I+1"),0)</f>
        <v>0</v>
      </c>
      <c r="R408">
        <f>_xlfn.XLOOKUP(A408,Covid!A:A,Covid!I:I,0,0)</f>
        <v>0</v>
      </c>
      <c r="S408">
        <f>_xlfn.XLOOKUP(A408,Covid!A:A,Covid!K:K,0,0)</f>
        <v>49</v>
      </c>
      <c r="T408" s="145">
        <f>_xlfn.XLOOKUP(A408,Covid!A:A,Covid!K:K,0,0)/_xlfn.XLOOKUP(A408,Covid!A:A,Covid!L:L,0,0)</f>
        <v>8.8993824918270972E-3</v>
      </c>
    </row>
    <row r="409" spans="1:20" x14ac:dyDescent="0.55000000000000004">
      <c r="A409" s="157">
        <v>44390</v>
      </c>
      <c r="B409" s="13">
        <v>1650980</v>
      </c>
      <c r="C409" s="13">
        <v>469532</v>
      </c>
      <c r="D409" s="13">
        <v>23301</v>
      </c>
      <c r="E409" s="13">
        <v>602332</v>
      </c>
      <c r="F409" s="13">
        <v>2746145</v>
      </c>
      <c r="G409">
        <f>IF(OR(_xlfn.XLOOKUP(A409,'LPG Fup'!D:D,'LPG Fup'!L:L,"",0)&gt;0.03,_xlfn.XLOOKUP(A409,'LPG Fup'!D:D,'LPG Fup'!L:L,"",0)&lt;-0.03),_xlfn.XLOOKUP(A409,'LPG Fup'!D:D,'LPG Fup'!L:L,0,0),0)</f>
        <v>0</v>
      </c>
      <c r="H409">
        <f>IF(_xlfn.XLOOKUP(A409,'LPG Fup'!D:D,'LPG Fup'!M:M,0,0)="",0,_xlfn.XLOOKUP(A409,'LPG Fup'!D:D,'LPG Fup'!M:M,0,0))</f>
        <v>0</v>
      </c>
      <c r="I409" s="109">
        <f>_xlfn.XLOOKUP(A409,'Rafineri Fiyatları'!A:A,'Rafineri Fiyatları'!B:B,"",0)</f>
        <v>5594.5700000000006</v>
      </c>
      <c r="J409">
        <f t="shared" si="24"/>
        <v>2021</v>
      </c>
      <c r="K409">
        <f t="shared" si="25"/>
        <v>7</v>
      </c>
      <c r="L409">
        <f t="shared" si="26"/>
        <v>13</v>
      </c>
      <c r="M409">
        <f t="shared" si="27"/>
        <v>3</v>
      </c>
      <c r="N409">
        <f>_xlfn.XLOOKUP(A409,tatiller!H:H,tatiller!I:I,0,0)</f>
        <v>0</v>
      </c>
      <c r="O409" cm="1">
        <f t="array" ref="O409">_xlfn.IFNA(_xlfn.IFS(L409=1,"A0",A409=EOMONTH(A409,0),"A-1",L409=2,"A+1"),0)</f>
        <v>0</v>
      </c>
      <c r="P409" cm="1">
        <f t="array" ref="P409">_xlfn.IFNA(_xlfn.IFS(AND(_xlfn.XLOOKUP(A409,'LPG Fup'!D:D,'LPG Fup'!M:M,"",0)&lt;&gt;"",_xlfn.XLOOKUP(A409,'LPG Fup'!D:D,'LPG Fup'!M:M,"",0)&gt;0),"Z-1", AND(_xlfn.XLOOKUP(A409+1,'LPG Fup'!D:D,'LPG Fup'!M:M,"",0)&lt;&gt;"",_xlfn.XLOOKUP(A409+1,'LPG Fup'!D:D,'LPG Fup'!M:M,"",0)&gt;0),"Z-2", AND(_xlfn.XLOOKUP(A409-1,'LPG Fup'!D:D,'LPG Fup'!M:M,"",0)&lt;&gt;"",_xlfn.XLOOKUP(A409-1,'LPG Fup'!D:D,'LPG Fup'!M:M,"",0)&gt;0),"Z", AND(_xlfn.XLOOKUP(A409-2,'LPG Fup'!D:D,'LPG Fup'!M:M,"",0)&lt;&gt;"",_xlfn.XLOOKUP(A409-2,'LPG Fup'!D:D,'LPG Fup'!M:M,"",0)&gt;0),"Z+1"),0)</f>
        <v>0</v>
      </c>
      <c r="Q409" cm="1">
        <f t="array" ref="Q409">_xlfn.IFNA(_xlfn.IFS(AND(_xlfn.XLOOKUP(A409,'LPG Fup'!D:D,'LPG Fup'!M:M,"",0)&lt;&gt;"",_xlfn.XLOOKUP(A409,'LPG Fup'!D:D,'LPG Fup'!M:M,"",0)&lt;0),"I-1", AND(_xlfn.XLOOKUP(A409+1,'LPG Fup'!D:D,'LPG Fup'!M:M,"",0)&lt;&gt;"",_xlfn.XLOOKUP(A409+1,'LPG Fup'!D:D,'LPG Fup'!M:M,"",0)&lt;0),"I-2", AND(_xlfn.XLOOKUP(A409-1,'LPG Fup'!D:D,'LPG Fup'!M:M,"",0)&lt;&gt;"",_xlfn.XLOOKUP(A409-1,'LPG Fup'!D:D,'LPG Fup'!M:M,"",0)&lt;0),"I", AND(_xlfn.XLOOKUP(A409-2,'LPG Fup'!D:D,'LPG Fup'!M:M,"",0)&lt;&gt;"",_xlfn.XLOOKUP(A409-2,'LPG Fup'!D:D,'LPG Fup'!M:M,"",0)&lt;0),"I+1"),0)</f>
        <v>0</v>
      </c>
      <c r="R409">
        <f>_xlfn.XLOOKUP(A409,Covid!A:A,Covid!I:I,0,0)</f>
        <v>0</v>
      </c>
      <c r="S409">
        <f>_xlfn.XLOOKUP(A409,Covid!A:A,Covid!K:K,0,0)</f>
        <v>46</v>
      </c>
      <c r="T409" s="145">
        <f>_xlfn.XLOOKUP(A409,Covid!A:A,Covid!K:K,0,0)/_xlfn.XLOOKUP(A409,Covid!A:A,Covid!L:L,0,0)</f>
        <v>8.9112746997287873E-3</v>
      </c>
    </row>
    <row r="410" spans="1:20" x14ac:dyDescent="0.55000000000000004">
      <c r="A410" s="157">
        <v>44391</v>
      </c>
      <c r="B410" s="13">
        <v>1729200</v>
      </c>
      <c r="C410" s="13">
        <v>574095</v>
      </c>
      <c r="D410" s="13">
        <v>8662</v>
      </c>
      <c r="E410" s="13">
        <v>621799</v>
      </c>
      <c r="F410" s="13">
        <v>2933756</v>
      </c>
      <c r="G410">
        <f>IF(OR(_xlfn.XLOOKUP(A410,'LPG Fup'!D:D,'LPG Fup'!L:L,"",0)&gt;0.03,_xlfn.XLOOKUP(A410,'LPG Fup'!D:D,'LPG Fup'!L:L,"",0)&lt;-0.03),_xlfn.XLOOKUP(A410,'LPG Fup'!D:D,'LPG Fup'!L:L,0,0),0)</f>
        <v>0</v>
      </c>
      <c r="H410">
        <f>IF(_xlfn.XLOOKUP(A410,'LPG Fup'!D:D,'LPG Fup'!M:M,0,0)="",0,_xlfn.XLOOKUP(A410,'LPG Fup'!D:D,'LPG Fup'!M:M,0,0))</f>
        <v>0</v>
      </c>
      <c r="I410" s="109">
        <f>_xlfn.XLOOKUP(A410,'Rafineri Fiyatları'!A:A,'Rafineri Fiyatları'!B:B,"",0)</f>
        <v>5594.5700000000006</v>
      </c>
      <c r="J410">
        <f t="shared" si="24"/>
        <v>2021</v>
      </c>
      <c r="K410">
        <f t="shared" si="25"/>
        <v>7</v>
      </c>
      <c r="L410">
        <f t="shared" si="26"/>
        <v>14</v>
      </c>
      <c r="M410">
        <f t="shared" si="27"/>
        <v>4</v>
      </c>
      <c r="N410">
        <f>_xlfn.XLOOKUP(A410,tatiller!H:H,tatiller!I:I,0,0)</f>
        <v>0</v>
      </c>
      <c r="O410" cm="1">
        <f t="array" ref="O410">_xlfn.IFNA(_xlfn.IFS(L410=1,"A0",A410=EOMONTH(A410,0),"A-1",L410=2,"A+1"),0)</f>
        <v>0</v>
      </c>
      <c r="P410" cm="1">
        <f t="array" ref="P410">_xlfn.IFNA(_xlfn.IFS(AND(_xlfn.XLOOKUP(A410,'LPG Fup'!D:D,'LPG Fup'!M:M,"",0)&lt;&gt;"",_xlfn.XLOOKUP(A410,'LPG Fup'!D:D,'LPG Fup'!M:M,"",0)&gt;0),"Z-1", AND(_xlfn.XLOOKUP(A410+1,'LPG Fup'!D:D,'LPG Fup'!M:M,"",0)&lt;&gt;"",_xlfn.XLOOKUP(A410+1,'LPG Fup'!D:D,'LPG Fup'!M:M,"",0)&gt;0),"Z-2", AND(_xlfn.XLOOKUP(A410-1,'LPG Fup'!D:D,'LPG Fup'!M:M,"",0)&lt;&gt;"",_xlfn.XLOOKUP(A410-1,'LPG Fup'!D:D,'LPG Fup'!M:M,"",0)&gt;0),"Z", AND(_xlfn.XLOOKUP(A410-2,'LPG Fup'!D:D,'LPG Fup'!M:M,"",0)&lt;&gt;"",_xlfn.XLOOKUP(A410-2,'LPG Fup'!D:D,'LPG Fup'!M:M,"",0)&gt;0),"Z+1"),0)</f>
        <v>0</v>
      </c>
      <c r="Q410" cm="1">
        <f t="array" ref="Q410">_xlfn.IFNA(_xlfn.IFS(AND(_xlfn.XLOOKUP(A410,'LPG Fup'!D:D,'LPG Fup'!M:M,"",0)&lt;&gt;"",_xlfn.XLOOKUP(A410,'LPG Fup'!D:D,'LPG Fup'!M:M,"",0)&lt;0),"I-1", AND(_xlfn.XLOOKUP(A410+1,'LPG Fup'!D:D,'LPG Fup'!M:M,"",0)&lt;&gt;"",_xlfn.XLOOKUP(A410+1,'LPG Fup'!D:D,'LPG Fup'!M:M,"",0)&lt;0),"I-2", AND(_xlfn.XLOOKUP(A410-1,'LPG Fup'!D:D,'LPG Fup'!M:M,"",0)&lt;&gt;"",_xlfn.XLOOKUP(A410-1,'LPG Fup'!D:D,'LPG Fup'!M:M,"",0)&lt;0),"I", AND(_xlfn.XLOOKUP(A410-2,'LPG Fup'!D:D,'LPG Fup'!M:M,"",0)&lt;&gt;"",_xlfn.XLOOKUP(A410-2,'LPG Fup'!D:D,'LPG Fup'!M:M,"",0)&lt;0),"I+1"),0)</f>
        <v>0</v>
      </c>
      <c r="R410">
        <f>_xlfn.XLOOKUP(A410,Covid!A:A,Covid!I:I,0,0)</f>
        <v>0</v>
      </c>
      <c r="S410">
        <f>_xlfn.XLOOKUP(A410,Covid!A:A,Covid!K:K,0,0)</f>
        <v>43</v>
      </c>
      <c r="T410" s="145">
        <f>_xlfn.XLOOKUP(A410,Covid!A:A,Covid!K:K,0,0)/_xlfn.XLOOKUP(A410,Covid!A:A,Covid!L:L,0,0)</f>
        <v>8.4929883468299432E-3</v>
      </c>
    </row>
    <row r="411" spans="1:20" x14ac:dyDescent="0.55000000000000004">
      <c r="A411" s="157">
        <v>44392</v>
      </c>
      <c r="B411" s="13">
        <v>1717680</v>
      </c>
      <c r="C411" s="13">
        <v>331212</v>
      </c>
      <c r="D411" s="13">
        <v>751</v>
      </c>
      <c r="E411" s="13">
        <v>624873</v>
      </c>
      <c r="F411" s="13">
        <v>2674516</v>
      </c>
      <c r="G411">
        <f>IF(OR(_xlfn.XLOOKUP(A411,'LPG Fup'!D:D,'LPG Fup'!L:L,"",0)&gt;0.03,_xlfn.XLOOKUP(A411,'LPG Fup'!D:D,'LPG Fup'!L:L,"",0)&lt;-0.03),_xlfn.XLOOKUP(A411,'LPG Fup'!D:D,'LPG Fup'!L:L,0,0),0)</f>
        <v>0</v>
      </c>
      <c r="H411">
        <f>IF(_xlfn.XLOOKUP(A411,'LPG Fup'!D:D,'LPG Fup'!M:M,0,0)="",0,_xlfn.XLOOKUP(A411,'LPG Fup'!D:D,'LPG Fup'!M:M,0,0))</f>
        <v>0</v>
      </c>
      <c r="I411" s="109">
        <f>_xlfn.XLOOKUP(A411,'Rafineri Fiyatları'!A:A,'Rafineri Fiyatları'!B:B,"",0)</f>
        <v>5594.5700000000006</v>
      </c>
      <c r="J411">
        <f t="shared" si="24"/>
        <v>2021</v>
      </c>
      <c r="K411">
        <f t="shared" si="25"/>
        <v>7</v>
      </c>
      <c r="L411">
        <f t="shared" si="26"/>
        <v>15</v>
      </c>
      <c r="M411">
        <f t="shared" si="27"/>
        <v>5</v>
      </c>
      <c r="N411" t="str">
        <f>_xlfn.XLOOKUP(A411,tatiller!H:H,tatiller!I:I,0,0)</f>
        <v>T</v>
      </c>
      <c r="O411" cm="1">
        <f t="array" ref="O411">_xlfn.IFNA(_xlfn.IFS(L411=1,"A0",A411=EOMONTH(A411,0),"A-1",L411=2,"A+1"),0)</f>
        <v>0</v>
      </c>
      <c r="P411" cm="1">
        <f t="array" ref="P411">_xlfn.IFNA(_xlfn.IFS(AND(_xlfn.XLOOKUP(A411,'LPG Fup'!D:D,'LPG Fup'!M:M,"",0)&lt;&gt;"",_xlfn.XLOOKUP(A411,'LPG Fup'!D:D,'LPG Fup'!M:M,"",0)&gt;0),"Z-1", AND(_xlfn.XLOOKUP(A411+1,'LPG Fup'!D:D,'LPG Fup'!M:M,"",0)&lt;&gt;"",_xlfn.XLOOKUP(A411+1,'LPG Fup'!D:D,'LPG Fup'!M:M,"",0)&gt;0),"Z-2", AND(_xlfn.XLOOKUP(A411-1,'LPG Fup'!D:D,'LPG Fup'!M:M,"",0)&lt;&gt;"",_xlfn.XLOOKUP(A411-1,'LPG Fup'!D:D,'LPG Fup'!M:M,"",0)&gt;0),"Z", AND(_xlfn.XLOOKUP(A411-2,'LPG Fup'!D:D,'LPG Fup'!M:M,"",0)&lt;&gt;"",_xlfn.XLOOKUP(A411-2,'LPG Fup'!D:D,'LPG Fup'!M:M,"",0)&gt;0),"Z+1"),0)</f>
        <v>0</v>
      </c>
      <c r="Q411" cm="1">
        <f t="array" ref="Q411">_xlfn.IFNA(_xlfn.IFS(AND(_xlfn.XLOOKUP(A411,'LPG Fup'!D:D,'LPG Fup'!M:M,"",0)&lt;&gt;"",_xlfn.XLOOKUP(A411,'LPG Fup'!D:D,'LPG Fup'!M:M,"",0)&lt;0),"I-1", AND(_xlfn.XLOOKUP(A411+1,'LPG Fup'!D:D,'LPG Fup'!M:M,"",0)&lt;&gt;"",_xlfn.XLOOKUP(A411+1,'LPG Fup'!D:D,'LPG Fup'!M:M,"",0)&lt;0),"I-2", AND(_xlfn.XLOOKUP(A411-1,'LPG Fup'!D:D,'LPG Fup'!M:M,"",0)&lt;&gt;"",_xlfn.XLOOKUP(A411-1,'LPG Fup'!D:D,'LPG Fup'!M:M,"",0)&lt;0),"I", AND(_xlfn.XLOOKUP(A411-2,'LPG Fup'!D:D,'LPG Fup'!M:M,"",0)&lt;&gt;"",_xlfn.XLOOKUP(A411-2,'LPG Fup'!D:D,'LPG Fup'!M:M,"",0)&lt;0),"I+1"),0)</f>
        <v>0</v>
      </c>
      <c r="R411">
        <f>_xlfn.XLOOKUP(A411,Covid!A:A,Covid!I:I,0,0)</f>
        <v>0</v>
      </c>
      <c r="S411">
        <f>_xlfn.XLOOKUP(A411,Covid!A:A,Covid!K:K,0,0)</f>
        <v>48</v>
      </c>
      <c r="T411" s="145">
        <f>_xlfn.XLOOKUP(A411,Covid!A:A,Covid!K:K,0,0)/_xlfn.XLOOKUP(A411,Covid!A:A,Covid!L:L,0,0)</f>
        <v>9.4062316284538507E-3</v>
      </c>
    </row>
    <row r="412" spans="1:20" x14ac:dyDescent="0.55000000000000004">
      <c r="A412" s="157">
        <v>44393</v>
      </c>
      <c r="B412" s="13">
        <v>2242220</v>
      </c>
      <c r="C412" s="13">
        <v>621223</v>
      </c>
      <c r="D412" s="13">
        <v>23356</v>
      </c>
      <c r="E412" s="13">
        <v>631246</v>
      </c>
      <c r="F412" s="13">
        <v>3518045</v>
      </c>
      <c r="G412">
        <f>IF(OR(_xlfn.XLOOKUP(A412,'LPG Fup'!D:D,'LPG Fup'!L:L,"",0)&gt;0.03,_xlfn.XLOOKUP(A412,'LPG Fup'!D:D,'LPG Fup'!L:L,"",0)&lt;-0.03),_xlfn.XLOOKUP(A412,'LPG Fup'!D:D,'LPG Fup'!L:L,0,0),0)</f>
        <v>0</v>
      </c>
      <c r="H412">
        <f>IF(_xlfn.XLOOKUP(A412,'LPG Fup'!D:D,'LPG Fup'!M:M,0,0)="",0,_xlfn.XLOOKUP(A412,'LPG Fup'!D:D,'LPG Fup'!M:M,0,0))</f>
        <v>0</v>
      </c>
      <c r="I412" s="109">
        <f>_xlfn.XLOOKUP(A412,'Rafineri Fiyatları'!A:A,'Rafineri Fiyatları'!B:B,"",0)</f>
        <v>5594.5700000000006</v>
      </c>
      <c r="J412">
        <f t="shared" si="24"/>
        <v>2021</v>
      </c>
      <c r="K412">
        <f t="shared" si="25"/>
        <v>7</v>
      </c>
      <c r="L412">
        <f t="shared" si="26"/>
        <v>16</v>
      </c>
      <c r="M412">
        <f t="shared" si="27"/>
        <v>6</v>
      </c>
      <c r="N412">
        <f>_xlfn.XLOOKUP(A412,tatiller!H:H,tatiller!I:I,0,0)</f>
        <v>0</v>
      </c>
      <c r="O412" cm="1">
        <f t="array" ref="O412">_xlfn.IFNA(_xlfn.IFS(L412=1,"A0",A412=EOMONTH(A412,0),"A-1",L412=2,"A+1"),0)</f>
        <v>0</v>
      </c>
      <c r="P412" cm="1">
        <f t="array" ref="P412">_xlfn.IFNA(_xlfn.IFS(AND(_xlfn.XLOOKUP(A412,'LPG Fup'!D:D,'LPG Fup'!M:M,"",0)&lt;&gt;"",_xlfn.XLOOKUP(A412,'LPG Fup'!D:D,'LPG Fup'!M:M,"",0)&gt;0),"Z-1", AND(_xlfn.XLOOKUP(A412+1,'LPG Fup'!D:D,'LPG Fup'!M:M,"",0)&lt;&gt;"",_xlfn.XLOOKUP(A412+1,'LPG Fup'!D:D,'LPG Fup'!M:M,"",0)&gt;0),"Z-2", AND(_xlfn.XLOOKUP(A412-1,'LPG Fup'!D:D,'LPG Fup'!M:M,"",0)&lt;&gt;"",_xlfn.XLOOKUP(A412-1,'LPG Fup'!D:D,'LPG Fup'!M:M,"",0)&gt;0),"Z", AND(_xlfn.XLOOKUP(A412-2,'LPG Fup'!D:D,'LPG Fup'!M:M,"",0)&lt;&gt;"",_xlfn.XLOOKUP(A412-2,'LPG Fup'!D:D,'LPG Fup'!M:M,"",0)&gt;0),"Z+1"),0)</f>
        <v>0</v>
      </c>
      <c r="Q412" cm="1">
        <f t="array" ref="Q412">_xlfn.IFNA(_xlfn.IFS(AND(_xlfn.XLOOKUP(A412,'LPG Fup'!D:D,'LPG Fup'!M:M,"",0)&lt;&gt;"",_xlfn.XLOOKUP(A412,'LPG Fup'!D:D,'LPG Fup'!M:M,"",0)&lt;0),"I-1", AND(_xlfn.XLOOKUP(A412+1,'LPG Fup'!D:D,'LPG Fup'!M:M,"",0)&lt;&gt;"",_xlfn.XLOOKUP(A412+1,'LPG Fup'!D:D,'LPG Fup'!M:M,"",0)&lt;0),"I-2", AND(_xlfn.XLOOKUP(A412-1,'LPG Fup'!D:D,'LPG Fup'!M:M,"",0)&lt;&gt;"",_xlfn.XLOOKUP(A412-1,'LPG Fup'!D:D,'LPG Fup'!M:M,"",0)&lt;0),"I", AND(_xlfn.XLOOKUP(A412-2,'LPG Fup'!D:D,'LPG Fup'!M:M,"",0)&lt;&gt;"",_xlfn.XLOOKUP(A412-2,'LPG Fup'!D:D,'LPG Fup'!M:M,"",0)&lt;0),"I+1"),0)</f>
        <v>0</v>
      </c>
      <c r="R412">
        <f>_xlfn.XLOOKUP(A412,Covid!A:A,Covid!I:I,0,0)</f>
        <v>0</v>
      </c>
      <c r="S412">
        <f>_xlfn.XLOOKUP(A412,Covid!A:A,Covid!K:K,0,0)</f>
        <v>35</v>
      </c>
      <c r="T412" s="145">
        <f>_xlfn.XLOOKUP(A412,Covid!A:A,Covid!K:K,0,0)/_xlfn.XLOOKUP(A412,Covid!A:A,Covid!L:L,0,0)</f>
        <v>6.8843430369787571E-3</v>
      </c>
    </row>
    <row r="413" spans="1:20" x14ac:dyDescent="0.55000000000000004">
      <c r="A413" s="157">
        <v>44394</v>
      </c>
      <c r="B413" s="13">
        <v>1576140</v>
      </c>
      <c r="C413" s="13">
        <v>515793</v>
      </c>
      <c r="D413" s="13">
        <v>4813</v>
      </c>
      <c r="E413" s="13">
        <v>673564</v>
      </c>
      <c r="F413" s="13">
        <v>2770310</v>
      </c>
      <c r="G413">
        <f>IF(OR(_xlfn.XLOOKUP(A413,'LPG Fup'!D:D,'LPG Fup'!L:L,"",0)&gt;0.03,_xlfn.XLOOKUP(A413,'LPG Fup'!D:D,'LPG Fup'!L:L,"",0)&lt;-0.03),_xlfn.XLOOKUP(A413,'LPG Fup'!D:D,'LPG Fup'!L:L,0,0),0)</f>
        <v>0</v>
      </c>
      <c r="H413">
        <f>IF(_xlfn.XLOOKUP(A413,'LPG Fup'!D:D,'LPG Fup'!M:M,0,0)="",0,_xlfn.XLOOKUP(A413,'LPG Fup'!D:D,'LPG Fup'!M:M,0,0))</f>
        <v>0</v>
      </c>
      <c r="I413" s="109">
        <f>_xlfn.XLOOKUP(A413,'Rafineri Fiyatları'!A:A,'Rafineri Fiyatları'!B:B,"",0)</f>
        <v>5594.5700000000006</v>
      </c>
      <c r="J413">
        <f t="shared" si="24"/>
        <v>2021</v>
      </c>
      <c r="K413">
        <f t="shared" si="25"/>
        <v>7</v>
      </c>
      <c r="L413">
        <f t="shared" si="26"/>
        <v>17</v>
      </c>
      <c r="M413">
        <f t="shared" si="27"/>
        <v>7</v>
      </c>
      <c r="N413" t="str">
        <f>_xlfn.XLOOKUP(A413,tatiller!H:H,tatiller!I:I,0,0)</f>
        <v>KBA-2</v>
      </c>
      <c r="O413" cm="1">
        <f t="array" ref="O413">_xlfn.IFNA(_xlfn.IFS(L413=1,"A0",A413=EOMONTH(A413,0),"A-1",L413=2,"A+1"),0)</f>
        <v>0</v>
      </c>
      <c r="P413" cm="1">
        <f t="array" ref="P413">_xlfn.IFNA(_xlfn.IFS(AND(_xlfn.XLOOKUP(A413,'LPG Fup'!D:D,'LPG Fup'!M:M,"",0)&lt;&gt;"",_xlfn.XLOOKUP(A413,'LPG Fup'!D:D,'LPG Fup'!M:M,"",0)&gt;0),"Z-1", AND(_xlfn.XLOOKUP(A413+1,'LPG Fup'!D:D,'LPG Fup'!M:M,"",0)&lt;&gt;"",_xlfn.XLOOKUP(A413+1,'LPG Fup'!D:D,'LPG Fup'!M:M,"",0)&gt;0),"Z-2", AND(_xlfn.XLOOKUP(A413-1,'LPG Fup'!D:D,'LPG Fup'!M:M,"",0)&lt;&gt;"",_xlfn.XLOOKUP(A413-1,'LPG Fup'!D:D,'LPG Fup'!M:M,"",0)&gt;0),"Z", AND(_xlfn.XLOOKUP(A413-2,'LPG Fup'!D:D,'LPG Fup'!M:M,"",0)&lt;&gt;"",_xlfn.XLOOKUP(A413-2,'LPG Fup'!D:D,'LPG Fup'!M:M,"",0)&gt;0),"Z+1"),0)</f>
        <v>0</v>
      </c>
      <c r="Q413" cm="1">
        <f t="array" ref="Q413">_xlfn.IFNA(_xlfn.IFS(AND(_xlfn.XLOOKUP(A413,'LPG Fup'!D:D,'LPG Fup'!M:M,"",0)&lt;&gt;"",_xlfn.XLOOKUP(A413,'LPG Fup'!D:D,'LPG Fup'!M:M,"",0)&lt;0),"I-1", AND(_xlfn.XLOOKUP(A413+1,'LPG Fup'!D:D,'LPG Fup'!M:M,"",0)&lt;&gt;"",_xlfn.XLOOKUP(A413+1,'LPG Fup'!D:D,'LPG Fup'!M:M,"",0)&lt;0),"I-2", AND(_xlfn.XLOOKUP(A413-1,'LPG Fup'!D:D,'LPG Fup'!M:M,"",0)&lt;&gt;"",_xlfn.XLOOKUP(A413-1,'LPG Fup'!D:D,'LPG Fup'!M:M,"",0)&lt;0),"I", AND(_xlfn.XLOOKUP(A413-2,'LPG Fup'!D:D,'LPG Fup'!M:M,"",0)&lt;&gt;"",_xlfn.XLOOKUP(A413-2,'LPG Fup'!D:D,'LPG Fup'!M:M,"",0)&lt;0),"I+1"),0)</f>
        <v>0</v>
      </c>
      <c r="R413">
        <f>_xlfn.XLOOKUP(A413,Covid!A:A,Covid!I:I,0,0)</f>
        <v>0</v>
      </c>
      <c r="S413">
        <f>_xlfn.XLOOKUP(A413,Covid!A:A,Covid!K:K,0,0)</f>
        <v>38</v>
      </c>
      <c r="T413" s="145">
        <f>_xlfn.XLOOKUP(A413,Covid!A:A,Covid!K:K,0,0)/_xlfn.XLOOKUP(A413,Covid!A:A,Covid!L:L,0,0)</f>
        <v>6.9216757741347905E-3</v>
      </c>
    </row>
    <row r="414" spans="1:20" x14ac:dyDescent="0.55000000000000004">
      <c r="A414" s="157">
        <v>44395</v>
      </c>
      <c r="B414" s="13">
        <v>1530120</v>
      </c>
      <c r="C414" s="13">
        <v>0</v>
      </c>
      <c r="D414" s="13">
        <v>1635</v>
      </c>
      <c r="E414" s="13">
        <v>654878</v>
      </c>
      <c r="F414" s="13">
        <v>2186633</v>
      </c>
      <c r="G414">
        <f>IF(OR(_xlfn.XLOOKUP(A414,'LPG Fup'!D:D,'LPG Fup'!L:L,"",0)&gt;0.03,_xlfn.XLOOKUP(A414,'LPG Fup'!D:D,'LPG Fup'!L:L,"",0)&lt;-0.03),_xlfn.XLOOKUP(A414,'LPG Fup'!D:D,'LPG Fup'!L:L,0,0),0)</f>
        <v>0</v>
      </c>
      <c r="H414">
        <f>IF(_xlfn.XLOOKUP(A414,'LPG Fup'!D:D,'LPG Fup'!M:M,0,0)="",0,_xlfn.XLOOKUP(A414,'LPG Fup'!D:D,'LPG Fup'!M:M,0,0))</f>
        <v>0</v>
      </c>
      <c r="I414" s="109">
        <f>_xlfn.XLOOKUP(A414,'Rafineri Fiyatları'!A:A,'Rafineri Fiyatları'!B:B,"",0)</f>
        <v>5594.5700000000006</v>
      </c>
      <c r="J414">
        <f t="shared" si="24"/>
        <v>2021</v>
      </c>
      <c r="K414">
        <f t="shared" si="25"/>
        <v>7</v>
      </c>
      <c r="L414">
        <f t="shared" si="26"/>
        <v>18</v>
      </c>
      <c r="M414">
        <f t="shared" si="27"/>
        <v>1</v>
      </c>
      <c r="N414" t="str">
        <f>_xlfn.XLOOKUP(A414,tatiller!H:H,tatiller!I:I,0,0)</f>
        <v>KBA-1</v>
      </c>
      <c r="O414" cm="1">
        <f t="array" ref="O414">_xlfn.IFNA(_xlfn.IFS(L414=1,"A0",A414=EOMONTH(A414,0),"A-1",L414=2,"A+1"),0)</f>
        <v>0</v>
      </c>
      <c r="P414" cm="1">
        <f t="array" ref="P414">_xlfn.IFNA(_xlfn.IFS(AND(_xlfn.XLOOKUP(A414,'LPG Fup'!D:D,'LPG Fup'!M:M,"",0)&lt;&gt;"",_xlfn.XLOOKUP(A414,'LPG Fup'!D:D,'LPG Fup'!M:M,"",0)&gt;0),"Z-1", AND(_xlfn.XLOOKUP(A414+1,'LPG Fup'!D:D,'LPG Fup'!M:M,"",0)&lt;&gt;"",_xlfn.XLOOKUP(A414+1,'LPG Fup'!D:D,'LPG Fup'!M:M,"",0)&gt;0),"Z-2", AND(_xlfn.XLOOKUP(A414-1,'LPG Fup'!D:D,'LPG Fup'!M:M,"",0)&lt;&gt;"",_xlfn.XLOOKUP(A414-1,'LPG Fup'!D:D,'LPG Fup'!M:M,"",0)&gt;0),"Z", AND(_xlfn.XLOOKUP(A414-2,'LPG Fup'!D:D,'LPG Fup'!M:M,"",0)&lt;&gt;"",_xlfn.XLOOKUP(A414-2,'LPG Fup'!D:D,'LPG Fup'!M:M,"",0)&gt;0),"Z+1"),0)</f>
        <v>0</v>
      </c>
      <c r="Q414" cm="1">
        <f t="array" ref="Q414">_xlfn.IFNA(_xlfn.IFS(AND(_xlfn.XLOOKUP(A414,'LPG Fup'!D:D,'LPG Fup'!M:M,"",0)&lt;&gt;"",_xlfn.XLOOKUP(A414,'LPG Fup'!D:D,'LPG Fup'!M:M,"",0)&lt;0),"I-1", AND(_xlfn.XLOOKUP(A414+1,'LPG Fup'!D:D,'LPG Fup'!M:M,"",0)&lt;&gt;"",_xlfn.XLOOKUP(A414+1,'LPG Fup'!D:D,'LPG Fup'!M:M,"",0)&lt;0),"I-2", AND(_xlfn.XLOOKUP(A414-1,'LPG Fup'!D:D,'LPG Fup'!M:M,"",0)&lt;&gt;"",_xlfn.XLOOKUP(A414-1,'LPG Fup'!D:D,'LPG Fup'!M:M,"",0)&lt;0),"I", AND(_xlfn.XLOOKUP(A414-2,'LPG Fup'!D:D,'LPG Fup'!M:M,"",0)&lt;&gt;"",_xlfn.XLOOKUP(A414-2,'LPG Fup'!D:D,'LPG Fup'!M:M,"",0)&lt;0),"I+1"),0)</f>
        <v>0</v>
      </c>
      <c r="R414">
        <f>_xlfn.XLOOKUP(A414,Covid!A:A,Covid!I:I,0,0)</f>
        <v>0</v>
      </c>
      <c r="S414">
        <f>_xlfn.XLOOKUP(A414,Covid!A:A,Covid!K:K,0,0)</f>
        <v>66</v>
      </c>
      <c r="T414" s="145">
        <f>_xlfn.XLOOKUP(A414,Covid!A:A,Covid!K:K,0,0)/_xlfn.XLOOKUP(A414,Covid!A:A,Covid!L:L,0,0)</f>
        <v>1.1311053984575836E-2</v>
      </c>
    </row>
    <row r="415" spans="1:20" x14ac:dyDescent="0.55000000000000004">
      <c r="A415" s="157">
        <v>44396</v>
      </c>
      <c r="B415" s="13">
        <v>2298280</v>
      </c>
      <c r="C415" s="13">
        <v>672671</v>
      </c>
      <c r="D415" s="13">
        <v>4986</v>
      </c>
      <c r="E415" s="13">
        <v>846096</v>
      </c>
      <c r="F415" s="13">
        <v>3822033</v>
      </c>
      <c r="G415">
        <f>IF(OR(_xlfn.XLOOKUP(A415,'LPG Fup'!D:D,'LPG Fup'!L:L,"",0)&gt;0.03,_xlfn.XLOOKUP(A415,'LPG Fup'!D:D,'LPG Fup'!L:L,"",0)&lt;-0.03),_xlfn.XLOOKUP(A415,'LPG Fup'!D:D,'LPG Fup'!L:L,0,0),0)</f>
        <v>0</v>
      </c>
      <c r="H415">
        <f>IF(_xlfn.XLOOKUP(A415,'LPG Fup'!D:D,'LPG Fup'!M:M,0,0)="",0,_xlfn.XLOOKUP(A415,'LPG Fup'!D:D,'LPG Fup'!M:M,0,0))</f>
        <v>0</v>
      </c>
      <c r="I415" s="109">
        <f>_xlfn.XLOOKUP(A415,'Rafineri Fiyatları'!A:A,'Rafineri Fiyatları'!B:B,"",0)</f>
        <v>5594.5700000000006</v>
      </c>
      <c r="J415">
        <f t="shared" si="24"/>
        <v>2021</v>
      </c>
      <c r="K415">
        <f t="shared" si="25"/>
        <v>7</v>
      </c>
      <c r="L415">
        <f t="shared" si="26"/>
        <v>19</v>
      </c>
      <c r="M415">
        <f t="shared" si="27"/>
        <v>2</v>
      </c>
      <c r="N415" t="str">
        <f>_xlfn.XLOOKUP(A415,tatiller!H:H,tatiller!I:I,0,0)</f>
        <v>KBA</v>
      </c>
      <c r="O415" cm="1">
        <f t="array" ref="O415">_xlfn.IFNA(_xlfn.IFS(L415=1,"A0",A415=EOMONTH(A415,0),"A-1",L415=2,"A+1"),0)</f>
        <v>0</v>
      </c>
      <c r="P415" cm="1">
        <f t="array" ref="P415">_xlfn.IFNA(_xlfn.IFS(AND(_xlfn.XLOOKUP(A415,'LPG Fup'!D:D,'LPG Fup'!M:M,"",0)&lt;&gt;"",_xlfn.XLOOKUP(A415,'LPG Fup'!D:D,'LPG Fup'!M:M,"",0)&gt;0),"Z-1", AND(_xlfn.XLOOKUP(A415+1,'LPG Fup'!D:D,'LPG Fup'!M:M,"",0)&lt;&gt;"",_xlfn.XLOOKUP(A415+1,'LPG Fup'!D:D,'LPG Fup'!M:M,"",0)&gt;0),"Z-2", AND(_xlfn.XLOOKUP(A415-1,'LPG Fup'!D:D,'LPG Fup'!M:M,"",0)&lt;&gt;"",_xlfn.XLOOKUP(A415-1,'LPG Fup'!D:D,'LPG Fup'!M:M,"",0)&gt;0),"Z", AND(_xlfn.XLOOKUP(A415-2,'LPG Fup'!D:D,'LPG Fup'!M:M,"",0)&lt;&gt;"",_xlfn.XLOOKUP(A415-2,'LPG Fup'!D:D,'LPG Fup'!M:M,"",0)&gt;0),"Z+1"),0)</f>
        <v>0</v>
      </c>
      <c r="Q415" cm="1">
        <f t="array" ref="Q415">_xlfn.IFNA(_xlfn.IFS(AND(_xlfn.XLOOKUP(A415,'LPG Fup'!D:D,'LPG Fup'!M:M,"",0)&lt;&gt;"",_xlfn.XLOOKUP(A415,'LPG Fup'!D:D,'LPG Fup'!M:M,"",0)&lt;0),"I-1", AND(_xlfn.XLOOKUP(A415+1,'LPG Fup'!D:D,'LPG Fup'!M:M,"",0)&lt;&gt;"",_xlfn.XLOOKUP(A415+1,'LPG Fup'!D:D,'LPG Fup'!M:M,"",0)&lt;0),"I-2", AND(_xlfn.XLOOKUP(A415-1,'LPG Fup'!D:D,'LPG Fup'!M:M,"",0)&lt;&gt;"",_xlfn.XLOOKUP(A415-1,'LPG Fup'!D:D,'LPG Fup'!M:M,"",0)&lt;0),"I", AND(_xlfn.XLOOKUP(A415-2,'LPG Fup'!D:D,'LPG Fup'!M:M,"",0)&lt;&gt;"",_xlfn.XLOOKUP(A415-2,'LPG Fup'!D:D,'LPG Fup'!M:M,"",0)&lt;0),"I+1"),0)</f>
        <v>0</v>
      </c>
      <c r="R415">
        <f>_xlfn.XLOOKUP(A415,Covid!A:A,Covid!I:I,0,0)</f>
        <v>0</v>
      </c>
      <c r="S415">
        <f>_xlfn.XLOOKUP(A415,Covid!A:A,Covid!K:K,0,0)</f>
        <v>50</v>
      </c>
      <c r="T415" s="145">
        <f>_xlfn.XLOOKUP(A415,Covid!A:A,Covid!K:K,0,0)/_xlfn.XLOOKUP(A415,Covid!A:A,Covid!L:L,0,0)</f>
        <v>1.2042389210019268E-2</v>
      </c>
    </row>
    <row r="416" spans="1:20" x14ac:dyDescent="0.55000000000000004">
      <c r="A416" s="157">
        <v>44397</v>
      </c>
      <c r="B416" s="13">
        <v>1461920</v>
      </c>
      <c r="C416" s="13">
        <v>786</v>
      </c>
      <c r="D416" s="13">
        <v>0</v>
      </c>
      <c r="E416" s="13">
        <v>537469</v>
      </c>
      <c r="F416" s="13">
        <v>2000175</v>
      </c>
      <c r="G416">
        <f>IF(OR(_xlfn.XLOOKUP(A416,'LPG Fup'!D:D,'LPG Fup'!L:L,"",0)&gt;0.03,_xlfn.XLOOKUP(A416,'LPG Fup'!D:D,'LPG Fup'!L:L,"",0)&lt;-0.03),_xlfn.XLOOKUP(A416,'LPG Fup'!D:D,'LPG Fup'!L:L,0,0),0)</f>
        <v>0</v>
      </c>
      <c r="H416">
        <f>IF(_xlfn.XLOOKUP(A416,'LPG Fup'!D:D,'LPG Fup'!M:M,0,0)="",0,_xlfn.XLOOKUP(A416,'LPG Fup'!D:D,'LPG Fup'!M:M,0,0))</f>
        <v>0</v>
      </c>
      <c r="I416" s="109">
        <f>_xlfn.XLOOKUP(A416,'Rafineri Fiyatları'!A:A,'Rafineri Fiyatları'!B:B,"",0)</f>
        <v>5594.5700000000006</v>
      </c>
      <c r="J416">
        <f t="shared" si="24"/>
        <v>2021</v>
      </c>
      <c r="K416">
        <f t="shared" si="25"/>
        <v>7</v>
      </c>
      <c r="L416">
        <f t="shared" si="26"/>
        <v>20</v>
      </c>
      <c r="M416">
        <f t="shared" si="27"/>
        <v>3</v>
      </c>
      <c r="N416" t="str">
        <f>_xlfn.XLOOKUP(A416,tatiller!H:H,tatiller!I:I,0,0)</f>
        <v>KB1</v>
      </c>
      <c r="O416" cm="1">
        <f t="array" ref="O416">_xlfn.IFNA(_xlfn.IFS(L416=1,"A0",A416=EOMONTH(A416,0),"A-1",L416=2,"A+1"),0)</f>
        <v>0</v>
      </c>
      <c r="P416" cm="1">
        <f t="array" ref="P416">_xlfn.IFNA(_xlfn.IFS(AND(_xlfn.XLOOKUP(A416,'LPG Fup'!D:D,'LPG Fup'!M:M,"",0)&lt;&gt;"",_xlfn.XLOOKUP(A416,'LPG Fup'!D:D,'LPG Fup'!M:M,"",0)&gt;0),"Z-1", AND(_xlfn.XLOOKUP(A416+1,'LPG Fup'!D:D,'LPG Fup'!M:M,"",0)&lt;&gt;"",_xlfn.XLOOKUP(A416+1,'LPG Fup'!D:D,'LPG Fup'!M:M,"",0)&gt;0),"Z-2", AND(_xlfn.XLOOKUP(A416-1,'LPG Fup'!D:D,'LPG Fup'!M:M,"",0)&lt;&gt;"",_xlfn.XLOOKUP(A416-1,'LPG Fup'!D:D,'LPG Fup'!M:M,"",0)&gt;0),"Z", AND(_xlfn.XLOOKUP(A416-2,'LPG Fup'!D:D,'LPG Fup'!M:M,"",0)&lt;&gt;"",_xlfn.XLOOKUP(A416-2,'LPG Fup'!D:D,'LPG Fup'!M:M,"",0)&gt;0),"Z+1"),0)</f>
        <v>0</v>
      </c>
      <c r="Q416" cm="1">
        <f t="array" ref="Q416">_xlfn.IFNA(_xlfn.IFS(AND(_xlfn.XLOOKUP(A416,'LPG Fup'!D:D,'LPG Fup'!M:M,"",0)&lt;&gt;"",_xlfn.XLOOKUP(A416,'LPG Fup'!D:D,'LPG Fup'!M:M,"",0)&lt;0),"I-1", AND(_xlfn.XLOOKUP(A416+1,'LPG Fup'!D:D,'LPG Fup'!M:M,"",0)&lt;&gt;"",_xlfn.XLOOKUP(A416+1,'LPG Fup'!D:D,'LPG Fup'!M:M,"",0)&lt;0),"I-2", AND(_xlfn.XLOOKUP(A416-1,'LPG Fup'!D:D,'LPG Fup'!M:M,"",0)&lt;&gt;"",_xlfn.XLOOKUP(A416-1,'LPG Fup'!D:D,'LPG Fup'!M:M,"",0)&lt;0),"I", AND(_xlfn.XLOOKUP(A416-2,'LPG Fup'!D:D,'LPG Fup'!M:M,"",0)&lt;&gt;"",_xlfn.XLOOKUP(A416-2,'LPG Fup'!D:D,'LPG Fup'!M:M,"",0)&lt;0),"I+1"),0)</f>
        <v>0</v>
      </c>
      <c r="R416">
        <f>_xlfn.XLOOKUP(A416,Covid!A:A,Covid!I:I,0,0)</f>
        <v>0</v>
      </c>
      <c r="S416">
        <f>_xlfn.XLOOKUP(A416,Covid!A:A,Covid!K:K,0,0)</f>
        <v>46</v>
      </c>
      <c r="T416" s="145">
        <f>_xlfn.XLOOKUP(A416,Covid!A:A,Covid!K:K,0,0)/_xlfn.XLOOKUP(A416,Covid!A:A,Covid!L:L,0,0)</f>
        <v>1.0085507564130673E-2</v>
      </c>
    </row>
    <row r="417" spans="1:20" x14ac:dyDescent="0.55000000000000004">
      <c r="A417" s="157">
        <v>44398</v>
      </c>
      <c r="B417" s="13">
        <v>1360080</v>
      </c>
      <c r="C417" s="13">
        <v>2250</v>
      </c>
      <c r="D417" s="13">
        <v>0</v>
      </c>
      <c r="E417" s="13">
        <v>698517</v>
      </c>
      <c r="F417" s="13">
        <v>2060847</v>
      </c>
      <c r="G417">
        <f>IF(OR(_xlfn.XLOOKUP(A417,'LPG Fup'!D:D,'LPG Fup'!L:L,"",0)&gt;0.03,_xlfn.XLOOKUP(A417,'LPG Fup'!D:D,'LPG Fup'!L:L,"",0)&lt;-0.03),_xlfn.XLOOKUP(A417,'LPG Fup'!D:D,'LPG Fup'!L:L,0,0),0)</f>
        <v>0</v>
      </c>
      <c r="H417">
        <f>IF(_xlfn.XLOOKUP(A417,'LPG Fup'!D:D,'LPG Fup'!M:M,0,0)="",0,_xlfn.XLOOKUP(A417,'LPG Fup'!D:D,'LPG Fup'!M:M,0,0))</f>
        <v>0</v>
      </c>
      <c r="I417" s="109">
        <f>_xlfn.XLOOKUP(A417,'Rafineri Fiyatları'!A:A,'Rafineri Fiyatları'!B:B,"",0)</f>
        <v>5594.5700000000006</v>
      </c>
      <c r="J417">
        <f t="shared" si="24"/>
        <v>2021</v>
      </c>
      <c r="K417">
        <f t="shared" si="25"/>
        <v>7</v>
      </c>
      <c r="L417">
        <f t="shared" si="26"/>
        <v>21</v>
      </c>
      <c r="M417">
        <f t="shared" si="27"/>
        <v>4</v>
      </c>
      <c r="N417" t="str">
        <f>_xlfn.XLOOKUP(A417,tatiller!H:H,tatiller!I:I,0,0)</f>
        <v>KB2</v>
      </c>
      <c r="O417" cm="1">
        <f t="array" ref="O417">_xlfn.IFNA(_xlfn.IFS(L417=1,"A0",A417=EOMONTH(A417,0),"A-1",L417=2,"A+1"),0)</f>
        <v>0</v>
      </c>
      <c r="P417" cm="1">
        <f t="array" ref="P417">_xlfn.IFNA(_xlfn.IFS(AND(_xlfn.XLOOKUP(A417,'LPG Fup'!D:D,'LPG Fup'!M:M,"",0)&lt;&gt;"",_xlfn.XLOOKUP(A417,'LPG Fup'!D:D,'LPG Fup'!M:M,"",0)&gt;0),"Z-1", AND(_xlfn.XLOOKUP(A417+1,'LPG Fup'!D:D,'LPG Fup'!M:M,"",0)&lt;&gt;"",_xlfn.XLOOKUP(A417+1,'LPG Fup'!D:D,'LPG Fup'!M:M,"",0)&gt;0),"Z-2", AND(_xlfn.XLOOKUP(A417-1,'LPG Fup'!D:D,'LPG Fup'!M:M,"",0)&lt;&gt;"",_xlfn.XLOOKUP(A417-1,'LPG Fup'!D:D,'LPG Fup'!M:M,"",0)&gt;0),"Z", AND(_xlfn.XLOOKUP(A417-2,'LPG Fup'!D:D,'LPG Fup'!M:M,"",0)&lt;&gt;"",_xlfn.XLOOKUP(A417-2,'LPG Fup'!D:D,'LPG Fup'!M:M,"",0)&gt;0),"Z+1"),0)</f>
        <v>0</v>
      </c>
      <c r="Q417" cm="1">
        <f t="array" ref="Q417">_xlfn.IFNA(_xlfn.IFS(AND(_xlfn.XLOOKUP(A417,'LPG Fup'!D:D,'LPG Fup'!M:M,"",0)&lt;&gt;"",_xlfn.XLOOKUP(A417,'LPG Fup'!D:D,'LPG Fup'!M:M,"",0)&lt;0),"I-1", AND(_xlfn.XLOOKUP(A417+1,'LPG Fup'!D:D,'LPG Fup'!M:M,"",0)&lt;&gt;"",_xlfn.XLOOKUP(A417+1,'LPG Fup'!D:D,'LPG Fup'!M:M,"",0)&lt;0),"I-2", AND(_xlfn.XLOOKUP(A417-1,'LPG Fup'!D:D,'LPG Fup'!M:M,"",0)&lt;&gt;"",_xlfn.XLOOKUP(A417-1,'LPG Fup'!D:D,'LPG Fup'!M:M,"",0)&lt;0),"I", AND(_xlfn.XLOOKUP(A417-2,'LPG Fup'!D:D,'LPG Fup'!M:M,"",0)&lt;&gt;"",_xlfn.XLOOKUP(A417-2,'LPG Fup'!D:D,'LPG Fup'!M:M,"",0)&lt;0),"I+1"),0)</f>
        <v>0</v>
      </c>
      <c r="R417">
        <f>_xlfn.XLOOKUP(A417,Covid!A:A,Covid!I:I,0,0)</f>
        <v>0</v>
      </c>
      <c r="S417">
        <f>_xlfn.XLOOKUP(A417,Covid!A:A,Covid!K:K,0,0)</f>
        <v>59</v>
      </c>
      <c r="T417" s="145">
        <f>_xlfn.XLOOKUP(A417,Covid!A:A,Covid!K:K,0,0)/_xlfn.XLOOKUP(A417,Covid!A:A,Covid!L:L,0,0)</f>
        <v>1.1928831378892033E-2</v>
      </c>
    </row>
    <row r="418" spans="1:20" x14ac:dyDescent="0.55000000000000004">
      <c r="A418" s="157">
        <v>44399</v>
      </c>
      <c r="B418" s="13">
        <v>2066960</v>
      </c>
      <c r="C418" s="13">
        <v>302240</v>
      </c>
      <c r="D418" s="13">
        <v>0</v>
      </c>
      <c r="E418" s="13">
        <v>682350</v>
      </c>
      <c r="F418" s="13">
        <v>3051550</v>
      </c>
      <c r="G418">
        <f>IF(OR(_xlfn.XLOOKUP(A418,'LPG Fup'!D:D,'LPG Fup'!L:L,"",0)&gt;0.03,_xlfn.XLOOKUP(A418,'LPG Fup'!D:D,'LPG Fup'!L:L,"",0)&lt;-0.03),_xlfn.XLOOKUP(A418,'LPG Fup'!D:D,'LPG Fup'!L:L,0,0),0)</f>
        <v>0</v>
      </c>
      <c r="H418">
        <f>IF(_xlfn.XLOOKUP(A418,'LPG Fup'!D:D,'LPG Fup'!M:M,0,0)="",0,_xlfn.XLOOKUP(A418,'LPG Fup'!D:D,'LPG Fup'!M:M,0,0))</f>
        <v>0</v>
      </c>
      <c r="I418" s="109">
        <f>_xlfn.XLOOKUP(A418,'Rafineri Fiyatları'!A:A,'Rafineri Fiyatları'!B:B,"",0)</f>
        <v>5594.5700000000006</v>
      </c>
      <c r="J418">
        <f t="shared" si="24"/>
        <v>2021</v>
      </c>
      <c r="K418">
        <f t="shared" si="25"/>
        <v>7</v>
      </c>
      <c r="L418">
        <f t="shared" si="26"/>
        <v>22</v>
      </c>
      <c r="M418">
        <f t="shared" si="27"/>
        <v>5</v>
      </c>
      <c r="N418" t="str">
        <f>_xlfn.XLOOKUP(A418,tatiller!H:H,tatiller!I:I,0,0)</f>
        <v>KB3</v>
      </c>
      <c r="O418" cm="1">
        <f t="array" ref="O418">_xlfn.IFNA(_xlfn.IFS(L418=1,"A0",A418=EOMONTH(A418,0),"A-1",L418=2,"A+1"),0)</f>
        <v>0</v>
      </c>
      <c r="P418" cm="1">
        <f t="array" ref="P418">_xlfn.IFNA(_xlfn.IFS(AND(_xlfn.XLOOKUP(A418,'LPG Fup'!D:D,'LPG Fup'!M:M,"",0)&lt;&gt;"",_xlfn.XLOOKUP(A418,'LPG Fup'!D:D,'LPG Fup'!M:M,"",0)&gt;0),"Z-1", AND(_xlfn.XLOOKUP(A418+1,'LPG Fup'!D:D,'LPG Fup'!M:M,"",0)&lt;&gt;"",_xlfn.XLOOKUP(A418+1,'LPG Fup'!D:D,'LPG Fup'!M:M,"",0)&gt;0),"Z-2", AND(_xlfn.XLOOKUP(A418-1,'LPG Fup'!D:D,'LPG Fup'!M:M,"",0)&lt;&gt;"",_xlfn.XLOOKUP(A418-1,'LPG Fup'!D:D,'LPG Fup'!M:M,"",0)&gt;0),"Z", AND(_xlfn.XLOOKUP(A418-2,'LPG Fup'!D:D,'LPG Fup'!M:M,"",0)&lt;&gt;"",_xlfn.XLOOKUP(A418-2,'LPG Fup'!D:D,'LPG Fup'!M:M,"",0)&gt;0),"Z+1"),0)</f>
        <v>0</v>
      </c>
      <c r="Q418" cm="1">
        <f t="array" ref="Q418">_xlfn.IFNA(_xlfn.IFS(AND(_xlfn.XLOOKUP(A418,'LPG Fup'!D:D,'LPG Fup'!M:M,"",0)&lt;&gt;"",_xlfn.XLOOKUP(A418,'LPG Fup'!D:D,'LPG Fup'!M:M,"",0)&lt;0),"I-1", AND(_xlfn.XLOOKUP(A418+1,'LPG Fup'!D:D,'LPG Fup'!M:M,"",0)&lt;&gt;"",_xlfn.XLOOKUP(A418+1,'LPG Fup'!D:D,'LPG Fup'!M:M,"",0)&lt;0),"I-2", AND(_xlfn.XLOOKUP(A418-1,'LPG Fup'!D:D,'LPG Fup'!M:M,"",0)&lt;&gt;"",_xlfn.XLOOKUP(A418-1,'LPG Fup'!D:D,'LPG Fup'!M:M,"",0)&lt;0),"I", AND(_xlfn.XLOOKUP(A418-2,'LPG Fup'!D:D,'LPG Fup'!M:M,"",0)&lt;&gt;"",_xlfn.XLOOKUP(A418-2,'LPG Fup'!D:D,'LPG Fup'!M:M,"",0)&lt;0),"I+1"),0)</f>
        <v>0</v>
      </c>
      <c r="R418">
        <f>_xlfn.XLOOKUP(A418,Covid!A:A,Covid!I:I,0,0)</f>
        <v>0</v>
      </c>
      <c r="S418">
        <f>_xlfn.XLOOKUP(A418,Covid!A:A,Covid!K:K,0,0)</f>
        <v>52</v>
      </c>
      <c r="T418" s="145">
        <f>_xlfn.XLOOKUP(A418,Covid!A:A,Covid!K:K,0,0)/_xlfn.XLOOKUP(A418,Covid!A:A,Covid!L:L,0,0)</f>
        <v>1.0210092283526409E-2</v>
      </c>
    </row>
    <row r="419" spans="1:20" x14ac:dyDescent="0.55000000000000004">
      <c r="A419" s="157">
        <v>44400</v>
      </c>
      <c r="B419" s="13">
        <v>1650440</v>
      </c>
      <c r="C419" s="13">
        <v>483747</v>
      </c>
      <c r="D419" s="13">
        <v>0</v>
      </c>
      <c r="E419" s="13">
        <v>705411</v>
      </c>
      <c r="F419" s="13">
        <v>2839598</v>
      </c>
      <c r="G419">
        <f>IF(OR(_xlfn.XLOOKUP(A419,'LPG Fup'!D:D,'LPG Fup'!L:L,"",0)&gt;0.03,_xlfn.XLOOKUP(A419,'LPG Fup'!D:D,'LPG Fup'!L:L,"",0)&lt;-0.03),_xlfn.XLOOKUP(A419,'LPG Fup'!D:D,'LPG Fup'!L:L,0,0),0)</f>
        <v>0</v>
      </c>
      <c r="H419">
        <f>IF(_xlfn.XLOOKUP(A419,'LPG Fup'!D:D,'LPG Fup'!M:M,0,0)="",0,_xlfn.XLOOKUP(A419,'LPG Fup'!D:D,'LPG Fup'!M:M,0,0))</f>
        <v>0</v>
      </c>
      <c r="I419" s="109">
        <f>_xlfn.XLOOKUP(A419,'Rafineri Fiyatları'!A:A,'Rafineri Fiyatları'!B:B,"",0)</f>
        <v>5594.5700000000006</v>
      </c>
      <c r="J419">
        <f t="shared" si="24"/>
        <v>2021</v>
      </c>
      <c r="K419">
        <f t="shared" si="25"/>
        <v>7</v>
      </c>
      <c r="L419">
        <f t="shared" si="26"/>
        <v>23</v>
      </c>
      <c r="M419">
        <f t="shared" si="27"/>
        <v>6</v>
      </c>
      <c r="N419" t="str">
        <f>_xlfn.XLOOKUP(A419,tatiller!H:H,tatiller!I:I,0,0)</f>
        <v>KB4</v>
      </c>
      <c r="O419" cm="1">
        <f t="array" ref="O419">_xlfn.IFNA(_xlfn.IFS(L419=1,"A0",A419=EOMONTH(A419,0),"A-1",L419=2,"A+1"),0)</f>
        <v>0</v>
      </c>
      <c r="P419" cm="1">
        <f t="array" ref="P419">_xlfn.IFNA(_xlfn.IFS(AND(_xlfn.XLOOKUP(A419,'LPG Fup'!D:D,'LPG Fup'!M:M,"",0)&lt;&gt;"",_xlfn.XLOOKUP(A419,'LPG Fup'!D:D,'LPG Fup'!M:M,"",0)&gt;0),"Z-1", AND(_xlfn.XLOOKUP(A419+1,'LPG Fup'!D:D,'LPG Fup'!M:M,"",0)&lt;&gt;"",_xlfn.XLOOKUP(A419+1,'LPG Fup'!D:D,'LPG Fup'!M:M,"",0)&gt;0),"Z-2", AND(_xlfn.XLOOKUP(A419-1,'LPG Fup'!D:D,'LPG Fup'!M:M,"",0)&lt;&gt;"",_xlfn.XLOOKUP(A419-1,'LPG Fup'!D:D,'LPG Fup'!M:M,"",0)&gt;0),"Z", AND(_xlfn.XLOOKUP(A419-2,'LPG Fup'!D:D,'LPG Fup'!M:M,"",0)&lt;&gt;"",_xlfn.XLOOKUP(A419-2,'LPG Fup'!D:D,'LPG Fup'!M:M,"",0)&gt;0),"Z+1"),0)</f>
        <v>0</v>
      </c>
      <c r="Q419" cm="1">
        <f t="array" ref="Q419">_xlfn.IFNA(_xlfn.IFS(AND(_xlfn.XLOOKUP(A419,'LPG Fup'!D:D,'LPG Fup'!M:M,"",0)&lt;&gt;"",_xlfn.XLOOKUP(A419,'LPG Fup'!D:D,'LPG Fup'!M:M,"",0)&lt;0),"I-1", AND(_xlfn.XLOOKUP(A419+1,'LPG Fup'!D:D,'LPG Fup'!M:M,"",0)&lt;&gt;"",_xlfn.XLOOKUP(A419+1,'LPG Fup'!D:D,'LPG Fup'!M:M,"",0)&lt;0),"I-2", AND(_xlfn.XLOOKUP(A419-1,'LPG Fup'!D:D,'LPG Fup'!M:M,"",0)&lt;&gt;"",_xlfn.XLOOKUP(A419-1,'LPG Fup'!D:D,'LPG Fup'!M:M,"",0)&lt;0),"I", AND(_xlfn.XLOOKUP(A419-2,'LPG Fup'!D:D,'LPG Fup'!M:M,"",0)&lt;&gt;"",_xlfn.XLOOKUP(A419-2,'LPG Fup'!D:D,'LPG Fup'!M:M,"",0)&lt;0),"I+1"),0)</f>
        <v>0</v>
      </c>
      <c r="R419">
        <f>_xlfn.XLOOKUP(A419,Covid!A:A,Covid!I:I,0,0)</f>
        <v>0</v>
      </c>
      <c r="S419">
        <f>_xlfn.XLOOKUP(A419,Covid!A:A,Covid!K:K,0,0)</f>
        <v>60</v>
      </c>
      <c r="T419" s="145">
        <f>_xlfn.XLOOKUP(A419,Covid!A:A,Covid!K:K,0,0)/_xlfn.XLOOKUP(A419,Covid!A:A,Covid!L:L,0,0)</f>
        <v>1.1505273250239693E-2</v>
      </c>
    </row>
    <row r="420" spans="1:20" x14ac:dyDescent="0.55000000000000004">
      <c r="A420" s="157">
        <v>44401</v>
      </c>
      <c r="B420" s="13">
        <v>2517815</v>
      </c>
      <c r="C420" s="13">
        <v>411009</v>
      </c>
      <c r="D420" s="13">
        <v>2153</v>
      </c>
      <c r="E420" s="13">
        <v>684934</v>
      </c>
      <c r="F420" s="13">
        <v>3615911</v>
      </c>
      <c r="G420">
        <f>IF(OR(_xlfn.XLOOKUP(A420,'LPG Fup'!D:D,'LPG Fup'!L:L,"",0)&gt;0.03,_xlfn.XLOOKUP(A420,'LPG Fup'!D:D,'LPG Fup'!L:L,"",0)&lt;-0.03),_xlfn.XLOOKUP(A420,'LPG Fup'!D:D,'LPG Fup'!L:L,0,0),0)</f>
        <v>0</v>
      </c>
      <c r="H420">
        <f>IF(_xlfn.XLOOKUP(A420,'LPG Fup'!D:D,'LPG Fup'!M:M,0,0)="",0,_xlfn.XLOOKUP(A420,'LPG Fup'!D:D,'LPG Fup'!M:M,0,0))</f>
        <v>0</v>
      </c>
      <c r="I420" s="109">
        <f>_xlfn.XLOOKUP(A420,'Rafineri Fiyatları'!A:A,'Rafineri Fiyatları'!B:B,"",0)</f>
        <v>5594.5700000000006</v>
      </c>
      <c r="J420">
        <f t="shared" si="24"/>
        <v>2021</v>
      </c>
      <c r="K420">
        <f t="shared" si="25"/>
        <v>7</v>
      </c>
      <c r="L420">
        <f t="shared" si="26"/>
        <v>24</v>
      </c>
      <c r="M420">
        <f t="shared" si="27"/>
        <v>7</v>
      </c>
      <c r="N420" t="str">
        <f>_xlfn.XLOOKUP(A420,tatiller!H:H,tatiller!I:I,0,0)</f>
        <v>KB+1</v>
      </c>
      <c r="O420" cm="1">
        <f t="array" ref="O420">_xlfn.IFNA(_xlfn.IFS(L420=1,"A0",A420=EOMONTH(A420,0),"A-1",L420=2,"A+1"),0)</f>
        <v>0</v>
      </c>
      <c r="P420" cm="1">
        <f t="array" ref="P420">_xlfn.IFNA(_xlfn.IFS(AND(_xlfn.XLOOKUP(A420,'LPG Fup'!D:D,'LPG Fup'!M:M,"",0)&lt;&gt;"",_xlfn.XLOOKUP(A420,'LPG Fup'!D:D,'LPG Fup'!M:M,"",0)&gt;0),"Z-1", AND(_xlfn.XLOOKUP(A420+1,'LPG Fup'!D:D,'LPG Fup'!M:M,"",0)&lt;&gt;"",_xlfn.XLOOKUP(A420+1,'LPG Fup'!D:D,'LPG Fup'!M:M,"",0)&gt;0),"Z-2", AND(_xlfn.XLOOKUP(A420-1,'LPG Fup'!D:D,'LPG Fup'!M:M,"",0)&lt;&gt;"",_xlfn.XLOOKUP(A420-1,'LPG Fup'!D:D,'LPG Fup'!M:M,"",0)&gt;0),"Z", AND(_xlfn.XLOOKUP(A420-2,'LPG Fup'!D:D,'LPG Fup'!M:M,"",0)&lt;&gt;"",_xlfn.XLOOKUP(A420-2,'LPG Fup'!D:D,'LPG Fup'!M:M,"",0)&gt;0),"Z+1"),0)</f>
        <v>0</v>
      </c>
      <c r="Q420" cm="1">
        <f t="array" ref="Q420">_xlfn.IFNA(_xlfn.IFS(AND(_xlfn.XLOOKUP(A420,'LPG Fup'!D:D,'LPG Fup'!M:M,"",0)&lt;&gt;"",_xlfn.XLOOKUP(A420,'LPG Fup'!D:D,'LPG Fup'!M:M,"",0)&lt;0),"I-1", AND(_xlfn.XLOOKUP(A420+1,'LPG Fup'!D:D,'LPG Fup'!M:M,"",0)&lt;&gt;"",_xlfn.XLOOKUP(A420+1,'LPG Fup'!D:D,'LPG Fup'!M:M,"",0)&lt;0),"I-2", AND(_xlfn.XLOOKUP(A420-1,'LPG Fup'!D:D,'LPG Fup'!M:M,"",0)&lt;&gt;"",_xlfn.XLOOKUP(A420-1,'LPG Fup'!D:D,'LPG Fup'!M:M,"",0)&lt;0),"I", AND(_xlfn.XLOOKUP(A420-2,'LPG Fup'!D:D,'LPG Fup'!M:M,"",0)&lt;&gt;"",_xlfn.XLOOKUP(A420-2,'LPG Fup'!D:D,'LPG Fup'!M:M,"",0)&lt;0),"I+1"),0)</f>
        <v>0</v>
      </c>
      <c r="R420">
        <f>_xlfn.XLOOKUP(A420,Covid!A:A,Covid!I:I,0,0)</f>
        <v>0</v>
      </c>
      <c r="S420">
        <f>_xlfn.XLOOKUP(A420,Covid!A:A,Covid!K:K,0,0)</f>
        <v>58</v>
      </c>
      <c r="T420" s="145">
        <f>_xlfn.XLOOKUP(A420,Covid!A:A,Covid!K:K,0,0)/_xlfn.XLOOKUP(A420,Covid!A:A,Covid!L:L,0,0)</f>
        <v>1.0774660969719487E-2</v>
      </c>
    </row>
    <row r="421" spans="1:20" x14ac:dyDescent="0.55000000000000004">
      <c r="A421" s="157">
        <v>44402</v>
      </c>
      <c r="B421" s="13">
        <v>1504800</v>
      </c>
      <c r="C421" s="13">
        <v>0</v>
      </c>
      <c r="D421" s="13">
        <v>3362</v>
      </c>
      <c r="E421" s="13">
        <v>597182</v>
      </c>
      <c r="F421" s="13">
        <v>2105344</v>
      </c>
      <c r="G421">
        <f>IF(OR(_xlfn.XLOOKUP(A421,'LPG Fup'!D:D,'LPG Fup'!L:L,"",0)&gt;0.03,_xlfn.XLOOKUP(A421,'LPG Fup'!D:D,'LPG Fup'!L:L,"",0)&lt;-0.03),_xlfn.XLOOKUP(A421,'LPG Fup'!D:D,'LPG Fup'!L:L,0,0),0)</f>
        <v>0</v>
      </c>
      <c r="H421">
        <f>IF(_xlfn.XLOOKUP(A421,'LPG Fup'!D:D,'LPG Fup'!M:M,0,0)="",0,_xlfn.XLOOKUP(A421,'LPG Fup'!D:D,'LPG Fup'!M:M,0,0))</f>
        <v>0</v>
      </c>
      <c r="I421" s="109">
        <f>_xlfn.XLOOKUP(A421,'Rafineri Fiyatları'!A:A,'Rafineri Fiyatları'!B:B,"",0)</f>
        <v>5594.5700000000006</v>
      </c>
      <c r="J421">
        <f t="shared" si="24"/>
        <v>2021</v>
      </c>
      <c r="K421">
        <f t="shared" si="25"/>
        <v>7</v>
      </c>
      <c r="L421">
        <f t="shared" si="26"/>
        <v>25</v>
      </c>
      <c r="M421">
        <f t="shared" si="27"/>
        <v>1</v>
      </c>
      <c r="N421" t="str">
        <f>_xlfn.XLOOKUP(A421,tatiller!H:H,tatiller!I:I,0,0)</f>
        <v>KB+2</v>
      </c>
      <c r="O421" cm="1">
        <f t="array" ref="O421">_xlfn.IFNA(_xlfn.IFS(L421=1,"A0",A421=EOMONTH(A421,0),"A-1",L421=2,"A+1"),0)</f>
        <v>0</v>
      </c>
      <c r="P421" cm="1">
        <f t="array" ref="P421">_xlfn.IFNA(_xlfn.IFS(AND(_xlfn.XLOOKUP(A421,'LPG Fup'!D:D,'LPG Fup'!M:M,"",0)&lt;&gt;"",_xlfn.XLOOKUP(A421,'LPG Fup'!D:D,'LPG Fup'!M:M,"",0)&gt;0),"Z-1", AND(_xlfn.XLOOKUP(A421+1,'LPG Fup'!D:D,'LPG Fup'!M:M,"",0)&lt;&gt;"",_xlfn.XLOOKUP(A421+1,'LPG Fup'!D:D,'LPG Fup'!M:M,"",0)&gt;0),"Z-2", AND(_xlfn.XLOOKUP(A421-1,'LPG Fup'!D:D,'LPG Fup'!M:M,"",0)&lt;&gt;"",_xlfn.XLOOKUP(A421-1,'LPG Fup'!D:D,'LPG Fup'!M:M,"",0)&gt;0),"Z", AND(_xlfn.XLOOKUP(A421-2,'LPG Fup'!D:D,'LPG Fup'!M:M,"",0)&lt;&gt;"",_xlfn.XLOOKUP(A421-2,'LPG Fup'!D:D,'LPG Fup'!M:M,"",0)&gt;0),"Z+1"),0)</f>
        <v>0</v>
      </c>
      <c r="Q421" cm="1">
        <f t="array" ref="Q421">_xlfn.IFNA(_xlfn.IFS(AND(_xlfn.XLOOKUP(A421,'LPG Fup'!D:D,'LPG Fup'!M:M,"",0)&lt;&gt;"",_xlfn.XLOOKUP(A421,'LPG Fup'!D:D,'LPG Fup'!M:M,"",0)&lt;0),"I-1", AND(_xlfn.XLOOKUP(A421+1,'LPG Fup'!D:D,'LPG Fup'!M:M,"",0)&lt;&gt;"",_xlfn.XLOOKUP(A421+1,'LPG Fup'!D:D,'LPG Fup'!M:M,"",0)&lt;0),"I-2", AND(_xlfn.XLOOKUP(A421-1,'LPG Fup'!D:D,'LPG Fup'!M:M,"",0)&lt;&gt;"",_xlfn.XLOOKUP(A421-1,'LPG Fup'!D:D,'LPG Fup'!M:M,"",0)&lt;0),"I", AND(_xlfn.XLOOKUP(A421-2,'LPG Fup'!D:D,'LPG Fup'!M:M,"",0)&lt;&gt;"",_xlfn.XLOOKUP(A421-2,'LPG Fup'!D:D,'LPG Fup'!M:M,"",0)&lt;0),"I+1"),0)</f>
        <v>0</v>
      </c>
      <c r="R421">
        <f>_xlfn.XLOOKUP(A421,Covid!A:A,Covid!I:I,0,0)</f>
        <v>0</v>
      </c>
      <c r="S421">
        <f>_xlfn.XLOOKUP(A421,Covid!A:A,Covid!K:K,0,0)</f>
        <v>55</v>
      </c>
      <c r="T421" s="145">
        <f>_xlfn.XLOOKUP(A421,Covid!A:A,Covid!K:K,0,0)/_xlfn.XLOOKUP(A421,Covid!A:A,Covid!L:L,0,0)</f>
        <v>1.0554596046824027E-2</v>
      </c>
    </row>
    <row r="422" spans="1:20" x14ac:dyDescent="0.55000000000000004">
      <c r="A422" s="157">
        <v>44403</v>
      </c>
      <c r="B422" s="13">
        <v>1835880</v>
      </c>
      <c r="C422" s="13">
        <v>586504</v>
      </c>
      <c r="D422" s="13">
        <v>7865</v>
      </c>
      <c r="E422" s="13">
        <v>542933</v>
      </c>
      <c r="F422" s="13">
        <v>2973182</v>
      </c>
      <c r="G422">
        <f>IF(OR(_xlfn.XLOOKUP(A422,'LPG Fup'!D:D,'LPG Fup'!L:L,"",0)&gt;0.03,_xlfn.XLOOKUP(A422,'LPG Fup'!D:D,'LPG Fup'!L:L,"",0)&lt;-0.03),_xlfn.XLOOKUP(A422,'LPG Fup'!D:D,'LPG Fup'!L:L,0,0),0)</f>
        <v>0</v>
      </c>
      <c r="H422">
        <f>IF(_xlfn.XLOOKUP(A422,'LPG Fup'!D:D,'LPG Fup'!M:M,0,0)="",0,_xlfn.XLOOKUP(A422,'LPG Fup'!D:D,'LPG Fup'!M:M,0,0))</f>
        <v>0</v>
      </c>
      <c r="I422" s="109">
        <f>_xlfn.XLOOKUP(A422,'Rafineri Fiyatları'!A:A,'Rafineri Fiyatları'!B:B,"",0)</f>
        <v>5594.5700000000006</v>
      </c>
      <c r="J422">
        <f t="shared" si="24"/>
        <v>2021</v>
      </c>
      <c r="K422">
        <f t="shared" si="25"/>
        <v>7</v>
      </c>
      <c r="L422">
        <f t="shared" si="26"/>
        <v>26</v>
      </c>
      <c r="M422">
        <f t="shared" si="27"/>
        <v>2</v>
      </c>
      <c r="N422">
        <f>_xlfn.XLOOKUP(A422,tatiller!H:H,tatiller!I:I,0,0)</f>
        <v>0</v>
      </c>
      <c r="O422" cm="1">
        <f t="array" ref="O422">_xlfn.IFNA(_xlfn.IFS(L422=1,"A0",A422=EOMONTH(A422,0),"A-1",L422=2,"A+1"),0)</f>
        <v>0</v>
      </c>
      <c r="P422" cm="1">
        <f t="array" ref="P422">_xlfn.IFNA(_xlfn.IFS(AND(_xlfn.XLOOKUP(A422,'LPG Fup'!D:D,'LPG Fup'!M:M,"",0)&lt;&gt;"",_xlfn.XLOOKUP(A422,'LPG Fup'!D:D,'LPG Fup'!M:M,"",0)&gt;0),"Z-1", AND(_xlfn.XLOOKUP(A422+1,'LPG Fup'!D:D,'LPG Fup'!M:M,"",0)&lt;&gt;"",_xlfn.XLOOKUP(A422+1,'LPG Fup'!D:D,'LPG Fup'!M:M,"",0)&gt;0),"Z-2", AND(_xlfn.XLOOKUP(A422-1,'LPG Fup'!D:D,'LPG Fup'!M:M,"",0)&lt;&gt;"",_xlfn.XLOOKUP(A422-1,'LPG Fup'!D:D,'LPG Fup'!M:M,"",0)&gt;0),"Z", AND(_xlfn.XLOOKUP(A422-2,'LPG Fup'!D:D,'LPG Fup'!M:M,"",0)&lt;&gt;"",_xlfn.XLOOKUP(A422-2,'LPG Fup'!D:D,'LPG Fup'!M:M,"",0)&gt;0),"Z+1"),0)</f>
        <v>0</v>
      </c>
      <c r="Q422" cm="1">
        <f t="array" ref="Q422">_xlfn.IFNA(_xlfn.IFS(AND(_xlfn.XLOOKUP(A422,'LPG Fup'!D:D,'LPG Fup'!M:M,"",0)&lt;&gt;"",_xlfn.XLOOKUP(A422,'LPG Fup'!D:D,'LPG Fup'!M:M,"",0)&lt;0),"I-1", AND(_xlfn.XLOOKUP(A422+1,'LPG Fup'!D:D,'LPG Fup'!M:M,"",0)&lt;&gt;"",_xlfn.XLOOKUP(A422+1,'LPG Fup'!D:D,'LPG Fup'!M:M,"",0)&lt;0),"I-2", AND(_xlfn.XLOOKUP(A422-1,'LPG Fup'!D:D,'LPG Fup'!M:M,"",0)&lt;&gt;"",_xlfn.XLOOKUP(A422-1,'LPG Fup'!D:D,'LPG Fup'!M:M,"",0)&lt;0),"I", AND(_xlfn.XLOOKUP(A422-2,'LPG Fup'!D:D,'LPG Fup'!M:M,"",0)&lt;&gt;"",_xlfn.XLOOKUP(A422-2,'LPG Fup'!D:D,'LPG Fup'!M:M,"",0)&lt;0),"I+1"),0)</f>
        <v>0</v>
      </c>
      <c r="R422">
        <f>_xlfn.XLOOKUP(A422,Covid!A:A,Covid!I:I,0,0)</f>
        <v>0</v>
      </c>
      <c r="S422">
        <f>_xlfn.XLOOKUP(A422,Covid!A:A,Covid!K:K,0,0)</f>
        <v>63</v>
      </c>
      <c r="T422" s="145">
        <f>_xlfn.XLOOKUP(A422,Covid!A:A,Covid!K:K,0,0)/_xlfn.XLOOKUP(A422,Covid!A:A,Covid!L:L,0,0)</f>
        <v>1.1280214861235453E-2</v>
      </c>
    </row>
    <row r="423" spans="1:20" x14ac:dyDescent="0.55000000000000004">
      <c r="A423" s="157">
        <v>44404</v>
      </c>
      <c r="B423" s="13">
        <v>1308440</v>
      </c>
      <c r="C423" s="13">
        <v>519541</v>
      </c>
      <c r="D423" s="13">
        <v>2093</v>
      </c>
      <c r="E423" s="13">
        <v>614211</v>
      </c>
      <c r="F423" s="13">
        <v>2444285</v>
      </c>
      <c r="G423">
        <f>IF(OR(_xlfn.XLOOKUP(A423,'LPG Fup'!D:D,'LPG Fup'!L:L,"",0)&gt;0.03,_xlfn.XLOOKUP(A423,'LPG Fup'!D:D,'LPG Fup'!L:L,"",0)&lt;-0.03),_xlfn.XLOOKUP(A423,'LPG Fup'!D:D,'LPG Fup'!L:L,0,0),0)</f>
        <v>0</v>
      </c>
      <c r="H423">
        <f>IF(_xlfn.XLOOKUP(A423,'LPG Fup'!D:D,'LPG Fup'!M:M,0,0)="",0,_xlfn.XLOOKUP(A423,'LPG Fup'!D:D,'LPG Fup'!M:M,0,0))</f>
        <v>0</v>
      </c>
      <c r="I423" s="109">
        <f>_xlfn.XLOOKUP(A423,'Rafineri Fiyatları'!A:A,'Rafineri Fiyatları'!B:B,"",0)</f>
        <v>5594.5700000000006</v>
      </c>
      <c r="J423">
        <f t="shared" si="24"/>
        <v>2021</v>
      </c>
      <c r="K423">
        <f t="shared" si="25"/>
        <v>7</v>
      </c>
      <c r="L423">
        <f t="shared" si="26"/>
        <v>27</v>
      </c>
      <c r="M423">
        <f t="shared" si="27"/>
        <v>3</v>
      </c>
      <c r="N423">
        <f>_xlfn.XLOOKUP(A423,tatiller!H:H,tatiller!I:I,0,0)</f>
        <v>0</v>
      </c>
      <c r="O423" cm="1">
        <f t="array" ref="O423">_xlfn.IFNA(_xlfn.IFS(L423=1,"A0",A423=EOMONTH(A423,0),"A-1",L423=2,"A+1"),0)</f>
        <v>0</v>
      </c>
      <c r="P423" cm="1">
        <f t="array" ref="P423">_xlfn.IFNA(_xlfn.IFS(AND(_xlfn.XLOOKUP(A423,'LPG Fup'!D:D,'LPG Fup'!M:M,"",0)&lt;&gt;"",_xlfn.XLOOKUP(A423,'LPG Fup'!D:D,'LPG Fup'!M:M,"",0)&gt;0),"Z-1", AND(_xlfn.XLOOKUP(A423+1,'LPG Fup'!D:D,'LPG Fup'!M:M,"",0)&lt;&gt;"",_xlfn.XLOOKUP(A423+1,'LPG Fup'!D:D,'LPG Fup'!M:M,"",0)&gt;0),"Z-2", AND(_xlfn.XLOOKUP(A423-1,'LPG Fup'!D:D,'LPG Fup'!M:M,"",0)&lt;&gt;"",_xlfn.XLOOKUP(A423-1,'LPG Fup'!D:D,'LPG Fup'!M:M,"",0)&gt;0),"Z", AND(_xlfn.XLOOKUP(A423-2,'LPG Fup'!D:D,'LPG Fup'!M:M,"",0)&lt;&gt;"",_xlfn.XLOOKUP(A423-2,'LPG Fup'!D:D,'LPG Fup'!M:M,"",0)&gt;0),"Z+1"),0)</f>
        <v>0</v>
      </c>
      <c r="Q423" cm="1">
        <f t="array" ref="Q423">_xlfn.IFNA(_xlfn.IFS(AND(_xlfn.XLOOKUP(A423,'LPG Fup'!D:D,'LPG Fup'!M:M,"",0)&lt;&gt;"",_xlfn.XLOOKUP(A423,'LPG Fup'!D:D,'LPG Fup'!M:M,"",0)&lt;0),"I-1", AND(_xlfn.XLOOKUP(A423+1,'LPG Fup'!D:D,'LPG Fup'!M:M,"",0)&lt;&gt;"",_xlfn.XLOOKUP(A423+1,'LPG Fup'!D:D,'LPG Fup'!M:M,"",0)&lt;0),"I-2", AND(_xlfn.XLOOKUP(A423-1,'LPG Fup'!D:D,'LPG Fup'!M:M,"",0)&lt;&gt;"",_xlfn.XLOOKUP(A423-1,'LPG Fup'!D:D,'LPG Fup'!M:M,"",0)&lt;0),"I", AND(_xlfn.XLOOKUP(A423-2,'LPG Fup'!D:D,'LPG Fup'!M:M,"",0)&lt;&gt;"",_xlfn.XLOOKUP(A423-2,'LPG Fup'!D:D,'LPG Fup'!M:M,"",0)&lt;0),"I+1"),0)</f>
        <v>0</v>
      </c>
      <c r="R423">
        <f>_xlfn.XLOOKUP(A423,Covid!A:A,Covid!I:I,0,0)</f>
        <v>0</v>
      </c>
      <c r="S423">
        <f>_xlfn.XLOOKUP(A423,Covid!A:A,Covid!K:K,0,0)</f>
        <v>51</v>
      </c>
      <c r="T423" s="145">
        <f>_xlfn.XLOOKUP(A423,Covid!A:A,Covid!K:K,0,0)/_xlfn.XLOOKUP(A423,Covid!A:A,Covid!L:L,0,0)</f>
        <v>7.1750140686550369E-3</v>
      </c>
    </row>
    <row r="424" spans="1:20" x14ac:dyDescent="0.55000000000000004">
      <c r="A424" s="157">
        <v>44405</v>
      </c>
      <c r="B424" s="13">
        <v>1610840</v>
      </c>
      <c r="C424" s="13">
        <v>615345</v>
      </c>
      <c r="D424" s="13">
        <v>4002</v>
      </c>
      <c r="E424" s="13">
        <v>609535</v>
      </c>
      <c r="F424" s="13">
        <v>2839722</v>
      </c>
      <c r="G424">
        <f>IF(OR(_xlfn.XLOOKUP(A424,'LPG Fup'!D:D,'LPG Fup'!L:L,"",0)&gt;0.03,_xlfn.XLOOKUP(A424,'LPG Fup'!D:D,'LPG Fup'!L:L,"",0)&lt;-0.03),_xlfn.XLOOKUP(A424,'LPG Fup'!D:D,'LPG Fup'!L:L,0,0),0)</f>
        <v>0</v>
      </c>
      <c r="H424">
        <f>IF(_xlfn.XLOOKUP(A424,'LPG Fup'!D:D,'LPG Fup'!M:M,0,0)="",0,_xlfn.XLOOKUP(A424,'LPG Fup'!D:D,'LPG Fup'!M:M,0,0))</f>
        <v>0</v>
      </c>
      <c r="I424" s="109">
        <f>_xlfn.XLOOKUP(A424,'Rafineri Fiyatları'!A:A,'Rafineri Fiyatları'!B:B,"",0)</f>
        <v>5594.5700000000006</v>
      </c>
      <c r="J424">
        <f t="shared" si="24"/>
        <v>2021</v>
      </c>
      <c r="K424">
        <f t="shared" si="25"/>
        <v>7</v>
      </c>
      <c r="L424">
        <f t="shared" si="26"/>
        <v>28</v>
      </c>
      <c r="M424">
        <f t="shared" si="27"/>
        <v>4</v>
      </c>
      <c r="N424">
        <f>_xlfn.XLOOKUP(A424,tatiller!H:H,tatiller!I:I,0,0)</f>
        <v>0</v>
      </c>
      <c r="O424" cm="1">
        <f t="array" ref="O424">_xlfn.IFNA(_xlfn.IFS(L424=1,"A0",A424=EOMONTH(A424,0),"A-1",L424=2,"A+1"),0)</f>
        <v>0</v>
      </c>
      <c r="P424" cm="1">
        <f t="array" ref="P424">_xlfn.IFNA(_xlfn.IFS(AND(_xlfn.XLOOKUP(A424,'LPG Fup'!D:D,'LPG Fup'!M:M,"",0)&lt;&gt;"",_xlfn.XLOOKUP(A424,'LPG Fup'!D:D,'LPG Fup'!M:M,"",0)&gt;0),"Z-1", AND(_xlfn.XLOOKUP(A424+1,'LPG Fup'!D:D,'LPG Fup'!M:M,"",0)&lt;&gt;"",_xlfn.XLOOKUP(A424+1,'LPG Fup'!D:D,'LPG Fup'!M:M,"",0)&gt;0),"Z-2", AND(_xlfn.XLOOKUP(A424-1,'LPG Fup'!D:D,'LPG Fup'!M:M,"",0)&lt;&gt;"",_xlfn.XLOOKUP(A424-1,'LPG Fup'!D:D,'LPG Fup'!M:M,"",0)&gt;0),"Z", AND(_xlfn.XLOOKUP(A424-2,'LPG Fup'!D:D,'LPG Fup'!M:M,"",0)&lt;&gt;"",_xlfn.XLOOKUP(A424-2,'LPG Fup'!D:D,'LPG Fup'!M:M,"",0)&gt;0),"Z+1"),0)</f>
        <v>0</v>
      </c>
      <c r="Q424" cm="1">
        <f t="array" ref="Q424">_xlfn.IFNA(_xlfn.IFS(AND(_xlfn.XLOOKUP(A424,'LPG Fup'!D:D,'LPG Fup'!M:M,"",0)&lt;&gt;"",_xlfn.XLOOKUP(A424,'LPG Fup'!D:D,'LPG Fup'!M:M,"",0)&lt;0),"I-1", AND(_xlfn.XLOOKUP(A424+1,'LPG Fup'!D:D,'LPG Fup'!M:M,"",0)&lt;&gt;"",_xlfn.XLOOKUP(A424+1,'LPG Fup'!D:D,'LPG Fup'!M:M,"",0)&lt;0),"I-2", AND(_xlfn.XLOOKUP(A424-1,'LPG Fup'!D:D,'LPG Fup'!M:M,"",0)&lt;&gt;"",_xlfn.XLOOKUP(A424-1,'LPG Fup'!D:D,'LPG Fup'!M:M,"",0)&lt;0),"I", AND(_xlfn.XLOOKUP(A424-2,'LPG Fup'!D:D,'LPG Fup'!M:M,"",0)&lt;&gt;"",_xlfn.XLOOKUP(A424-2,'LPG Fup'!D:D,'LPG Fup'!M:M,"",0)&lt;0),"I+1"),0)</f>
        <v>0</v>
      </c>
      <c r="R424">
        <f>_xlfn.XLOOKUP(A424,Covid!A:A,Covid!I:I,0,0)</f>
        <v>0</v>
      </c>
      <c r="S424">
        <f>_xlfn.XLOOKUP(A424,Covid!A:A,Covid!K:K,0,0)</f>
        <v>76</v>
      </c>
      <c r="T424" s="145">
        <f>_xlfn.XLOOKUP(A424,Covid!A:A,Covid!K:K,0,0)/_xlfn.XLOOKUP(A424,Covid!A:A,Covid!L:L,0,0)</f>
        <v>1.8108172504169646E-2</v>
      </c>
    </row>
    <row r="425" spans="1:20" x14ac:dyDescent="0.55000000000000004">
      <c r="A425" s="157">
        <v>44406</v>
      </c>
      <c r="B425" s="13">
        <v>1129920</v>
      </c>
      <c r="C425" s="13">
        <v>456454</v>
      </c>
      <c r="D425" s="13">
        <v>8476</v>
      </c>
      <c r="E425" s="13">
        <v>472784</v>
      </c>
      <c r="F425" s="13">
        <v>2067634</v>
      </c>
      <c r="G425">
        <f>IF(OR(_xlfn.XLOOKUP(A425,'LPG Fup'!D:D,'LPG Fup'!L:L,"",0)&gt;0.03,_xlfn.XLOOKUP(A425,'LPG Fup'!D:D,'LPG Fup'!L:L,"",0)&lt;-0.03),_xlfn.XLOOKUP(A425,'LPG Fup'!D:D,'LPG Fup'!L:L,0,0),0)</f>
        <v>0</v>
      </c>
      <c r="H425">
        <f>IF(_xlfn.XLOOKUP(A425,'LPG Fup'!D:D,'LPG Fup'!M:M,0,0)="",0,_xlfn.XLOOKUP(A425,'LPG Fup'!D:D,'LPG Fup'!M:M,0,0))</f>
        <v>0</v>
      </c>
      <c r="I425" s="109">
        <f>_xlfn.XLOOKUP(A425,'Rafineri Fiyatları'!A:A,'Rafineri Fiyatları'!B:B,"",0)</f>
        <v>5594.5700000000006</v>
      </c>
      <c r="J425">
        <f t="shared" si="24"/>
        <v>2021</v>
      </c>
      <c r="K425">
        <f t="shared" si="25"/>
        <v>7</v>
      </c>
      <c r="L425">
        <f t="shared" si="26"/>
        <v>29</v>
      </c>
      <c r="M425">
        <f t="shared" si="27"/>
        <v>5</v>
      </c>
      <c r="N425">
        <f>_xlfn.XLOOKUP(A425,tatiller!H:H,tatiller!I:I,0,0)</f>
        <v>0</v>
      </c>
      <c r="O425" cm="1">
        <f t="array" ref="O425">_xlfn.IFNA(_xlfn.IFS(L425=1,"A0",A425=EOMONTH(A425,0),"A-1",L425=2,"A+1"),0)</f>
        <v>0</v>
      </c>
      <c r="P425" cm="1">
        <f t="array" ref="P425">_xlfn.IFNA(_xlfn.IFS(AND(_xlfn.XLOOKUP(A425,'LPG Fup'!D:D,'LPG Fup'!M:M,"",0)&lt;&gt;"",_xlfn.XLOOKUP(A425,'LPG Fup'!D:D,'LPG Fup'!M:M,"",0)&gt;0),"Z-1", AND(_xlfn.XLOOKUP(A425+1,'LPG Fup'!D:D,'LPG Fup'!M:M,"",0)&lt;&gt;"",_xlfn.XLOOKUP(A425+1,'LPG Fup'!D:D,'LPG Fup'!M:M,"",0)&gt;0),"Z-2", AND(_xlfn.XLOOKUP(A425-1,'LPG Fup'!D:D,'LPG Fup'!M:M,"",0)&lt;&gt;"",_xlfn.XLOOKUP(A425-1,'LPG Fup'!D:D,'LPG Fup'!M:M,"",0)&gt;0),"Z", AND(_xlfn.XLOOKUP(A425-2,'LPG Fup'!D:D,'LPG Fup'!M:M,"",0)&lt;&gt;"",_xlfn.XLOOKUP(A425-2,'LPG Fup'!D:D,'LPG Fup'!M:M,"",0)&gt;0),"Z+1"),0)</f>
        <v>0</v>
      </c>
      <c r="Q425" cm="1">
        <f t="array" ref="Q425">_xlfn.IFNA(_xlfn.IFS(AND(_xlfn.XLOOKUP(A425,'LPG Fup'!D:D,'LPG Fup'!M:M,"",0)&lt;&gt;"",_xlfn.XLOOKUP(A425,'LPG Fup'!D:D,'LPG Fup'!M:M,"",0)&lt;0),"I-1", AND(_xlfn.XLOOKUP(A425+1,'LPG Fup'!D:D,'LPG Fup'!M:M,"",0)&lt;&gt;"",_xlfn.XLOOKUP(A425+1,'LPG Fup'!D:D,'LPG Fup'!M:M,"",0)&lt;0),"I-2", AND(_xlfn.XLOOKUP(A425-1,'LPG Fup'!D:D,'LPG Fup'!M:M,"",0)&lt;&gt;"",_xlfn.XLOOKUP(A425-1,'LPG Fup'!D:D,'LPG Fup'!M:M,"",0)&lt;0),"I", AND(_xlfn.XLOOKUP(A425-2,'LPG Fup'!D:D,'LPG Fup'!M:M,"",0)&lt;&gt;"",_xlfn.XLOOKUP(A425-2,'LPG Fup'!D:D,'LPG Fup'!M:M,"",0)&lt;0),"I+1"),0)</f>
        <v>0</v>
      </c>
      <c r="R425">
        <f>_xlfn.XLOOKUP(A425,Covid!A:A,Covid!I:I,0,0)</f>
        <v>0</v>
      </c>
      <c r="S425">
        <f>_xlfn.XLOOKUP(A425,Covid!A:A,Covid!K:K,0,0)</f>
        <v>60</v>
      </c>
      <c r="T425" s="145">
        <f>_xlfn.XLOOKUP(A425,Covid!A:A,Covid!K:K,0,0)/_xlfn.XLOOKUP(A425,Covid!A:A,Covid!L:L,0,0)</f>
        <v>1.0982976386600769E-2</v>
      </c>
    </row>
    <row r="426" spans="1:20" x14ac:dyDescent="0.55000000000000004">
      <c r="A426" s="157">
        <v>44407</v>
      </c>
      <c r="B426" s="13">
        <v>1672460</v>
      </c>
      <c r="C426" s="13">
        <v>647646</v>
      </c>
      <c r="D426" s="13">
        <v>6675</v>
      </c>
      <c r="E426" s="13">
        <v>564714</v>
      </c>
      <c r="F426" s="13">
        <v>2891495</v>
      </c>
      <c r="G426">
        <f>IF(OR(_xlfn.XLOOKUP(A426,'LPG Fup'!D:D,'LPG Fup'!L:L,"",0)&gt;0.03,_xlfn.XLOOKUP(A426,'LPG Fup'!D:D,'LPG Fup'!L:L,"",0)&lt;-0.03),_xlfn.XLOOKUP(A426,'LPG Fup'!D:D,'LPG Fup'!L:L,0,0),0)</f>
        <v>0</v>
      </c>
      <c r="H426">
        <f>IF(_xlfn.XLOOKUP(A426,'LPG Fup'!D:D,'LPG Fup'!M:M,0,0)="",0,_xlfn.XLOOKUP(A426,'LPG Fup'!D:D,'LPG Fup'!M:M,0,0))</f>
        <v>0</v>
      </c>
      <c r="I426" s="109">
        <f>_xlfn.XLOOKUP(A426,'Rafineri Fiyatları'!A:A,'Rafineri Fiyatları'!B:B,"",0)</f>
        <v>5594.5700000000006</v>
      </c>
      <c r="J426">
        <f t="shared" si="24"/>
        <v>2021</v>
      </c>
      <c r="K426">
        <f t="shared" si="25"/>
        <v>7</v>
      </c>
      <c r="L426">
        <f t="shared" si="26"/>
        <v>30</v>
      </c>
      <c r="M426">
        <f t="shared" si="27"/>
        <v>6</v>
      </c>
      <c r="N426">
        <f>_xlfn.XLOOKUP(A426,tatiller!H:H,tatiller!I:I,0,0)</f>
        <v>0</v>
      </c>
      <c r="O426" cm="1">
        <f t="array" ref="O426">_xlfn.IFNA(_xlfn.IFS(L426=1,"A0",A426=EOMONTH(A426,0),"A-1",L426=2,"A+1"),0)</f>
        <v>0</v>
      </c>
      <c r="P426" cm="1">
        <f t="array" ref="P426">_xlfn.IFNA(_xlfn.IFS(AND(_xlfn.XLOOKUP(A426,'LPG Fup'!D:D,'LPG Fup'!M:M,"",0)&lt;&gt;"",_xlfn.XLOOKUP(A426,'LPG Fup'!D:D,'LPG Fup'!M:M,"",0)&gt;0),"Z-1", AND(_xlfn.XLOOKUP(A426+1,'LPG Fup'!D:D,'LPG Fup'!M:M,"",0)&lt;&gt;"",_xlfn.XLOOKUP(A426+1,'LPG Fup'!D:D,'LPG Fup'!M:M,"",0)&gt;0),"Z-2", AND(_xlfn.XLOOKUP(A426-1,'LPG Fup'!D:D,'LPG Fup'!M:M,"",0)&lt;&gt;"",_xlfn.XLOOKUP(A426-1,'LPG Fup'!D:D,'LPG Fup'!M:M,"",0)&gt;0),"Z", AND(_xlfn.XLOOKUP(A426-2,'LPG Fup'!D:D,'LPG Fup'!M:M,"",0)&lt;&gt;"",_xlfn.XLOOKUP(A426-2,'LPG Fup'!D:D,'LPG Fup'!M:M,"",0)&gt;0),"Z+1"),0)</f>
        <v>0</v>
      </c>
      <c r="Q426" cm="1">
        <f t="array" ref="Q426">_xlfn.IFNA(_xlfn.IFS(AND(_xlfn.XLOOKUP(A426,'LPG Fup'!D:D,'LPG Fup'!M:M,"",0)&lt;&gt;"",_xlfn.XLOOKUP(A426,'LPG Fup'!D:D,'LPG Fup'!M:M,"",0)&lt;0),"I-1", AND(_xlfn.XLOOKUP(A426+1,'LPG Fup'!D:D,'LPG Fup'!M:M,"",0)&lt;&gt;"",_xlfn.XLOOKUP(A426+1,'LPG Fup'!D:D,'LPG Fup'!M:M,"",0)&lt;0),"I-2", AND(_xlfn.XLOOKUP(A426-1,'LPG Fup'!D:D,'LPG Fup'!M:M,"",0)&lt;&gt;"",_xlfn.XLOOKUP(A426-1,'LPG Fup'!D:D,'LPG Fup'!M:M,"",0)&lt;0),"I", AND(_xlfn.XLOOKUP(A426-2,'LPG Fup'!D:D,'LPG Fup'!M:M,"",0)&lt;&gt;"",_xlfn.XLOOKUP(A426-2,'LPG Fup'!D:D,'LPG Fup'!M:M,"",0)&lt;0),"I+1"),0)</f>
        <v>0</v>
      </c>
      <c r="R426">
        <f>_xlfn.XLOOKUP(A426,Covid!A:A,Covid!I:I,0,0)</f>
        <v>0</v>
      </c>
      <c r="S426">
        <f>_xlfn.XLOOKUP(A426,Covid!A:A,Covid!K:K,0,0)</f>
        <v>69</v>
      </c>
      <c r="T426" s="145">
        <f>_xlfn.XLOOKUP(A426,Covid!A:A,Covid!K:K,0,0)/_xlfn.XLOOKUP(A426,Covid!A:A,Covid!L:L,0,0)</f>
        <v>1.1995827538247567E-2</v>
      </c>
    </row>
    <row r="427" spans="1:20" x14ac:dyDescent="0.55000000000000004">
      <c r="A427" s="157">
        <v>44408</v>
      </c>
      <c r="B427" s="13">
        <v>1020640</v>
      </c>
      <c r="C427" s="13">
        <v>478745</v>
      </c>
      <c r="D427" s="13">
        <v>142207</v>
      </c>
      <c r="E427" s="13">
        <v>692061</v>
      </c>
      <c r="F427" s="13">
        <v>2333653</v>
      </c>
      <c r="G427">
        <f>IF(OR(_xlfn.XLOOKUP(A427,'LPG Fup'!D:D,'LPG Fup'!L:L,"",0)&gt;0.03,_xlfn.XLOOKUP(A427,'LPG Fup'!D:D,'LPG Fup'!L:L,"",0)&lt;-0.03),_xlfn.XLOOKUP(A427,'LPG Fup'!D:D,'LPG Fup'!L:L,0,0),0)</f>
        <v>0</v>
      </c>
      <c r="H427">
        <f>IF(_xlfn.XLOOKUP(A427,'LPG Fup'!D:D,'LPG Fup'!M:M,0,0)="",0,_xlfn.XLOOKUP(A427,'LPG Fup'!D:D,'LPG Fup'!M:M,0,0))</f>
        <v>0</v>
      </c>
      <c r="I427" s="109">
        <f>_xlfn.XLOOKUP(A427,'Rafineri Fiyatları'!A:A,'Rafineri Fiyatları'!B:B,"",0)</f>
        <v>5594.5700000000006</v>
      </c>
      <c r="J427">
        <f t="shared" si="24"/>
        <v>2021</v>
      </c>
      <c r="K427">
        <f t="shared" si="25"/>
        <v>7</v>
      </c>
      <c r="L427">
        <f t="shared" si="26"/>
        <v>31</v>
      </c>
      <c r="M427">
        <f t="shared" si="27"/>
        <v>7</v>
      </c>
      <c r="N427">
        <f>_xlfn.XLOOKUP(A427,tatiller!H:H,tatiller!I:I,0,0)</f>
        <v>0</v>
      </c>
      <c r="O427" t="str" cm="1">
        <f t="array" ref="O427">_xlfn.IFNA(_xlfn.IFS(L427=1,"A0",A427=EOMONTH(A427,0),"A-1",L427=2,"A+1"),0)</f>
        <v>A-1</v>
      </c>
      <c r="P427" cm="1">
        <f t="array" ref="P427">_xlfn.IFNA(_xlfn.IFS(AND(_xlfn.XLOOKUP(A427,'LPG Fup'!D:D,'LPG Fup'!M:M,"",0)&lt;&gt;"",_xlfn.XLOOKUP(A427,'LPG Fup'!D:D,'LPG Fup'!M:M,"",0)&gt;0),"Z-1", AND(_xlfn.XLOOKUP(A427+1,'LPG Fup'!D:D,'LPG Fup'!M:M,"",0)&lt;&gt;"",_xlfn.XLOOKUP(A427+1,'LPG Fup'!D:D,'LPG Fup'!M:M,"",0)&gt;0),"Z-2", AND(_xlfn.XLOOKUP(A427-1,'LPG Fup'!D:D,'LPG Fup'!M:M,"",0)&lt;&gt;"",_xlfn.XLOOKUP(A427-1,'LPG Fup'!D:D,'LPG Fup'!M:M,"",0)&gt;0),"Z", AND(_xlfn.XLOOKUP(A427-2,'LPG Fup'!D:D,'LPG Fup'!M:M,"",0)&lt;&gt;"",_xlfn.XLOOKUP(A427-2,'LPG Fup'!D:D,'LPG Fup'!M:M,"",0)&gt;0),"Z+1"),0)</f>
        <v>0</v>
      </c>
      <c r="Q427" cm="1">
        <f t="array" ref="Q427">_xlfn.IFNA(_xlfn.IFS(AND(_xlfn.XLOOKUP(A427,'LPG Fup'!D:D,'LPG Fup'!M:M,"",0)&lt;&gt;"",_xlfn.XLOOKUP(A427,'LPG Fup'!D:D,'LPG Fup'!M:M,"",0)&lt;0),"I-1", AND(_xlfn.XLOOKUP(A427+1,'LPG Fup'!D:D,'LPG Fup'!M:M,"",0)&lt;&gt;"",_xlfn.XLOOKUP(A427+1,'LPG Fup'!D:D,'LPG Fup'!M:M,"",0)&lt;0),"I-2", AND(_xlfn.XLOOKUP(A427-1,'LPG Fup'!D:D,'LPG Fup'!M:M,"",0)&lt;&gt;"",_xlfn.XLOOKUP(A427-1,'LPG Fup'!D:D,'LPG Fup'!M:M,"",0)&lt;0),"I", AND(_xlfn.XLOOKUP(A427-2,'LPG Fup'!D:D,'LPG Fup'!M:M,"",0)&lt;&gt;"",_xlfn.XLOOKUP(A427-2,'LPG Fup'!D:D,'LPG Fup'!M:M,"",0)&lt;0),"I+1"),0)</f>
        <v>0</v>
      </c>
      <c r="R427">
        <f>_xlfn.XLOOKUP(A427,Covid!A:A,Covid!I:I,0,0)</f>
        <v>0</v>
      </c>
      <c r="S427">
        <f>_xlfn.XLOOKUP(A427,Covid!A:A,Covid!K:K,0,0)</f>
        <v>79</v>
      </c>
      <c r="T427" s="145">
        <f>_xlfn.XLOOKUP(A427,Covid!A:A,Covid!K:K,0,0)/_xlfn.XLOOKUP(A427,Covid!A:A,Covid!L:L,0,0)</f>
        <v>1.5468964166829842E-2</v>
      </c>
    </row>
    <row r="428" spans="1:20" x14ac:dyDescent="0.55000000000000004">
      <c r="A428" s="157">
        <v>44409</v>
      </c>
      <c r="B428" s="13">
        <v>1145540</v>
      </c>
      <c r="C428" s="13">
        <v>0</v>
      </c>
      <c r="D428" s="13">
        <v>1561</v>
      </c>
      <c r="E428" s="13">
        <v>459466</v>
      </c>
      <c r="F428" s="13">
        <v>3806540</v>
      </c>
      <c r="G428">
        <f>IF(OR(_xlfn.XLOOKUP(A428,'LPG Fup'!D:D,'LPG Fup'!L:L,"",0)&gt;0.03,_xlfn.XLOOKUP(A428,'LPG Fup'!D:D,'LPG Fup'!L:L,"",0)&lt;-0.03),_xlfn.XLOOKUP(A428,'LPG Fup'!D:D,'LPG Fup'!L:L,0,0),0)</f>
        <v>0</v>
      </c>
      <c r="H428">
        <f>IF(_xlfn.XLOOKUP(A428,'LPG Fup'!D:D,'LPG Fup'!M:M,0,0)="",0,_xlfn.XLOOKUP(A428,'LPG Fup'!D:D,'LPG Fup'!M:M,0,0))</f>
        <v>0</v>
      </c>
      <c r="I428" s="109">
        <f>_xlfn.XLOOKUP(A428,'Rafineri Fiyatları'!A:A,'Rafineri Fiyatları'!B:B,"",0)</f>
        <v>5594.5700000000006</v>
      </c>
      <c r="J428">
        <f t="shared" si="24"/>
        <v>2021</v>
      </c>
      <c r="K428">
        <f t="shared" si="25"/>
        <v>8</v>
      </c>
      <c r="L428">
        <f t="shared" si="26"/>
        <v>1</v>
      </c>
      <c r="M428">
        <f t="shared" si="27"/>
        <v>1</v>
      </c>
      <c r="N428">
        <f>_xlfn.XLOOKUP(A428,tatiller!H:H,tatiller!I:I,0,0)</f>
        <v>0</v>
      </c>
      <c r="O428" t="str" cm="1">
        <f t="array" ref="O428">_xlfn.IFNA(_xlfn.IFS(L428=1,"A0",A428=EOMONTH(A428,0),"A-1",L428=2,"A+1"),0)</f>
        <v>A0</v>
      </c>
      <c r="P428" cm="1">
        <f t="array" ref="P428">_xlfn.IFNA(_xlfn.IFS(AND(_xlfn.XLOOKUP(A428,'LPG Fup'!D:D,'LPG Fup'!M:M,"",0)&lt;&gt;"",_xlfn.XLOOKUP(A428,'LPG Fup'!D:D,'LPG Fup'!M:M,"",0)&gt;0),"Z-1", AND(_xlfn.XLOOKUP(A428+1,'LPG Fup'!D:D,'LPG Fup'!M:M,"",0)&lt;&gt;"",_xlfn.XLOOKUP(A428+1,'LPG Fup'!D:D,'LPG Fup'!M:M,"",0)&gt;0),"Z-2", AND(_xlfn.XLOOKUP(A428-1,'LPG Fup'!D:D,'LPG Fup'!M:M,"",0)&lt;&gt;"",_xlfn.XLOOKUP(A428-1,'LPG Fup'!D:D,'LPG Fup'!M:M,"",0)&gt;0),"Z", AND(_xlfn.XLOOKUP(A428-2,'LPG Fup'!D:D,'LPG Fup'!M:M,"",0)&lt;&gt;"",_xlfn.XLOOKUP(A428-2,'LPG Fup'!D:D,'LPG Fup'!M:M,"",0)&gt;0),"Z+1"),0)</f>
        <v>0</v>
      </c>
      <c r="Q428" cm="1">
        <f t="array" ref="Q428">_xlfn.IFNA(_xlfn.IFS(AND(_xlfn.XLOOKUP(A428,'LPG Fup'!D:D,'LPG Fup'!M:M,"",0)&lt;&gt;"",_xlfn.XLOOKUP(A428,'LPG Fup'!D:D,'LPG Fup'!M:M,"",0)&lt;0),"I-1", AND(_xlfn.XLOOKUP(A428+1,'LPG Fup'!D:D,'LPG Fup'!M:M,"",0)&lt;&gt;"",_xlfn.XLOOKUP(A428+1,'LPG Fup'!D:D,'LPG Fup'!M:M,"",0)&lt;0),"I-2", AND(_xlfn.XLOOKUP(A428-1,'LPG Fup'!D:D,'LPG Fup'!M:M,"",0)&lt;&gt;"",_xlfn.XLOOKUP(A428-1,'LPG Fup'!D:D,'LPG Fup'!M:M,"",0)&lt;0),"I", AND(_xlfn.XLOOKUP(A428-2,'LPG Fup'!D:D,'LPG Fup'!M:M,"",0)&lt;&gt;"",_xlfn.XLOOKUP(A428-2,'LPG Fup'!D:D,'LPG Fup'!M:M,"",0)&lt;0),"I+1"),0)</f>
        <v>0</v>
      </c>
      <c r="R428">
        <f>_xlfn.XLOOKUP(A428,Covid!A:A,Covid!I:I,0,0)</f>
        <v>0</v>
      </c>
      <c r="S428">
        <f>_xlfn.XLOOKUP(A428,Covid!A:A,Covid!K:K,0,0)</f>
        <v>96</v>
      </c>
      <c r="T428" s="145">
        <f>_xlfn.XLOOKUP(A428,Covid!A:A,Covid!K:K,0,0)/_xlfn.XLOOKUP(A428,Covid!A:A,Covid!L:L,0,0)</f>
        <v>1.733164831196967E-2</v>
      </c>
    </row>
    <row r="429" spans="1:20" x14ac:dyDescent="0.55000000000000004">
      <c r="A429" s="157">
        <v>44410</v>
      </c>
      <c r="B429" s="13">
        <v>1411960</v>
      </c>
      <c r="C429" s="13">
        <v>502100</v>
      </c>
      <c r="D429" s="13">
        <v>2819</v>
      </c>
      <c r="E429" s="13">
        <v>564335</v>
      </c>
      <c r="F429" s="13">
        <v>2481214</v>
      </c>
      <c r="G429">
        <f>IF(OR(_xlfn.XLOOKUP(A429,'LPG Fup'!D:D,'LPG Fup'!L:L,"",0)&gt;0.03,_xlfn.XLOOKUP(A429,'LPG Fup'!D:D,'LPG Fup'!L:L,"",0)&lt;-0.03),_xlfn.XLOOKUP(A429,'LPG Fup'!D:D,'LPG Fup'!L:L,0,0),0)</f>
        <v>0</v>
      </c>
      <c r="H429">
        <f>IF(_xlfn.XLOOKUP(A429,'LPG Fup'!D:D,'LPG Fup'!M:M,0,0)="",0,_xlfn.XLOOKUP(A429,'LPG Fup'!D:D,'LPG Fup'!M:M,0,0))</f>
        <v>0</v>
      </c>
      <c r="I429" s="109">
        <f>_xlfn.XLOOKUP(A429,'Rafineri Fiyatları'!A:A,'Rafineri Fiyatları'!B:B,"",0)</f>
        <v>5594.5700000000006</v>
      </c>
      <c r="J429">
        <f t="shared" si="24"/>
        <v>2021</v>
      </c>
      <c r="K429">
        <f t="shared" si="25"/>
        <v>8</v>
      </c>
      <c r="L429">
        <f t="shared" si="26"/>
        <v>2</v>
      </c>
      <c r="M429">
        <f t="shared" si="27"/>
        <v>2</v>
      </c>
      <c r="N429">
        <f>_xlfn.XLOOKUP(A429,tatiller!H:H,tatiller!I:I,0,0)</f>
        <v>0</v>
      </c>
      <c r="O429" t="str" cm="1">
        <f t="array" ref="O429">_xlfn.IFNA(_xlfn.IFS(L429=1,"A0",A429=EOMONTH(A429,0),"A-1",L429=2,"A+1"),0)</f>
        <v>A+1</v>
      </c>
      <c r="P429" cm="1">
        <f t="array" ref="P429">_xlfn.IFNA(_xlfn.IFS(AND(_xlfn.XLOOKUP(A429,'LPG Fup'!D:D,'LPG Fup'!M:M,"",0)&lt;&gt;"",_xlfn.XLOOKUP(A429,'LPG Fup'!D:D,'LPG Fup'!M:M,"",0)&gt;0),"Z-1", AND(_xlfn.XLOOKUP(A429+1,'LPG Fup'!D:D,'LPG Fup'!M:M,"",0)&lt;&gt;"",_xlfn.XLOOKUP(A429+1,'LPG Fup'!D:D,'LPG Fup'!M:M,"",0)&gt;0),"Z-2", AND(_xlfn.XLOOKUP(A429-1,'LPG Fup'!D:D,'LPG Fup'!M:M,"",0)&lt;&gt;"",_xlfn.XLOOKUP(A429-1,'LPG Fup'!D:D,'LPG Fup'!M:M,"",0)&gt;0),"Z", AND(_xlfn.XLOOKUP(A429-2,'LPG Fup'!D:D,'LPG Fup'!M:M,"",0)&lt;&gt;"",_xlfn.XLOOKUP(A429-2,'LPG Fup'!D:D,'LPG Fup'!M:M,"",0)&gt;0),"Z+1"),0)</f>
        <v>0</v>
      </c>
      <c r="Q429" cm="1">
        <f t="array" ref="Q429">_xlfn.IFNA(_xlfn.IFS(AND(_xlfn.XLOOKUP(A429,'LPG Fup'!D:D,'LPG Fup'!M:M,"",0)&lt;&gt;"",_xlfn.XLOOKUP(A429,'LPG Fup'!D:D,'LPG Fup'!M:M,"",0)&lt;0),"I-1", AND(_xlfn.XLOOKUP(A429+1,'LPG Fup'!D:D,'LPG Fup'!M:M,"",0)&lt;&gt;"",_xlfn.XLOOKUP(A429+1,'LPG Fup'!D:D,'LPG Fup'!M:M,"",0)&lt;0),"I-2", AND(_xlfn.XLOOKUP(A429-1,'LPG Fup'!D:D,'LPG Fup'!M:M,"",0)&lt;&gt;"",_xlfn.XLOOKUP(A429-1,'LPG Fup'!D:D,'LPG Fup'!M:M,"",0)&lt;0),"I", AND(_xlfn.XLOOKUP(A429-2,'LPG Fup'!D:D,'LPG Fup'!M:M,"",0)&lt;&gt;"",_xlfn.XLOOKUP(A429-2,'LPG Fup'!D:D,'LPG Fup'!M:M,"",0)&lt;0),"I+1"),0)</f>
        <v>0</v>
      </c>
      <c r="R429">
        <f>_xlfn.XLOOKUP(A429,Covid!A:A,Covid!I:I,0,0)</f>
        <v>0</v>
      </c>
      <c r="S429">
        <f>_xlfn.XLOOKUP(A429,Covid!A:A,Covid!K:K,0,0)</f>
        <v>91</v>
      </c>
      <c r="T429" s="145">
        <f>_xlfn.XLOOKUP(A429,Covid!A:A,Covid!K:K,0,0)/_xlfn.XLOOKUP(A429,Covid!A:A,Covid!L:L,0,0)</f>
        <v>1.530183285690264E-2</v>
      </c>
    </row>
    <row r="430" spans="1:20" x14ac:dyDescent="0.55000000000000004">
      <c r="A430" s="157">
        <v>44411</v>
      </c>
      <c r="B430" s="13">
        <v>1279100</v>
      </c>
      <c r="C430" s="13">
        <v>376284</v>
      </c>
      <c r="D430" s="13">
        <v>2956</v>
      </c>
      <c r="E430" s="13">
        <v>468341</v>
      </c>
      <c r="F430" s="13">
        <v>2126681</v>
      </c>
      <c r="G430">
        <f>IF(OR(_xlfn.XLOOKUP(A430,'LPG Fup'!D:D,'LPG Fup'!L:L,"",0)&gt;0.03,_xlfn.XLOOKUP(A430,'LPG Fup'!D:D,'LPG Fup'!L:L,"",0)&lt;-0.03),_xlfn.XLOOKUP(A430,'LPG Fup'!D:D,'LPG Fup'!L:L,0,0),0)</f>
        <v>0</v>
      </c>
      <c r="H430">
        <f>IF(_xlfn.XLOOKUP(A430,'LPG Fup'!D:D,'LPG Fup'!M:M,0,0)="",0,_xlfn.XLOOKUP(A430,'LPG Fup'!D:D,'LPG Fup'!M:M,0,0))</f>
        <v>0</v>
      </c>
      <c r="I430" s="109">
        <f>_xlfn.XLOOKUP(A430,'Rafineri Fiyatları'!A:A,'Rafineri Fiyatları'!B:B,"",0)</f>
        <v>5594.5700000000006</v>
      </c>
      <c r="J430">
        <f t="shared" si="24"/>
        <v>2021</v>
      </c>
      <c r="K430">
        <f t="shared" si="25"/>
        <v>8</v>
      </c>
      <c r="L430">
        <f t="shared" si="26"/>
        <v>3</v>
      </c>
      <c r="M430">
        <f t="shared" si="27"/>
        <v>3</v>
      </c>
      <c r="N430">
        <f>_xlfn.XLOOKUP(A430,tatiller!H:H,tatiller!I:I,0,0)</f>
        <v>0</v>
      </c>
      <c r="O430" cm="1">
        <f t="array" ref="O430">_xlfn.IFNA(_xlfn.IFS(L430=1,"A0",A430=EOMONTH(A430,0),"A-1",L430=2,"A+1"),0)</f>
        <v>0</v>
      </c>
      <c r="P430" cm="1">
        <f t="array" ref="P430">_xlfn.IFNA(_xlfn.IFS(AND(_xlfn.XLOOKUP(A430,'LPG Fup'!D:D,'LPG Fup'!M:M,"",0)&lt;&gt;"",_xlfn.XLOOKUP(A430,'LPG Fup'!D:D,'LPG Fup'!M:M,"",0)&gt;0),"Z-1", AND(_xlfn.XLOOKUP(A430+1,'LPG Fup'!D:D,'LPG Fup'!M:M,"",0)&lt;&gt;"",_xlfn.XLOOKUP(A430+1,'LPG Fup'!D:D,'LPG Fup'!M:M,"",0)&gt;0),"Z-2", AND(_xlfn.XLOOKUP(A430-1,'LPG Fup'!D:D,'LPG Fup'!M:M,"",0)&lt;&gt;"",_xlfn.XLOOKUP(A430-1,'LPG Fup'!D:D,'LPG Fup'!M:M,"",0)&gt;0),"Z", AND(_xlfn.XLOOKUP(A430-2,'LPG Fup'!D:D,'LPG Fup'!M:M,"",0)&lt;&gt;"",_xlfn.XLOOKUP(A430-2,'LPG Fup'!D:D,'LPG Fup'!M:M,"",0)&gt;0),"Z+1"),0)</f>
        <v>0</v>
      </c>
      <c r="Q430" cm="1">
        <f t="array" ref="Q430">_xlfn.IFNA(_xlfn.IFS(AND(_xlfn.XLOOKUP(A430,'LPG Fup'!D:D,'LPG Fup'!M:M,"",0)&lt;&gt;"",_xlfn.XLOOKUP(A430,'LPG Fup'!D:D,'LPG Fup'!M:M,"",0)&lt;0),"I-1", AND(_xlfn.XLOOKUP(A430+1,'LPG Fup'!D:D,'LPG Fup'!M:M,"",0)&lt;&gt;"",_xlfn.XLOOKUP(A430+1,'LPG Fup'!D:D,'LPG Fup'!M:M,"",0)&lt;0),"I-2", AND(_xlfn.XLOOKUP(A430-1,'LPG Fup'!D:D,'LPG Fup'!M:M,"",0)&lt;&gt;"",_xlfn.XLOOKUP(A430-1,'LPG Fup'!D:D,'LPG Fup'!M:M,"",0)&lt;0),"I", AND(_xlfn.XLOOKUP(A430-2,'LPG Fup'!D:D,'LPG Fup'!M:M,"",0)&lt;&gt;"",_xlfn.XLOOKUP(A430-2,'LPG Fup'!D:D,'LPG Fup'!M:M,"",0)&lt;0),"I+1"),0)</f>
        <v>0</v>
      </c>
      <c r="R430">
        <f>_xlfn.XLOOKUP(A430,Covid!A:A,Covid!I:I,0,0)</f>
        <v>0</v>
      </c>
      <c r="S430">
        <f>_xlfn.XLOOKUP(A430,Covid!A:A,Covid!K:K,0,0)</f>
        <v>126</v>
      </c>
      <c r="T430" s="145">
        <f>_xlfn.XLOOKUP(A430,Covid!A:A,Covid!K:K,0,0)/_xlfn.XLOOKUP(A430,Covid!A:A,Covid!L:L,0,0)</f>
        <v>2.0182604517059107E-2</v>
      </c>
    </row>
    <row r="431" spans="1:20" x14ac:dyDescent="0.55000000000000004">
      <c r="A431" s="157">
        <v>44412</v>
      </c>
      <c r="B431" s="13">
        <v>1482380</v>
      </c>
      <c r="C431" s="13">
        <v>469396</v>
      </c>
      <c r="D431" s="13">
        <v>2567</v>
      </c>
      <c r="E431" s="13">
        <v>539544</v>
      </c>
      <c r="F431" s="13">
        <v>2493887</v>
      </c>
      <c r="G431">
        <f>IF(OR(_xlfn.XLOOKUP(A431,'LPG Fup'!D:D,'LPG Fup'!L:L,"",0)&gt;0.03,_xlfn.XLOOKUP(A431,'LPG Fup'!D:D,'LPG Fup'!L:L,"",0)&lt;-0.03),_xlfn.XLOOKUP(A431,'LPG Fup'!D:D,'LPG Fup'!L:L,0,0),0)</f>
        <v>0</v>
      </c>
      <c r="H431">
        <f>IF(_xlfn.XLOOKUP(A431,'LPG Fup'!D:D,'LPG Fup'!M:M,0,0)="",0,_xlfn.XLOOKUP(A431,'LPG Fup'!D:D,'LPG Fup'!M:M,0,0))</f>
        <v>0</v>
      </c>
      <c r="I431" s="109">
        <f>_xlfn.XLOOKUP(A431,'Rafineri Fiyatları'!A:A,'Rafineri Fiyatları'!B:B,"",0)</f>
        <v>5594.5700000000006</v>
      </c>
      <c r="J431">
        <f t="shared" si="24"/>
        <v>2021</v>
      </c>
      <c r="K431">
        <f t="shared" si="25"/>
        <v>8</v>
      </c>
      <c r="L431">
        <f t="shared" si="26"/>
        <v>4</v>
      </c>
      <c r="M431">
        <f t="shared" si="27"/>
        <v>4</v>
      </c>
      <c r="N431">
        <f>_xlfn.XLOOKUP(A431,tatiller!H:H,tatiller!I:I,0,0)</f>
        <v>0</v>
      </c>
      <c r="O431" cm="1">
        <f t="array" ref="O431">_xlfn.IFNA(_xlfn.IFS(L431=1,"A0",A431=EOMONTH(A431,0),"A-1",L431=2,"A+1"),0)</f>
        <v>0</v>
      </c>
      <c r="P431" cm="1">
        <f t="array" ref="P431">_xlfn.IFNA(_xlfn.IFS(AND(_xlfn.XLOOKUP(A431,'LPG Fup'!D:D,'LPG Fup'!M:M,"",0)&lt;&gt;"",_xlfn.XLOOKUP(A431,'LPG Fup'!D:D,'LPG Fup'!M:M,"",0)&gt;0),"Z-1", AND(_xlfn.XLOOKUP(A431+1,'LPG Fup'!D:D,'LPG Fup'!M:M,"",0)&lt;&gt;"",_xlfn.XLOOKUP(A431+1,'LPG Fup'!D:D,'LPG Fup'!M:M,"",0)&gt;0),"Z-2", AND(_xlfn.XLOOKUP(A431-1,'LPG Fup'!D:D,'LPG Fup'!M:M,"",0)&lt;&gt;"",_xlfn.XLOOKUP(A431-1,'LPG Fup'!D:D,'LPG Fup'!M:M,"",0)&gt;0),"Z", AND(_xlfn.XLOOKUP(A431-2,'LPG Fup'!D:D,'LPG Fup'!M:M,"",0)&lt;&gt;"",_xlfn.XLOOKUP(A431-2,'LPG Fup'!D:D,'LPG Fup'!M:M,"",0)&gt;0),"Z+1"),0)</f>
        <v>0</v>
      </c>
      <c r="Q431" cm="1">
        <f t="array" ref="Q431">_xlfn.IFNA(_xlfn.IFS(AND(_xlfn.XLOOKUP(A431,'LPG Fup'!D:D,'LPG Fup'!M:M,"",0)&lt;&gt;"",_xlfn.XLOOKUP(A431,'LPG Fup'!D:D,'LPG Fup'!M:M,"",0)&lt;0),"I-1", AND(_xlfn.XLOOKUP(A431+1,'LPG Fup'!D:D,'LPG Fup'!M:M,"",0)&lt;&gt;"",_xlfn.XLOOKUP(A431+1,'LPG Fup'!D:D,'LPG Fup'!M:M,"",0)&lt;0),"I-2", AND(_xlfn.XLOOKUP(A431-1,'LPG Fup'!D:D,'LPG Fup'!M:M,"",0)&lt;&gt;"",_xlfn.XLOOKUP(A431-1,'LPG Fup'!D:D,'LPG Fup'!M:M,"",0)&lt;0),"I", AND(_xlfn.XLOOKUP(A431-2,'LPG Fup'!D:D,'LPG Fup'!M:M,"",0)&lt;&gt;"",_xlfn.XLOOKUP(A431-2,'LPG Fup'!D:D,'LPG Fup'!M:M,"",0)&lt;0),"I+1"),0)</f>
        <v>0</v>
      </c>
      <c r="R431">
        <f>_xlfn.XLOOKUP(A431,Covid!A:A,Covid!I:I,0,0)</f>
        <v>0</v>
      </c>
      <c r="S431">
        <f>_xlfn.XLOOKUP(A431,Covid!A:A,Covid!K:K,0,0)</f>
        <v>122</v>
      </c>
      <c r="T431" s="145">
        <f>_xlfn.XLOOKUP(A431,Covid!A:A,Covid!K:K,0,0)/_xlfn.XLOOKUP(A431,Covid!A:A,Covid!L:L,0,0)</f>
        <v>2.0013123359580054E-2</v>
      </c>
    </row>
    <row r="432" spans="1:20" x14ac:dyDescent="0.55000000000000004">
      <c r="A432" s="157">
        <v>44413</v>
      </c>
      <c r="B432" s="13">
        <v>1522260</v>
      </c>
      <c r="C432" s="13">
        <v>341900</v>
      </c>
      <c r="D432" s="13">
        <v>8446</v>
      </c>
      <c r="E432" s="13">
        <v>457441</v>
      </c>
      <c r="F432" s="13">
        <v>2330047</v>
      </c>
      <c r="G432">
        <f>IF(OR(_xlfn.XLOOKUP(A432,'LPG Fup'!D:D,'LPG Fup'!L:L,"",0)&gt;0.03,_xlfn.XLOOKUP(A432,'LPG Fup'!D:D,'LPG Fup'!L:L,"",0)&lt;-0.03),_xlfn.XLOOKUP(A432,'LPG Fup'!D:D,'LPG Fup'!L:L,0,0),0)</f>
        <v>0</v>
      </c>
      <c r="H432">
        <f>IF(_xlfn.XLOOKUP(A432,'LPG Fup'!D:D,'LPG Fup'!M:M,0,0)="",0,_xlfn.XLOOKUP(A432,'LPG Fup'!D:D,'LPG Fup'!M:M,0,0))</f>
        <v>0</v>
      </c>
      <c r="I432" s="109">
        <f>_xlfn.XLOOKUP(A432,'Rafineri Fiyatları'!A:A,'Rafineri Fiyatları'!B:B,"",0)</f>
        <v>5594.5700000000006</v>
      </c>
      <c r="J432">
        <f t="shared" si="24"/>
        <v>2021</v>
      </c>
      <c r="K432">
        <f t="shared" si="25"/>
        <v>8</v>
      </c>
      <c r="L432">
        <f t="shared" si="26"/>
        <v>5</v>
      </c>
      <c r="M432">
        <f t="shared" si="27"/>
        <v>5</v>
      </c>
      <c r="N432">
        <f>_xlfn.XLOOKUP(A432,tatiller!H:H,tatiller!I:I,0,0)</f>
        <v>0</v>
      </c>
      <c r="O432" cm="1">
        <f t="array" ref="O432">_xlfn.IFNA(_xlfn.IFS(L432=1,"A0",A432=EOMONTH(A432,0),"A-1",L432=2,"A+1"),0)</f>
        <v>0</v>
      </c>
      <c r="P432" cm="1">
        <f t="array" ref="P432">_xlfn.IFNA(_xlfn.IFS(AND(_xlfn.XLOOKUP(A432,'LPG Fup'!D:D,'LPG Fup'!M:M,"",0)&lt;&gt;"",_xlfn.XLOOKUP(A432,'LPG Fup'!D:D,'LPG Fup'!M:M,"",0)&gt;0),"Z-1", AND(_xlfn.XLOOKUP(A432+1,'LPG Fup'!D:D,'LPG Fup'!M:M,"",0)&lt;&gt;"",_xlfn.XLOOKUP(A432+1,'LPG Fup'!D:D,'LPG Fup'!M:M,"",0)&gt;0),"Z-2", AND(_xlfn.XLOOKUP(A432-1,'LPG Fup'!D:D,'LPG Fup'!M:M,"",0)&lt;&gt;"",_xlfn.XLOOKUP(A432-1,'LPG Fup'!D:D,'LPG Fup'!M:M,"",0)&gt;0),"Z", AND(_xlfn.XLOOKUP(A432-2,'LPG Fup'!D:D,'LPG Fup'!M:M,"",0)&lt;&gt;"",_xlfn.XLOOKUP(A432-2,'LPG Fup'!D:D,'LPG Fup'!M:M,"",0)&gt;0),"Z+1"),0)</f>
        <v>0</v>
      </c>
      <c r="Q432" cm="1">
        <f t="array" ref="Q432">_xlfn.IFNA(_xlfn.IFS(AND(_xlfn.XLOOKUP(A432,'LPG Fup'!D:D,'LPG Fup'!M:M,"",0)&lt;&gt;"",_xlfn.XLOOKUP(A432,'LPG Fup'!D:D,'LPG Fup'!M:M,"",0)&lt;0),"I-1", AND(_xlfn.XLOOKUP(A432+1,'LPG Fup'!D:D,'LPG Fup'!M:M,"",0)&lt;&gt;"",_xlfn.XLOOKUP(A432+1,'LPG Fup'!D:D,'LPG Fup'!M:M,"",0)&lt;0),"I-2", AND(_xlfn.XLOOKUP(A432-1,'LPG Fup'!D:D,'LPG Fup'!M:M,"",0)&lt;&gt;"",_xlfn.XLOOKUP(A432-1,'LPG Fup'!D:D,'LPG Fup'!M:M,"",0)&lt;0),"I", AND(_xlfn.XLOOKUP(A432-2,'LPG Fup'!D:D,'LPG Fup'!M:M,"",0)&lt;&gt;"",_xlfn.XLOOKUP(A432-2,'LPG Fup'!D:D,'LPG Fup'!M:M,"",0)&lt;0),"I+1"),0)</f>
        <v>0</v>
      </c>
      <c r="R432">
        <f>_xlfn.XLOOKUP(A432,Covid!A:A,Covid!I:I,0,0)</f>
        <v>0</v>
      </c>
      <c r="S432">
        <f>_xlfn.XLOOKUP(A432,Covid!A:A,Covid!K:K,0,0)</f>
        <v>108</v>
      </c>
      <c r="T432" s="145">
        <f>_xlfn.XLOOKUP(A432,Covid!A:A,Covid!K:K,0,0)/_xlfn.XLOOKUP(A432,Covid!A:A,Covid!L:L,0,0)</f>
        <v>1.62748643761302E-2</v>
      </c>
    </row>
    <row r="433" spans="1:20" x14ac:dyDescent="0.55000000000000004">
      <c r="A433" s="157">
        <v>44414</v>
      </c>
      <c r="B433" s="13">
        <v>1637720</v>
      </c>
      <c r="C433" s="13">
        <v>489328</v>
      </c>
      <c r="D433" s="13">
        <v>1250</v>
      </c>
      <c r="E433" s="13">
        <v>529348</v>
      </c>
      <c r="F433" s="13">
        <v>2657646</v>
      </c>
      <c r="G433">
        <f>IF(OR(_xlfn.XLOOKUP(A433,'LPG Fup'!D:D,'LPG Fup'!L:L,"",0)&gt;0.03,_xlfn.XLOOKUP(A433,'LPG Fup'!D:D,'LPG Fup'!L:L,"",0)&lt;-0.03),_xlfn.XLOOKUP(A433,'LPG Fup'!D:D,'LPG Fup'!L:L,0,0),0)</f>
        <v>0</v>
      </c>
      <c r="H433">
        <f>IF(_xlfn.XLOOKUP(A433,'LPG Fup'!D:D,'LPG Fup'!M:M,0,0)="",0,_xlfn.XLOOKUP(A433,'LPG Fup'!D:D,'LPG Fup'!M:M,0,0))</f>
        <v>0</v>
      </c>
      <c r="I433" s="109">
        <f>_xlfn.XLOOKUP(A433,'Rafineri Fiyatları'!A:A,'Rafineri Fiyatları'!B:B,"",0)</f>
        <v>5594.5700000000006</v>
      </c>
      <c r="J433">
        <f t="shared" si="24"/>
        <v>2021</v>
      </c>
      <c r="K433">
        <f t="shared" si="25"/>
        <v>8</v>
      </c>
      <c r="L433">
        <f t="shared" si="26"/>
        <v>6</v>
      </c>
      <c r="M433">
        <f t="shared" si="27"/>
        <v>6</v>
      </c>
      <c r="N433">
        <f>_xlfn.XLOOKUP(A433,tatiller!H:H,tatiller!I:I,0,0)</f>
        <v>0</v>
      </c>
      <c r="O433" cm="1">
        <f t="array" ref="O433">_xlfn.IFNA(_xlfn.IFS(L433=1,"A0",A433=EOMONTH(A433,0),"A-1",L433=2,"A+1"),0)</f>
        <v>0</v>
      </c>
      <c r="P433" cm="1">
        <f t="array" ref="P433">_xlfn.IFNA(_xlfn.IFS(AND(_xlfn.XLOOKUP(A433,'LPG Fup'!D:D,'LPG Fup'!M:M,"",0)&lt;&gt;"",_xlfn.XLOOKUP(A433,'LPG Fup'!D:D,'LPG Fup'!M:M,"",0)&gt;0),"Z-1", AND(_xlfn.XLOOKUP(A433+1,'LPG Fup'!D:D,'LPG Fup'!M:M,"",0)&lt;&gt;"",_xlfn.XLOOKUP(A433+1,'LPG Fup'!D:D,'LPG Fup'!M:M,"",0)&gt;0),"Z-2", AND(_xlfn.XLOOKUP(A433-1,'LPG Fup'!D:D,'LPG Fup'!M:M,"",0)&lt;&gt;"",_xlfn.XLOOKUP(A433-1,'LPG Fup'!D:D,'LPG Fup'!M:M,"",0)&gt;0),"Z", AND(_xlfn.XLOOKUP(A433-2,'LPG Fup'!D:D,'LPG Fup'!M:M,"",0)&lt;&gt;"",_xlfn.XLOOKUP(A433-2,'LPG Fup'!D:D,'LPG Fup'!M:M,"",0)&gt;0),"Z+1"),0)</f>
        <v>0</v>
      </c>
      <c r="Q433" cm="1">
        <f t="array" ref="Q433">_xlfn.IFNA(_xlfn.IFS(AND(_xlfn.XLOOKUP(A433,'LPG Fup'!D:D,'LPG Fup'!M:M,"",0)&lt;&gt;"",_xlfn.XLOOKUP(A433,'LPG Fup'!D:D,'LPG Fup'!M:M,"",0)&lt;0),"I-1", AND(_xlfn.XLOOKUP(A433+1,'LPG Fup'!D:D,'LPG Fup'!M:M,"",0)&lt;&gt;"",_xlfn.XLOOKUP(A433+1,'LPG Fup'!D:D,'LPG Fup'!M:M,"",0)&lt;0),"I-2", AND(_xlfn.XLOOKUP(A433-1,'LPG Fup'!D:D,'LPG Fup'!M:M,"",0)&lt;&gt;"",_xlfn.XLOOKUP(A433-1,'LPG Fup'!D:D,'LPG Fup'!M:M,"",0)&lt;0),"I", AND(_xlfn.XLOOKUP(A433-2,'LPG Fup'!D:D,'LPG Fup'!M:M,"",0)&lt;&gt;"",_xlfn.XLOOKUP(A433-2,'LPG Fup'!D:D,'LPG Fup'!M:M,"",0)&lt;0),"I+1"),0)</f>
        <v>0</v>
      </c>
      <c r="R433">
        <f>_xlfn.XLOOKUP(A433,Covid!A:A,Covid!I:I,0,0)</f>
        <v>0</v>
      </c>
      <c r="S433">
        <f>_xlfn.XLOOKUP(A433,Covid!A:A,Covid!K:K,0,0)</f>
        <v>101</v>
      </c>
      <c r="T433" s="145">
        <f>_xlfn.XLOOKUP(A433,Covid!A:A,Covid!K:K,0,0)/_xlfn.XLOOKUP(A433,Covid!A:A,Covid!L:L,0,0)</f>
        <v>1.4551217403832301E-2</v>
      </c>
    </row>
    <row r="434" spans="1:20" x14ac:dyDescent="0.55000000000000004">
      <c r="A434" s="157">
        <v>44415</v>
      </c>
      <c r="B434" s="13">
        <v>1234320</v>
      </c>
      <c r="C434" s="13">
        <v>223066</v>
      </c>
      <c r="D434" s="13">
        <v>4631</v>
      </c>
      <c r="E434" s="13">
        <v>589258</v>
      </c>
      <c r="F434" s="13">
        <v>2051275</v>
      </c>
      <c r="G434">
        <f>IF(OR(_xlfn.XLOOKUP(A434,'LPG Fup'!D:D,'LPG Fup'!L:L,"",0)&gt;0.03,_xlfn.XLOOKUP(A434,'LPG Fup'!D:D,'LPG Fup'!L:L,"",0)&lt;-0.03),_xlfn.XLOOKUP(A434,'LPG Fup'!D:D,'LPG Fup'!L:L,0,0),0)</f>
        <v>0</v>
      </c>
      <c r="H434">
        <f>IF(_xlfn.XLOOKUP(A434,'LPG Fup'!D:D,'LPG Fup'!M:M,0,0)="",0,_xlfn.XLOOKUP(A434,'LPG Fup'!D:D,'LPG Fup'!M:M,0,0))</f>
        <v>0</v>
      </c>
      <c r="I434" s="109">
        <f>_xlfn.XLOOKUP(A434,'Rafineri Fiyatları'!A:A,'Rafineri Fiyatları'!B:B,"",0)</f>
        <v>5594.5700000000006</v>
      </c>
      <c r="J434">
        <f t="shared" si="24"/>
        <v>2021</v>
      </c>
      <c r="K434">
        <f t="shared" si="25"/>
        <v>8</v>
      </c>
      <c r="L434">
        <f t="shared" si="26"/>
        <v>7</v>
      </c>
      <c r="M434">
        <f t="shared" si="27"/>
        <v>7</v>
      </c>
      <c r="N434">
        <f>_xlfn.XLOOKUP(A434,tatiller!H:H,tatiller!I:I,0,0)</f>
        <v>0</v>
      </c>
      <c r="O434" cm="1">
        <f t="array" ref="O434">_xlfn.IFNA(_xlfn.IFS(L434=1,"A0",A434=EOMONTH(A434,0),"A-1",L434=2,"A+1"),0)</f>
        <v>0</v>
      </c>
      <c r="P434" cm="1">
        <f t="array" ref="P434">_xlfn.IFNA(_xlfn.IFS(AND(_xlfn.XLOOKUP(A434,'LPG Fup'!D:D,'LPG Fup'!M:M,"",0)&lt;&gt;"",_xlfn.XLOOKUP(A434,'LPG Fup'!D:D,'LPG Fup'!M:M,"",0)&gt;0),"Z-1", AND(_xlfn.XLOOKUP(A434+1,'LPG Fup'!D:D,'LPG Fup'!M:M,"",0)&lt;&gt;"",_xlfn.XLOOKUP(A434+1,'LPG Fup'!D:D,'LPG Fup'!M:M,"",0)&gt;0),"Z-2", AND(_xlfn.XLOOKUP(A434-1,'LPG Fup'!D:D,'LPG Fup'!M:M,"",0)&lt;&gt;"",_xlfn.XLOOKUP(A434-1,'LPG Fup'!D:D,'LPG Fup'!M:M,"",0)&gt;0),"Z", AND(_xlfn.XLOOKUP(A434-2,'LPG Fup'!D:D,'LPG Fup'!M:M,"",0)&lt;&gt;"",_xlfn.XLOOKUP(A434-2,'LPG Fup'!D:D,'LPG Fup'!M:M,"",0)&gt;0),"Z+1"),0)</f>
        <v>0</v>
      </c>
      <c r="Q434" cm="1">
        <f t="array" ref="Q434">_xlfn.IFNA(_xlfn.IFS(AND(_xlfn.XLOOKUP(A434,'LPG Fup'!D:D,'LPG Fup'!M:M,"",0)&lt;&gt;"",_xlfn.XLOOKUP(A434,'LPG Fup'!D:D,'LPG Fup'!M:M,"",0)&lt;0),"I-1", AND(_xlfn.XLOOKUP(A434+1,'LPG Fup'!D:D,'LPG Fup'!M:M,"",0)&lt;&gt;"",_xlfn.XLOOKUP(A434+1,'LPG Fup'!D:D,'LPG Fup'!M:M,"",0)&lt;0),"I-2", AND(_xlfn.XLOOKUP(A434-1,'LPG Fup'!D:D,'LPG Fup'!M:M,"",0)&lt;&gt;"",_xlfn.XLOOKUP(A434-1,'LPG Fup'!D:D,'LPG Fup'!M:M,"",0)&lt;0),"I", AND(_xlfn.XLOOKUP(A434-2,'LPG Fup'!D:D,'LPG Fup'!M:M,"",0)&lt;&gt;"",_xlfn.XLOOKUP(A434-2,'LPG Fup'!D:D,'LPG Fup'!M:M,"",0)&lt;0),"I+1"),0)</f>
        <v>0</v>
      </c>
      <c r="R434">
        <f>_xlfn.XLOOKUP(A434,Covid!A:A,Covid!I:I,0,0)</f>
        <v>0</v>
      </c>
      <c r="S434">
        <f>_xlfn.XLOOKUP(A434,Covid!A:A,Covid!K:K,0,0)</f>
        <v>112</v>
      </c>
      <c r="T434" s="145">
        <f>_xlfn.XLOOKUP(A434,Covid!A:A,Covid!K:K,0,0)/_xlfn.XLOOKUP(A434,Covid!A:A,Covid!L:L,0,0)</f>
        <v>1.6572950577093813E-2</v>
      </c>
    </row>
    <row r="435" spans="1:20" x14ac:dyDescent="0.55000000000000004">
      <c r="A435" s="157">
        <v>44416</v>
      </c>
      <c r="B435" s="13">
        <v>1218540</v>
      </c>
      <c r="C435" s="13">
        <v>0</v>
      </c>
      <c r="D435" s="13">
        <v>0</v>
      </c>
      <c r="E435" s="13">
        <v>470279</v>
      </c>
      <c r="F435" s="13">
        <v>1688819</v>
      </c>
      <c r="G435">
        <f>IF(OR(_xlfn.XLOOKUP(A435,'LPG Fup'!D:D,'LPG Fup'!L:L,"",0)&gt;0.03,_xlfn.XLOOKUP(A435,'LPG Fup'!D:D,'LPG Fup'!L:L,"",0)&lt;-0.03),_xlfn.XLOOKUP(A435,'LPG Fup'!D:D,'LPG Fup'!L:L,0,0),0)</f>
        <v>0</v>
      </c>
      <c r="H435">
        <f>IF(_xlfn.XLOOKUP(A435,'LPG Fup'!D:D,'LPG Fup'!M:M,0,0)="",0,_xlfn.XLOOKUP(A435,'LPG Fup'!D:D,'LPG Fup'!M:M,0,0))</f>
        <v>0</v>
      </c>
      <c r="I435" s="109">
        <f>_xlfn.XLOOKUP(A435,'Rafineri Fiyatları'!A:A,'Rafineri Fiyatları'!B:B,"",0)</f>
        <v>5594.5700000000006</v>
      </c>
      <c r="J435">
        <f t="shared" si="24"/>
        <v>2021</v>
      </c>
      <c r="K435">
        <f t="shared" si="25"/>
        <v>8</v>
      </c>
      <c r="L435">
        <f t="shared" si="26"/>
        <v>8</v>
      </c>
      <c r="M435">
        <f t="shared" si="27"/>
        <v>1</v>
      </c>
      <c r="N435">
        <f>_xlfn.XLOOKUP(A435,tatiller!H:H,tatiller!I:I,0,0)</f>
        <v>0</v>
      </c>
      <c r="O435" cm="1">
        <f t="array" ref="O435">_xlfn.IFNA(_xlfn.IFS(L435=1,"A0",A435=EOMONTH(A435,0),"A-1",L435=2,"A+1"),0)</f>
        <v>0</v>
      </c>
      <c r="P435" t="str" cm="1">
        <f t="array" ref="P435">_xlfn.IFNA(_xlfn.IFS(AND(_xlfn.XLOOKUP(A435,'LPG Fup'!D:D,'LPG Fup'!M:M,"",0)&lt;&gt;"",_xlfn.XLOOKUP(A435,'LPG Fup'!D:D,'LPG Fup'!M:M,"",0)&gt;0),"Z-1", AND(_xlfn.XLOOKUP(A435+1,'LPG Fup'!D:D,'LPG Fup'!M:M,"",0)&lt;&gt;"",_xlfn.XLOOKUP(A435+1,'LPG Fup'!D:D,'LPG Fup'!M:M,"",0)&gt;0),"Z-2", AND(_xlfn.XLOOKUP(A435-1,'LPG Fup'!D:D,'LPG Fup'!M:M,"",0)&lt;&gt;"",_xlfn.XLOOKUP(A435-1,'LPG Fup'!D:D,'LPG Fup'!M:M,"",0)&gt;0),"Z", AND(_xlfn.XLOOKUP(A435-2,'LPG Fup'!D:D,'LPG Fup'!M:M,"",0)&lt;&gt;"",_xlfn.XLOOKUP(A435-2,'LPG Fup'!D:D,'LPG Fup'!M:M,"",0)&gt;0),"Z+1"),0)</f>
        <v>Z-2</v>
      </c>
      <c r="Q435" cm="1">
        <f t="array" ref="Q435">_xlfn.IFNA(_xlfn.IFS(AND(_xlfn.XLOOKUP(A435,'LPG Fup'!D:D,'LPG Fup'!M:M,"",0)&lt;&gt;"",_xlfn.XLOOKUP(A435,'LPG Fup'!D:D,'LPG Fup'!M:M,"",0)&lt;0),"I-1", AND(_xlfn.XLOOKUP(A435+1,'LPG Fup'!D:D,'LPG Fup'!M:M,"",0)&lt;&gt;"",_xlfn.XLOOKUP(A435+1,'LPG Fup'!D:D,'LPG Fup'!M:M,"",0)&lt;0),"I-2", AND(_xlfn.XLOOKUP(A435-1,'LPG Fup'!D:D,'LPG Fup'!M:M,"",0)&lt;&gt;"",_xlfn.XLOOKUP(A435-1,'LPG Fup'!D:D,'LPG Fup'!M:M,"",0)&lt;0),"I", AND(_xlfn.XLOOKUP(A435-2,'LPG Fup'!D:D,'LPG Fup'!M:M,"",0)&lt;&gt;"",_xlfn.XLOOKUP(A435-2,'LPG Fup'!D:D,'LPG Fup'!M:M,"",0)&lt;0),"I+1"),0)</f>
        <v>0</v>
      </c>
      <c r="R435">
        <f>_xlfn.XLOOKUP(A435,Covid!A:A,Covid!I:I,0,0)</f>
        <v>0</v>
      </c>
      <c r="S435">
        <f>_xlfn.XLOOKUP(A435,Covid!A:A,Covid!K:K,0,0)</f>
        <v>108</v>
      </c>
      <c r="T435" s="145">
        <f>_xlfn.XLOOKUP(A435,Covid!A:A,Covid!K:K,0,0)/_xlfn.XLOOKUP(A435,Covid!A:A,Covid!L:L,0,0)</f>
        <v>1.8508997429305913E-2</v>
      </c>
    </row>
    <row r="436" spans="1:20" x14ac:dyDescent="0.55000000000000004">
      <c r="A436" s="157">
        <v>44417</v>
      </c>
      <c r="B436" s="13">
        <v>2358300</v>
      </c>
      <c r="C436" s="13">
        <v>720738</v>
      </c>
      <c r="D436" s="13">
        <v>8835</v>
      </c>
      <c r="E436" s="13">
        <v>781071</v>
      </c>
      <c r="F436" s="13">
        <v>6068629</v>
      </c>
      <c r="G436">
        <f>IF(OR(_xlfn.XLOOKUP(A436,'LPG Fup'!D:D,'LPG Fup'!L:L,"",0)&gt;0.03,_xlfn.XLOOKUP(A436,'LPG Fup'!D:D,'LPG Fup'!L:L,"",0)&lt;-0.03),_xlfn.XLOOKUP(A436,'LPG Fup'!D:D,'LPG Fup'!L:L,0,0),0)</f>
        <v>3.1759741109060727E-2</v>
      </c>
      <c r="H436">
        <f>IF(_xlfn.XLOOKUP(A436,'LPG Fup'!D:D,'LPG Fup'!M:M,0,0)="",0,_xlfn.XLOOKUP(A436,'LPG Fup'!D:D,'LPG Fup'!M:M,0,0))</f>
        <v>258.37349999999969</v>
      </c>
      <c r="I436" s="109">
        <f>_xlfn.XLOOKUP(A436,'Rafineri Fiyatları'!A:A,'Rafineri Fiyatları'!B:B,"",0)</f>
        <v>5594.5700000000006</v>
      </c>
      <c r="J436">
        <f t="shared" si="24"/>
        <v>2021</v>
      </c>
      <c r="K436">
        <f t="shared" si="25"/>
        <v>8</v>
      </c>
      <c r="L436">
        <f t="shared" si="26"/>
        <v>9</v>
      </c>
      <c r="M436">
        <f t="shared" si="27"/>
        <v>2</v>
      </c>
      <c r="N436">
        <f>_xlfn.XLOOKUP(A436,tatiller!H:H,tatiller!I:I,0,0)</f>
        <v>0</v>
      </c>
      <c r="O436" cm="1">
        <f t="array" ref="O436">_xlfn.IFNA(_xlfn.IFS(L436=1,"A0",A436=EOMONTH(A436,0),"A-1",L436=2,"A+1"),0)</f>
        <v>0</v>
      </c>
      <c r="P436" t="str" cm="1">
        <f t="array" ref="P436">_xlfn.IFNA(_xlfn.IFS(AND(_xlfn.XLOOKUP(A436,'LPG Fup'!D:D,'LPG Fup'!M:M,"",0)&lt;&gt;"",_xlfn.XLOOKUP(A436,'LPG Fup'!D:D,'LPG Fup'!M:M,"",0)&gt;0),"Z-1", AND(_xlfn.XLOOKUP(A436+1,'LPG Fup'!D:D,'LPG Fup'!M:M,"",0)&lt;&gt;"",_xlfn.XLOOKUP(A436+1,'LPG Fup'!D:D,'LPG Fup'!M:M,"",0)&gt;0),"Z-2", AND(_xlfn.XLOOKUP(A436-1,'LPG Fup'!D:D,'LPG Fup'!M:M,"",0)&lt;&gt;"",_xlfn.XLOOKUP(A436-1,'LPG Fup'!D:D,'LPG Fup'!M:M,"",0)&gt;0),"Z", AND(_xlfn.XLOOKUP(A436-2,'LPG Fup'!D:D,'LPG Fup'!M:M,"",0)&lt;&gt;"",_xlfn.XLOOKUP(A436-2,'LPG Fup'!D:D,'LPG Fup'!M:M,"",0)&gt;0),"Z+1"),0)</f>
        <v>Z-1</v>
      </c>
      <c r="Q436" cm="1">
        <f t="array" ref="Q436">_xlfn.IFNA(_xlfn.IFS(AND(_xlfn.XLOOKUP(A436,'LPG Fup'!D:D,'LPG Fup'!M:M,"",0)&lt;&gt;"",_xlfn.XLOOKUP(A436,'LPG Fup'!D:D,'LPG Fup'!M:M,"",0)&lt;0),"I-1", AND(_xlfn.XLOOKUP(A436+1,'LPG Fup'!D:D,'LPG Fup'!M:M,"",0)&lt;&gt;"",_xlfn.XLOOKUP(A436+1,'LPG Fup'!D:D,'LPG Fup'!M:M,"",0)&lt;0),"I-2", AND(_xlfn.XLOOKUP(A436-1,'LPG Fup'!D:D,'LPG Fup'!M:M,"",0)&lt;&gt;"",_xlfn.XLOOKUP(A436-1,'LPG Fup'!D:D,'LPG Fup'!M:M,"",0)&lt;0),"I", AND(_xlfn.XLOOKUP(A436-2,'LPG Fup'!D:D,'LPG Fup'!M:M,"",0)&lt;&gt;"",_xlfn.XLOOKUP(A436-2,'LPG Fup'!D:D,'LPG Fup'!M:M,"",0)&lt;0),"I+1"),0)</f>
        <v>0</v>
      </c>
      <c r="R436">
        <f>_xlfn.XLOOKUP(A436,Covid!A:A,Covid!I:I,0,0)</f>
        <v>0</v>
      </c>
      <c r="S436">
        <f>_xlfn.XLOOKUP(A436,Covid!A:A,Covid!K:K,0,0)</f>
        <v>117</v>
      </c>
      <c r="T436" s="145">
        <f>_xlfn.XLOOKUP(A436,Covid!A:A,Covid!K:K,0,0)/_xlfn.XLOOKUP(A436,Covid!A:A,Covid!L:L,0,0)</f>
        <v>1.5885947046843176E-2</v>
      </c>
    </row>
    <row r="437" spans="1:20" x14ac:dyDescent="0.55000000000000004">
      <c r="A437" s="157">
        <v>44418</v>
      </c>
      <c r="B437" s="13">
        <v>1902400</v>
      </c>
      <c r="C437" s="13">
        <v>646459</v>
      </c>
      <c r="D437" s="13">
        <v>0</v>
      </c>
      <c r="E437" s="13">
        <v>350844</v>
      </c>
      <c r="F437" s="13">
        <v>2899703</v>
      </c>
      <c r="G437">
        <f>IF(OR(_xlfn.XLOOKUP(A437,'LPG Fup'!D:D,'LPG Fup'!L:L,"",0)&gt;0.03,_xlfn.XLOOKUP(A437,'LPG Fup'!D:D,'LPG Fup'!L:L,"",0)&lt;-0.03),_xlfn.XLOOKUP(A437,'LPG Fup'!D:D,'LPG Fup'!L:L,0,0),0)</f>
        <v>0</v>
      </c>
      <c r="H437">
        <f>IF(_xlfn.XLOOKUP(A437,'LPG Fup'!D:D,'LPG Fup'!M:M,0,0)="",0,_xlfn.XLOOKUP(A437,'LPG Fup'!D:D,'LPG Fup'!M:M,0,0))</f>
        <v>0</v>
      </c>
      <c r="I437" s="109">
        <f>_xlfn.XLOOKUP(A437,'Rafineri Fiyatları'!A:A,'Rafineri Fiyatları'!B:B,"",0)</f>
        <v>5852.9412999999995</v>
      </c>
      <c r="J437">
        <f t="shared" si="24"/>
        <v>2021</v>
      </c>
      <c r="K437">
        <f t="shared" si="25"/>
        <v>8</v>
      </c>
      <c r="L437">
        <f t="shared" si="26"/>
        <v>10</v>
      </c>
      <c r="M437">
        <f t="shared" si="27"/>
        <v>3</v>
      </c>
      <c r="N437">
        <f>_xlfn.XLOOKUP(A437,tatiller!H:H,tatiller!I:I,0,0)</f>
        <v>0</v>
      </c>
      <c r="O437" cm="1">
        <f t="array" ref="O437">_xlfn.IFNA(_xlfn.IFS(L437=1,"A0",A437=EOMONTH(A437,0),"A-1",L437=2,"A+1"),0)</f>
        <v>0</v>
      </c>
      <c r="P437" t="str" cm="1">
        <f t="array" ref="P437">_xlfn.IFNA(_xlfn.IFS(AND(_xlfn.XLOOKUP(A437,'LPG Fup'!D:D,'LPG Fup'!M:M,"",0)&lt;&gt;"",_xlfn.XLOOKUP(A437,'LPG Fup'!D:D,'LPG Fup'!M:M,"",0)&gt;0),"Z-1", AND(_xlfn.XLOOKUP(A437+1,'LPG Fup'!D:D,'LPG Fup'!M:M,"",0)&lt;&gt;"",_xlfn.XLOOKUP(A437+1,'LPG Fup'!D:D,'LPG Fup'!M:M,"",0)&gt;0),"Z-2", AND(_xlfn.XLOOKUP(A437-1,'LPG Fup'!D:D,'LPG Fup'!M:M,"",0)&lt;&gt;"",_xlfn.XLOOKUP(A437-1,'LPG Fup'!D:D,'LPG Fup'!M:M,"",0)&gt;0),"Z", AND(_xlfn.XLOOKUP(A437-2,'LPG Fup'!D:D,'LPG Fup'!M:M,"",0)&lt;&gt;"",_xlfn.XLOOKUP(A437-2,'LPG Fup'!D:D,'LPG Fup'!M:M,"",0)&gt;0),"Z+1"),0)</f>
        <v>Z</v>
      </c>
      <c r="Q437" cm="1">
        <f t="array" ref="Q437">_xlfn.IFNA(_xlfn.IFS(AND(_xlfn.XLOOKUP(A437,'LPG Fup'!D:D,'LPG Fup'!M:M,"",0)&lt;&gt;"",_xlfn.XLOOKUP(A437,'LPG Fup'!D:D,'LPG Fup'!M:M,"",0)&lt;0),"I-1", AND(_xlfn.XLOOKUP(A437+1,'LPG Fup'!D:D,'LPG Fup'!M:M,"",0)&lt;&gt;"",_xlfn.XLOOKUP(A437+1,'LPG Fup'!D:D,'LPG Fup'!M:M,"",0)&lt;0),"I-2", AND(_xlfn.XLOOKUP(A437-1,'LPG Fup'!D:D,'LPG Fup'!M:M,"",0)&lt;&gt;"",_xlfn.XLOOKUP(A437-1,'LPG Fup'!D:D,'LPG Fup'!M:M,"",0)&lt;0),"I", AND(_xlfn.XLOOKUP(A437-2,'LPG Fup'!D:D,'LPG Fup'!M:M,"",0)&lt;&gt;"",_xlfn.XLOOKUP(A437-2,'LPG Fup'!D:D,'LPG Fup'!M:M,"",0)&lt;0),"I+1"),0)</f>
        <v>0</v>
      </c>
      <c r="R437">
        <f>_xlfn.XLOOKUP(A437,Covid!A:A,Covid!I:I,0,0)</f>
        <v>0</v>
      </c>
      <c r="S437">
        <f>_xlfn.XLOOKUP(A437,Covid!A:A,Covid!K:K,0,0)</f>
        <v>124</v>
      </c>
      <c r="T437" s="145">
        <f>_xlfn.XLOOKUP(A437,Covid!A:A,Covid!K:K,0,0)/_xlfn.XLOOKUP(A437,Covid!A:A,Covid!L:L,0,0)</f>
        <v>8.2920957603316841E-3</v>
      </c>
    </row>
    <row r="438" spans="1:20" x14ac:dyDescent="0.55000000000000004">
      <c r="A438" s="157">
        <v>44419</v>
      </c>
      <c r="B438" s="13">
        <v>1347960</v>
      </c>
      <c r="C438" s="13">
        <v>568589</v>
      </c>
      <c r="D438" s="13">
        <v>12484</v>
      </c>
      <c r="E438" s="13">
        <v>505391</v>
      </c>
      <c r="F438" s="13">
        <v>2434424</v>
      </c>
      <c r="G438">
        <f>IF(OR(_xlfn.XLOOKUP(A438,'LPG Fup'!D:D,'LPG Fup'!L:L,"",0)&gt;0.03,_xlfn.XLOOKUP(A438,'LPG Fup'!D:D,'LPG Fup'!L:L,"",0)&lt;-0.03),_xlfn.XLOOKUP(A438,'LPG Fup'!D:D,'LPG Fup'!L:L,0,0),0)</f>
        <v>0</v>
      </c>
      <c r="H438">
        <f>IF(_xlfn.XLOOKUP(A438,'LPG Fup'!D:D,'LPG Fup'!M:M,0,0)="",0,_xlfn.XLOOKUP(A438,'LPG Fup'!D:D,'LPG Fup'!M:M,0,0))</f>
        <v>0</v>
      </c>
      <c r="I438" s="109">
        <f>_xlfn.XLOOKUP(A438,'Rafineri Fiyatları'!A:A,'Rafineri Fiyatları'!B:B,"",0)</f>
        <v>5852.94</v>
      </c>
      <c r="J438">
        <f t="shared" si="24"/>
        <v>2021</v>
      </c>
      <c r="K438">
        <f t="shared" si="25"/>
        <v>8</v>
      </c>
      <c r="L438">
        <f t="shared" si="26"/>
        <v>11</v>
      </c>
      <c r="M438">
        <f t="shared" si="27"/>
        <v>4</v>
      </c>
      <c r="N438">
        <f>_xlfn.XLOOKUP(A438,tatiller!H:H,tatiller!I:I,0,0)</f>
        <v>0</v>
      </c>
      <c r="O438" cm="1">
        <f t="array" ref="O438">_xlfn.IFNA(_xlfn.IFS(L438=1,"A0",A438=EOMONTH(A438,0),"A-1",L438=2,"A+1"),0)</f>
        <v>0</v>
      </c>
      <c r="P438" t="str" cm="1">
        <f t="array" ref="P438">_xlfn.IFNA(_xlfn.IFS(AND(_xlfn.XLOOKUP(A438,'LPG Fup'!D:D,'LPG Fup'!M:M,"",0)&lt;&gt;"",_xlfn.XLOOKUP(A438,'LPG Fup'!D:D,'LPG Fup'!M:M,"",0)&gt;0),"Z-1", AND(_xlfn.XLOOKUP(A438+1,'LPG Fup'!D:D,'LPG Fup'!M:M,"",0)&lt;&gt;"",_xlfn.XLOOKUP(A438+1,'LPG Fup'!D:D,'LPG Fup'!M:M,"",0)&gt;0),"Z-2", AND(_xlfn.XLOOKUP(A438-1,'LPG Fup'!D:D,'LPG Fup'!M:M,"",0)&lt;&gt;"",_xlfn.XLOOKUP(A438-1,'LPG Fup'!D:D,'LPG Fup'!M:M,"",0)&gt;0),"Z", AND(_xlfn.XLOOKUP(A438-2,'LPG Fup'!D:D,'LPG Fup'!M:M,"",0)&lt;&gt;"",_xlfn.XLOOKUP(A438-2,'LPG Fup'!D:D,'LPG Fup'!M:M,"",0)&gt;0),"Z+1"),0)</f>
        <v>Z+1</v>
      </c>
      <c r="Q438" cm="1">
        <f t="array" ref="Q438">_xlfn.IFNA(_xlfn.IFS(AND(_xlfn.XLOOKUP(A438,'LPG Fup'!D:D,'LPG Fup'!M:M,"",0)&lt;&gt;"",_xlfn.XLOOKUP(A438,'LPG Fup'!D:D,'LPG Fup'!M:M,"",0)&lt;0),"I-1", AND(_xlfn.XLOOKUP(A438+1,'LPG Fup'!D:D,'LPG Fup'!M:M,"",0)&lt;&gt;"",_xlfn.XLOOKUP(A438+1,'LPG Fup'!D:D,'LPG Fup'!M:M,"",0)&lt;0),"I-2", AND(_xlfn.XLOOKUP(A438-1,'LPG Fup'!D:D,'LPG Fup'!M:M,"",0)&lt;&gt;"",_xlfn.XLOOKUP(A438-1,'LPG Fup'!D:D,'LPG Fup'!M:M,"",0)&lt;0),"I", AND(_xlfn.XLOOKUP(A438-2,'LPG Fup'!D:D,'LPG Fup'!M:M,"",0)&lt;&gt;"",_xlfn.XLOOKUP(A438-2,'LPG Fup'!D:D,'LPG Fup'!M:M,"",0)&lt;0),"I+1"),0)</f>
        <v>0</v>
      </c>
      <c r="R438">
        <f>_xlfn.XLOOKUP(A438,Covid!A:A,Covid!I:I,0,0)</f>
        <v>0</v>
      </c>
      <c r="S438">
        <f>_xlfn.XLOOKUP(A438,Covid!A:A,Covid!K:K,0,0)</f>
        <v>128</v>
      </c>
      <c r="T438" s="145">
        <f>_xlfn.XLOOKUP(A438,Covid!A:A,Covid!K:K,0,0)/_xlfn.XLOOKUP(A438,Covid!A:A,Covid!L:L,0,0)</f>
        <v>7.8225264315834511E-3</v>
      </c>
    </row>
    <row r="439" spans="1:20" x14ac:dyDescent="0.55000000000000004">
      <c r="A439" s="157">
        <v>44420</v>
      </c>
      <c r="B439" s="13">
        <v>1873940</v>
      </c>
      <c r="C439" s="13">
        <v>188839</v>
      </c>
      <c r="D439" s="13">
        <v>3570</v>
      </c>
      <c r="E439" s="13">
        <v>469149</v>
      </c>
      <c r="F439" s="13">
        <v>4229607</v>
      </c>
      <c r="G439">
        <f>IF(OR(_xlfn.XLOOKUP(A439,'LPG Fup'!D:D,'LPG Fup'!L:L,"",0)&gt;0.03,_xlfn.XLOOKUP(A439,'LPG Fup'!D:D,'LPG Fup'!L:L,"",0)&lt;-0.03),_xlfn.XLOOKUP(A439,'LPG Fup'!D:D,'LPG Fup'!L:L,0,0),0)</f>
        <v>0</v>
      </c>
      <c r="H439">
        <f>IF(_xlfn.XLOOKUP(A439,'LPG Fup'!D:D,'LPG Fup'!M:M,0,0)="",0,_xlfn.XLOOKUP(A439,'LPG Fup'!D:D,'LPG Fup'!M:M,0,0))</f>
        <v>0</v>
      </c>
      <c r="I439" s="109">
        <f>_xlfn.XLOOKUP(A439,'Rafineri Fiyatları'!A:A,'Rafineri Fiyatları'!B:B,"",0)</f>
        <v>5852.94</v>
      </c>
      <c r="J439">
        <f t="shared" si="24"/>
        <v>2021</v>
      </c>
      <c r="K439">
        <f t="shared" si="25"/>
        <v>8</v>
      </c>
      <c r="L439">
        <f t="shared" si="26"/>
        <v>12</v>
      </c>
      <c r="M439">
        <f t="shared" si="27"/>
        <v>5</v>
      </c>
      <c r="N439">
        <f>_xlfn.XLOOKUP(A439,tatiller!H:H,tatiller!I:I,0,0)</f>
        <v>0</v>
      </c>
      <c r="O439" cm="1">
        <f t="array" ref="O439">_xlfn.IFNA(_xlfn.IFS(L439=1,"A0",A439=EOMONTH(A439,0),"A-1",L439=2,"A+1"),0)</f>
        <v>0</v>
      </c>
      <c r="P439" cm="1">
        <f t="array" ref="P439">_xlfn.IFNA(_xlfn.IFS(AND(_xlfn.XLOOKUP(A439,'LPG Fup'!D:D,'LPG Fup'!M:M,"",0)&lt;&gt;"",_xlfn.XLOOKUP(A439,'LPG Fup'!D:D,'LPG Fup'!M:M,"",0)&gt;0),"Z-1", AND(_xlfn.XLOOKUP(A439+1,'LPG Fup'!D:D,'LPG Fup'!M:M,"",0)&lt;&gt;"",_xlfn.XLOOKUP(A439+1,'LPG Fup'!D:D,'LPG Fup'!M:M,"",0)&gt;0),"Z-2", AND(_xlfn.XLOOKUP(A439-1,'LPG Fup'!D:D,'LPG Fup'!M:M,"",0)&lt;&gt;"",_xlfn.XLOOKUP(A439-1,'LPG Fup'!D:D,'LPG Fup'!M:M,"",0)&gt;0),"Z", AND(_xlfn.XLOOKUP(A439-2,'LPG Fup'!D:D,'LPG Fup'!M:M,"",0)&lt;&gt;"",_xlfn.XLOOKUP(A439-2,'LPG Fup'!D:D,'LPG Fup'!M:M,"",0)&gt;0),"Z+1"),0)</f>
        <v>0</v>
      </c>
      <c r="Q439" cm="1">
        <f t="array" ref="Q439">_xlfn.IFNA(_xlfn.IFS(AND(_xlfn.XLOOKUP(A439,'LPG Fup'!D:D,'LPG Fup'!M:M,"",0)&lt;&gt;"",_xlfn.XLOOKUP(A439,'LPG Fup'!D:D,'LPG Fup'!M:M,"",0)&lt;0),"I-1", AND(_xlfn.XLOOKUP(A439+1,'LPG Fup'!D:D,'LPG Fup'!M:M,"",0)&lt;&gt;"",_xlfn.XLOOKUP(A439+1,'LPG Fup'!D:D,'LPG Fup'!M:M,"",0)&lt;0),"I-2", AND(_xlfn.XLOOKUP(A439-1,'LPG Fup'!D:D,'LPG Fup'!M:M,"",0)&lt;&gt;"",_xlfn.XLOOKUP(A439-1,'LPG Fup'!D:D,'LPG Fup'!M:M,"",0)&lt;0),"I", AND(_xlfn.XLOOKUP(A439-2,'LPG Fup'!D:D,'LPG Fup'!M:M,"",0)&lt;&gt;"",_xlfn.XLOOKUP(A439-2,'LPG Fup'!D:D,'LPG Fup'!M:M,"",0)&lt;0),"I+1"),0)</f>
        <v>0</v>
      </c>
      <c r="R439">
        <f>_xlfn.XLOOKUP(A439,Covid!A:A,Covid!I:I,0,0)</f>
        <v>0</v>
      </c>
      <c r="S439">
        <f>_xlfn.XLOOKUP(A439,Covid!A:A,Covid!K:K,0,0)</f>
        <v>138</v>
      </c>
      <c r="T439" s="145">
        <f>_xlfn.XLOOKUP(A439,Covid!A:A,Covid!K:K,0,0)/_xlfn.XLOOKUP(A439,Covid!A:A,Covid!L:L,0,0)</f>
        <v>8.798214854956965E-3</v>
      </c>
    </row>
    <row r="440" spans="1:20" x14ac:dyDescent="0.55000000000000004">
      <c r="A440" s="157">
        <v>44421</v>
      </c>
      <c r="B440" s="13">
        <v>1820860</v>
      </c>
      <c r="C440" s="13">
        <v>305434</v>
      </c>
      <c r="D440" s="13">
        <v>18495</v>
      </c>
      <c r="E440" s="13">
        <v>531667</v>
      </c>
      <c r="F440" s="13">
        <v>4876370</v>
      </c>
      <c r="G440">
        <f>IF(OR(_xlfn.XLOOKUP(A440,'LPG Fup'!D:D,'LPG Fup'!L:L,"",0)&gt;0.03,_xlfn.XLOOKUP(A440,'LPG Fup'!D:D,'LPG Fup'!L:L,"",0)&lt;-0.03),_xlfn.XLOOKUP(A440,'LPG Fup'!D:D,'LPG Fup'!L:L,0,0),0)</f>
        <v>0</v>
      </c>
      <c r="H440">
        <f>IF(_xlfn.XLOOKUP(A440,'LPG Fup'!D:D,'LPG Fup'!M:M,0,0)="",0,_xlfn.XLOOKUP(A440,'LPG Fup'!D:D,'LPG Fup'!M:M,0,0))</f>
        <v>0</v>
      </c>
      <c r="I440" s="109">
        <f>_xlfn.XLOOKUP(A440,'Rafineri Fiyatları'!A:A,'Rafineri Fiyatları'!B:B,"",0)</f>
        <v>5852.94</v>
      </c>
      <c r="J440">
        <f t="shared" si="24"/>
        <v>2021</v>
      </c>
      <c r="K440">
        <f t="shared" si="25"/>
        <v>8</v>
      </c>
      <c r="L440">
        <f t="shared" si="26"/>
        <v>13</v>
      </c>
      <c r="M440">
        <f t="shared" si="27"/>
        <v>6</v>
      </c>
      <c r="N440">
        <f>_xlfn.XLOOKUP(A440,tatiller!H:H,tatiller!I:I,0,0)</f>
        <v>0</v>
      </c>
      <c r="O440" cm="1">
        <f t="array" ref="O440">_xlfn.IFNA(_xlfn.IFS(L440=1,"A0",A440=EOMONTH(A440,0),"A-1",L440=2,"A+1"),0)</f>
        <v>0</v>
      </c>
      <c r="P440" cm="1">
        <f t="array" ref="P440">_xlfn.IFNA(_xlfn.IFS(AND(_xlfn.XLOOKUP(A440,'LPG Fup'!D:D,'LPG Fup'!M:M,"",0)&lt;&gt;"",_xlfn.XLOOKUP(A440,'LPG Fup'!D:D,'LPG Fup'!M:M,"",0)&gt;0),"Z-1", AND(_xlfn.XLOOKUP(A440+1,'LPG Fup'!D:D,'LPG Fup'!M:M,"",0)&lt;&gt;"",_xlfn.XLOOKUP(A440+1,'LPG Fup'!D:D,'LPG Fup'!M:M,"",0)&gt;0),"Z-2", AND(_xlfn.XLOOKUP(A440-1,'LPG Fup'!D:D,'LPG Fup'!M:M,"",0)&lt;&gt;"",_xlfn.XLOOKUP(A440-1,'LPG Fup'!D:D,'LPG Fup'!M:M,"",0)&gt;0),"Z", AND(_xlfn.XLOOKUP(A440-2,'LPG Fup'!D:D,'LPG Fup'!M:M,"",0)&lt;&gt;"",_xlfn.XLOOKUP(A440-2,'LPG Fup'!D:D,'LPG Fup'!M:M,"",0)&gt;0),"Z+1"),0)</f>
        <v>0</v>
      </c>
      <c r="Q440" cm="1">
        <f t="array" ref="Q440">_xlfn.IFNA(_xlfn.IFS(AND(_xlfn.XLOOKUP(A440,'LPG Fup'!D:D,'LPG Fup'!M:M,"",0)&lt;&gt;"",_xlfn.XLOOKUP(A440,'LPG Fup'!D:D,'LPG Fup'!M:M,"",0)&lt;0),"I-1", AND(_xlfn.XLOOKUP(A440+1,'LPG Fup'!D:D,'LPG Fup'!M:M,"",0)&lt;&gt;"",_xlfn.XLOOKUP(A440+1,'LPG Fup'!D:D,'LPG Fup'!M:M,"",0)&lt;0),"I-2", AND(_xlfn.XLOOKUP(A440-1,'LPG Fup'!D:D,'LPG Fup'!M:M,"",0)&lt;&gt;"",_xlfn.XLOOKUP(A440-1,'LPG Fup'!D:D,'LPG Fup'!M:M,"",0)&lt;0),"I", AND(_xlfn.XLOOKUP(A440-2,'LPG Fup'!D:D,'LPG Fup'!M:M,"",0)&lt;&gt;"",_xlfn.XLOOKUP(A440-2,'LPG Fup'!D:D,'LPG Fup'!M:M,"",0)&lt;0),"I+1"),0)</f>
        <v>0</v>
      </c>
      <c r="R440">
        <f>_xlfn.XLOOKUP(A440,Covid!A:A,Covid!I:I,0,0)</f>
        <v>0</v>
      </c>
      <c r="S440">
        <f>_xlfn.XLOOKUP(A440,Covid!A:A,Covid!K:K,0,0)</f>
        <v>157</v>
      </c>
      <c r="T440" s="145">
        <f>_xlfn.XLOOKUP(A440,Covid!A:A,Covid!K:K,0,0)/_xlfn.XLOOKUP(A440,Covid!A:A,Covid!L:L,0,0)</f>
        <v>9.5197671598350707E-3</v>
      </c>
    </row>
    <row r="441" spans="1:20" x14ac:dyDescent="0.55000000000000004">
      <c r="A441" s="157">
        <v>44422</v>
      </c>
      <c r="B441" s="13">
        <v>1315440</v>
      </c>
      <c r="C441" s="13">
        <v>221851</v>
      </c>
      <c r="D441" s="13">
        <v>0</v>
      </c>
      <c r="E441" s="13">
        <v>579079</v>
      </c>
      <c r="F441" s="13">
        <v>2116370</v>
      </c>
      <c r="G441">
        <f>IF(OR(_xlfn.XLOOKUP(A441,'LPG Fup'!D:D,'LPG Fup'!L:L,"",0)&gt;0.03,_xlfn.XLOOKUP(A441,'LPG Fup'!D:D,'LPG Fup'!L:L,"",0)&lt;-0.03),_xlfn.XLOOKUP(A441,'LPG Fup'!D:D,'LPG Fup'!L:L,0,0),0)</f>
        <v>0</v>
      </c>
      <c r="H441">
        <f>IF(_xlfn.XLOOKUP(A441,'LPG Fup'!D:D,'LPG Fup'!M:M,0,0)="",0,_xlfn.XLOOKUP(A441,'LPG Fup'!D:D,'LPG Fup'!M:M,0,0))</f>
        <v>0</v>
      </c>
      <c r="I441" s="109">
        <f>_xlfn.XLOOKUP(A441,'Rafineri Fiyatları'!A:A,'Rafineri Fiyatları'!B:B,"",0)</f>
        <v>5852.94</v>
      </c>
      <c r="J441">
        <f t="shared" si="24"/>
        <v>2021</v>
      </c>
      <c r="K441">
        <f t="shared" si="25"/>
        <v>8</v>
      </c>
      <c r="L441">
        <f t="shared" si="26"/>
        <v>14</v>
      </c>
      <c r="M441">
        <f t="shared" si="27"/>
        <v>7</v>
      </c>
      <c r="N441">
        <f>_xlfn.XLOOKUP(A441,tatiller!H:H,tatiller!I:I,0,0)</f>
        <v>0</v>
      </c>
      <c r="O441" cm="1">
        <f t="array" ref="O441">_xlfn.IFNA(_xlfn.IFS(L441=1,"A0",A441=EOMONTH(A441,0),"A-1",L441=2,"A+1"),0)</f>
        <v>0</v>
      </c>
      <c r="P441" cm="1">
        <f t="array" ref="P441">_xlfn.IFNA(_xlfn.IFS(AND(_xlfn.XLOOKUP(A441,'LPG Fup'!D:D,'LPG Fup'!M:M,"",0)&lt;&gt;"",_xlfn.XLOOKUP(A441,'LPG Fup'!D:D,'LPG Fup'!M:M,"",0)&gt;0),"Z-1", AND(_xlfn.XLOOKUP(A441+1,'LPG Fup'!D:D,'LPG Fup'!M:M,"",0)&lt;&gt;"",_xlfn.XLOOKUP(A441+1,'LPG Fup'!D:D,'LPG Fup'!M:M,"",0)&gt;0),"Z-2", AND(_xlfn.XLOOKUP(A441-1,'LPG Fup'!D:D,'LPG Fup'!M:M,"",0)&lt;&gt;"",_xlfn.XLOOKUP(A441-1,'LPG Fup'!D:D,'LPG Fup'!M:M,"",0)&gt;0),"Z", AND(_xlfn.XLOOKUP(A441-2,'LPG Fup'!D:D,'LPG Fup'!M:M,"",0)&lt;&gt;"",_xlfn.XLOOKUP(A441-2,'LPG Fup'!D:D,'LPG Fup'!M:M,"",0)&gt;0),"Z+1"),0)</f>
        <v>0</v>
      </c>
      <c r="Q441" cm="1">
        <f t="array" ref="Q441">_xlfn.IFNA(_xlfn.IFS(AND(_xlfn.XLOOKUP(A441,'LPG Fup'!D:D,'LPG Fup'!M:M,"",0)&lt;&gt;"",_xlfn.XLOOKUP(A441,'LPG Fup'!D:D,'LPG Fup'!M:M,"",0)&lt;0),"I-1", AND(_xlfn.XLOOKUP(A441+1,'LPG Fup'!D:D,'LPG Fup'!M:M,"",0)&lt;&gt;"",_xlfn.XLOOKUP(A441+1,'LPG Fup'!D:D,'LPG Fup'!M:M,"",0)&lt;0),"I-2", AND(_xlfn.XLOOKUP(A441-1,'LPG Fup'!D:D,'LPG Fup'!M:M,"",0)&lt;&gt;"",_xlfn.XLOOKUP(A441-1,'LPG Fup'!D:D,'LPG Fup'!M:M,"",0)&lt;0),"I", AND(_xlfn.XLOOKUP(A441-2,'LPG Fup'!D:D,'LPG Fup'!M:M,"",0)&lt;&gt;"",_xlfn.XLOOKUP(A441-2,'LPG Fup'!D:D,'LPG Fup'!M:M,"",0)&lt;0),"I+1"),0)</f>
        <v>0</v>
      </c>
      <c r="R441">
        <f>_xlfn.XLOOKUP(A441,Covid!A:A,Covid!I:I,0,0)</f>
        <v>0</v>
      </c>
      <c r="S441">
        <f>_xlfn.XLOOKUP(A441,Covid!A:A,Covid!K:K,0,0)</f>
        <v>145</v>
      </c>
      <c r="T441" s="145">
        <f>_xlfn.XLOOKUP(A441,Covid!A:A,Covid!K:K,0,0)/_xlfn.XLOOKUP(A441,Covid!A:A,Covid!L:L,0,0)</f>
        <v>9.437646446237959E-3</v>
      </c>
    </row>
    <row r="442" spans="1:20" x14ac:dyDescent="0.55000000000000004">
      <c r="A442" s="157">
        <v>44423</v>
      </c>
      <c r="B442" s="13">
        <v>1300260</v>
      </c>
      <c r="C442" s="13">
        <v>0</v>
      </c>
      <c r="D442" s="13">
        <v>0</v>
      </c>
      <c r="E442" s="13">
        <v>442867</v>
      </c>
      <c r="F442" s="13">
        <v>1743127</v>
      </c>
      <c r="G442">
        <f>IF(OR(_xlfn.XLOOKUP(A442,'LPG Fup'!D:D,'LPG Fup'!L:L,"",0)&gt;0.03,_xlfn.XLOOKUP(A442,'LPG Fup'!D:D,'LPG Fup'!L:L,"",0)&lt;-0.03),_xlfn.XLOOKUP(A442,'LPG Fup'!D:D,'LPG Fup'!L:L,0,0),0)</f>
        <v>0</v>
      </c>
      <c r="H442">
        <f>IF(_xlfn.XLOOKUP(A442,'LPG Fup'!D:D,'LPG Fup'!M:M,0,0)="",0,_xlfn.XLOOKUP(A442,'LPG Fup'!D:D,'LPG Fup'!M:M,0,0))</f>
        <v>0</v>
      </c>
      <c r="I442" s="109">
        <f>_xlfn.XLOOKUP(A442,'Rafineri Fiyatları'!A:A,'Rafineri Fiyatları'!B:B,"",0)</f>
        <v>5852.94</v>
      </c>
      <c r="J442">
        <f t="shared" si="24"/>
        <v>2021</v>
      </c>
      <c r="K442">
        <f t="shared" si="25"/>
        <v>8</v>
      </c>
      <c r="L442">
        <f t="shared" si="26"/>
        <v>15</v>
      </c>
      <c r="M442">
        <f t="shared" si="27"/>
        <v>1</v>
      </c>
      <c r="N442">
        <f>_xlfn.XLOOKUP(A442,tatiller!H:H,tatiller!I:I,0,0)</f>
        <v>0</v>
      </c>
      <c r="O442" cm="1">
        <f t="array" ref="O442">_xlfn.IFNA(_xlfn.IFS(L442=1,"A0",A442=EOMONTH(A442,0),"A-1",L442=2,"A+1"),0)</f>
        <v>0</v>
      </c>
      <c r="P442" cm="1">
        <f t="array" ref="P442">_xlfn.IFNA(_xlfn.IFS(AND(_xlfn.XLOOKUP(A442,'LPG Fup'!D:D,'LPG Fup'!M:M,"",0)&lt;&gt;"",_xlfn.XLOOKUP(A442,'LPG Fup'!D:D,'LPG Fup'!M:M,"",0)&gt;0),"Z-1", AND(_xlfn.XLOOKUP(A442+1,'LPG Fup'!D:D,'LPG Fup'!M:M,"",0)&lt;&gt;"",_xlfn.XLOOKUP(A442+1,'LPG Fup'!D:D,'LPG Fup'!M:M,"",0)&gt;0),"Z-2", AND(_xlfn.XLOOKUP(A442-1,'LPG Fup'!D:D,'LPG Fup'!M:M,"",0)&lt;&gt;"",_xlfn.XLOOKUP(A442-1,'LPG Fup'!D:D,'LPG Fup'!M:M,"",0)&gt;0),"Z", AND(_xlfn.XLOOKUP(A442-2,'LPG Fup'!D:D,'LPG Fup'!M:M,"",0)&lt;&gt;"",_xlfn.XLOOKUP(A442-2,'LPG Fup'!D:D,'LPG Fup'!M:M,"",0)&gt;0),"Z+1"),0)</f>
        <v>0</v>
      </c>
      <c r="Q442" cm="1">
        <f t="array" ref="Q442">_xlfn.IFNA(_xlfn.IFS(AND(_xlfn.XLOOKUP(A442,'LPG Fup'!D:D,'LPG Fup'!M:M,"",0)&lt;&gt;"",_xlfn.XLOOKUP(A442,'LPG Fup'!D:D,'LPG Fup'!M:M,"",0)&lt;0),"I-1", AND(_xlfn.XLOOKUP(A442+1,'LPG Fup'!D:D,'LPG Fup'!M:M,"",0)&lt;&gt;"",_xlfn.XLOOKUP(A442+1,'LPG Fup'!D:D,'LPG Fup'!M:M,"",0)&lt;0),"I-2", AND(_xlfn.XLOOKUP(A442-1,'LPG Fup'!D:D,'LPG Fup'!M:M,"",0)&lt;&gt;"",_xlfn.XLOOKUP(A442-1,'LPG Fup'!D:D,'LPG Fup'!M:M,"",0)&lt;0),"I", AND(_xlfn.XLOOKUP(A442-2,'LPG Fup'!D:D,'LPG Fup'!M:M,"",0)&lt;&gt;"",_xlfn.XLOOKUP(A442-2,'LPG Fup'!D:D,'LPG Fup'!M:M,"",0)&lt;0),"I+1"),0)</f>
        <v>0</v>
      </c>
      <c r="R442">
        <f>_xlfn.XLOOKUP(A442,Covid!A:A,Covid!I:I,0,0)</f>
        <v>0</v>
      </c>
      <c r="S442">
        <f>_xlfn.XLOOKUP(A442,Covid!A:A,Covid!K:K,0,0)</f>
        <v>154</v>
      </c>
      <c r="T442" s="145">
        <f>_xlfn.XLOOKUP(A442,Covid!A:A,Covid!K:K,0,0)/_xlfn.XLOOKUP(A442,Covid!A:A,Covid!L:L,0,0)</f>
        <v>1.0675169832247332E-2</v>
      </c>
    </row>
    <row r="443" spans="1:20" x14ac:dyDescent="0.55000000000000004">
      <c r="A443" s="157">
        <v>44424</v>
      </c>
      <c r="B443" s="13">
        <v>2793142</v>
      </c>
      <c r="C443" s="13">
        <v>425637</v>
      </c>
      <c r="D443" s="13">
        <v>19108</v>
      </c>
      <c r="E443" s="13">
        <v>646287</v>
      </c>
      <c r="F443" s="13">
        <v>3884174</v>
      </c>
      <c r="G443">
        <f>IF(OR(_xlfn.XLOOKUP(A443,'LPG Fup'!D:D,'LPG Fup'!L:L,"",0)&gt;0.03,_xlfn.XLOOKUP(A443,'LPG Fup'!D:D,'LPG Fup'!L:L,"",0)&lt;-0.03),_xlfn.XLOOKUP(A443,'LPG Fup'!D:D,'LPG Fup'!L:L,0,0),0)</f>
        <v>0</v>
      </c>
      <c r="H443">
        <f>IF(_xlfn.XLOOKUP(A443,'LPG Fup'!D:D,'LPG Fup'!M:M,0,0)="",0,_xlfn.XLOOKUP(A443,'LPG Fup'!D:D,'LPG Fup'!M:M,0,0))</f>
        <v>0</v>
      </c>
      <c r="I443" s="109">
        <f>_xlfn.XLOOKUP(A443,'Rafineri Fiyatları'!A:A,'Rafineri Fiyatları'!B:B,"",0)</f>
        <v>5852.94</v>
      </c>
      <c r="J443">
        <f t="shared" si="24"/>
        <v>2021</v>
      </c>
      <c r="K443">
        <f t="shared" si="25"/>
        <v>8</v>
      </c>
      <c r="L443">
        <f t="shared" si="26"/>
        <v>16</v>
      </c>
      <c r="M443">
        <f t="shared" si="27"/>
        <v>2</v>
      </c>
      <c r="N443">
        <f>_xlfn.XLOOKUP(A443,tatiller!H:H,tatiller!I:I,0,0)</f>
        <v>0</v>
      </c>
      <c r="O443" cm="1">
        <f t="array" ref="O443">_xlfn.IFNA(_xlfn.IFS(L443=1,"A0",A443=EOMONTH(A443,0),"A-1",L443=2,"A+1"),0)</f>
        <v>0</v>
      </c>
      <c r="P443" cm="1">
        <f t="array" ref="P443">_xlfn.IFNA(_xlfn.IFS(AND(_xlfn.XLOOKUP(A443,'LPG Fup'!D:D,'LPG Fup'!M:M,"",0)&lt;&gt;"",_xlfn.XLOOKUP(A443,'LPG Fup'!D:D,'LPG Fup'!M:M,"",0)&gt;0),"Z-1", AND(_xlfn.XLOOKUP(A443+1,'LPG Fup'!D:D,'LPG Fup'!M:M,"",0)&lt;&gt;"",_xlfn.XLOOKUP(A443+1,'LPG Fup'!D:D,'LPG Fup'!M:M,"",0)&gt;0),"Z-2", AND(_xlfn.XLOOKUP(A443-1,'LPG Fup'!D:D,'LPG Fup'!M:M,"",0)&lt;&gt;"",_xlfn.XLOOKUP(A443-1,'LPG Fup'!D:D,'LPG Fup'!M:M,"",0)&gt;0),"Z", AND(_xlfn.XLOOKUP(A443-2,'LPG Fup'!D:D,'LPG Fup'!M:M,"",0)&lt;&gt;"",_xlfn.XLOOKUP(A443-2,'LPG Fup'!D:D,'LPG Fup'!M:M,"",0)&gt;0),"Z+1"),0)</f>
        <v>0</v>
      </c>
      <c r="Q443" cm="1">
        <f t="array" ref="Q443">_xlfn.IFNA(_xlfn.IFS(AND(_xlfn.XLOOKUP(A443,'LPG Fup'!D:D,'LPG Fup'!M:M,"",0)&lt;&gt;"",_xlfn.XLOOKUP(A443,'LPG Fup'!D:D,'LPG Fup'!M:M,"",0)&lt;0),"I-1", AND(_xlfn.XLOOKUP(A443+1,'LPG Fup'!D:D,'LPG Fup'!M:M,"",0)&lt;&gt;"",_xlfn.XLOOKUP(A443+1,'LPG Fup'!D:D,'LPG Fup'!M:M,"",0)&lt;0),"I-2", AND(_xlfn.XLOOKUP(A443-1,'LPG Fup'!D:D,'LPG Fup'!M:M,"",0)&lt;&gt;"",_xlfn.XLOOKUP(A443-1,'LPG Fup'!D:D,'LPG Fup'!M:M,"",0)&lt;0),"I", AND(_xlfn.XLOOKUP(A443-2,'LPG Fup'!D:D,'LPG Fup'!M:M,"",0)&lt;&gt;"",_xlfn.XLOOKUP(A443-2,'LPG Fup'!D:D,'LPG Fup'!M:M,"",0)&lt;0),"I+1"),0)</f>
        <v>0</v>
      </c>
      <c r="R443">
        <f>_xlfn.XLOOKUP(A443,Covid!A:A,Covid!I:I,0,0)</f>
        <v>0</v>
      </c>
      <c r="S443">
        <f>_xlfn.XLOOKUP(A443,Covid!A:A,Covid!K:K,0,0)</f>
        <v>165</v>
      </c>
      <c r="T443" s="145">
        <f>_xlfn.XLOOKUP(A443,Covid!A:A,Covid!K:K,0,0)/_xlfn.XLOOKUP(A443,Covid!A:A,Covid!L:L,0,0)</f>
        <v>9.9146737171013095E-3</v>
      </c>
    </row>
    <row r="444" spans="1:20" x14ac:dyDescent="0.55000000000000004">
      <c r="A444" s="157">
        <v>44425</v>
      </c>
      <c r="B444" s="13">
        <v>1994180</v>
      </c>
      <c r="C444" s="13">
        <v>401464</v>
      </c>
      <c r="D444" s="13">
        <v>7243</v>
      </c>
      <c r="E444" s="13">
        <v>533577</v>
      </c>
      <c r="F444" s="13">
        <v>2936464</v>
      </c>
      <c r="G444">
        <f>IF(OR(_xlfn.XLOOKUP(A444,'LPG Fup'!D:D,'LPG Fup'!L:L,"",0)&gt;0.03,_xlfn.XLOOKUP(A444,'LPG Fup'!D:D,'LPG Fup'!L:L,"",0)&lt;-0.03),_xlfn.XLOOKUP(A444,'LPG Fup'!D:D,'LPG Fup'!L:L,0,0),0)</f>
        <v>0</v>
      </c>
      <c r="H444">
        <f>IF(_xlfn.XLOOKUP(A444,'LPG Fup'!D:D,'LPG Fup'!M:M,0,0)="",0,_xlfn.XLOOKUP(A444,'LPG Fup'!D:D,'LPG Fup'!M:M,0,0))</f>
        <v>0</v>
      </c>
      <c r="I444" s="109">
        <f>_xlfn.XLOOKUP(A444,'Rafineri Fiyatları'!A:A,'Rafineri Fiyatları'!B:B,"",0)</f>
        <v>5852.94</v>
      </c>
      <c r="J444">
        <f t="shared" si="24"/>
        <v>2021</v>
      </c>
      <c r="K444">
        <f t="shared" si="25"/>
        <v>8</v>
      </c>
      <c r="L444">
        <f t="shared" si="26"/>
        <v>17</v>
      </c>
      <c r="M444">
        <f t="shared" si="27"/>
        <v>3</v>
      </c>
      <c r="N444">
        <f>_xlfn.XLOOKUP(A444,tatiller!H:H,tatiller!I:I,0,0)</f>
        <v>0</v>
      </c>
      <c r="O444" cm="1">
        <f t="array" ref="O444">_xlfn.IFNA(_xlfn.IFS(L444=1,"A0",A444=EOMONTH(A444,0),"A-1",L444=2,"A+1"),0)</f>
        <v>0</v>
      </c>
      <c r="P444" cm="1">
        <f t="array" ref="P444">_xlfn.IFNA(_xlfn.IFS(AND(_xlfn.XLOOKUP(A444,'LPG Fup'!D:D,'LPG Fup'!M:M,"",0)&lt;&gt;"",_xlfn.XLOOKUP(A444,'LPG Fup'!D:D,'LPG Fup'!M:M,"",0)&gt;0),"Z-1", AND(_xlfn.XLOOKUP(A444+1,'LPG Fup'!D:D,'LPG Fup'!M:M,"",0)&lt;&gt;"",_xlfn.XLOOKUP(A444+1,'LPG Fup'!D:D,'LPG Fup'!M:M,"",0)&gt;0),"Z-2", AND(_xlfn.XLOOKUP(A444-1,'LPG Fup'!D:D,'LPG Fup'!M:M,"",0)&lt;&gt;"",_xlfn.XLOOKUP(A444-1,'LPG Fup'!D:D,'LPG Fup'!M:M,"",0)&gt;0),"Z", AND(_xlfn.XLOOKUP(A444-2,'LPG Fup'!D:D,'LPG Fup'!M:M,"",0)&lt;&gt;"",_xlfn.XLOOKUP(A444-2,'LPG Fup'!D:D,'LPG Fup'!M:M,"",0)&gt;0),"Z+1"),0)</f>
        <v>0</v>
      </c>
      <c r="Q444" cm="1">
        <f t="array" ref="Q444">_xlfn.IFNA(_xlfn.IFS(AND(_xlfn.XLOOKUP(A444,'LPG Fup'!D:D,'LPG Fup'!M:M,"",0)&lt;&gt;"",_xlfn.XLOOKUP(A444,'LPG Fup'!D:D,'LPG Fup'!M:M,"",0)&lt;0),"I-1", AND(_xlfn.XLOOKUP(A444+1,'LPG Fup'!D:D,'LPG Fup'!M:M,"",0)&lt;&gt;"",_xlfn.XLOOKUP(A444+1,'LPG Fup'!D:D,'LPG Fup'!M:M,"",0)&lt;0),"I-2", AND(_xlfn.XLOOKUP(A444-1,'LPG Fup'!D:D,'LPG Fup'!M:M,"",0)&lt;&gt;"",_xlfn.XLOOKUP(A444-1,'LPG Fup'!D:D,'LPG Fup'!M:M,"",0)&lt;0),"I", AND(_xlfn.XLOOKUP(A444-2,'LPG Fup'!D:D,'LPG Fup'!M:M,"",0)&lt;&gt;"",_xlfn.XLOOKUP(A444-2,'LPG Fup'!D:D,'LPG Fup'!M:M,"",0)&lt;0),"I+1"),0)</f>
        <v>0</v>
      </c>
      <c r="R444">
        <f>_xlfn.XLOOKUP(A444,Covid!A:A,Covid!I:I,0,0)</f>
        <v>0</v>
      </c>
      <c r="S444">
        <f>_xlfn.XLOOKUP(A444,Covid!A:A,Covid!K:K,0,0)</f>
        <v>183</v>
      </c>
      <c r="T444" s="145">
        <f>_xlfn.XLOOKUP(A444,Covid!A:A,Covid!K:K,0,0)/_xlfn.XLOOKUP(A444,Covid!A:A,Covid!L:L,0,0)</f>
        <v>1.2503416233943701E-2</v>
      </c>
    </row>
    <row r="445" spans="1:20" x14ac:dyDescent="0.55000000000000004">
      <c r="A445" s="157">
        <v>44426</v>
      </c>
      <c r="B445" s="13">
        <v>2442320</v>
      </c>
      <c r="C445" s="13">
        <v>420553</v>
      </c>
      <c r="D445" s="13">
        <v>6582</v>
      </c>
      <c r="E445" s="13">
        <v>432818</v>
      </c>
      <c r="F445" s="13">
        <v>3302273</v>
      </c>
      <c r="G445">
        <f>IF(OR(_xlfn.XLOOKUP(A445,'LPG Fup'!D:D,'LPG Fup'!L:L,"",0)&gt;0.03,_xlfn.XLOOKUP(A445,'LPG Fup'!D:D,'LPG Fup'!L:L,"",0)&lt;-0.03),_xlfn.XLOOKUP(A445,'LPG Fup'!D:D,'LPG Fup'!L:L,0,0),0)</f>
        <v>0</v>
      </c>
      <c r="H445">
        <f>IF(_xlfn.XLOOKUP(A445,'LPG Fup'!D:D,'LPG Fup'!M:M,0,0)="",0,_xlfn.XLOOKUP(A445,'LPG Fup'!D:D,'LPG Fup'!M:M,0,0))</f>
        <v>0</v>
      </c>
      <c r="I445" s="109">
        <f>_xlfn.XLOOKUP(A445,'Rafineri Fiyatları'!A:A,'Rafineri Fiyatları'!B:B,"",0)</f>
        <v>5852.94</v>
      </c>
      <c r="J445">
        <f t="shared" si="24"/>
        <v>2021</v>
      </c>
      <c r="K445">
        <f t="shared" si="25"/>
        <v>8</v>
      </c>
      <c r="L445">
        <f t="shared" si="26"/>
        <v>18</v>
      </c>
      <c r="M445">
        <f t="shared" si="27"/>
        <v>4</v>
      </c>
      <c r="N445">
        <f>_xlfn.XLOOKUP(A445,tatiller!H:H,tatiller!I:I,0,0)</f>
        <v>0</v>
      </c>
      <c r="O445" cm="1">
        <f t="array" ref="O445">_xlfn.IFNA(_xlfn.IFS(L445=1,"A0",A445=EOMONTH(A445,0),"A-1",L445=2,"A+1"),0)</f>
        <v>0</v>
      </c>
      <c r="P445" cm="1">
        <f t="array" ref="P445">_xlfn.IFNA(_xlfn.IFS(AND(_xlfn.XLOOKUP(A445,'LPG Fup'!D:D,'LPG Fup'!M:M,"",0)&lt;&gt;"",_xlfn.XLOOKUP(A445,'LPG Fup'!D:D,'LPG Fup'!M:M,"",0)&gt;0),"Z-1", AND(_xlfn.XLOOKUP(A445+1,'LPG Fup'!D:D,'LPG Fup'!M:M,"",0)&lt;&gt;"",_xlfn.XLOOKUP(A445+1,'LPG Fup'!D:D,'LPG Fup'!M:M,"",0)&gt;0),"Z-2", AND(_xlfn.XLOOKUP(A445-1,'LPG Fup'!D:D,'LPG Fup'!M:M,"",0)&lt;&gt;"",_xlfn.XLOOKUP(A445-1,'LPG Fup'!D:D,'LPG Fup'!M:M,"",0)&gt;0),"Z", AND(_xlfn.XLOOKUP(A445-2,'LPG Fup'!D:D,'LPG Fup'!M:M,"",0)&lt;&gt;"",_xlfn.XLOOKUP(A445-2,'LPG Fup'!D:D,'LPG Fup'!M:M,"",0)&gt;0),"Z+1"),0)</f>
        <v>0</v>
      </c>
      <c r="Q445" cm="1">
        <f t="array" ref="Q445">_xlfn.IFNA(_xlfn.IFS(AND(_xlfn.XLOOKUP(A445,'LPG Fup'!D:D,'LPG Fup'!M:M,"",0)&lt;&gt;"",_xlfn.XLOOKUP(A445,'LPG Fup'!D:D,'LPG Fup'!M:M,"",0)&lt;0),"I-1", AND(_xlfn.XLOOKUP(A445+1,'LPG Fup'!D:D,'LPG Fup'!M:M,"",0)&lt;&gt;"",_xlfn.XLOOKUP(A445+1,'LPG Fup'!D:D,'LPG Fup'!M:M,"",0)&lt;0),"I-2", AND(_xlfn.XLOOKUP(A445-1,'LPG Fup'!D:D,'LPG Fup'!M:M,"",0)&lt;&gt;"",_xlfn.XLOOKUP(A445-1,'LPG Fup'!D:D,'LPG Fup'!M:M,"",0)&lt;0),"I", AND(_xlfn.XLOOKUP(A445-2,'LPG Fup'!D:D,'LPG Fup'!M:M,"",0)&lt;&gt;"",_xlfn.XLOOKUP(A445-2,'LPG Fup'!D:D,'LPG Fup'!M:M,"",0)&lt;0),"I+1"),0)</f>
        <v>0</v>
      </c>
      <c r="R445">
        <f>_xlfn.XLOOKUP(A445,Covid!A:A,Covid!I:I,0,0)</f>
        <v>0</v>
      </c>
      <c r="S445">
        <f>_xlfn.XLOOKUP(A445,Covid!A:A,Covid!K:K,0,0)</f>
        <v>168</v>
      </c>
      <c r="T445" s="145">
        <f>_xlfn.XLOOKUP(A445,Covid!A:A,Covid!K:K,0,0)/_xlfn.XLOOKUP(A445,Covid!A:A,Covid!L:L,0,0)</f>
        <v>1.0812898242904035E-2</v>
      </c>
    </row>
    <row r="446" spans="1:20" x14ac:dyDescent="0.55000000000000004">
      <c r="A446" s="157">
        <v>44427</v>
      </c>
      <c r="B446" s="13">
        <v>2014400</v>
      </c>
      <c r="C446" s="13">
        <v>372833</v>
      </c>
      <c r="D446" s="13">
        <v>12288</v>
      </c>
      <c r="E446" s="13">
        <v>518646</v>
      </c>
      <c r="F446" s="13">
        <v>2918167</v>
      </c>
      <c r="G446">
        <f>IF(OR(_xlfn.XLOOKUP(A446,'LPG Fup'!D:D,'LPG Fup'!L:L,"",0)&gt;0.03,_xlfn.XLOOKUP(A446,'LPG Fup'!D:D,'LPG Fup'!L:L,"",0)&lt;-0.03),_xlfn.XLOOKUP(A446,'LPG Fup'!D:D,'LPG Fup'!L:L,0,0),0)</f>
        <v>0</v>
      </c>
      <c r="H446">
        <f>IF(_xlfn.XLOOKUP(A446,'LPG Fup'!D:D,'LPG Fup'!M:M,0,0)="",0,_xlfn.XLOOKUP(A446,'LPG Fup'!D:D,'LPG Fup'!M:M,0,0))</f>
        <v>0</v>
      </c>
      <c r="I446" s="109">
        <f>_xlfn.XLOOKUP(A446,'Rafineri Fiyatları'!A:A,'Rafineri Fiyatları'!B:B,"",0)</f>
        <v>5852.94</v>
      </c>
      <c r="J446">
        <f t="shared" si="24"/>
        <v>2021</v>
      </c>
      <c r="K446">
        <f t="shared" si="25"/>
        <v>8</v>
      </c>
      <c r="L446">
        <f t="shared" si="26"/>
        <v>19</v>
      </c>
      <c r="M446">
        <f t="shared" si="27"/>
        <v>5</v>
      </c>
      <c r="N446">
        <f>_xlfn.XLOOKUP(A446,tatiller!H:H,tatiller!I:I,0,0)</f>
        <v>0</v>
      </c>
      <c r="O446" cm="1">
        <f t="array" ref="O446">_xlfn.IFNA(_xlfn.IFS(L446=1,"A0",A446=EOMONTH(A446,0),"A-1",L446=2,"A+1"),0)</f>
        <v>0</v>
      </c>
      <c r="P446" cm="1">
        <f t="array" ref="P446">_xlfn.IFNA(_xlfn.IFS(AND(_xlfn.XLOOKUP(A446,'LPG Fup'!D:D,'LPG Fup'!M:M,"",0)&lt;&gt;"",_xlfn.XLOOKUP(A446,'LPG Fup'!D:D,'LPG Fup'!M:M,"",0)&gt;0),"Z-1", AND(_xlfn.XLOOKUP(A446+1,'LPG Fup'!D:D,'LPG Fup'!M:M,"",0)&lt;&gt;"",_xlfn.XLOOKUP(A446+1,'LPG Fup'!D:D,'LPG Fup'!M:M,"",0)&gt;0),"Z-2", AND(_xlfn.XLOOKUP(A446-1,'LPG Fup'!D:D,'LPG Fup'!M:M,"",0)&lt;&gt;"",_xlfn.XLOOKUP(A446-1,'LPG Fup'!D:D,'LPG Fup'!M:M,"",0)&gt;0),"Z", AND(_xlfn.XLOOKUP(A446-2,'LPG Fup'!D:D,'LPG Fup'!M:M,"",0)&lt;&gt;"",_xlfn.XLOOKUP(A446-2,'LPG Fup'!D:D,'LPG Fup'!M:M,"",0)&gt;0),"Z+1"),0)</f>
        <v>0</v>
      </c>
      <c r="Q446" cm="1">
        <f t="array" ref="Q446">_xlfn.IFNA(_xlfn.IFS(AND(_xlfn.XLOOKUP(A446,'LPG Fup'!D:D,'LPG Fup'!M:M,"",0)&lt;&gt;"",_xlfn.XLOOKUP(A446,'LPG Fup'!D:D,'LPG Fup'!M:M,"",0)&lt;0),"I-1", AND(_xlfn.XLOOKUP(A446+1,'LPG Fup'!D:D,'LPG Fup'!M:M,"",0)&lt;&gt;"",_xlfn.XLOOKUP(A446+1,'LPG Fup'!D:D,'LPG Fup'!M:M,"",0)&lt;0),"I-2", AND(_xlfn.XLOOKUP(A446-1,'LPG Fup'!D:D,'LPG Fup'!M:M,"",0)&lt;&gt;"",_xlfn.XLOOKUP(A446-1,'LPG Fup'!D:D,'LPG Fup'!M:M,"",0)&lt;0),"I", AND(_xlfn.XLOOKUP(A446-2,'LPG Fup'!D:D,'LPG Fup'!M:M,"",0)&lt;&gt;"",_xlfn.XLOOKUP(A446-2,'LPG Fup'!D:D,'LPG Fup'!M:M,"",0)&lt;0),"I+1"),0)</f>
        <v>0</v>
      </c>
      <c r="R446">
        <f>_xlfn.XLOOKUP(A446,Covid!A:A,Covid!I:I,0,0)</f>
        <v>0</v>
      </c>
      <c r="S446">
        <f>_xlfn.XLOOKUP(A446,Covid!A:A,Covid!K:K,0,0)</f>
        <v>216</v>
      </c>
      <c r="T446" s="145">
        <f>_xlfn.XLOOKUP(A446,Covid!A:A,Covid!K:K,0,0)/_xlfn.XLOOKUP(A446,Covid!A:A,Covid!L:L,0,0)</f>
        <v>1.4651020823441633E-2</v>
      </c>
    </row>
    <row r="447" spans="1:20" x14ac:dyDescent="0.55000000000000004">
      <c r="A447" s="157">
        <v>44428</v>
      </c>
      <c r="B447" s="13">
        <v>2532860</v>
      </c>
      <c r="C447" s="13">
        <v>415587</v>
      </c>
      <c r="D447" s="13">
        <v>4508</v>
      </c>
      <c r="E447" s="13">
        <v>570668</v>
      </c>
      <c r="F447" s="13">
        <v>3523623</v>
      </c>
      <c r="G447">
        <f>IF(OR(_xlfn.XLOOKUP(A447,'LPG Fup'!D:D,'LPG Fup'!L:L,"",0)&gt;0.03,_xlfn.XLOOKUP(A447,'LPG Fup'!D:D,'LPG Fup'!L:L,"",0)&lt;-0.03),_xlfn.XLOOKUP(A447,'LPG Fup'!D:D,'LPG Fup'!L:L,0,0),0)</f>
        <v>0</v>
      </c>
      <c r="H447">
        <f>IF(_xlfn.XLOOKUP(A447,'LPG Fup'!D:D,'LPG Fup'!M:M,0,0)="",0,_xlfn.XLOOKUP(A447,'LPG Fup'!D:D,'LPG Fup'!M:M,0,0))</f>
        <v>0</v>
      </c>
      <c r="I447" s="109">
        <f>_xlfn.XLOOKUP(A447,'Rafineri Fiyatları'!A:A,'Rafineri Fiyatları'!B:B,"",0)</f>
        <v>5852.94</v>
      </c>
      <c r="J447">
        <f t="shared" si="24"/>
        <v>2021</v>
      </c>
      <c r="K447">
        <f t="shared" si="25"/>
        <v>8</v>
      </c>
      <c r="L447">
        <f t="shared" si="26"/>
        <v>20</v>
      </c>
      <c r="M447">
        <f t="shared" si="27"/>
        <v>6</v>
      </c>
      <c r="N447">
        <f>_xlfn.XLOOKUP(A447,tatiller!H:H,tatiller!I:I,0,0)</f>
        <v>0</v>
      </c>
      <c r="O447" cm="1">
        <f t="array" ref="O447">_xlfn.IFNA(_xlfn.IFS(L447=1,"A0",A447=EOMONTH(A447,0),"A-1",L447=2,"A+1"),0)</f>
        <v>0</v>
      </c>
      <c r="P447" cm="1">
        <f t="array" ref="P447">_xlfn.IFNA(_xlfn.IFS(AND(_xlfn.XLOOKUP(A447,'LPG Fup'!D:D,'LPG Fup'!M:M,"",0)&lt;&gt;"",_xlfn.XLOOKUP(A447,'LPG Fup'!D:D,'LPG Fup'!M:M,"",0)&gt;0),"Z-1", AND(_xlfn.XLOOKUP(A447+1,'LPG Fup'!D:D,'LPG Fup'!M:M,"",0)&lt;&gt;"",_xlfn.XLOOKUP(A447+1,'LPG Fup'!D:D,'LPG Fup'!M:M,"",0)&gt;0),"Z-2", AND(_xlfn.XLOOKUP(A447-1,'LPG Fup'!D:D,'LPG Fup'!M:M,"",0)&lt;&gt;"",_xlfn.XLOOKUP(A447-1,'LPG Fup'!D:D,'LPG Fup'!M:M,"",0)&gt;0),"Z", AND(_xlfn.XLOOKUP(A447-2,'LPG Fup'!D:D,'LPG Fup'!M:M,"",0)&lt;&gt;"",_xlfn.XLOOKUP(A447-2,'LPG Fup'!D:D,'LPG Fup'!M:M,"",0)&gt;0),"Z+1"),0)</f>
        <v>0</v>
      </c>
      <c r="Q447" cm="1">
        <f t="array" ref="Q447">_xlfn.IFNA(_xlfn.IFS(AND(_xlfn.XLOOKUP(A447,'LPG Fup'!D:D,'LPG Fup'!M:M,"",0)&lt;&gt;"",_xlfn.XLOOKUP(A447,'LPG Fup'!D:D,'LPG Fup'!M:M,"",0)&lt;0),"I-1", AND(_xlfn.XLOOKUP(A447+1,'LPG Fup'!D:D,'LPG Fup'!M:M,"",0)&lt;&gt;"",_xlfn.XLOOKUP(A447+1,'LPG Fup'!D:D,'LPG Fup'!M:M,"",0)&lt;0),"I-2", AND(_xlfn.XLOOKUP(A447-1,'LPG Fup'!D:D,'LPG Fup'!M:M,"",0)&lt;&gt;"",_xlfn.XLOOKUP(A447-1,'LPG Fup'!D:D,'LPG Fup'!M:M,"",0)&lt;0),"I", AND(_xlfn.XLOOKUP(A447-2,'LPG Fup'!D:D,'LPG Fup'!M:M,"",0)&lt;&gt;"",_xlfn.XLOOKUP(A447-2,'LPG Fup'!D:D,'LPG Fup'!M:M,"",0)&lt;0),"I+1"),0)</f>
        <v>0</v>
      </c>
      <c r="R447">
        <f>_xlfn.XLOOKUP(A447,Covid!A:A,Covid!I:I,0,0)</f>
        <v>0</v>
      </c>
      <c r="S447">
        <f>_xlfn.XLOOKUP(A447,Covid!A:A,Covid!K:K,0,0)</f>
        <v>204</v>
      </c>
      <c r="T447" s="145">
        <f>_xlfn.XLOOKUP(A447,Covid!A:A,Covid!K:K,0,0)/_xlfn.XLOOKUP(A447,Covid!A:A,Covid!L:L,0,0)</f>
        <v>1.3109697320223636E-2</v>
      </c>
    </row>
    <row r="448" spans="1:20" x14ac:dyDescent="0.55000000000000004">
      <c r="A448" s="157">
        <v>44429</v>
      </c>
      <c r="B448" s="13">
        <v>2007140</v>
      </c>
      <c r="C448" s="13">
        <v>262057</v>
      </c>
      <c r="D448" s="13">
        <v>10167</v>
      </c>
      <c r="E448" s="13">
        <v>572777</v>
      </c>
      <c r="F448" s="13">
        <v>2852141</v>
      </c>
      <c r="G448">
        <f>IF(OR(_xlfn.XLOOKUP(A448,'LPG Fup'!D:D,'LPG Fup'!L:L,"",0)&gt;0.03,_xlfn.XLOOKUP(A448,'LPG Fup'!D:D,'LPG Fup'!L:L,"",0)&lt;-0.03),_xlfn.XLOOKUP(A448,'LPG Fup'!D:D,'LPG Fup'!L:L,0,0),0)</f>
        <v>0</v>
      </c>
      <c r="H448">
        <f>IF(_xlfn.XLOOKUP(A448,'LPG Fup'!D:D,'LPG Fup'!M:M,0,0)="",0,_xlfn.XLOOKUP(A448,'LPG Fup'!D:D,'LPG Fup'!M:M,0,0))</f>
        <v>0</v>
      </c>
      <c r="I448" s="109">
        <f>_xlfn.XLOOKUP(A448,'Rafineri Fiyatları'!A:A,'Rafineri Fiyatları'!B:B,"",0)</f>
        <v>5852.94</v>
      </c>
      <c r="J448">
        <f t="shared" si="24"/>
        <v>2021</v>
      </c>
      <c r="K448">
        <f t="shared" si="25"/>
        <v>8</v>
      </c>
      <c r="L448">
        <f t="shared" si="26"/>
        <v>21</v>
      </c>
      <c r="M448">
        <f t="shared" si="27"/>
        <v>7</v>
      </c>
      <c r="N448">
        <f>_xlfn.XLOOKUP(A448,tatiller!H:H,tatiller!I:I,0,0)</f>
        <v>0</v>
      </c>
      <c r="O448" cm="1">
        <f t="array" ref="O448">_xlfn.IFNA(_xlfn.IFS(L448=1,"A0",A448=EOMONTH(A448,0),"A-1",L448=2,"A+1"),0)</f>
        <v>0</v>
      </c>
      <c r="P448" cm="1">
        <f t="array" ref="P448">_xlfn.IFNA(_xlfn.IFS(AND(_xlfn.XLOOKUP(A448,'LPG Fup'!D:D,'LPG Fup'!M:M,"",0)&lt;&gt;"",_xlfn.XLOOKUP(A448,'LPG Fup'!D:D,'LPG Fup'!M:M,"",0)&gt;0),"Z-1", AND(_xlfn.XLOOKUP(A448+1,'LPG Fup'!D:D,'LPG Fup'!M:M,"",0)&lt;&gt;"",_xlfn.XLOOKUP(A448+1,'LPG Fup'!D:D,'LPG Fup'!M:M,"",0)&gt;0),"Z-2", AND(_xlfn.XLOOKUP(A448-1,'LPG Fup'!D:D,'LPG Fup'!M:M,"",0)&lt;&gt;"",_xlfn.XLOOKUP(A448-1,'LPG Fup'!D:D,'LPG Fup'!M:M,"",0)&gt;0),"Z", AND(_xlfn.XLOOKUP(A448-2,'LPG Fup'!D:D,'LPG Fup'!M:M,"",0)&lt;&gt;"",_xlfn.XLOOKUP(A448-2,'LPG Fup'!D:D,'LPG Fup'!M:M,"",0)&gt;0),"Z+1"),0)</f>
        <v>0</v>
      </c>
      <c r="Q448" cm="1">
        <f t="array" ref="Q448">_xlfn.IFNA(_xlfn.IFS(AND(_xlfn.XLOOKUP(A448,'LPG Fup'!D:D,'LPG Fup'!M:M,"",0)&lt;&gt;"",_xlfn.XLOOKUP(A448,'LPG Fup'!D:D,'LPG Fup'!M:M,"",0)&lt;0),"I-1", AND(_xlfn.XLOOKUP(A448+1,'LPG Fup'!D:D,'LPG Fup'!M:M,"",0)&lt;&gt;"",_xlfn.XLOOKUP(A448+1,'LPG Fup'!D:D,'LPG Fup'!M:M,"",0)&lt;0),"I-2", AND(_xlfn.XLOOKUP(A448-1,'LPG Fup'!D:D,'LPG Fup'!M:M,"",0)&lt;&gt;"",_xlfn.XLOOKUP(A448-1,'LPG Fup'!D:D,'LPG Fup'!M:M,"",0)&lt;0),"I", AND(_xlfn.XLOOKUP(A448-2,'LPG Fup'!D:D,'LPG Fup'!M:M,"",0)&lt;&gt;"",_xlfn.XLOOKUP(A448-2,'LPG Fup'!D:D,'LPG Fup'!M:M,"",0)&lt;0),"I+1"),0)</f>
        <v>0</v>
      </c>
      <c r="R448">
        <f>_xlfn.XLOOKUP(A448,Covid!A:A,Covid!I:I,0,0)</f>
        <v>0</v>
      </c>
      <c r="S448">
        <f>_xlfn.XLOOKUP(A448,Covid!A:A,Covid!K:K,0,0)</f>
        <v>232</v>
      </c>
      <c r="T448" s="145">
        <f>_xlfn.XLOOKUP(A448,Covid!A:A,Covid!K:K,0,0)/_xlfn.XLOOKUP(A448,Covid!A:A,Covid!L:L,0,0)</f>
        <v>1.7625161437362303E-2</v>
      </c>
    </row>
    <row r="449" spans="1:20" x14ac:dyDescent="0.55000000000000004">
      <c r="A449" s="157">
        <v>44430</v>
      </c>
      <c r="B449" s="13">
        <v>1382740</v>
      </c>
      <c r="C449" s="13">
        <v>0</v>
      </c>
      <c r="D449" s="13">
        <v>6100</v>
      </c>
      <c r="E449" s="13">
        <v>471344</v>
      </c>
      <c r="F449" s="13">
        <v>1860184</v>
      </c>
      <c r="G449">
        <f>IF(OR(_xlfn.XLOOKUP(A449,'LPG Fup'!D:D,'LPG Fup'!L:L,"",0)&gt;0.03,_xlfn.XLOOKUP(A449,'LPG Fup'!D:D,'LPG Fup'!L:L,"",0)&lt;-0.03),_xlfn.XLOOKUP(A449,'LPG Fup'!D:D,'LPG Fup'!L:L,0,0),0)</f>
        <v>0</v>
      </c>
      <c r="H449">
        <f>IF(_xlfn.XLOOKUP(A449,'LPG Fup'!D:D,'LPG Fup'!M:M,0,0)="",0,_xlfn.XLOOKUP(A449,'LPG Fup'!D:D,'LPG Fup'!M:M,0,0))</f>
        <v>0</v>
      </c>
      <c r="I449" s="109">
        <f>_xlfn.XLOOKUP(A449,'Rafineri Fiyatları'!A:A,'Rafineri Fiyatları'!B:B,"",0)</f>
        <v>5852.94</v>
      </c>
      <c r="J449">
        <f t="shared" si="24"/>
        <v>2021</v>
      </c>
      <c r="K449">
        <f t="shared" si="25"/>
        <v>8</v>
      </c>
      <c r="L449">
        <f t="shared" si="26"/>
        <v>22</v>
      </c>
      <c r="M449">
        <f t="shared" si="27"/>
        <v>1</v>
      </c>
      <c r="N449">
        <f>_xlfn.XLOOKUP(A449,tatiller!H:H,tatiller!I:I,0,0)</f>
        <v>0</v>
      </c>
      <c r="O449" cm="1">
        <f t="array" ref="O449">_xlfn.IFNA(_xlfn.IFS(L449=1,"A0",A449=EOMONTH(A449,0),"A-1",L449=2,"A+1"),0)</f>
        <v>0</v>
      </c>
      <c r="P449" cm="1">
        <f t="array" ref="P449">_xlfn.IFNA(_xlfn.IFS(AND(_xlfn.XLOOKUP(A449,'LPG Fup'!D:D,'LPG Fup'!M:M,"",0)&lt;&gt;"",_xlfn.XLOOKUP(A449,'LPG Fup'!D:D,'LPG Fup'!M:M,"",0)&gt;0),"Z-1", AND(_xlfn.XLOOKUP(A449+1,'LPG Fup'!D:D,'LPG Fup'!M:M,"",0)&lt;&gt;"",_xlfn.XLOOKUP(A449+1,'LPG Fup'!D:D,'LPG Fup'!M:M,"",0)&gt;0),"Z-2", AND(_xlfn.XLOOKUP(A449-1,'LPG Fup'!D:D,'LPG Fup'!M:M,"",0)&lt;&gt;"",_xlfn.XLOOKUP(A449-1,'LPG Fup'!D:D,'LPG Fup'!M:M,"",0)&gt;0),"Z", AND(_xlfn.XLOOKUP(A449-2,'LPG Fup'!D:D,'LPG Fup'!M:M,"",0)&lt;&gt;"",_xlfn.XLOOKUP(A449-2,'LPG Fup'!D:D,'LPG Fup'!M:M,"",0)&gt;0),"Z+1"),0)</f>
        <v>0</v>
      </c>
      <c r="Q449" cm="1">
        <f t="array" ref="Q449">_xlfn.IFNA(_xlfn.IFS(AND(_xlfn.XLOOKUP(A449,'LPG Fup'!D:D,'LPG Fup'!M:M,"",0)&lt;&gt;"",_xlfn.XLOOKUP(A449,'LPG Fup'!D:D,'LPG Fup'!M:M,"",0)&lt;0),"I-1", AND(_xlfn.XLOOKUP(A449+1,'LPG Fup'!D:D,'LPG Fup'!M:M,"",0)&lt;&gt;"",_xlfn.XLOOKUP(A449+1,'LPG Fup'!D:D,'LPG Fup'!M:M,"",0)&lt;0),"I-2", AND(_xlfn.XLOOKUP(A449-1,'LPG Fup'!D:D,'LPG Fup'!M:M,"",0)&lt;&gt;"",_xlfn.XLOOKUP(A449-1,'LPG Fup'!D:D,'LPG Fup'!M:M,"",0)&lt;0),"I", AND(_xlfn.XLOOKUP(A449-2,'LPG Fup'!D:D,'LPG Fup'!M:M,"",0)&lt;&gt;"",_xlfn.XLOOKUP(A449-2,'LPG Fup'!D:D,'LPG Fup'!M:M,"",0)&lt;0),"I+1"),0)</f>
        <v>0</v>
      </c>
      <c r="R449">
        <f>_xlfn.XLOOKUP(A449,Covid!A:A,Covid!I:I,0,0)</f>
        <v>0</v>
      </c>
      <c r="S449">
        <f>_xlfn.XLOOKUP(A449,Covid!A:A,Covid!K:K,0,0)</f>
        <v>206</v>
      </c>
      <c r="T449" s="145">
        <f>_xlfn.XLOOKUP(A449,Covid!A:A,Covid!K:K,0,0)/_xlfn.XLOOKUP(A449,Covid!A:A,Covid!L:L,0,0)</f>
        <v>1.5531930935685742E-2</v>
      </c>
    </row>
    <row r="450" spans="1:20" x14ac:dyDescent="0.55000000000000004">
      <c r="A450" s="157">
        <v>44431</v>
      </c>
      <c r="B450" s="13">
        <v>2143720</v>
      </c>
      <c r="C450" s="13">
        <v>460898</v>
      </c>
      <c r="D450" s="13">
        <v>1787</v>
      </c>
      <c r="E450" s="13">
        <v>569969</v>
      </c>
      <c r="F450" s="13">
        <v>3176374</v>
      </c>
      <c r="G450">
        <f>IF(OR(_xlfn.XLOOKUP(A450,'LPG Fup'!D:D,'LPG Fup'!L:L,"",0)&gt;0.03,_xlfn.XLOOKUP(A450,'LPG Fup'!D:D,'LPG Fup'!L:L,"",0)&lt;-0.03),_xlfn.XLOOKUP(A450,'LPG Fup'!D:D,'LPG Fup'!L:L,0,0),0)</f>
        <v>0</v>
      </c>
      <c r="H450">
        <f>IF(_xlfn.XLOOKUP(A450,'LPG Fup'!D:D,'LPG Fup'!M:M,0,0)="",0,_xlfn.XLOOKUP(A450,'LPG Fup'!D:D,'LPG Fup'!M:M,0,0))</f>
        <v>0</v>
      </c>
      <c r="I450" s="109">
        <f>_xlfn.XLOOKUP(A450,'Rafineri Fiyatları'!A:A,'Rafineri Fiyatları'!B:B,"",0)</f>
        <v>5852.94</v>
      </c>
      <c r="J450">
        <f t="shared" ref="J450:J513" si="28">YEAR(A450)</f>
        <v>2021</v>
      </c>
      <c r="K450">
        <f t="shared" ref="K450:K513" si="29">MONTH(A450)</f>
        <v>8</v>
      </c>
      <c r="L450">
        <f t="shared" ref="L450:L513" si="30">DAY(A450)</f>
        <v>23</v>
      </c>
      <c r="M450">
        <f t="shared" ref="M450:M513" si="31">WEEKDAY(A450)</f>
        <v>2</v>
      </c>
      <c r="N450">
        <f>_xlfn.XLOOKUP(A450,tatiller!H:H,tatiller!I:I,0,0)</f>
        <v>0</v>
      </c>
      <c r="O450" cm="1">
        <f t="array" ref="O450">_xlfn.IFNA(_xlfn.IFS(L450=1,"A0",A450=EOMONTH(A450,0),"A-1",L450=2,"A+1"),0)</f>
        <v>0</v>
      </c>
      <c r="P450" cm="1">
        <f t="array" ref="P450">_xlfn.IFNA(_xlfn.IFS(AND(_xlfn.XLOOKUP(A450,'LPG Fup'!D:D,'LPG Fup'!M:M,"",0)&lt;&gt;"",_xlfn.XLOOKUP(A450,'LPG Fup'!D:D,'LPG Fup'!M:M,"",0)&gt;0),"Z-1", AND(_xlfn.XLOOKUP(A450+1,'LPG Fup'!D:D,'LPG Fup'!M:M,"",0)&lt;&gt;"",_xlfn.XLOOKUP(A450+1,'LPG Fup'!D:D,'LPG Fup'!M:M,"",0)&gt;0),"Z-2", AND(_xlfn.XLOOKUP(A450-1,'LPG Fup'!D:D,'LPG Fup'!M:M,"",0)&lt;&gt;"",_xlfn.XLOOKUP(A450-1,'LPG Fup'!D:D,'LPG Fup'!M:M,"",0)&gt;0),"Z", AND(_xlfn.XLOOKUP(A450-2,'LPG Fup'!D:D,'LPG Fup'!M:M,"",0)&lt;&gt;"",_xlfn.XLOOKUP(A450-2,'LPG Fup'!D:D,'LPG Fup'!M:M,"",0)&gt;0),"Z+1"),0)</f>
        <v>0</v>
      </c>
      <c r="Q450" cm="1">
        <f t="array" ref="Q450">_xlfn.IFNA(_xlfn.IFS(AND(_xlfn.XLOOKUP(A450,'LPG Fup'!D:D,'LPG Fup'!M:M,"",0)&lt;&gt;"",_xlfn.XLOOKUP(A450,'LPG Fup'!D:D,'LPG Fup'!M:M,"",0)&lt;0),"I-1", AND(_xlfn.XLOOKUP(A450+1,'LPG Fup'!D:D,'LPG Fup'!M:M,"",0)&lt;&gt;"",_xlfn.XLOOKUP(A450+1,'LPG Fup'!D:D,'LPG Fup'!M:M,"",0)&lt;0),"I-2", AND(_xlfn.XLOOKUP(A450-1,'LPG Fup'!D:D,'LPG Fup'!M:M,"",0)&lt;&gt;"",_xlfn.XLOOKUP(A450-1,'LPG Fup'!D:D,'LPG Fup'!M:M,"",0)&lt;0),"I", AND(_xlfn.XLOOKUP(A450-2,'LPG Fup'!D:D,'LPG Fup'!M:M,"",0)&lt;&gt;"",_xlfn.XLOOKUP(A450-2,'LPG Fup'!D:D,'LPG Fup'!M:M,"",0)&lt;0),"I+1"),0)</f>
        <v>0</v>
      </c>
      <c r="R450">
        <f>_xlfn.XLOOKUP(A450,Covid!A:A,Covid!I:I,0,0)</f>
        <v>0</v>
      </c>
      <c r="S450">
        <f>_xlfn.XLOOKUP(A450,Covid!A:A,Covid!K:K,0,0)</f>
        <v>232</v>
      </c>
      <c r="T450" s="145">
        <f>_xlfn.XLOOKUP(A450,Covid!A:A,Covid!K:K,0,0)/_xlfn.XLOOKUP(A450,Covid!A:A,Covid!L:L,0,0)</f>
        <v>1.465294006189604E-2</v>
      </c>
    </row>
    <row r="451" spans="1:20" x14ac:dyDescent="0.55000000000000004">
      <c r="A451" s="157">
        <v>44432</v>
      </c>
      <c r="B451" s="13">
        <v>2014540</v>
      </c>
      <c r="C451" s="13">
        <v>438467</v>
      </c>
      <c r="D451" s="13">
        <v>6700</v>
      </c>
      <c r="E451" s="13">
        <v>562938</v>
      </c>
      <c r="F451" s="13">
        <v>3022645</v>
      </c>
      <c r="G451">
        <f>IF(OR(_xlfn.XLOOKUP(A451,'LPG Fup'!D:D,'LPG Fup'!L:L,"",0)&gt;0.03,_xlfn.XLOOKUP(A451,'LPG Fup'!D:D,'LPG Fup'!L:L,"",0)&lt;-0.03),_xlfn.XLOOKUP(A451,'LPG Fup'!D:D,'LPG Fup'!L:L,0,0),0)</f>
        <v>0</v>
      </c>
      <c r="H451">
        <f>IF(_xlfn.XLOOKUP(A451,'LPG Fup'!D:D,'LPG Fup'!M:M,0,0)="",0,_xlfn.XLOOKUP(A451,'LPG Fup'!D:D,'LPG Fup'!M:M,0,0))</f>
        <v>0</v>
      </c>
      <c r="I451" s="109">
        <f>_xlfn.XLOOKUP(A451,'Rafineri Fiyatları'!A:A,'Rafineri Fiyatları'!B:B,"",0)</f>
        <v>5852.94</v>
      </c>
      <c r="J451">
        <f t="shared" si="28"/>
        <v>2021</v>
      </c>
      <c r="K451">
        <f t="shared" si="29"/>
        <v>8</v>
      </c>
      <c r="L451">
        <f t="shared" si="30"/>
        <v>24</v>
      </c>
      <c r="M451">
        <f t="shared" si="31"/>
        <v>3</v>
      </c>
      <c r="N451">
        <f>_xlfn.XLOOKUP(A451,tatiller!H:H,tatiller!I:I,0,0)</f>
        <v>0</v>
      </c>
      <c r="O451" cm="1">
        <f t="array" ref="O451">_xlfn.IFNA(_xlfn.IFS(L451=1,"A0",A451=EOMONTH(A451,0),"A-1",L451=2,"A+1"),0)</f>
        <v>0</v>
      </c>
      <c r="P451" cm="1">
        <f t="array" ref="P451">_xlfn.IFNA(_xlfn.IFS(AND(_xlfn.XLOOKUP(A451,'LPG Fup'!D:D,'LPG Fup'!M:M,"",0)&lt;&gt;"",_xlfn.XLOOKUP(A451,'LPG Fup'!D:D,'LPG Fup'!M:M,"",0)&gt;0),"Z-1", AND(_xlfn.XLOOKUP(A451+1,'LPG Fup'!D:D,'LPG Fup'!M:M,"",0)&lt;&gt;"",_xlfn.XLOOKUP(A451+1,'LPG Fup'!D:D,'LPG Fup'!M:M,"",0)&gt;0),"Z-2", AND(_xlfn.XLOOKUP(A451-1,'LPG Fup'!D:D,'LPG Fup'!M:M,"",0)&lt;&gt;"",_xlfn.XLOOKUP(A451-1,'LPG Fup'!D:D,'LPG Fup'!M:M,"",0)&gt;0),"Z", AND(_xlfn.XLOOKUP(A451-2,'LPG Fup'!D:D,'LPG Fup'!M:M,"",0)&lt;&gt;"",_xlfn.XLOOKUP(A451-2,'LPG Fup'!D:D,'LPG Fup'!M:M,"",0)&gt;0),"Z+1"),0)</f>
        <v>0</v>
      </c>
      <c r="Q451" cm="1">
        <f t="array" ref="Q451">_xlfn.IFNA(_xlfn.IFS(AND(_xlfn.XLOOKUP(A451,'LPG Fup'!D:D,'LPG Fup'!M:M,"",0)&lt;&gt;"",_xlfn.XLOOKUP(A451,'LPG Fup'!D:D,'LPG Fup'!M:M,"",0)&lt;0),"I-1", AND(_xlfn.XLOOKUP(A451+1,'LPG Fup'!D:D,'LPG Fup'!M:M,"",0)&lt;&gt;"",_xlfn.XLOOKUP(A451+1,'LPG Fup'!D:D,'LPG Fup'!M:M,"",0)&lt;0),"I-2", AND(_xlfn.XLOOKUP(A451-1,'LPG Fup'!D:D,'LPG Fup'!M:M,"",0)&lt;&gt;"",_xlfn.XLOOKUP(A451-1,'LPG Fup'!D:D,'LPG Fup'!M:M,"",0)&lt;0),"I", AND(_xlfn.XLOOKUP(A451-2,'LPG Fup'!D:D,'LPG Fup'!M:M,"",0)&lt;&gt;"",_xlfn.XLOOKUP(A451-2,'LPG Fup'!D:D,'LPG Fup'!M:M,"",0)&lt;0),"I+1"),0)</f>
        <v>0</v>
      </c>
      <c r="R451">
        <f>_xlfn.XLOOKUP(A451,Covid!A:A,Covid!I:I,0,0)</f>
        <v>0</v>
      </c>
      <c r="S451">
        <f>_xlfn.XLOOKUP(A451,Covid!A:A,Covid!K:K,0,0)</f>
        <v>230</v>
      </c>
      <c r="T451" s="145">
        <f>_xlfn.XLOOKUP(A451,Covid!A:A,Covid!K:K,0,0)/_xlfn.XLOOKUP(A451,Covid!A:A,Covid!L:L,0,0)</f>
        <v>1.4961295778312626E-2</v>
      </c>
    </row>
    <row r="452" spans="1:20" x14ac:dyDescent="0.55000000000000004">
      <c r="A452" s="157">
        <v>44433</v>
      </c>
      <c r="B452" s="13">
        <v>1818840</v>
      </c>
      <c r="C452" s="13">
        <v>418754</v>
      </c>
      <c r="D452" s="13">
        <v>6149</v>
      </c>
      <c r="E452" s="13">
        <v>445475</v>
      </c>
      <c r="F452" s="13">
        <v>2689218</v>
      </c>
      <c r="G452">
        <f>IF(OR(_xlfn.XLOOKUP(A452,'LPG Fup'!D:D,'LPG Fup'!L:L,"",0)&gt;0.03,_xlfn.XLOOKUP(A452,'LPG Fup'!D:D,'LPG Fup'!L:L,"",0)&lt;-0.03),_xlfn.XLOOKUP(A452,'LPG Fup'!D:D,'LPG Fup'!L:L,0,0),0)</f>
        <v>0</v>
      </c>
      <c r="H452">
        <f>IF(_xlfn.XLOOKUP(A452,'LPG Fup'!D:D,'LPG Fup'!M:M,0,0)="",0,_xlfn.XLOOKUP(A452,'LPG Fup'!D:D,'LPG Fup'!M:M,0,0))</f>
        <v>0</v>
      </c>
      <c r="I452" s="109">
        <f>_xlfn.XLOOKUP(A452,'Rafineri Fiyatları'!A:A,'Rafineri Fiyatları'!B:B,"",0)</f>
        <v>5852.94</v>
      </c>
      <c r="J452">
        <f t="shared" si="28"/>
        <v>2021</v>
      </c>
      <c r="K452">
        <f t="shared" si="29"/>
        <v>8</v>
      </c>
      <c r="L452">
        <f t="shared" si="30"/>
        <v>25</v>
      </c>
      <c r="M452">
        <f t="shared" si="31"/>
        <v>4</v>
      </c>
      <c r="N452">
        <f>_xlfn.XLOOKUP(A452,tatiller!H:H,tatiller!I:I,0,0)</f>
        <v>0</v>
      </c>
      <c r="O452" cm="1">
        <f t="array" ref="O452">_xlfn.IFNA(_xlfn.IFS(L452=1,"A0",A452=EOMONTH(A452,0),"A-1",L452=2,"A+1"),0)</f>
        <v>0</v>
      </c>
      <c r="P452" cm="1">
        <f t="array" ref="P452">_xlfn.IFNA(_xlfn.IFS(AND(_xlfn.XLOOKUP(A452,'LPG Fup'!D:D,'LPG Fup'!M:M,"",0)&lt;&gt;"",_xlfn.XLOOKUP(A452,'LPG Fup'!D:D,'LPG Fup'!M:M,"",0)&gt;0),"Z-1", AND(_xlfn.XLOOKUP(A452+1,'LPG Fup'!D:D,'LPG Fup'!M:M,"",0)&lt;&gt;"",_xlfn.XLOOKUP(A452+1,'LPG Fup'!D:D,'LPG Fup'!M:M,"",0)&gt;0),"Z-2", AND(_xlfn.XLOOKUP(A452-1,'LPG Fup'!D:D,'LPG Fup'!M:M,"",0)&lt;&gt;"",_xlfn.XLOOKUP(A452-1,'LPG Fup'!D:D,'LPG Fup'!M:M,"",0)&gt;0),"Z", AND(_xlfn.XLOOKUP(A452-2,'LPG Fup'!D:D,'LPG Fup'!M:M,"",0)&lt;&gt;"",_xlfn.XLOOKUP(A452-2,'LPG Fup'!D:D,'LPG Fup'!M:M,"",0)&gt;0),"Z+1"),0)</f>
        <v>0</v>
      </c>
      <c r="Q452" cm="1">
        <f t="array" ref="Q452">_xlfn.IFNA(_xlfn.IFS(AND(_xlfn.XLOOKUP(A452,'LPG Fup'!D:D,'LPG Fup'!M:M,"",0)&lt;&gt;"",_xlfn.XLOOKUP(A452,'LPG Fup'!D:D,'LPG Fup'!M:M,"",0)&lt;0),"I-1", AND(_xlfn.XLOOKUP(A452+1,'LPG Fup'!D:D,'LPG Fup'!M:M,"",0)&lt;&gt;"",_xlfn.XLOOKUP(A452+1,'LPG Fup'!D:D,'LPG Fup'!M:M,"",0)&lt;0),"I-2", AND(_xlfn.XLOOKUP(A452-1,'LPG Fup'!D:D,'LPG Fup'!M:M,"",0)&lt;&gt;"",_xlfn.XLOOKUP(A452-1,'LPG Fup'!D:D,'LPG Fup'!M:M,"",0)&lt;0),"I", AND(_xlfn.XLOOKUP(A452-2,'LPG Fup'!D:D,'LPG Fup'!M:M,"",0)&lt;&gt;"",_xlfn.XLOOKUP(A452-2,'LPG Fup'!D:D,'LPG Fup'!M:M,"",0)&lt;0),"I+1"),0)</f>
        <v>0</v>
      </c>
      <c r="R452">
        <f>_xlfn.XLOOKUP(A452,Covid!A:A,Covid!I:I,0,0)</f>
        <v>0</v>
      </c>
      <c r="S452">
        <f>_xlfn.XLOOKUP(A452,Covid!A:A,Covid!K:K,0,0)</f>
        <v>217</v>
      </c>
      <c r="T452" s="145">
        <f>_xlfn.XLOOKUP(A452,Covid!A:A,Covid!K:K,0,0)/_xlfn.XLOOKUP(A452,Covid!A:A,Covid!L:L,0,0)</f>
        <v>1.3032250315296378E-2</v>
      </c>
    </row>
    <row r="453" spans="1:20" x14ac:dyDescent="0.55000000000000004">
      <c r="A453" s="157">
        <v>44434</v>
      </c>
      <c r="B453" s="13">
        <v>1782780</v>
      </c>
      <c r="C453" s="13">
        <v>456593</v>
      </c>
      <c r="D453" s="13">
        <v>13421</v>
      </c>
      <c r="E453" s="13">
        <v>542265</v>
      </c>
      <c r="F453" s="13">
        <v>2795059</v>
      </c>
      <c r="G453">
        <f>IF(OR(_xlfn.XLOOKUP(A453,'LPG Fup'!D:D,'LPG Fup'!L:L,"",0)&gt;0.03,_xlfn.XLOOKUP(A453,'LPG Fup'!D:D,'LPG Fup'!L:L,"",0)&lt;-0.03),_xlfn.XLOOKUP(A453,'LPG Fup'!D:D,'LPG Fup'!L:L,0,0),0)</f>
        <v>0</v>
      </c>
      <c r="H453">
        <f>IF(_xlfn.XLOOKUP(A453,'LPG Fup'!D:D,'LPG Fup'!M:M,0,0)="",0,_xlfn.XLOOKUP(A453,'LPG Fup'!D:D,'LPG Fup'!M:M,0,0))</f>
        <v>0</v>
      </c>
      <c r="I453" s="109">
        <f>_xlfn.XLOOKUP(A453,'Rafineri Fiyatları'!A:A,'Rafineri Fiyatları'!B:B,"",0)</f>
        <v>5852.94</v>
      </c>
      <c r="J453">
        <f t="shared" si="28"/>
        <v>2021</v>
      </c>
      <c r="K453">
        <f t="shared" si="29"/>
        <v>8</v>
      </c>
      <c r="L453">
        <f t="shared" si="30"/>
        <v>26</v>
      </c>
      <c r="M453">
        <f t="shared" si="31"/>
        <v>5</v>
      </c>
      <c r="N453">
        <f>_xlfn.XLOOKUP(A453,tatiller!H:H,tatiller!I:I,0,0)</f>
        <v>0</v>
      </c>
      <c r="O453" cm="1">
        <f t="array" ref="O453">_xlfn.IFNA(_xlfn.IFS(L453=1,"A0",A453=EOMONTH(A453,0),"A-1",L453=2,"A+1"),0)</f>
        <v>0</v>
      </c>
      <c r="P453" cm="1">
        <f t="array" ref="P453">_xlfn.IFNA(_xlfn.IFS(AND(_xlfn.XLOOKUP(A453,'LPG Fup'!D:D,'LPG Fup'!M:M,"",0)&lt;&gt;"",_xlfn.XLOOKUP(A453,'LPG Fup'!D:D,'LPG Fup'!M:M,"",0)&gt;0),"Z-1", AND(_xlfn.XLOOKUP(A453+1,'LPG Fup'!D:D,'LPG Fup'!M:M,"",0)&lt;&gt;"",_xlfn.XLOOKUP(A453+1,'LPG Fup'!D:D,'LPG Fup'!M:M,"",0)&gt;0),"Z-2", AND(_xlfn.XLOOKUP(A453-1,'LPG Fup'!D:D,'LPG Fup'!M:M,"",0)&lt;&gt;"",_xlfn.XLOOKUP(A453-1,'LPG Fup'!D:D,'LPG Fup'!M:M,"",0)&gt;0),"Z", AND(_xlfn.XLOOKUP(A453-2,'LPG Fup'!D:D,'LPG Fup'!M:M,"",0)&lt;&gt;"",_xlfn.XLOOKUP(A453-2,'LPG Fup'!D:D,'LPG Fup'!M:M,"",0)&gt;0),"Z+1"),0)</f>
        <v>0</v>
      </c>
      <c r="Q453" cm="1">
        <f t="array" ref="Q453">_xlfn.IFNA(_xlfn.IFS(AND(_xlfn.XLOOKUP(A453,'LPG Fup'!D:D,'LPG Fup'!M:M,"",0)&lt;&gt;"",_xlfn.XLOOKUP(A453,'LPG Fup'!D:D,'LPG Fup'!M:M,"",0)&lt;0),"I-1", AND(_xlfn.XLOOKUP(A453+1,'LPG Fup'!D:D,'LPG Fup'!M:M,"",0)&lt;&gt;"",_xlfn.XLOOKUP(A453+1,'LPG Fup'!D:D,'LPG Fup'!M:M,"",0)&lt;0),"I-2", AND(_xlfn.XLOOKUP(A453-1,'LPG Fup'!D:D,'LPG Fup'!M:M,"",0)&lt;&gt;"",_xlfn.XLOOKUP(A453-1,'LPG Fup'!D:D,'LPG Fup'!M:M,"",0)&lt;0),"I", AND(_xlfn.XLOOKUP(A453-2,'LPG Fup'!D:D,'LPG Fup'!M:M,"",0)&lt;&gt;"",_xlfn.XLOOKUP(A453-2,'LPG Fup'!D:D,'LPG Fup'!M:M,"",0)&lt;0),"I+1"),0)</f>
        <v>0</v>
      </c>
      <c r="R453">
        <f>_xlfn.XLOOKUP(A453,Covid!A:A,Covid!I:I,0,0)</f>
        <v>0</v>
      </c>
      <c r="S453">
        <f>_xlfn.XLOOKUP(A453,Covid!A:A,Covid!K:K,0,0)</f>
        <v>257</v>
      </c>
      <c r="T453" s="145">
        <f>_xlfn.XLOOKUP(A453,Covid!A:A,Covid!K:K,0,0)/_xlfn.XLOOKUP(A453,Covid!A:A,Covid!L:L,0,0)</f>
        <v>1.6902334758303189E-2</v>
      </c>
    </row>
    <row r="454" spans="1:20" x14ac:dyDescent="0.55000000000000004">
      <c r="A454" s="157">
        <v>44435</v>
      </c>
      <c r="B454" s="13">
        <v>2328340</v>
      </c>
      <c r="C454" s="13">
        <v>488407</v>
      </c>
      <c r="D454" s="13">
        <v>9894</v>
      </c>
      <c r="E454" s="13">
        <v>525244</v>
      </c>
      <c r="F454" s="13">
        <v>3351885</v>
      </c>
      <c r="G454">
        <f>IF(OR(_xlfn.XLOOKUP(A454,'LPG Fup'!D:D,'LPG Fup'!L:L,"",0)&gt;0.03,_xlfn.XLOOKUP(A454,'LPG Fup'!D:D,'LPG Fup'!L:L,"",0)&lt;-0.03),_xlfn.XLOOKUP(A454,'LPG Fup'!D:D,'LPG Fup'!L:L,0,0),0)</f>
        <v>0</v>
      </c>
      <c r="H454">
        <f>IF(_xlfn.XLOOKUP(A454,'LPG Fup'!D:D,'LPG Fup'!M:M,0,0)="",0,_xlfn.XLOOKUP(A454,'LPG Fup'!D:D,'LPG Fup'!M:M,0,0))</f>
        <v>0</v>
      </c>
      <c r="I454" s="109">
        <f>_xlfn.XLOOKUP(A454,'Rafineri Fiyatları'!A:A,'Rafineri Fiyatları'!B:B,"",0)</f>
        <v>5852.94</v>
      </c>
      <c r="J454">
        <f t="shared" si="28"/>
        <v>2021</v>
      </c>
      <c r="K454">
        <f t="shared" si="29"/>
        <v>8</v>
      </c>
      <c r="L454">
        <f t="shared" si="30"/>
        <v>27</v>
      </c>
      <c r="M454">
        <f t="shared" si="31"/>
        <v>6</v>
      </c>
      <c r="N454">
        <f>_xlfn.XLOOKUP(A454,tatiller!H:H,tatiller!I:I,0,0)</f>
        <v>0</v>
      </c>
      <c r="O454" cm="1">
        <f t="array" ref="O454">_xlfn.IFNA(_xlfn.IFS(L454=1,"A0",A454=EOMONTH(A454,0),"A-1",L454=2,"A+1"),0)</f>
        <v>0</v>
      </c>
      <c r="P454" cm="1">
        <f t="array" ref="P454">_xlfn.IFNA(_xlfn.IFS(AND(_xlfn.XLOOKUP(A454,'LPG Fup'!D:D,'LPG Fup'!M:M,"",0)&lt;&gt;"",_xlfn.XLOOKUP(A454,'LPG Fup'!D:D,'LPG Fup'!M:M,"",0)&gt;0),"Z-1", AND(_xlfn.XLOOKUP(A454+1,'LPG Fup'!D:D,'LPG Fup'!M:M,"",0)&lt;&gt;"",_xlfn.XLOOKUP(A454+1,'LPG Fup'!D:D,'LPG Fup'!M:M,"",0)&gt;0),"Z-2", AND(_xlfn.XLOOKUP(A454-1,'LPG Fup'!D:D,'LPG Fup'!M:M,"",0)&lt;&gt;"",_xlfn.XLOOKUP(A454-1,'LPG Fup'!D:D,'LPG Fup'!M:M,"",0)&gt;0),"Z", AND(_xlfn.XLOOKUP(A454-2,'LPG Fup'!D:D,'LPG Fup'!M:M,"",0)&lt;&gt;"",_xlfn.XLOOKUP(A454-2,'LPG Fup'!D:D,'LPG Fup'!M:M,"",0)&gt;0),"Z+1"),0)</f>
        <v>0</v>
      </c>
      <c r="Q454" cm="1">
        <f t="array" ref="Q454">_xlfn.IFNA(_xlfn.IFS(AND(_xlfn.XLOOKUP(A454,'LPG Fup'!D:D,'LPG Fup'!M:M,"",0)&lt;&gt;"",_xlfn.XLOOKUP(A454,'LPG Fup'!D:D,'LPG Fup'!M:M,"",0)&lt;0),"I-1", AND(_xlfn.XLOOKUP(A454+1,'LPG Fup'!D:D,'LPG Fup'!M:M,"",0)&lt;&gt;"",_xlfn.XLOOKUP(A454+1,'LPG Fup'!D:D,'LPG Fup'!M:M,"",0)&lt;0),"I-2", AND(_xlfn.XLOOKUP(A454-1,'LPG Fup'!D:D,'LPG Fup'!M:M,"",0)&lt;&gt;"",_xlfn.XLOOKUP(A454-1,'LPG Fup'!D:D,'LPG Fup'!M:M,"",0)&lt;0),"I", AND(_xlfn.XLOOKUP(A454-2,'LPG Fup'!D:D,'LPG Fup'!M:M,"",0)&lt;&gt;"",_xlfn.XLOOKUP(A454-2,'LPG Fup'!D:D,'LPG Fup'!M:M,"",0)&lt;0),"I+1"),0)</f>
        <v>0</v>
      </c>
      <c r="R454">
        <f>_xlfn.XLOOKUP(A454,Covid!A:A,Covid!I:I,0,0)</f>
        <v>0</v>
      </c>
      <c r="S454">
        <f>_xlfn.XLOOKUP(A454,Covid!A:A,Covid!K:K,0,0)</f>
        <v>244</v>
      </c>
      <c r="T454" s="145">
        <f>_xlfn.XLOOKUP(A454,Covid!A:A,Covid!K:K,0,0)/_xlfn.XLOOKUP(A454,Covid!A:A,Covid!L:L,0,0)</f>
        <v>1.6795154185022025E-2</v>
      </c>
    </row>
    <row r="455" spans="1:20" x14ac:dyDescent="0.55000000000000004">
      <c r="A455" s="157">
        <v>44436</v>
      </c>
      <c r="B455" s="13">
        <v>1825260</v>
      </c>
      <c r="C455" s="13">
        <v>282315</v>
      </c>
      <c r="D455" s="13">
        <v>1000</v>
      </c>
      <c r="E455" s="13">
        <v>486716</v>
      </c>
      <c r="F455" s="13">
        <v>2595291</v>
      </c>
      <c r="G455">
        <f>IF(OR(_xlfn.XLOOKUP(A455,'LPG Fup'!D:D,'LPG Fup'!L:L,"",0)&gt;0.03,_xlfn.XLOOKUP(A455,'LPG Fup'!D:D,'LPG Fup'!L:L,"",0)&lt;-0.03),_xlfn.XLOOKUP(A455,'LPG Fup'!D:D,'LPG Fup'!L:L,0,0),0)</f>
        <v>0</v>
      </c>
      <c r="H455">
        <f>IF(_xlfn.XLOOKUP(A455,'LPG Fup'!D:D,'LPG Fup'!M:M,0,0)="",0,_xlfn.XLOOKUP(A455,'LPG Fup'!D:D,'LPG Fup'!M:M,0,0))</f>
        <v>0</v>
      </c>
      <c r="I455" s="109">
        <f>_xlfn.XLOOKUP(A455,'Rafineri Fiyatları'!A:A,'Rafineri Fiyatları'!B:B,"",0)</f>
        <v>5852.94</v>
      </c>
      <c r="J455">
        <f t="shared" si="28"/>
        <v>2021</v>
      </c>
      <c r="K455">
        <f t="shared" si="29"/>
        <v>8</v>
      </c>
      <c r="L455">
        <f t="shared" si="30"/>
        <v>28</v>
      </c>
      <c r="M455">
        <f t="shared" si="31"/>
        <v>7</v>
      </c>
      <c r="N455">
        <f>_xlfn.XLOOKUP(A455,tatiller!H:H,tatiller!I:I,0,0)</f>
        <v>0</v>
      </c>
      <c r="O455" cm="1">
        <f t="array" ref="O455">_xlfn.IFNA(_xlfn.IFS(L455=1,"A0",A455=EOMONTH(A455,0),"A-1",L455=2,"A+1"),0)</f>
        <v>0</v>
      </c>
      <c r="P455" cm="1">
        <f t="array" ref="P455">_xlfn.IFNA(_xlfn.IFS(AND(_xlfn.XLOOKUP(A455,'LPG Fup'!D:D,'LPG Fup'!M:M,"",0)&lt;&gt;"",_xlfn.XLOOKUP(A455,'LPG Fup'!D:D,'LPG Fup'!M:M,"",0)&gt;0),"Z-1", AND(_xlfn.XLOOKUP(A455+1,'LPG Fup'!D:D,'LPG Fup'!M:M,"",0)&lt;&gt;"",_xlfn.XLOOKUP(A455+1,'LPG Fup'!D:D,'LPG Fup'!M:M,"",0)&gt;0),"Z-2", AND(_xlfn.XLOOKUP(A455-1,'LPG Fup'!D:D,'LPG Fup'!M:M,"",0)&lt;&gt;"",_xlfn.XLOOKUP(A455-1,'LPG Fup'!D:D,'LPG Fup'!M:M,"",0)&gt;0),"Z", AND(_xlfn.XLOOKUP(A455-2,'LPG Fup'!D:D,'LPG Fup'!M:M,"",0)&lt;&gt;"",_xlfn.XLOOKUP(A455-2,'LPG Fup'!D:D,'LPG Fup'!M:M,"",0)&gt;0),"Z+1"),0)</f>
        <v>0</v>
      </c>
      <c r="Q455" cm="1">
        <f t="array" ref="Q455">_xlfn.IFNA(_xlfn.IFS(AND(_xlfn.XLOOKUP(A455,'LPG Fup'!D:D,'LPG Fup'!M:M,"",0)&lt;&gt;"",_xlfn.XLOOKUP(A455,'LPG Fup'!D:D,'LPG Fup'!M:M,"",0)&lt;0),"I-1", AND(_xlfn.XLOOKUP(A455+1,'LPG Fup'!D:D,'LPG Fup'!M:M,"",0)&lt;&gt;"",_xlfn.XLOOKUP(A455+1,'LPG Fup'!D:D,'LPG Fup'!M:M,"",0)&lt;0),"I-2", AND(_xlfn.XLOOKUP(A455-1,'LPG Fup'!D:D,'LPG Fup'!M:M,"",0)&lt;&gt;"",_xlfn.XLOOKUP(A455-1,'LPG Fup'!D:D,'LPG Fup'!M:M,"",0)&lt;0),"I", AND(_xlfn.XLOOKUP(A455-2,'LPG Fup'!D:D,'LPG Fup'!M:M,"",0)&lt;&gt;"",_xlfn.XLOOKUP(A455-2,'LPG Fup'!D:D,'LPG Fup'!M:M,"",0)&lt;0),"I+1"),0)</f>
        <v>0</v>
      </c>
      <c r="R455">
        <f>_xlfn.XLOOKUP(A455,Covid!A:A,Covid!I:I,0,0)</f>
        <v>0</v>
      </c>
      <c r="S455">
        <f>_xlfn.XLOOKUP(A455,Covid!A:A,Covid!K:K,0,0)</f>
        <v>245</v>
      </c>
      <c r="T455" s="145">
        <f>_xlfn.XLOOKUP(A455,Covid!A:A,Covid!K:K,0,0)/_xlfn.XLOOKUP(A455,Covid!A:A,Covid!L:L,0,0)</f>
        <v>2.0123203285420943E-2</v>
      </c>
    </row>
    <row r="456" spans="1:20" x14ac:dyDescent="0.55000000000000004">
      <c r="A456" s="157">
        <v>44437</v>
      </c>
      <c r="B456" s="13">
        <v>1483320</v>
      </c>
      <c r="C456" s="13">
        <v>0</v>
      </c>
      <c r="D456" s="13">
        <v>0</v>
      </c>
      <c r="E456" s="13">
        <v>509715</v>
      </c>
      <c r="F456" s="13">
        <v>1993035</v>
      </c>
      <c r="G456">
        <f>IF(OR(_xlfn.XLOOKUP(A456,'LPG Fup'!D:D,'LPG Fup'!L:L,"",0)&gt;0.03,_xlfn.XLOOKUP(A456,'LPG Fup'!D:D,'LPG Fup'!L:L,"",0)&lt;-0.03),_xlfn.XLOOKUP(A456,'LPG Fup'!D:D,'LPG Fup'!L:L,0,0),0)</f>
        <v>0</v>
      </c>
      <c r="H456">
        <f>IF(_xlfn.XLOOKUP(A456,'LPG Fup'!D:D,'LPG Fup'!M:M,0,0)="",0,_xlfn.XLOOKUP(A456,'LPG Fup'!D:D,'LPG Fup'!M:M,0,0))</f>
        <v>0</v>
      </c>
      <c r="I456" s="109">
        <f>_xlfn.XLOOKUP(A456,'Rafineri Fiyatları'!A:A,'Rafineri Fiyatları'!B:B,"",0)</f>
        <v>5852.94</v>
      </c>
      <c r="J456">
        <f t="shared" si="28"/>
        <v>2021</v>
      </c>
      <c r="K456">
        <f t="shared" si="29"/>
        <v>8</v>
      </c>
      <c r="L456">
        <f t="shared" si="30"/>
        <v>29</v>
      </c>
      <c r="M456">
        <f t="shared" si="31"/>
        <v>1</v>
      </c>
      <c r="N456">
        <f>_xlfn.XLOOKUP(A456,tatiller!H:H,tatiller!I:I,0,0)</f>
        <v>0</v>
      </c>
      <c r="O456" cm="1">
        <f t="array" ref="O456">_xlfn.IFNA(_xlfn.IFS(L456=1,"A0",A456=EOMONTH(A456,0),"A-1",L456=2,"A+1"),0)</f>
        <v>0</v>
      </c>
      <c r="P456" cm="1">
        <f t="array" ref="P456">_xlfn.IFNA(_xlfn.IFS(AND(_xlfn.XLOOKUP(A456,'LPG Fup'!D:D,'LPG Fup'!M:M,"",0)&lt;&gt;"",_xlfn.XLOOKUP(A456,'LPG Fup'!D:D,'LPG Fup'!M:M,"",0)&gt;0),"Z-1", AND(_xlfn.XLOOKUP(A456+1,'LPG Fup'!D:D,'LPG Fup'!M:M,"",0)&lt;&gt;"",_xlfn.XLOOKUP(A456+1,'LPG Fup'!D:D,'LPG Fup'!M:M,"",0)&gt;0),"Z-2", AND(_xlfn.XLOOKUP(A456-1,'LPG Fup'!D:D,'LPG Fup'!M:M,"",0)&lt;&gt;"",_xlfn.XLOOKUP(A456-1,'LPG Fup'!D:D,'LPG Fup'!M:M,"",0)&gt;0),"Z", AND(_xlfn.XLOOKUP(A456-2,'LPG Fup'!D:D,'LPG Fup'!M:M,"",0)&lt;&gt;"",_xlfn.XLOOKUP(A456-2,'LPG Fup'!D:D,'LPG Fup'!M:M,"",0)&gt;0),"Z+1"),0)</f>
        <v>0</v>
      </c>
      <c r="Q456" cm="1">
        <f t="array" ref="Q456">_xlfn.IFNA(_xlfn.IFS(AND(_xlfn.XLOOKUP(A456,'LPG Fup'!D:D,'LPG Fup'!M:M,"",0)&lt;&gt;"",_xlfn.XLOOKUP(A456,'LPG Fup'!D:D,'LPG Fup'!M:M,"",0)&lt;0),"I-1", AND(_xlfn.XLOOKUP(A456+1,'LPG Fup'!D:D,'LPG Fup'!M:M,"",0)&lt;&gt;"",_xlfn.XLOOKUP(A456+1,'LPG Fup'!D:D,'LPG Fup'!M:M,"",0)&lt;0),"I-2", AND(_xlfn.XLOOKUP(A456-1,'LPG Fup'!D:D,'LPG Fup'!M:M,"",0)&lt;&gt;"",_xlfn.XLOOKUP(A456-1,'LPG Fup'!D:D,'LPG Fup'!M:M,"",0)&lt;0),"I", AND(_xlfn.XLOOKUP(A456-2,'LPG Fup'!D:D,'LPG Fup'!M:M,"",0)&lt;&gt;"",_xlfn.XLOOKUP(A456-2,'LPG Fup'!D:D,'LPG Fup'!M:M,"",0)&lt;0),"I+1"),0)</f>
        <v>0</v>
      </c>
      <c r="R456">
        <f>_xlfn.XLOOKUP(A456,Covid!A:A,Covid!I:I,0,0)</f>
        <v>0</v>
      </c>
      <c r="S456">
        <f>_xlfn.XLOOKUP(A456,Covid!A:A,Covid!K:K,0,0)</f>
        <v>255</v>
      </c>
      <c r="T456" s="145">
        <f>_xlfn.XLOOKUP(A456,Covid!A:A,Covid!K:K,0,0)/_xlfn.XLOOKUP(A456,Covid!A:A,Covid!L:L,0,0)</f>
        <v>2.2376272376272377E-2</v>
      </c>
    </row>
    <row r="457" spans="1:20" x14ac:dyDescent="0.55000000000000004">
      <c r="A457" s="157">
        <v>44438</v>
      </c>
      <c r="B457" s="13">
        <v>1808860</v>
      </c>
      <c r="C457" s="13">
        <v>512362</v>
      </c>
      <c r="D457" s="13">
        <v>7244</v>
      </c>
      <c r="E457" s="13">
        <v>659627</v>
      </c>
      <c r="F457" s="13">
        <v>2988093</v>
      </c>
      <c r="G457">
        <f>IF(OR(_xlfn.XLOOKUP(A457,'LPG Fup'!D:D,'LPG Fup'!L:L,"",0)&gt;0.03,_xlfn.XLOOKUP(A457,'LPG Fup'!D:D,'LPG Fup'!L:L,"",0)&lt;-0.03),_xlfn.XLOOKUP(A457,'LPG Fup'!D:D,'LPG Fup'!L:L,0,0),0)</f>
        <v>0</v>
      </c>
      <c r="H457">
        <f>IF(_xlfn.XLOOKUP(A457,'LPG Fup'!D:D,'LPG Fup'!M:M,0,0)="",0,_xlfn.XLOOKUP(A457,'LPG Fup'!D:D,'LPG Fup'!M:M,0,0))</f>
        <v>0</v>
      </c>
      <c r="I457" s="109">
        <f>_xlfn.XLOOKUP(A457,'Rafineri Fiyatları'!A:A,'Rafineri Fiyatları'!B:B,"",0)</f>
        <v>5852.94</v>
      </c>
      <c r="J457">
        <f t="shared" si="28"/>
        <v>2021</v>
      </c>
      <c r="K457">
        <f t="shared" si="29"/>
        <v>8</v>
      </c>
      <c r="L457">
        <f t="shared" si="30"/>
        <v>30</v>
      </c>
      <c r="M457">
        <f t="shared" si="31"/>
        <v>2</v>
      </c>
      <c r="N457" t="str">
        <f>_xlfn.XLOOKUP(A457,tatiller!H:H,tatiller!I:I,0,0)</f>
        <v>T</v>
      </c>
      <c r="O457" cm="1">
        <f t="array" ref="O457">_xlfn.IFNA(_xlfn.IFS(L457=1,"A0",A457=EOMONTH(A457,0),"A-1",L457=2,"A+1"),0)</f>
        <v>0</v>
      </c>
      <c r="P457" cm="1">
        <f t="array" ref="P457">_xlfn.IFNA(_xlfn.IFS(AND(_xlfn.XLOOKUP(A457,'LPG Fup'!D:D,'LPG Fup'!M:M,"",0)&lt;&gt;"",_xlfn.XLOOKUP(A457,'LPG Fup'!D:D,'LPG Fup'!M:M,"",0)&gt;0),"Z-1", AND(_xlfn.XLOOKUP(A457+1,'LPG Fup'!D:D,'LPG Fup'!M:M,"",0)&lt;&gt;"",_xlfn.XLOOKUP(A457+1,'LPG Fup'!D:D,'LPG Fup'!M:M,"",0)&gt;0),"Z-2", AND(_xlfn.XLOOKUP(A457-1,'LPG Fup'!D:D,'LPG Fup'!M:M,"",0)&lt;&gt;"",_xlfn.XLOOKUP(A457-1,'LPG Fup'!D:D,'LPG Fup'!M:M,"",0)&gt;0),"Z", AND(_xlfn.XLOOKUP(A457-2,'LPG Fup'!D:D,'LPG Fup'!M:M,"",0)&lt;&gt;"",_xlfn.XLOOKUP(A457-2,'LPG Fup'!D:D,'LPG Fup'!M:M,"",0)&gt;0),"Z+1"),0)</f>
        <v>0</v>
      </c>
      <c r="Q457" cm="1">
        <f t="array" ref="Q457">_xlfn.IFNA(_xlfn.IFS(AND(_xlfn.XLOOKUP(A457,'LPG Fup'!D:D,'LPG Fup'!M:M,"",0)&lt;&gt;"",_xlfn.XLOOKUP(A457,'LPG Fup'!D:D,'LPG Fup'!M:M,"",0)&lt;0),"I-1", AND(_xlfn.XLOOKUP(A457+1,'LPG Fup'!D:D,'LPG Fup'!M:M,"",0)&lt;&gt;"",_xlfn.XLOOKUP(A457+1,'LPG Fup'!D:D,'LPG Fup'!M:M,"",0)&lt;0),"I-2", AND(_xlfn.XLOOKUP(A457-1,'LPG Fup'!D:D,'LPG Fup'!M:M,"",0)&lt;&gt;"",_xlfn.XLOOKUP(A457-1,'LPG Fup'!D:D,'LPG Fup'!M:M,"",0)&lt;0),"I", AND(_xlfn.XLOOKUP(A457-2,'LPG Fup'!D:D,'LPG Fup'!M:M,"",0)&lt;&gt;"",_xlfn.XLOOKUP(A457-2,'LPG Fup'!D:D,'LPG Fup'!M:M,"",0)&lt;0),"I+1"),0)</f>
        <v>0</v>
      </c>
      <c r="R457">
        <f>_xlfn.XLOOKUP(A457,Covid!A:A,Covid!I:I,0,0)</f>
        <v>0</v>
      </c>
      <c r="S457">
        <f>_xlfn.XLOOKUP(A457,Covid!A:A,Covid!K:K,0,0)</f>
        <v>245</v>
      </c>
      <c r="T457" s="145">
        <f>_xlfn.XLOOKUP(A457,Covid!A:A,Covid!K:K,0,0)/_xlfn.XLOOKUP(A457,Covid!A:A,Covid!L:L,0,0)</f>
        <v>1.8282217744944408E-2</v>
      </c>
    </row>
    <row r="458" spans="1:20" x14ac:dyDescent="0.55000000000000004">
      <c r="A458" s="157">
        <v>44439</v>
      </c>
      <c r="B458" s="13">
        <v>2052760</v>
      </c>
      <c r="C458" s="13">
        <v>628182</v>
      </c>
      <c r="D458" s="13">
        <v>62913</v>
      </c>
      <c r="E458" s="13">
        <v>589490</v>
      </c>
      <c r="F458" s="13">
        <v>3333345</v>
      </c>
      <c r="G458">
        <f>IF(OR(_xlfn.XLOOKUP(A458,'LPG Fup'!D:D,'LPG Fup'!L:L,"",0)&gt;0.03,_xlfn.XLOOKUP(A458,'LPG Fup'!D:D,'LPG Fup'!L:L,"",0)&lt;-0.03),_xlfn.XLOOKUP(A458,'LPG Fup'!D:D,'LPG Fup'!L:L,0,0),0)</f>
        <v>0</v>
      </c>
      <c r="H458">
        <f>IF(_xlfn.XLOOKUP(A458,'LPG Fup'!D:D,'LPG Fup'!M:M,0,0)="",0,_xlfn.XLOOKUP(A458,'LPG Fup'!D:D,'LPG Fup'!M:M,0,0))</f>
        <v>0</v>
      </c>
      <c r="I458" s="109">
        <f>_xlfn.XLOOKUP(A458,'Rafineri Fiyatları'!A:A,'Rafineri Fiyatları'!B:B,"",0)</f>
        <v>5852.94</v>
      </c>
      <c r="J458">
        <f t="shared" si="28"/>
        <v>2021</v>
      </c>
      <c r="K458">
        <f t="shared" si="29"/>
        <v>8</v>
      </c>
      <c r="L458">
        <f t="shared" si="30"/>
        <v>31</v>
      </c>
      <c r="M458">
        <f t="shared" si="31"/>
        <v>3</v>
      </c>
      <c r="N458">
        <f>_xlfn.XLOOKUP(A458,tatiller!H:H,tatiller!I:I,0,0)</f>
        <v>0</v>
      </c>
      <c r="O458" t="str" cm="1">
        <f t="array" ref="O458">_xlfn.IFNA(_xlfn.IFS(L458=1,"A0",A458=EOMONTH(A458,0),"A-1",L458=2,"A+1"),0)</f>
        <v>A-1</v>
      </c>
      <c r="P458" cm="1">
        <f t="array" ref="P458">_xlfn.IFNA(_xlfn.IFS(AND(_xlfn.XLOOKUP(A458,'LPG Fup'!D:D,'LPG Fup'!M:M,"",0)&lt;&gt;"",_xlfn.XLOOKUP(A458,'LPG Fup'!D:D,'LPG Fup'!M:M,"",0)&gt;0),"Z-1", AND(_xlfn.XLOOKUP(A458+1,'LPG Fup'!D:D,'LPG Fup'!M:M,"",0)&lt;&gt;"",_xlfn.XLOOKUP(A458+1,'LPG Fup'!D:D,'LPG Fup'!M:M,"",0)&gt;0),"Z-2", AND(_xlfn.XLOOKUP(A458-1,'LPG Fup'!D:D,'LPG Fup'!M:M,"",0)&lt;&gt;"",_xlfn.XLOOKUP(A458-1,'LPG Fup'!D:D,'LPG Fup'!M:M,"",0)&gt;0),"Z", AND(_xlfn.XLOOKUP(A458-2,'LPG Fup'!D:D,'LPG Fup'!M:M,"",0)&lt;&gt;"",_xlfn.XLOOKUP(A458-2,'LPG Fup'!D:D,'LPG Fup'!M:M,"",0)&gt;0),"Z+1"),0)</f>
        <v>0</v>
      </c>
      <c r="Q458" cm="1">
        <f t="array" ref="Q458">_xlfn.IFNA(_xlfn.IFS(AND(_xlfn.XLOOKUP(A458,'LPG Fup'!D:D,'LPG Fup'!M:M,"",0)&lt;&gt;"",_xlfn.XLOOKUP(A458,'LPG Fup'!D:D,'LPG Fup'!M:M,"",0)&lt;0),"I-1", AND(_xlfn.XLOOKUP(A458+1,'LPG Fup'!D:D,'LPG Fup'!M:M,"",0)&lt;&gt;"",_xlfn.XLOOKUP(A458+1,'LPG Fup'!D:D,'LPG Fup'!M:M,"",0)&lt;0),"I-2", AND(_xlfn.XLOOKUP(A458-1,'LPG Fup'!D:D,'LPG Fup'!M:M,"",0)&lt;&gt;"",_xlfn.XLOOKUP(A458-1,'LPG Fup'!D:D,'LPG Fup'!M:M,"",0)&lt;0),"I", AND(_xlfn.XLOOKUP(A458-2,'LPG Fup'!D:D,'LPG Fup'!M:M,"",0)&lt;&gt;"",_xlfn.XLOOKUP(A458-2,'LPG Fup'!D:D,'LPG Fup'!M:M,"",0)&lt;0),"I+1"),0)</f>
        <v>0</v>
      </c>
      <c r="R458">
        <f>_xlfn.XLOOKUP(A458,Covid!A:A,Covid!I:I,0,0)</f>
        <v>0</v>
      </c>
      <c r="S458">
        <f>_xlfn.XLOOKUP(A458,Covid!A:A,Covid!K:K,0,0)</f>
        <v>252</v>
      </c>
      <c r="T458" s="145">
        <f>_xlfn.XLOOKUP(A458,Covid!A:A,Covid!K:K,0,0)/_xlfn.XLOOKUP(A458,Covid!A:A,Covid!L:L,0,0)</f>
        <v>1.7864738409187581E-2</v>
      </c>
    </row>
    <row r="459" spans="1:20" x14ac:dyDescent="0.55000000000000004">
      <c r="A459" s="157">
        <v>44440</v>
      </c>
      <c r="B459" s="13">
        <v>1497740</v>
      </c>
      <c r="C459" s="13">
        <v>366318</v>
      </c>
      <c r="D459" s="13">
        <v>15087</v>
      </c>
      <c r="E459" s="13">
        <v>391409</v>
      </c>
      <c r="F459" s="13">
        <v>4470532</v>
      </c>
      <c r="G459">
        <f>IF(OR(_xlfn.XLOOKUP(A459,'LPG Fup'!D:D,'LPG Fup'!L:L,"",0)&gt;0.03,_xlfn.XLOOKUP(A459,'LPG Fup'!D:D,'LPG Fup'!L:L,"",0)&lt;-0.03),_xlfn.XLOOKUP(A459,'LPG Fup'!D:D,'LPG Fup'!L:L,0,0),0)</f>
        <v>0</v>
      </c>
      <c r="H459">
        <f>IF(_xlfn.XLOOKUP(A459,'LPG Fup'!D:D,'LPG Fup'!M:M,0,0)="",0,_xlfn.XLOOKUP(A459,'LPG Fup'!D:D,'LPG Fup'!M:M,0,0))</f>
        <v>0</v>
      </c>
      <c r="I459" s="109">
        <f>_xlfn.XLOOKUP(A459,'Rafineri Fiyatları'!A:A,'Rafineri Fiyatları'!B:B,"",0)</f>
        <v>5852.94</v>
      </c>
      <c r="J459">
        <f t="shared" si="28"/>
        <v>2021</v>
      </c>
      <c r="K459">
        <f t="shared" si="29"/>
        <v>9</v>
      </c>
      <c r="L459">
        <f t="shared" si="30"/>
        <v>1</v>
      </c>
      <c r="M459">
        <f t="shared" si="31"/>
        <v>4</v>
      </c>
      <c r="N459">
        <f>_xlfn.XLOOKUP(A459,tatiller!H:H,tatiller!I:I,0,0)</f>
        <v>0</v>
      </c>
      <c r="O459" t="str" cm="1">
        <f t="array" ref="O459">_xlfn.IFNA(_xlfn.IFS(L459=1,"A0",A459=EOMONTH(A459,0),"A-1",L459=2,"A+1"),0)</f>
        <v>A0</v>
      </c>
      <c r="P459" cm="1">
        <f t="array" ref="P459">_xlfn.IFNA(_xlfn.IFS(AND(_xlfn.XLOOKUP(A459,'LPG Fup'!D:D,'LPG Fup'!M:M,"",0)&lt;&gt;"",_xlfn.XLOOKUP(A459,'LPG Fup'!D:D,'LPG Fup'!M:M,"",0)&gt;0),"Z-1", AND(_xlfn.XLOOKUP(A459+1,'LPG Fup'!D:D,'LPG Fup'!M:M,"",0)&lt;&gt;"",_xlfn.XLOOKUP(A459+1,'LPG Fup'!D:D,'LPG Fup'!M:M,"",0)&gt;0),"Z-2", AND(_xlfn.XLOOKUP(A459-1,'LPG Fup'!D:D,'LPG Fup'!M:M,"",0)&lt;&gt;"",_xlfn.XLOOKUP(A459-1,'LPG Fup'!D:D,'LPG Fup'!M:M,"",0)&gt;0),"Z", AND(_xlfn.XLOOKUP(A459-2,'LPG Fup'!D:D,'LPG Fup'!M:M,"",0)&lt;&gt;"",_xlfn.XLOOKUP(A459-2,'LPG Fup'!D:D,'LPG Fup'!M:M,"",0)&gt;0),"Z+1"),0)</f>
        <v>0</v>
      </c>
      <c r="Q459" cm="1">
        <f t="array" ref="Q459">_xlfn.IFNA(_xlfn.IFS(AND(_xlfn.XLOOKUP(A459,'LPG Fup'!D:D,'LPG Fup'!M:M,"",0)&lt;&gt;"",_xlfn.XLOOKUP(A459,'LPG Fup'!D:D,'LPG Fup'!M:M,"",0)&lt;0),"I-1", AND(_xlfn.XLOOKUP(A459+1,'LPG Fup'!D:D,'LPG Fup'!M:M,"",0)&lt;&gt;"",_xlfn.XLOOKUP(A459+1,'LPG Fup'!D:D,'LPG Fup'!M:M,"",0)&lt;0),"I-2", AND(_xlfn.XLOOKUP(A459-1,'LPG Fup'!D:D,'LPG Fup'!M:M,"",0)&lt;&gt;"",_xlfn.XLOOKUP(A459-1,'LPG Fup'!D:D,'LPG Fup'!M:M,"",0)&lt;0),"I", AND(_xlfn.XLOOKUP(A459-2,'LPG Fup'!D:D,'LPG Fup'!M:M,"",0)&lt;&gt;"",_xlfn.XLOOKUP(A459-2,'LPG Fup'!D:D,'LPG Fup'!M:M,"",0)&lt;0),"I+1"),0)</f>
        <v>0</v>
      </c>
      <c r="R459">
        <f>_xlfn.XLOOKUP(A459,Covid!A:A,Covid!I:I,0,0)</f>
        <v>0</v>
      </c>
      <c r="S459">
        <f>_xlfn.XLOOKUP(A459,Covid!A:A,Covid!K:K,0,0)</f>
        <v>290</v>
      </c>
      <c r="T459" s="145">
        <f>_xlfn.XLOOKUP(A459,Covid!A:A,Covid!K:K,0,0)/_xlfn.XLOOKUP(A459,Covid!A:A,Covid!L:L,0,0)</f>
        <v>1.9124241624901082E-2</v>
      </c>
    </row>
    <row r="460" spans="1:20" x14ac:dyDescent="0.55000000000000004">
      <c r="A460" s="157">
        <v>44441</v>
      </c>
      <c r="B460" s="13">
        <v>1437740</v>
      </c>
      <c r="C460" s="13">
        <v>308544</v>
      </c>
      <c r="D460" s="13">
        <v>3509</v>
      </c>
      <c r="E460" s="13">
        <v>496844</v>
      </c>
      <c r="F460" s="13">
        <v>2246637</v>
      </c>
      <c r="G460">
        <f>IF(OR(_xlfn.XLOOKUP(A460,'LPG Fup'!D:D,'LPG Fup'!L:L,"",0)&gt;0.03,_xlfn.XLOOKUP(A460,'LPG Fup'!D:D,'LPG Fup'!L:L,"",0)&lt;-0.03),_xlfn.XLOOKUP(A460,'LPG Fup'!D:D,'LPG Fup'!L:L,0,0),0)</f>
        <v>0</v>
      </c>
      <c r="H460">
        <f>IF(_xlfn.XLOOKUP(A460,'LPG Fup'!D:D,'LPG Fup'!M:M,0,0)="",0,_xlfn.XLOOKUP(A460,'LPG Fup'!D:D,'LPG Fup'!M:M,0,0))</f>
        <v>0</v>
      </c>
      <c r="I460" s="109">
        <f>_xlfn.XLOOKUP(A460,'Rafineri Fiyatları'!A:A,'Rafineri Fiyatları'!B:B,"",0)</f>
        <v>5852.94</v>
      </c>
      <c r="J460">
        <f t="shared" si="28"/>
        <v>2021</v>
      </c>
      <c r="K460">
        <f t="shared" si="29"/>
        <v>9</v>
      </c>
      <c r="L460">
        <f t="shared" si="30"/>
        <v>2</v>
      </c>
      <c r="M460">
        <f t="shared" si="31"/>
        <v>5</v>
      </c>
      <c r="N460">
        <f>_xlfn.XLOOKUP(A460,tatiller!H:H,tatiller!I:I,0,0)</f>
        <v>0</v>
      </c>
      <c r="O460" t="str" cm="1">
        <f t="array" ref="O460">_xlfn.IFNA(_xlfn.IFS(L460=1,"A0",A460=EOMONTH(A460,0),"A-1",L460=2,"A+1"),0)</f>
        <v>A+1</v>
      </c>
      <c r="P460" cm="1">
        <f t="array" ref="P460">_xlfn.IFNA(_xlfn.IFS(AND(_xlfn.XLOOKUP(A460,'LPG Fup'!D:D,'LPG Fup'!M:M,"",0)&lt;&gt;"",_xlfn.XLOOKUP(A460,'LPG Fup'!D:D,'LPG Fup'!M:M,"",0)&gt;0),"Z-1", AND(_xlfn.XLOOKUP(A460+1,'LPG Fup'!D:D,'LPG Fup'!M:M,"",0)&lt;&gt;"",_xlfn.XLOOKUP(A460+1,'LPG Fup'!D:D,'LPG Fup'!M:M,"",0)&gt;0),"Z-2", AND(_xlfn.XLOOKUP(A460-1,'LPG Fup'!D:D,'LPG Fup'!M:M,"",0)&lt;&gt;"",_xlfn.XLOOKUP(A460-1,'LPG Fup'!D:D,'LPG Fup'!M:M,"",0)&gt;0),"Z", AND(_xlfn.XLOOKUP(A460-2,'LPG Fup'!D:D,'LPG Fup'!M:M,"",0)&lt;&gt;"",_xlfn.XLOOKUP(A460-2,'LPG Fup'!D:D,'LPG Fup'!M:M,"",0)&gt;0),"Z+1"),0)</f>
        <v>0</v>
      </c>
      <c r="Q460" cm="1">
        <f t="array" ref="Q460">_xlfn.IFNA(_xlfn.IFS(AND(_xlfn.XLOOKUP(A460,'LPG Fup'!D:D,'LPG Fup'!M:M,"",0)&lt;&gt;"",_xlfn.XLOOKUP(A460,'LPG Fup'!D:D,'LPG Fup'!M:M,"",0)&lt;0),"I-1", AND(_xlfn.XLOOKUP(A460+1,'LPG Fup'!D:D,'LPG Fup'!M:M,"",0)&lt;&gt;"",_xlfn.XLOOKUP(A460+1,'LPG Fup'!D:D,'LPG Fup'!M:M,"",0)&lt;0),"I-2", AND(_xlfn.XLOOKUP(A460-1,'LPG Fup'!D:D,'LPG Fup'!M:M,"",0)&lt;&gt;"",_xlfn.XLOOKUP(A460-1,'LPG Fup'!D:D,'LPG Fup'!M:M,"",0)&lt;0),"I", AND(_xlfn.XLOOKUP(A460-2,'LPG Fup'!D:D,'LPG Fup'!M:M,"",0)&lt;&gt;"",_xlfn.XLOOKUP(A460-2,'LPG Fup'!D:D,'LPG Fup'!M:M,"",0)&lt;0),"I+1"),0)</f>
        <v>0</v>
      </c>
      <c r="R460">
        <f>_xlfn.XLOOKUP(A460,Covid!A:A,Covid!I:I,0,0)</f>
        <v>0</v>
      </c>
      <c r="S460">
        <f>_xlfn.XLOOKUP(A460,Covid!A:A,Covid!K:K,0,0)</f>
        <v>283</v>
      </c>
      <c r="T460" s="145">
        <f>_xlfn.XLOOKUP(A460,Covid!A:A,Covid!K:K,0,0)/_xlfn.XLOOKUP(A460,Covid!A:A,Covid!L:L,0,0)</f>
        <v>1.4147170565886822E-2</v>
      </c>
    </row>
    <row r="461" spans="1:20" x14ac:dyDescent="0.55000000000000004">
      <c r="A461" s="157">
        <v>44442</v>
      </c>
      <c r="B461" s="13">
        <v>2240820</v>
      </c>
      <c r="C461" s="13">
        <v>422243</v>
      </c>
      <c r="D461" s="13">
        <v>10698</v>
      </c>
      <c r="E461" s="13">
        <v>535317</v>
      </c>
      <c r="F461" s="13">
        <v>3209078</v>
      </c>
      <c r="G461">
        <f>IF(OR(_xlfn.XLOOKUP(A461,'LPG Fup'!D:D,'LPG Fup'!L:L,"",0)&gt;0.03,_xlfn.XLOOKUP(A461,'LPG Fup'!D:D,'LPG Fup'!L:L,"",0)&lt;-0.03),_xlfn.XLOOKUP(A461,'LPG Fup'!D:D,'LPG Fup'!L:L,0,0),0)</f>
        <v>0</v>
      </c>
      <c r="H461">
        <f>IF(_xlfn.XLOOKUP(A461,'LPG Fup'!D:D,'LPG Fup'!M:M,0,0)="",0,_xlfn.XLOOKUP(A461,'LPG Fup'!D:D,'LPG Fup'!M:M,0,0))</f>
        <v>0</v>
      </c>
      <c r="I461" s="109">
        <f>_xlfn.XLOOKUP(A461,'Rafineri Fiyatları'!A:A,'Rafineri Fiyatları'!B:B,"",0)</f>
        <v>5852.94</v>
      </c>
      <c r="J461">
        <f t="shared" si="28"/>
        <v>2021</v>
      </c>
      <c r="K461">
        <f t="shared" si="29"/>
        <v>9</v>
      </c>
      <c r="L461">
        <f t="shared" si="30"/>
        <v>3</v>
      </c>
      <c r="M461">
        <f t="shared" si="31"/>
        <v>6</v>
      </c>
      <c r="N461">
        <f>_xlfn.XLOOKUP(A461,tatiller!H:H,tatiller!I:I,0,0)</f>
        <v>0</v>
      </c>
      <c r="O461" cm="1">
        <f t="array" ref="O461">_xlfn.IFNA(_xlfn.IFS(L461=1,"A0",A461=EOMONTH(A461,0),"A-1",L461=2,"A+1"),0)</f>
        <v>0</v>
      </c>
      <c r="P461" cm="1">
        <f t="array" ref="P461">_xlfn.IFNA(_xlfn.IFS(AND(_xlfn.XLOOKUP(A461,'LPG Fup'!D:D,'LPG Fup'!M:M,"",0)&lt;&gt;"",_xlfn.XLOOKUP(A461,'LPG Fup'!D:D,'LPG Fup'!M:M,"",0)&gt;0),"Z-1", AND(_xlfn.XLOOKUP(A461+1,'LPG Fup'!D:D,'LPG Fup'!M:M,"",0)&lt;&gt;"",_xlfn.XLOOKUP(A461+1,'LPG Fup'!D:D,'LPG Fup'!M:M,"",0)&gt;0),"Z-2", AND(_xlfn.XLOOKUP(A461-1,'LPG Fup'!D:D,'LPG Fup'!M:M,"",0)&lt;&gt;"",_xlfn.XLOOKUP(A461-1,'LPG Fup'!D:D,'LPG Fup'!M:M,"",0)&gt;0),"Z", AND(_xlfn.XLOOKUP(A461-2,'LPG Fup'!D:D,'LPG Fup'!M:M,"",0)&lt;&gt;"",_xlfn.XLOOKUP(A461-2,'LPG Fup'!D:D,'LPG Fup'!M:M,"",0)&gt;0),"Z+1"),0)</f>
        <v>0</v>
      </c>
      <c r="Q461" cm="1">
        <f t="array" ref="Q461">_xlfn.IFNA(_xlfn.IFS(AND(_xlfn.XLOOKUP(A461,'LPG Fup'!D:D,'LPG Fup'!M:M,"",0)&lt;&gt;"",_xlfn.XLOOKUP(A461,'LPG Fup'!D:D,'LPG Fup'!M:M,"",0)&lt;0),"I-1", AND(_xlfn.XLOOKUP(A461+1,'LPG Fup'!D:D,'LPG Fup'!M:M,"",0)&lt;&gt;"",_xlfn.XLOOKUP(A461+1,'LPG Fup'!D:D,'LPG Fup'!M:M,"",0)&lt;0),"I-2", AND(_xlfn.XLOOKUP(A461-1,'LPG Fup'!D:D,'LPG Fup'!M:M,"",0)&lt;&gt;"",_xlfn.XLOOKUP(A461-1,'LPG Fup'!D:D,'LPG Fup'!M:M,"",0)&lt;0),"I", AND(_xlfn.XLOOKUP(A461-2,'LPG Fup'!D:D,'LPG Fup'!M:M,"",0)&lt;&gt;"",_xlfn.XLOOKUP(A461-2,'LPG Fup'!D:D,'LPG Fup'!M:M,"",0)&lt;0),"I+1"),0)</f>
        <v>0</v>
      </c>
      <c r="R461">
        <f>_xlfn.XLOOKUP(A461,Covid!A:A,Covid!I:I,0,0)</f>
        <v>0</v>
      </c>
      <c r="S461">
        <f>_xlfn.XLOOKUP(A461,Covid!A:A,Covid!K:K,0,0)</f>
        <v>276</v>
      </c>
      <c r="T461" s="145">
        <f>_xlfn.XLOOKUP(A461,Covid!A:A,Covid!K:K,0,0)/_xlfn.XLOOKUP(A461,Covid!A:A,Covid!L:L,0,0)</f>
        <v>1.8999105114614168E-2</v>
      </c>
    </row>
    <row r="462" spans="1:20" x14ac:dyDescent="0.55000000000000004">
      <c r="A462" s="157">
        <v>44443</v>
      </c>
      <c r="B462" s="13">
        <v>1731140</v>
      </c>
      <c r="C462" s="13">
        <v>279085</v>
      </c>
      <c r="D462" s="13">
        <v>3800</v>
      </c>
      <c r="E462" s="13">
        <v>613560</v>
      </c>
      <c r="F462" s="13">
        <v>2627585</v>
      </c>
      <c r="G462">
        <f>IF(OR(_xlfn.XLOOKUP(A462,'LPG Fup'!D:D,'LPG Fup'!L:L,"",0)&gt;0.03,_xlfn.XLOOKUP(A462,'LPG Fup'!D:D,'LPG Fup'!L:L,"",0)&lt;-0.03),_xlfn.XLOOKUP(A462,'LPG Fup'!D:D,'LPG Fup'!L:L,0,0),0)</f>
        <v>0</v>
      </c>
      <c r="H462">
        <f>IF(_xlfn.XLOOKUP(A462,'LPG Fup'!D:D,'LPG Fup'!M:M,0,0)="",0,_xlfn.XLOOKUP(A462,'LPG Fup'!D:D,'LPG Fup'!M:M,0,0))</f>
        <v>0</v>
      </c>
      <c r="I462" s="109">
        <f>_xlfn.XLOOKUP(A462,'Rafineri Fiyatları'!A:A,'Rafineri Fiyatları'!B:B,"",0)</f>
        <v>5852.94</v>
      </c>
      <c r="J462">
        <f t="shared" si="28"/>
        <v>2021</v>
      </c>
      <c r="K462">
        <f t="shared" si="29"/>
        <v>9</v>
      </c>
      <c r="L462">
        <f t="shared" si="30"/>
        <v>4</v>
      </c>
      <c r="M462">
        <f t="shared" si="31"/>
        <v>7</v>
      </c>
      <c r="N462">
        <f>_xlfn.XLOOKUP(A462,tatiller!H:H,tatiller!I:I,0,0)</f>
        <v>0</v>
      </c>
      <c r="O462" cm="1">
        <f t="array" ref="O462">_xlfn.IFNA(_xlfn.IFS(L462=1,"A0",A462=EOMONTH(A462,0),"A-1",L462=2,"A+1"),0)</f>
        <v>0</v>
      </c>
      <c r="P462" cm="1">
        <f t="array" ref="P462">_xlfn.IFNA(_xlfn.IFS(AND(_xlfn.XLOOKUP(A462,'LPG Fup'!D:D,'LPG Fup'!M:M,"",0)&lt;&gt;"",_xlfn.XLOOKUP(A462,'LPG Fup'!D:D,'LPG Fup'!M:M,"",0)&gt;0),"Z-1", AND(_xlfn.XLOOKUP(A462+1,'LPG Fup'!D:D,'LPG Fup'!M:M,"",0)&lt;&gt;"",_xlfn.XLOOKUP(A462+1,'LPG Fup'!D:D,'LPG Fup'!M:M,"",0)&gt;0),"Z-2", AND(_xlfn.XLOOKUP(A462-1,'LPG Fup'!D:D,'LPG Fup'!M:M,"",0)&lt;&gt;"",_xlfn.XLOOKUP(A462-1,'LPG Fup'!D:D,'LPG Fup'!M:M,"",0)&gt;0),"Z", AND(_xlfn.XLOOKUP(A462-2,'LPG Fup'!D:D,'LPG Fup'!M:M,"",0)&lt;&gt;"",_xlfn.XLOOKUP(A462-2,'LPG Fup'!D:D,'LPG Fup'!M:M,"",0)&gt;0),"Z+1"),0)</f>
        <v>0</v>
      </c>
      <c r="Q462" cm="1">
        <f t="array" ref="Q462">_xlfn.IFNA(_xlfn.IFS(AND(_xlfn.XLOOKUP(A462,'LPG Fup'!D:D,'LPG Fup'!M:M,"",0)&lt;&gt;"",_xlfn.XLOOKUP(A462,'LPG Fup'!D:D,'LPG Fup'!M:M,"",0)&lt;0),"I-1", AND(_xlfn.XLOOKUP(A462+1,'LPG Fup'!D:D,'LPG Fup'!M:M,"",0)&lt;&gt;"",_xlfn.XLOOKUP(A462+1,'LPG Fup'!D:D,'LPG Fup'!M:M,"",0)&lt;0),"I-2", AND(_xlfn.XLOOKUP(A462-1,'LPG Fup'!D:D,'LPG Fup'!M:M,"",0)&lt;&gt;"",_xlfn.XLOOKUP(A462-1,'LPG Fup'!D:D,'LPG Fup'!M:M,"",0)&lt;0),"I", AND(_xlfn.XLOOKUP(A462-2,'LPG Fup'!D:D,'LPG Fup'!M:M,"",0)&lt;&gt;"",_xlfn.XLOOKUP(A462-2,'LPG Fup'!D:D,'LPG Fup'!M:M,"",0)&lt;0),"I+1"),0)</f>
        <v>0</v>
      </c>
      <c r="R462">
        <f>_xlfn.XLOOKUP(A462,Covid!A:A,Covid!I:I,0,0)</f>
        <v>0</v>
      </c>
      <c r="S462">
        <f>_xlfn.XLOOKUP(A462,Covid!A:A,Covid!K:K,0,0)</f>
        <v>278</v>
      </c>
      <c r="T462" s="145">
        <f>_xlfn.XLOOKUP(A462,Covid!A:A,Covid!K:K,0,0)/_xlfn.XLOOKUP(A462,Covid!A:A,Covid!L:L,0,0)</f>
        <v>1.4282778462803123E-2</v>
      </c>
    </row>
    <row r="463" spans="1:20" x14ac:dyDescent="0.55000000000000004">
      <c r="A463" s="157">
        <v>44444</v>
      </c>
      <c r="B463" s="13">
        <v>1353720</v>
      </c>
      <c r="C463" s="13">
        <v>0</v>
      </c>
      <c r="D463" s="13">
        <v>0</v>
      </c>
      <c r="E463" s="13">
        <v>474336</v>
      </c>
      <c r="F463" s="13">
        <v>1828056</v>
      </c>
      <c r="G463">
        <f>IF(OR(_xlfn.XLOOKUP(A463,'LPG Fup'!D:D,'LPG Fup'!L:L,"",0)&gt;0.03,_xlfn.XLOOKUP(A463,'LPG Fup'!D:D,'LPG Fup'!L:L,"",0)&lt;-0.03),_xlfn.XLOOKUP(A463,'LPG Fup'!D:D,'LPG Fup'!L:L,0,0),0)</f>
        <v>0</v>
      </c>
      <c r="H463">
        <f>IF(_xlfn.XLOOKUP(A463,'LPG Fup'!D:D,'LPG Fup'!M:M,0,0)="",0,_xlfn.XLOOKUP(A463,'LPG Fup'!D:D,'LPG Fup'!M:M,0,0))</f>
        <v>0</v>
      </c>
      <c r="I463" s="109">
        <f>_xlfn.XLOOKUP(A463,'Rafineri Fiyatları'!A:A,'Rafineri Fiyatları'!B:B,"",0)</f>
        <v>5852.94</v>
      </c>
      <c r="J463">
        <f t="shared" si="28"/>
        <v>2021</v>
      </c>
      <c r="K463">
        <f t="shared" si="29"/>
        <v>9</v>
      </c>
      <c r="L463">
        <f t="shared" si="30"/>
        <v>5</v>
      </c>
      <c r="M463">
        <f t="shared" si="31"/>
        <v>1</v>
      </c>
      <c r="N463">
        <f>_xlfn.XLOOKUP(A463,tatiller!H:H,tatiller!I:I,0,0)</f>
        <v>0</v>
      </c>
      <c r="O463" cm="1">
        <f t="array" ref="O463">_xlfn.IFNA(_xlfn.IFS(L463=1,"A0",A463=EOMONTH(A463,0),"A-1",L463=2,"A+1"),0)</f>
        <v>0</v>
      </c>
      <c r="P463" cm="1">
        <f t="array" ref="P463">_xlfn.IFNA(_xlfn.IFS(AND(_xlfn.XLOOKUP(A463,'LPG Fup'!D:D,'LPG Fup'!M:M,"",0)&lt;&gt;"",_xlfn.XLOOKUP(A463,'LPG Fup'!D:D,'LPG Fup'!M:M,"",0)&gt;0),"Z-1", AND(_xlfn.XLOOKUP(A463+1,'LPG Fup'!D:D,'LPG Fup'!M:M,"",0)&lt;&gt;"",_xlfn.XLOOKUP(A463+1,'LPG Fup'!D:D,'LPG Fup'!M:M,"",0)&gt;0),"Z-2", AND(_xlfn.XLOOKUP(A463-1,'LPG Fup'!D:D,'LPG Fup'!M:M,"",0)&lt;&gt;"",_xlfn.XLOOKUP(A463-1,'LPG Fup'!D:D,'LPG Fup'!M:M,"",0)&gt;0),"Z", AND(_xlfn.XLOOKUP(A463-2,'LPG Fup'!D:D,'LPG Fup'!M:M,"",0)&lt;&gt;"",_xlfn.XLOOKUP(A463-2,'LPG Fup'!D:D,'LPG Fup'!M:M,"",0)&gt;0),"Z+1"),0)</f>
        <v>0</v>
      </c>
      <c r="Q463" cm="1">
        <f t="array" ref="Q463">_xlfn.IFNA(_xlfn.IFS(AND(_xlfn.XLOOKUP(A463,'LPG Fup'!D:D,'LPG Fup'!M:M,"",0)&lt;&gt;"",_xlfn.XLOOKUP(A463,'LPG Fup'!D:D,'LPG Fup'!M:M,"",0)&lt;0),"I-1", AND(_xlfn.XLOOKUP(A463+1,'LPG Fup'!D:D,'LPG Fup'!M:M,"",0)&lt;&gt;"",_xlfn.XLOOKUP(A463+1,'LPG Fup'!D:D,'LPG Fup'!M:M,"",0)&lt;0),"I-2", AND(_xlfn.XLOOKUP(A463-1,'LPG Fup'!D:D,'LPG Fup'!M:M,"",0)&lt;&gt;"",_xlfn.XLOOKUP(A463-1,'LPG Fup'!D:D,'LPG Fup'!M:M,"",0)&lt;0),"I", AND(_xlfn.XLOOKUP(A463-2,'LPG Fup'!D:D,'LPG Fup'!M:M,"",0)&lt;&gt;"",_xlfn.XLOOKUP(A463-2,'LPG Fup'!D:D,'LPG Fup'!M:M,"",0)&lt;0),"I+1"),0)</f>
        <v>0</v>
      </c>
      <c r="R463">
        <f>_xlfn.XLOOKUP(A463,Covid!A:A,Covid!I:I,0,0)</f>
        <v>0</v>
      </c>
      <c r="S463">
        <f>_xlfn.XLOOKUP(A463,Covid!A:A,Covid!K:K,0,0)</f>
        <v>269</v>
      </c>
      <c r="T463" s="145">
        <f>_xlfn.XLOOKUP(A463,Covid!A:A,Covid!K:K,0,0)/_xlfn.XLOOKUP(A463,Covid!A:A,Covid!L:L,0,0)</f>
        <v>1.1074972209642224E-2</v>
      </c>
    </row>
    <row r="464" spans="1:20" x14ac:dyDescent="0.55000000000000004">
      <c r="A464" s="157">
        <v>44445</v>
      </c>
      <c r="B464" s="13">
        <v>2051040</v>
      </c>
      <c r="C464" s="13">
        <v>510915</v>
      </c>
      <c r="D464" s="13">
        <v>9677</v>
      </c>
      <c r="E464" s="13">
        <v>507494</v>
      </c>
      <c r="F464" s="13">
        <v>3079126</v>
      </c>
      <c r="G464">
        <f>IF(OR(_xlfn.XLOOKUP(A464,'LPG Fup'!D:D,'LPG Fup'!L:L,"",0)&gt;0.03,_xlfn.XLOOKUP(A464,'LPG Fup'!D:D,'LPG Fup'!L:L,"",0)&lt;-0.03),_xlfn.XLOOKUP(A464,'LPG Fup'!D:D,'LPG Fup'!L:L,0,0),0)</f>
        <v>0</v>
      </c>
      <c r="H464">
        <f>IF(_xlfn.XLOOKUP(A464,'LPG Fup'!D:D,'LPG Fup'!M:M,0,0)="",0,_xlfn.XLOOKUP(A464,'LPG Fup'!D:D,'LPG Fup'!M:M,0,0))</f>
        <v>0</v>
      </c>
      <c r="I464" s="109">
        <f>_xlfn.XLOOKUP(A464,'Rafineri Fiyatları'!A:A,'Rafineri Fiyatları'!B:B,"",0)</f>
        <v>5852.94</v>
      </c>
      <c r="J464">
        <f t="shared" si="28"/>
        <v>2021</v>
      </c>
      <c r="K464">
        <f t="shared" si="29"/>
        <v>9</v>
      </c>
      <c r="L464">
        <f t="shared" si="30"/>
        <v>6</v>
      </c>
      <c r="M464">
        <f t="shared" si="31"/>
        <v>2</v>
      </c>
      <c r="N464">
        <f>_xlfn.XLOOKUP(A464,tatiller!H:H,tatiller!I:I,0,0)</f>
        <v>0</v>
      </c>
      <c r="O464" cm="1">
        <f t="array" ref="O464">_xlfn.IFNA(_xlfn.IFS(L464=1,"A0",A464=EOMONTH(A464,0),"A-1",L464=2,"A+1"),0)</f>
        <v>0</v>
      </c>
      <c r="P464" cm="1">
        <f t="array" ref="P464">_xlfn.IFNA(_xlfn.IFS(AND(_xlfn.XLOOKUP(A464,'LPG Fup'!D:D,'LPG Fup'!M:M,"",0)&lt;&gt;"",_xlfn.XLOOKUP(A464,'LPG Fup'!D:D,'LPG Fup'!M:M,"",0)&gt;0),"Z-1", AND(_xlfn.XLOOKUP(A464+1,'LPG Fup'!D:D,'LPG Fup'!M:M,"",0)&lt;&gt;"",_xlfn.XLOOKUP(A464+1,'LPG Fup'!D:D,'LPG Fup'!M:M,"",0)&gt;0),"Z-2", AND(_xlfn.XLOOKUP(A464-1,'LPG Fup'!D:D,'LPG Fup'!M:M,"",0)&lt;&gt;"",_xlfn.XLOOKUP(A464-1,'LPG Fup'!D:D,'LPG Fup'!M:M,"",0)&gt;0),"Z", AND(_xlfn.XLOOKUP(A464-2,'LPG Fup'!D:D,'LPG Fup'!M:M,"",0)&lt;&gt;"",_xlfn.XLOOKUP(A464-2,'LPG Fup'!D:D,'LPG Fup'!M:M,"",0)&gt;0),"Z+1"),0)</f>
        <v>0</v>
      </c>
      <c r="Q464" cm="1">
        <f t="array" ref="Q464">_xlfn.IFNA(_xlfn.IFS(AND(_xlfn.XLOOKUP(A464,'LPG Fup'!D:D,'LPG Fup'!M:M,"",0)&lt;&gt;"",_xlfn.XLOOKUP(A464,'LPG Fup'!D:D,'LPG Fup'!M:M,"",0)&lt;0),"I-1", AND(_xlfn.XLOOKUP(A464+1,'LPG Fup'!D:D,'LPG Fup'!M:M,"",0)&lt;&gt;"",_xlfn.XLOOKUP(A464+1,'LPG Fup'!D:D,'LPG Fup'!M:M,"",0)&lt;0),"I-2", AND(_xlfn.XLOOKUP(A464-1,'LPG Fup'!D:D,'LPG Fup'!M:M,"",0)&lt;&gt;"",_xlfn.XLOOKUP(A464-1,'LPG Fup'!D:D,'LPG Fup'!M:M,"",0)&lt;0),"I", AND(_xlfn.XLOOKUP(A464-2,'LPG Fup'!D:D,'LPG Fup'!M:M,"",0)&lt;&gt;"",_xlfn.XLOOKUP(A464-2,'LPG Fup'!D:D,'LPG Fup'!M:M,"",0)&lt;0),"I+1"),0)</f>
        <v>0</v>
      </c>
      <c r="R464">
        <f>_xlfn.XLOOKUP(A464,Covid!A:A,Covid!I:I,0,0)</f>
        <v>0</v>
      </c>
      <c r="S464">
        <f>_xlfn.XLOOKUP(A464,Covid!A:A,Covid!K:K,0,0)</f>
        <v>271</v>
      </c>
      <c r="T464" s="145">
        <f>_xlfn.XLOOKUP(A464,Covid!A:A,Covid!K:K,0,0)/_xlfn.XLOOKUP(A464,Covid!A:A,Covid!L:L,0,0)</f>
        <v>9.24063149998295E-3</v>
      </c>
    </row>
    <row r="465" spans="1:20" x14ac:dyDescent="0.55000000000000004">
      <c r="A465" s="157">
        <v>44446</v>
      </c>
      <c r="B465" s="13">
        <v>1799540</v>
      </c>
      <c r="C465" s="13">
        <v>424231</v>
      </c>
      <c r="D465" s="13">
        <v>10485</v>
      </c>
      <c r="E465" s="13">
        <v>554623</v>
      </c>
      <c r="F465" s="13">
        <v>2788879</v>
      </c>
      <c r="G465">
        <f>IF(OR(_xlfn.XLOOKUP(A465,'LPG Fup'!D:D,'LPG Fup'!L:L,"",0)&gt;0.03,_xlfn.XLOOKUP(A465,'LPG Fup'!D:D,'LPG Fup'!L:L,"",0)&lt;-0.03),_xlfn.XLOOKUP(A465,'LPG Fup'!D:D,'LPG Fup'!L:L,0,0),0)</f>
        <v>0</v>
      </c>
      <c r="H465">
        <f>IF(_xlfn.XLOOKUP(A465,'LPG Fup'!D:D,'LPG Fup'!M:M,0,0)="",0,_xlfn.XLOOKUP(A465,'LPG Fup'!D:D,'LPG Fup'!M:M,0,0))</f>
        <v>0</v>
      </c>
      <c r="I465" s="109">
        <f>_xlfn.XLOOKUP(A465,'Rafineri Fiyatları'!A:A,'Rafineri Fiyatları'!B:B,"",0)</f>
        <v>5852.94</v>
      </c>
      <c r="J465">
        <f t="shared" si="28"/>
        <v>2021</v>
      </c>
      <c r="K465">
        <f t="shared" si="29"/>
        <v>9</v>
      </c>
      <c r="L465">
        <f t="shared" si="30"/>
        <v>7</v>
      </c>
      <c r="M465">
        <f t="shared" si="31"/>
        <v>3</v>
      </c>
      <c r="N465">
        <f>_xlfn.XLOOKUP(A465,tatiller!H:H,tatiller!I:I,0,0)</f>
        <v>0</v>
      </c>
      <c r="O465" cm="1">
        <f t="array" ref="O465">_xlfn.IFNA(_xlfn.IFS(L465=1,"A0",A465=EOMONTH(A465,0),"A-1",L465=2,"A+1"),0)</f>
        <v>0</v>
      </c>
      <c r="P465" cm="1">
        <f t="array" ref="P465">_xlfn.IFNA(_xlfn.IFS(AND(_xlfn.XLOOKUP(A465,'LPG Fup'!D:D,'LPG Fup'!M:M,"",0)&lt;&gt;"",_xlfn.XLOOKUP(A465,'LPG Fup'!D:D,'LPG Fup'!M:M,"",0)&gt;0),"Z-1", AND(_xlfn.XLOOKUP(A465+1,'LPG Fup'!D:D,'LPG Fup'!M:M,"",0)&lt;&gt;"",_xlfn.XLOOKUP(A465+1,'LPG Fup'!D:D,'LPG Fup'!M:M,"",0)&gt;0),"Z-2", AND(_xlfn.XLOOKUP(A465-1,'LPG Fup'!D:D,'LPG Fup'!M:M,"",0)&lt;&gt;"",_xlfn.XLOOKUP(A465-1,'LPG Fup'!D:D,'LPG Fup'!M:M,"",0)&gt;0),"Z", AND(_xlfn.XLOOKUP(A465-2,'LPG Fup'!D:D,'LPG Fup'!M:M,"",0)&lt;&gt;"",_xlfn.XLOOKUP(A465-2,'LPG Fup'!D:D,'LPG Fup'!M:M,"",0)&gt;0),"Z+1"),0)</f>
        <v>0</v>
      </c>
      <c r="Q465" cm="1">
        <f t="array" ref="Q465">_xlfn.IFNA(_xlfn.IFS(AND(_xlfn.XLOOKUP(A465,'LPG Fup'!D:D,'LPG Fup'!M:M,"",0)&lt;&gt;"",_xlfn.XLOOKUP(A465,'LPG Fup'!D:D,'LPG Fup'!M:M,"",0)&lt;0),"I-1", AND(_xlfn.XLOOKUP(A465+1,'LPG Fup'!D:D,'LPG Fup'!M:M,"",0)&lt;&gt;"",_xlfn.XLOOKUP(A465+1,'LPG Fup'!D:D,'LPG Fup'!M:M,"",0)&lt;0),"I-2", AND(_xlfn.XLOOKUP(A465-1,'LPG Fup'!D:D,'LPG Fup'!M:M,"",0)&lt;&gt;"",_xlfn.XLOOKUP(A465-1,'LPG Fup'!D:D,'LPG Fup'!M:M,"",0)&lt;0),"I", AND(_xlfn.XLOOKUP(A465-2,'LPG Fup'!D:D,'LPG Fup'!M:M,"",0)&lt;&gt;"",_xlfn.XLOOKUP(A465-2,'LPG Fup'!D:D,'LPG Fup'!M:M,"",0)&lt;0),"I+1"),0)</f>
        <v>0</v>
      </c>
      <c r="R465">
        <f>_xlfn.XLOOKUP(A465,Covid!A:A,Covid!I:I,0,0)</f>
        <v>0</v>
      </c>
      <c r="S465">
        <f>_xlfn.XLOOKUP(A465,Covid!A:A,Covid!K:K,0,0)</f>
        <v>274</v>
      </c>
      <c r="T465" s="145">
        <f>_xlfn.XLOOKUP(A465,Covid!A:A,Covid!K:K,0,0)/_xlfn.XLOOKUP(A465,Covid!A:A,Covid!L:L,0,0)</f>
        <v>7.9646532178361731E-3</v>
      </c>
    </row>
    <row r="466" spans="1:20" x14ac:dyDescent="0.55000000000000004">
      <c r="A466" s="157">
        <v>44447</v>
      </c>
      <c r="B466" s="13">
        <v>2572749</v>
      </c>
      <c r="C466" s="13">
        <v>451749</v>
      </c>
      <c r="D466" s="13">
        <v>10112</v>
      </c>
      <c r="E466" s="13">
        <v>458502</v>
      </c>
      <c r="F466" s="13">
        <v>5189317</v>
      </c>
      <c r="G466">
        <f>IF(OR(_xlfn.XLOOKUP(A466,'LPG Fup'!D:D,'LPG Fup'!L:L,"",0)&gt;0.03,_xlfn.XLOOKUP(A466,'LPG Fup'!D:D,'LPG Fup'!L:L,"",0)&lt;-0.03),_xlfn.XLOOKUP(A466,'LPG Fup'!D:D,'LPG Fup'!L:L,0,0),0)</f>
        <v>0</v>
      </c>
      <c r="H466">
        <f>IF(_xlfn.XLOOKUP(A466,'LPG Fup'!D:D,'LPG Fup'!M:M,0,0)="",0,_xlfn.XLOOKUP(A466,'LPG Fup'!D:D,'LPG Fup'!M:M,0,0))</f>
        <v>0</v>
      </c>
      <c r="I466" s="109">
        <f>_xlfn.XLOOKUP(A466,'Rafineri Fiyatları'!A:A,'Rafineri Fiyatları'!B:B,"",0)</f>
        <v>5852.94</v>
      </c>
      <c r="J466">
        <f t="shared" si="28"/>
        <v>2021</v>
      </c>
      <c r="K466">
        <f t="shared" si="29"/>
        <v>9</v>
      </c>
      <c r="L466">
        <f t="shared" si="30"/>
        <v>8</v>
      </c>
      <c r="M466">
        <f t="shared" si="31"/>
        <v>4</v>
      </c>
      <c r="N466">
        <f>_xlfn.XLOOKUP(A466,tatiller!H:H,tatiller!I:I,0,0)</f>
        <v>0</v>
      </c>
      <c r="O466" cm="1">
        <f t="array" ref="O466">_xlfn.IFNA(_xlfn.IFS(L466=1,"A0",A466=EOMONTH(A466,0),"A-1",L466=2,"A+1"),0)</f>
        <v>0</v>
      </c>
      <c r="P466" cm="1">
        <f t="array" ref="P466">_xlfn.IFNA(_xlfn.IFS(AND(_xlfn.XLOOKUP(A466,'LPG Fup'!D:D,'LPG Fup'!M:M,"",0)&lt;&gt;"",_xlfn.XLOOKUP(A466,'LPG Fup'!D:D,'LPG Fup'!M:M,"",0)&gt;0),"Z-1", AND(_xlfn.XLOOKUP(A466+1,'LPG Fup'!D:D,'LPG Fup'!M:M,"",0)&lt;&gt;"",_xlfn.XLOOKUP(A466+1,'LPG Fup'!D:D,'LPG Fup'!M:M,"",0)&gt;0),"Z-2", AND(_xlfn.XLOOKUP(A466-1,'LPG Fup'!D:D,'LPG Fup'!M:M,"",0)&lt;&gt;"",_xlfn.XLOOKUP(A466-1,'LPG Fup'!D:D,'LPG Fup'!M:M,"",0)&gt;0),"Z", AND(_xlfn.XLOOKUP(A466-2,'LPG Fup'!D:D,'LPG Fup'!M:M,"",0)&lt;&gt;"",_xlfn.XLOOKUP(A466-2,'LPG Fup'!D:D,'LPG Fup'!M:M,"",0)&gt;0),"Z+1"),0)</f>
        <v>0</v>
      </c>
      <c r="Q466" cm="1">
        <f t="array" ref="Q466">_xlfn.IFNA(_xlfn.IFS(AND(_xlfn.XLOOKUP(A466,'LPG Fup'!D:D,'LPG Fup'!M:M,"",0)&lt;&gt;"",_xlfn.XLOOKUP(A466,'LPG Fup'!D:D,'LPG Fup'!M:M,"",0)&lt;0),"I-1", AND(_xlfn.XLOOKUP(A466+1,'LPG Fup'!D:D,'LPG Fup'!M:M,"",0)&lt;&gt;"",_xlfn.XLOOKUP(A466+1,'LPG Fup'!D:D,'LPG Fup'!M:M,"",0)&lt;0),"I-2", AND(_xlfn.XLOOKUP(A466-1,'LPG Fup'!D:D,'LPG Fup'!M:M,"",0)&lt;&gt;"",_xlfn.XLOOKUP(A466-1,'LPG Fup'!D:D,'LPG Fup'!M:M,"",0)&lt;0),"I", AND(_xlfn.XLOOKUP(A466-2,'LPG Fup'!D:D,'LPG Fup'!M:M,"",0)&lt;&gt;"",_xlfn.XLOOKUP(A466-2,'LPG Fup'!D:D,'LPG Fup'!M:M,"",0)&lt;0),"I+1"),0)</f>
        <v>0</v>
      </c>
      <c r="R466">
        <f>_xlfn.XLOOKUP(A466,Covid!A:A,Covid!I:I,0,0)</f>
        <v>0</v>
      </c>
      <c r="S466">
        <f>_xlfn.XLOOKUP(A466,Covid!A:A,Covid!K:K,0,0)</f>
        <v>262</v>
      </c>
      <c r="T466" s="145">
        <f>_xlfn.XLOOKUP(A466,Covid!A:A,Covid!K:K,0,0)/_xlfn.XLOOKUP(A466,Covid!A:A,Covid!L:L,0,0)</f>
        <v>8.7034514832408736E-3</v>
      </c>
    </row>
    <row r="467" spans="1:20" x14ac:dyDescent="0.55000000000000004">
      <c r="A467" s="157">
        <v>44448</v>
      </c>
      <c r="B467" s="13">
        <v>1540820</v>
      </c>
      <c r="C467" s="13">
        <v>420664</v>
      </c>
      <c r="D467" s="13">
        <v>6451</v>
      </c>
      <c r="E467" s="13">
        <v>504415</v>
      </c>
      <c r="F467" s="13">
        <v>2472350</v>
      </c>
      <c r="G467">
        <f>IF(OR(_xlfn.XLOOKUP(A467,'LPG Fup'!D:D,'LPG Fup'!L:L,"",0)&gt;0.03,_xlfn.XLOOKUP(A467,'LPG Fup'!D:D,'LPG Fup'!L:L,"",0)&lt;-0.03),_xlfn.XLOOKUP(A467,'LPG Fup'!D:D,'LPG Fup'!L:L,0,0),0)</f>
        <v>0</v>
      </c>
      <c r="H467">
        <f>IF(_xlfn.XLOOKUP(A467,'LPG Fup'!D:D,'LPG Fup'!M:M,0,0)="",0,_xlfn.XLOOKUP(A467,'LPG Fup'!D:D,'LPG Fup'!M:M,0,0))</f>
        <v>0</v>
      </c>
      <c r="I467" s="109">
        <f>_xlfn.XLOOKUP(A467,'Rafineri Fiyatları'!A:A,'Rafineri Fiyatları'!B:B,"",0)</f>
        <v>5852.94</v>
      </c>
      <c r="J467">
        <f t="shared" si="28"/>
        <v>2021</v>
      </c>
      <c r="K467">
        <f t="shared" si="29"/>
        <v>9</v>
      </c>
      <c r="L467">
        <f t="shared" si="30"/>
        <v>9</v>
      </c>
      <c r="M467">
        <f t="shared" si="31"/>
        <v>5</v>
      </c>
      <c r="N467">
        <f>_xlfn.XLOOKUP(A467,tatiller!H:H,tatiller!I:I,0,0)</f>
        <v>0</v>
      </c>
      <c r="O467" cm="1">
        <f t="array" ref="O467">_xlfn.IFNA(_xlfn.IFS(L467=1,"A0",A467=EOMONTH(A467,0),"A-1",L467=2,"A+1"),0)</f>
        <v>0</v>
      </c>
      <c r="P467" cm="1">
        <f t="array" ref="P467">_xlfn.IFNA(_xlfn.IFS(AND(_xlfn.XLOOKUP(A467,'LPG Fup'!D:D,'LPG Fup'!M:M,"",0)&lt;&gt;"",_xlfn.XLOOKUP(A467,'LPG Fup'!D:D,'LPG Fup'!M:M,"",0)&gt;0),"Z-1", AND(_xlfn.XLOOKUP(A467+1,'LPG Fup'!D:D,'LPG Fup'!M:M,"",0)&lt;&gt;"",_xlfn.XLOOKUP(A467+1,'LPG Fup'!D:D,'LPG Fup'!M:M,"",0)&gt;0),"Z-2", AND(_xlfn.XLOOKUP(A467-1,'LPG Fup'!D:D,'LPG Fup'!M:M,"",0)&lt;&gt;"",_xlfn.XLOOKUP(A467-1,'LPG Fup'!D:D,'LPG Fup'!M:M,"",0)&gt;0),"Z", AND(_xlfn.XLOOKUP(A467-2,'LPG Fup'!D:D,'LPG Fup'!M:M,"",0)&lt;&gt;"",_xlfn.XLOOKUP(A467-2,'LPG Fup'!D:D,'LPG Fup'!M:M,"",0)&gt;0),"Z+1"),0)</f>
        <v>0</v>
      </c>
      <c r="Q467" cm="1">
        <f t="array" ref="Q467">_xlfn.IFNA(_xlfn.IFS(AND(_xlfn.XLOOKUP(A467,'LPG Fup'!D:D,'LPG Fup'!M:M,"",0)&lt;&gt;"",_xlfn.XLOOKUP(A467,'LPG Fup'!D:D,'LPG Fup'!M:M,"",0)&lt;0),"I-1", AND(_xlfn.XLOOKUP(A467+1,'LPG Fup'!D:D,'LPG Fup'!M:M,"",0)&lt;&gt;"",_xlfn.XLOOKUP(A467+1,'LPG Fup'!D:D,'LPG Fup'!M:M,"",0)&lt;0),"I-2", AND(_xlfn.XLOOKUP(A467-1,'LPG Fup'!D:D,'LPG Fup'!M:M,"",0)&lt;&gt;"",_xlfn.XLOOKUP(A467-1,'LPG Fup'!D:D,'LPG Fup'!M:M,"",0)&lt;0),"I", AND(_xlfn.XLOOKUP(A467-2,'LPG Fup'!D:D,'LPG Fup'!M:M,"",0)&lt;&gt;"",_xlfn.XLOOKUP(A467-2,'LPG Fup'!D:D,'LPG Fup'!M:M,"",0)&lt;0),"I+1"),0)</f>
        <v>0</v>
      </c>
      <c r="R467">
        <f>_xlfn.XLOOKUP(A467,Covid!A:A,Covid!I:I,0,0)</f>
        <v>0</v>
      </c>
      <c r="S467">
        <f>_xlfn.XLOOKUP(A467,Covid!A:A,Covid!K:K,0,0)</f>
        <v>257</v>
      </c>
      <c r="T467" s="145">
        <f>_xlfn.XLOOKUP(A467,Covid!A:A,Covid!K:K,0,0)/_xlfn.XLOOKUP(A467,Covid!A:A,Covid!L:L,0,0)</f>
        <v>8.2050954600600221E-3</v>
      </c>
    </row>
    <row r="468" spans="1:20" x14ac:dyDescent="0.55000000000000004">
      <c r="A468" s="157">
        <v>44449</v>
      </c>
      <c r="B468" s="13">
        <v>1686080</v>
      </c>
      <c r="C468" s="13">
        <v>529034</v>
      </c>
      <c r="D468" s="13">
        <v>6011</v>
      </c>
      <c r="E468" s="13">
        <v>589276</v>
      </c>
      <c r="F468" s="13">
        <v>2810401</v>
      </c>
      <c r="G468">
        <f>IF(OR(_xlfn.XLOOKUP(A468,'LPG Fup'!D:D,'LPG Fup'!L:L,"",0)&gt;0.03,_xlfn.XLOOKUP(A468,'LPG Fup'!D:D,'LPG Fup'!L:L,"",0)&lt;-0.03),_xlfn.XLOOKUP(A468,'LPG Fup'!D:D,'LPG Fup'!L:L,0,0),0)</f>
        <v>0</v>
      </c>
      <c r="H468">
        <f>IF(_xlfn.XLOOKUP(A468,'LPG Fup'!D:D,'LPG Fup'!M:M,0,0)="",0,_xlfn.XLOOKUP(A468,'LPG Fup'!D:D,'LPG Fup'!M:M,0,0))</f>
        <v>0</v>
      </c>
      <c r="I468" s="109">
        <f>_xlfn.XLOOKUP(A468,'Rafineri Fiyatları'!A:A,'Rafineri Fiyatları'!B:B,"",0)</f>
        <v>5852.94</v>
      </c>
      <c r="J468">
        <f t="shared" si="28"/>
        <v>2021</v>
      </c>
      <c r="K468">
        <f t="shared" si="29"/>
        <v>9</v>
      </c>
      <c r="L468">
        <f t="shared" si="30"/>
        <v>10</v>
      </c>
      <c r="M468">
        <f t="shared" si="31"/>
        <v>6</v>
      </c>
      <c r="N468">
        <f>_xlfn.XLOOKUP(A468,tatiller!H:H,tatiller!I:I,0,0)</f>
        <v>0</v>
      </c>
      <c r="O468" cm="1">
        <f t="array" ref="O468">_xlfn.IFNA(_xlfn.IFS(L468=1,"A0",A468=EOMONTH(A468,0),"A-1",L468=2,"A+1"),0)</f>
        <v>0</v>
      </c>
      <c r="P468" cm="1">
        <f t="array" ref="P468">_xlfn.IFNA(_xlfn.IFS(AND(_xlfn.XLOOKUP(A468,'LPG Fup'!D:D,'LPG Fup'!M:M,"",0)&lt;&gt;"",_xlfn.XLOOKUP(A468,'LPG Fup'!D:D,'LPG Fup'!M:M,"",0)&gt;0),"Z-1", AND(_xlfn.XLOOKUP(A468+1,'LPG Fup'!D:D,'LPG Fup'!M:M,"",0)&lt;&gt;"",_xlfn.XLOOKUP(A468+1,'LPG Fup'!D:D,'LPG Fup'!M:M,"",0)&gt;0),"Z-2", AND(_xlfn.XLOOKUP(A468-1,'LPG Fup'!D:D,'LPG Fup'!M:M,"",0)&lt;&gt;"",_xlfn.XLOOKUP(A468-1,'LPG Fup'!D:D,'LPG Fup'!M:M,"",0)&gt;0),"Z", AND(_xlfn.XLOOKUP(A468-2,'LPG Fup'!D:D,'LPG Fup'!M:M,"",0)&lt;&gt;"",_xlfn.XLOOKUP(A468-2,'LPG Fup'!D:D,'LPG Fup'!M:M,"",0)&gt;0),"Z+1"),0)</f>
        <v>0</v>
      </c>
      <c r="Q468" cm="1">
        <f t="array" ref="Q468">_xlfn.IFNA(_xlfn.IFS(AND(_xlfn.XLOOKUP(A468,'LPG Fup'!D:D,'LPG Fup'!M:M,"",0)&lt;&gt;"",_xlfn.XLOOKUP(A468,'LPG Fup'!D:D,'LPG Fup'!M:M,"",0)&lt;0),"I-1", AND(_xlfn.XLOOKUP(A468+1,'LPG Fup'!D:D,'LPG Fup'!M:M,"",0)&lt;&gt;"",_xlfn.XLOOKUP(A468+1,'LPG Fup'!D:D,'LPG Fup'!M:M,"",0)&lt;0),"I-2", AND(_xlfn.XLOOKUP(A468-1,'LPG Fup'!D:D,'LPG Fup'!M:M,"",0)&lt;&gt;"",_xlfn.XLOOKUP(A468-1,'LPG Fup'!D:D,'LPG Fup'!M:M,"",0)&lt;0),"I", AND(_xlfn.XLOOKUP(A468-2,'LPG Fup'!D:D,'LPG Fup'!M:M,"",0)&lt;&gt;"",_xlfn.XLOOKUP(A468-2,'LPG Fup'!D:D,'LPG Fup'!M:M,"",0)&lt;0),"I+1"),0)</f>
        <v>0</v>
      </c>
      <c r="R468">
        <f>_xlfn.XLOOKUP(A468,Covid!A:A,Covid!I:I,0,0)</f>
        <v>0</v>
      </c>
      <c r="S468">
        <f>_xlfn.XLOOKUP(A468,Covid!A:A,Covid!K:K,0,0)</f>
        <v>214</v>
      </c>
      <c r="T468" s="145">
        <f>_xlfn.XLOOKUP(A468,Covid!A:A,Covid!K:K,0,0)/_xlfn.XLOOKUP(A468,Covid!A:A,Covid!L:L,0,0)</f>
        <v>6.0998204258472764E-3</v>
      </c>
    </row>
    <row r="469" spans="1:20" x14ac:dyDescent="0.55000000000000004">
      <c r="A469" s="157">
        <v>44450</v>
      </c>
      <c r="B469" s="13">
        <v>1107480</v>
      </c>
      <c r="C469" s="13">
        <v>259504</v>
      </c>
      <c r="D469" s="13">
        <v>3005</v>
      </c>
      <c r="E469" s="13">
        <v>559536</v>
      </c>
      <c r="F469" s="13">
        <v>4129434</v>
      </c>
      <c r="G469">
        <f>IF(OR(_xlfn.XLOOKUP(A469,'LPG Fup'!D:D,'LPG Fup'!L:L,"",0)&gt;0.03,_xlfn.XLOOKUP(A469,'LPG Fup'!D:D,'LPG Fup'!L:L,"",0)&lt;-0.03),_xlfn.XLOOKUP(A469,'LPG Fup'!D:D,'LPG Fup'!L:L,0,0),0)</f>
        <v>0</v>
      </c>
      <c r="H469">
        <f>IF(_xlfn.XLOOKUP(A469,'LPG Fup'!D:D,'LPG Fup'!M:M,0,0)="",0,_xlfn.XLOOKUP(A469,'LPG Fup'!D:D,'LPG Fup'!M:M,0,0))</f>
        <v>0</v>
      </c>
      <c r="I469" s="109">
        <f>_xlfn.XLOOKUP(A469,'Rafineri Fiyatları'!A:A,'Rafineri Fiyatları'!B:B,"",0)</f>
        <v>5852.94</v>
      </c>
      <c r="J469">
        <f t="shared" si="28"/>
        <v>2021</v>
      </c>
      <c r="K469">
        <f t="shared" si="29"/>
        <v>9</v>
      </c>
      <c r="L469">
        <f t="shared" si="30"/>
        <v>11</v>
      </c>
      <c r="M469">
        <f t="shared" si="31"/>
        <v>7</v>
      </c>
      <c r="N469">
        <f>_xlfn.XLOOKUP(A469,tatiller!H:H,tatiller!I:I,0,0)</f>
        <v>0</v>
      </c>
      <c r="O469" cm="1">
        <f t="array" ref="O469">_xlfn.IFNA(_xlfn.IFS(L469=1,"A0",A469=EOMONTH(A469,0),"A-1",L469=2,"A+1"),0)</f>
        <v>0</v>
      </c>
      <c r="P469" cm="1">
        <f t="array" ref="P469">_xlfn.IFNA(_xlfn.IFS(AND(_xlfn.XLOOKUP(A469,'LPG Fup'!D:D,'LPG Fup'!M:M,"",0)&lt;&gt;"",_xlfn.XLOOKUP(A469,'LPG Fup'!D:D,'LPG Fup'!M:M,"",0)&gt;0),"Z-1", AND(_xlfn.XLOOKUP(A469+1,'LPG Fup'!D:D,'LPG Fup'!M:M,"",0)&lt;&gt;"",_xlfn.XLOOKUP(A469+1,'LPG Fup'!D:D,'LPG Fup'!M:M,"",0)&gt;0),"Z-2", AND(_xlfn.XLOOKUP(A469-1,'LPG Fup'!D:D,'LPG Fup'!M:M,"",0)&lt;&gt;"",_xlfn.XLOOKUP(A469-1,'LPG Fup'!D:D,'LPG Fup'!M:M,"",0)&gt;0),"Z", AND(_xlfn.XLOOKUP(A469-2,'LPG Fup'!D:D,'LPG Fup'!M:M,"",0)&lt;&gt;"",_xlfn.XLOOKUP(A469-2,'LPG Fup'!D:D,'LPG Fup'!M:M,"",0)&gt;0),"Z+1"),0)</f>
        <v>0</v>
      </c>
      <c r="Q469" cm="1">
        <f t="array" ref="Q469">_xlfn.IFNA(_xlfn.IFS(AND(_xlfn.XLOOKUP(A469,'LPG Fup'!D:D,'LPG Fup'!M:M,"",0)&lt;&gt;"",_xlfn.XLOOKUP(A469,'LPG Fup'!D:D,'LPG Fup'!M:M,"",0)&lt;0),"I-1", AND(_xlfn.XLOOKUP(A469+1,'LPG Fup'!D:D,'LPG Fup'!M:M,"",0)&lt;&gt;"",_xlfn.XLOOKUP(A469+1,'LPG Fup'!D:D,'LPG Fup'!M:M,"",0)&lt;0),"I-2", AND(_xlfn.XLOOKUP(A469-1,'LPG Fup'!D:D,'LPG Fup'!M:M,"",0)&lt;&gt;"",_xlfn.XLOOKUP(A469-1,'LPG Fup'!D:D,'LPG Fup'!M:M,"",0)&lt;0),"I", AND(_xlfn.XLOOKUP(A469-2,'LPG Fup'!D:D,'LPG Fup'!M:M,"",0)&lt;&gt;"",_xlfn.XLOOKUP(A469-2,'LPG Fup'!D:D,'LPG Fup'!M:M,"",0)&lt;0),"I+1"),0)</f>
        <v>0</v>
      </c>
      <c r="R469">
        <f>_xlfn.XLOOKUP(A469,Covid!A:A,Covid!I:I,0,0)</f>
        <v>0</v>
      </c>
      <c r="S469">
        <f>_xlfn.XLOOKUP(A469,Covid!A:A,Covid!K:K,0,0)</f>
        <v>259</v>
      </c>
      <c r="T469" s="145">
        <f>_xlfn.XLOOKUP(A469,Covid!A:A,Covid!K:K,0,0)/_xlfn.XLOOKUP(A469,Covid!A:A,Covid!L:L,0,0)</f>
        <v>8.5920912951167727E-3</v>
      </c>
    </row>
    <row r="470" spans="1:20" x14ac:dyDescent="0.55000000000000004">
      <c r="A470" s="157">
        <v>44451</v>
      </c>
      <c r="B470" s="13">
        <v>972540</v>
      </c>
      <c r="C470" s="13">
        <v>0</v>
      </c>
      <c r="D470" s="13">
        <v>0</v>
      </c>
      <c r="E470" s="13">
        <v>302495</v>
      </c>
      <c r="F470" s="13">
        <v>1275035</v>
      </c>
      <c r="G470">
        <f>IF(OR(_xlfn.XLOOKUP(A470,'LPG Fup'!D:D,'LPG Fup'!L:L,"",0)&gt;0.03,_xlfn.XLOOKUP(A470,'LPG Fup'!D:D,'LPG Fup'!L:L,"",0)&lt;-0.03),_xlfn.XLOOKUP(A470,'LPG Fup'!D:D,'LPG Fup'!L:L,0,0),0)</f>
        <v>0</v>
      </c>
      <c r="H470">
        <f>IF(_xlfn.XLOOKUP(A470,'LPG Fup'!D:D,'LPG Fup'!M:M,0,0)="",0,_xlfn.XLOOKUP(A470,'LPG Fup'!D:D,'LPG Fup'!M:M,0,0))</f>
        <v>0</v>
      </c>
      <c r="I470" s="109">
        <f>_xlfn.XLOOKUP(A470,'Rafineri Fiyatları'!A:A,'Rafineri Fiyatları'!B:B,"",0)</f>
        <v>5852.94</v>
      </c>
      <c r="J470">
        <f t="shared" si="28"/>
        <v>2021</v>
      </c>
      <c r="K470">
        <f t="shared" si="29"/>
        <v>9</v>
      </c>
      <c r="L470">
        <f t="shared" si="30"/>
        <v>12</v>
      </c>
      <c r="M470">
        <f t="shared" si="31"/>
        <v>1</v>
      </c>
      <c r="N470">
        <f>_xlfn.XLOOKUP(A470,tatiller!H:H,tatiller!I:I,0,0)</f>
        <v>0</v>
      </c>
      <c r="O470" cm="1">
        <f t="array" ref="O470">_xlfn.IFNA(_xlfn.IFS(L470=1,"A0",A470=EOMONTH(A470,0),"A-1",L470=2,"A+1"),0)</f>
        <v>0</v>
      </c>
      <c r="P470" cm="1">
        <f t="array" ref="P470">_xlfn.IFNA(_xlfn.IFS(AND(_xlfn.XLOOKUP(A470,'LPG Fup'!D:D,'LPG Fup'!M:M,"",0)&lt;&gt;"",_xlfn.XLOOKUP(A470,'LPG Fup'!D:D,'LPG Fup'!M:M,"",0)&gt;0),"Z-1", AND(_xlfn.XLOOKUP(A470+1,'LPG Fup'!D:D,'LPG Fup'!M:M,"",0)&lt;&gt;"",_xlfn.XLOOKUP(A470+1,'LPG Fup'!D:D,'LPG Fup'!M:M,"",0)&gt;0),"Z-2", AND(_xlfn.XLOOKUP(A470-1,'LPG Fup'!D:D,'LPG Fup'!M:M,"",0)&lt;&gt;"",_xlfn.XLOOKUP(A470-1,'LPG Fup'!D:D,'LPG Fup'!M:M,"",0)&gt;0),"Z", AND(_xlfn.XLOOKUP(A470-2,'LPG Fup'!D:D,'LPG Fup'!M:M,"",0)&lt;&gt;"",_xlfn.XLOOKUP(A470-2,'LPG Fup'!D:D,'LPG Fup'!M:M,"",0)&gt;0),"Z+1"),0)</f>
        <v>0</v>
      </c>
      <c r="Q470" cm="1">
        <f t="array" ref="Q470">_xlfn.IFNA(_xlfn.IFS(AND(_xlfn.XLOOKUP(A470,'LPG Fup'!D:D,'LPG Fup'!M:M,"",0)&lt;&gt;"",_xlfn.XLOOKUP(A470,'LPG Fup'!D:D,'LPG Fup'!M:M,"",0)&lt;0),"I-1", AND(_xlfn.XLOOKUP(A470+1,'LPG Fup'!D:D,'LPG Fup'!M:M,"",0)&lt;&gt;"",_xlfn.XLOOKUP(A470+1,'LPG Fup'!D:D,'LPG Fup'!M:M,"",0)&lt;0),"I-2", AND(_xlfn.XLOOKUP(A470-1,'LPG Fup'!D:D,'LPG Fup'!M:M,"",0)&lt;&gt;"",_xlfn.XLOOKUP(A470-1,'LPG Fup'!D:D,'LPG Fup'!M:M,"",0)&lt;0),"I", AND(_xlfn.XLOOKUP(A470-2,'LPG Fup'!D:D,'LPG Fup'!M:M,"",0)&lt;&gt;"",_xlfn.XLOOKUP(A470-2,'LPG Fup'!D:D,'LPG Fup'!M:M,"",0)&lt;0),"I+1"),0)</f>
        <v>0</v>
      </c>
      <c r="R470">
        <f>_xlfn.XLOOKUP(A470,Covid!A:A,Covid!I:I,0,0)</f>
        <v>0</v>
      </c>
      <c r="S470">
        <f>_xlfn.XLOOKUP(A470,Covid!A:A,Covid!K:K,0,0)</f>
        <v>243</v>
      </c>
      <c r="T470" s="145">
        <f>_xlfn.XLOOKUP(A470,Covid!A:A,Covid!K:K,0,0)/_xlfn.XLOOKUP(A470,Covid!A:A,Covid!L:L,0,0)</f>
        <v>9.4862585883822605E-3</v>
      </c>
    </row>
    <row r="471" spans="1:20" x14ac:dyDescent="0.55000000000000004">
      <c r="A471" s="157">
        <v>44452</v>
      </c>
      <c r="B471" s="13">
        <v>1553900</v>
      </c>
      <c r="C471" s="13">
        <v>485342</v>
      </c>
      <c r="D471" s="13">
        <v>3712</v>
      </c>
      <c r="E471" s="13">
        <v>631300</v>
      </c>
      <c r="F471" s="13">
        <v>2674254</v>
      </c>
      <c r="G471">
        <f>IF(OR(_xlfn.XLOOKUP(A471,'LPG Fup'!D:D,'LPG Fup'!L:L,"",0)&gt;0.03,_xlfn.XLOOKUP(A471,'LPG Fup'!D:D,'LPG Fup'!L:L,"",0)&lt;-0.03),_xlfn.XLOOKUP(A471,'LPG Fup'!D:D,'LPG Fup'!L:L,0,0),0)</f>
        <v>0</v>
      </c>
      <c r="H471">
        <f>IF(_xlfn.XLOOKUP(A471,'LPG Fup'!D:D,'LPG Fup'!M:M,0,0)="",0,_xlfn.XLOOKUP(A471,'LPG Fup'!D:D,'LPG Fup'!M:M,0,0))</f>
        <v>0</v>
      </c>
      <c r="I471" s="109">
        <f>_xlfn.XLOOKUP(A471,'Rafineri Fiyatları'!A:A,'Rafineri Fiyatları'!B:B,"",0)</f>
        <v>5852.94</v>
      </c>
      <c r="J471">
        <f t="shared" si="28"/>
        <v>2021</v>
      </c>
      <c r="K471">
        <f t="shared" si="29"/>
        <v>9</v>
      </c>
      <c r="L471">
        <f t="shared" si="30"/>
        <v>13</v>
      </c>
      <c r="M471">
        <f t="shared" si="31"/>
        <v>2</v>
      </c>
      <c r="N471">
        <f>_xlfn.XLOOKUP(A471,tatiller!H:H,tatiller!I:I,0,0)</f>
        <v>0</v>
      </c>
      <c r="O471" cm="1">
        <f t="array" ref="O471">_xlfn.IFNA(_xlfn.IFS(L471=1,"A0",A471=EOMONTH(A471,0),"A-1",L471=2,"A+1"),0)</f>
        <v>0</v>
      </c>
      <c r="P471" cm="1">
        <f t="array" ref="P471">_xlfn.IFNA(_xlfn.IFS(AND(_xlfn.XLOOKUP(A471,'LPG Fup'!D:D,'LPG Fup'!M:M,"",0)&lt;&gt;"",_xlfn.XLOOKUP(A471,'LPG Fup'!D:D,'LPG Fup'!M:M,"",0)&gt;0),"Z-1", AND(_xlfn.XLOOKUP(A471+1,'LPG Fup'!D:D,'LPG Fup'!M:M,"",0)&lt;&gt;"",_xlfn.XLOOKUP(A471+1,'LPG Fup'!D:D,'LPG Fup'!M:M,"",0)&gt;0),"Z-2", AND(_xlfn.XLOOKUP(A471-1,'LPG Fup'!D:D,'LPG Fup'!M:M,"",0)&lt;&gt;"",_xlfn.XLOOKUP(A471-1,'LPG Fup'!D:D,'LPG Fup'!M:M,"",0)&gt;0),"Z", AND(_xlfn.XLOOKUP(A471-2,'LPG Fup'!D:D,'LPG Fup'!M:M,"",0)&lt;&gt;"",_xlfn.XLOOKUP(A471-2,'LPG Fup'!D:D,'LPG Fup'!M:M,"",0)&gt;0),"Z+1"),0)</f>
        <v>0</v>
      </c>
      <c r="Q471" cm="1">
        <f t="array" ref="Q471">_xlfn.IFNA(_xlfn.IFS(AND(_xlfn.XLOOKUP(A471,'LPG Fup'!D:D,'LPG Fup'!M:M,"",0)&lt;&gt;"",_xlfn.XLOOKUP(A471,'LPG Fup'!D:D,'LPG Fup'!M:M,"",0)&lt;0),"I-1", AND(_xlfn.XLOOKUP(A471+1,'LPG Fup'!D:D,'LPG Fup'!M:M,"",0)&lt;&gt;"",_xlfn.XLOOKUP(A471+1,'LPG Fup'!D:D,'LPG Fup'!M:M,"",0)&lt;0),"I-2", AND(_xlfn.XLOOKUP(A471-1,'LPG Fup'!D:D,'LPG Fup'!M:M,"",0)&lt;&gt;"",_xlfn.XLOOKUP(A471-1,'LPG Fup'!D:D,'LPG Fup'!M:M,"",0)&lt;0),"I", AND(_xlfn.XLOOKUP(A471-2,'LPG Fup'!D:D,'LPG Fup'!M:M,"",0)&lt;&gt;"",_xlfn.XLOOKUP(A471-2,'LPG Fup'!D:D,'LPG Fup'!M:M,"",0)&lt;0),"I+1"),0)</f>
        <v>0</v>
      </c>
      <c r="R471">
        <f>_xlfn.XLOOKUP(A471,Covid!A:A,Covid!I:I,0,0)</f>
        <v>0</v>
      </c>
      <c r="S471">
        <f>_xlfn.XLOOKUP(A471,Covid!A:A,Covid!K:K,0,0)</f>
        <v>231</v>
      </c>
      <c r="T471" s="145">
        <f>_xlfn.XLOOKUP(A471,Covid!A:A,Covid!K:K,0,0)/_xlfn.XLOOKUP(A471,Covid!A:A,Covid!L:L,0,0)</f>
        <v>8.8668816213726392E-3</v>
      </c>
    </row>
    <row r="472" spans="1:20" x14ac:dyDescent="0.55000000000000004">
      <c r="A472" s="157">
        <v>44453</v>
      </c>
      <c r="B472" s="13">
        <v>1495800</v>
      </c>
      <c r="C472" s="13">
        <v>392309</v>
      </c>
      <c r="D472" s="13">
        <v>9421</v>
      </c>
      <c r="E472" s="13">
        <v>464537</v>
      </c>
      <c r="F472" s="13">
        <v>2362067</v>
      </c>
      <c r="G472">
        <f>IF(OR(_xlfn.XLOOKUP(A472,'LPG Fup'!D:D,'LPG Fup'!L:L,"",0)&gt;0.03,_xlfn.XLOOKUP(A472,'LPG Fup'!D:D,'LPG Fup'!L:L,"",0)&lt;-0.03),_xlfn.XLOOKUP(A472,'LPG Fup'!D:D,'LPG Fup'!L:L,0,0),0)</f>
        <v>0</v>
      </c>
      <c r="H472">
        <f>IF(_xlfn.XLOOKUP(A472,'LPG Fup'!D:D,'LPG Fup'!M:M,0,0)="",0,_xlfn.XLOOKUP(A472,'LPG Fup'!D:D,'LPG Fup'!M:M,0,0))</f>
        <v>0</v>
      </c>
      <c r="I472" s="109">
        <f>_xlfn.XLOOKUP(A472,'Rafineri Fiyatları'!A:A,'Rafineri Fiyatları'!B:B,"",0)</f>
        <v>5852.94</v>
      </c>
      <c r="J472">
        <f t="shared" si="28"/>
        <v>2021</v>
      </c>
      <c r="K472">
        <f t="shared" si="29"/>
        <v>9</v>
      </c>
      <c r="L472">
        <f t="shared" si="30"/>
        <v>14</v>
      </c>
      <c r="M472">
        <f t="shared" si="31"/>
        <v>3</v>
      </c>
      <c r="N472">
        <f>_xlfn.XLOOKUP(A472,tatiller!H:H,tatiller!I:I,0,0)</f>
        <v>0</v>
      </c>
      <c r="O472" cm="1">
        <f t="array" ref="O472">_xlfn.IFNA(_xlfn.IFS(L472=1,"A0",A472=EOMONTH(A472,0),"A-1",L472=2,"A+1"),0)</f>
        <v>0</v>
      </c>
      <c r="P472" cm="1">
        <f t="array" ref="P472">_xlfn.IFNA(_xlfn.IFS(AND(_xlfn.XLOOKUP(A472,'LPG Fup'!D:D,'LPG Fup'!M:M,"",0)&lt;&gt;"",_xlfn.XLOOKUP(A472,'LPG Fup'!D:D,'LPG Fup'!M:M,"",0)&gt;0),"Z-1", AND(_xlfn.XLOOKUP(A472+1,'LPG Fup'!D:D,'LPG Fup'!M:M,"",0)&lt;&gt;"",_xlfn.XLOOKUP(A472+1,'LPG Fup'!D:D,'LPG Fup'!M:M,"",0)&gt;0),"Z-2", AND(_xlfn.XLOOKUP(A472-1,'LPG Fup'!D:D,'LPG Fup'!M:M,"",0)&lt;&gt;"",_xlfn.XLOOKUP(A472-1,'LPG Fup'!D:D,'LPG Fup'!M:M,"",0)&gt;0),"Z", AND(_xlfn.XLOOKUP(A472-2,'LPG Fup'!D:D,'LPG Fup'!M:M,"",0)&lt;&gt;"",_xlfn.XLOOKUP(A472-2,'LPG Fup'!D:D,'LPG Fup'!M:M,"",0)&gt;0),"Z+1"),0)</f>
        <v>0</v>
      </c>
      <c r="Q472" cm="1">
        <f t="array" ref="Q472">_xlfn.IFNA(_xlfn.IFS(AND(_xlfn.XLOOKUP(A472,'LPG Fup'!D:D,'LPG Fup'!M:M,"",0)&lt;&gt;"",_xlfn.XLOOKUP(A472,'LPG Fup'!D:D,'LPG Fup'!M:M,"",0)&lt;0),"I-1", AND(_xlfn.XLOOKUP(A472+1,'LPG Fup'!D:D,'LPG Fup'!M:M,"",0)&lt;&gt;"",_xlfn.XLOOKUP(A472+1,'LPG Fup'!D:D,'LPG Fup'!M:M,"",0)&lt;0),"I-2", AND(_xlfn.XLOOKUP(A472-1,'LPG Fup'!D:D,'LPG Fup'!M:M,"",0)&lt;&gt;"",_xlfn.XLOOKUP(A472-1,'LPG Fup'!D:D,'LPG Fup'!M:M,"",0)&lt;0),"I", AND(_xlfn.XLOOKUP(A472-2,'LPG Fup'!D:D,'LPG Fup'!M:M,"",0)&lt;&gt;"",_xlfn.XLOOKUP(A472-2,'LPG Fup'!D:D,'LPG Fup'!M:M,"",0)&lt;0),"I+1"),0)</f>
        <v>0</v>
      </c>
      <c r="R472">
        <f>_xlfn.XLOOKUP(A472,Covid!A:A,Covid!I:I,0,0)</f>
        <v>0</v>
      </c>
      <c r="S472">
        <f>_xlfn.XLOOKUP(A472,Covid!A:A,Covid!K:K,0,0)</f>
        <v>276</v>
      </c>
      <c r="T472" s="145">
        <f>_xlfn.XLOOKUP(A472,Covid!A:A,Covid!K:K,0,0)/_xlfn.XLOOKUP(A472,Covid!A:A,Covid!L:L,0,0)</f>
        <v>9.4549689972936862E-3</v>
      </c>
    </row>
    <row r="473" spans="1:20" x14ac:dyDescent="0.55000000000000004">
      <c r="A473" s="157">
        <v>44454</v>
      </c>
      <c r="B473" s="13">
        <v>1460880</v>
      </c>
      <c r="C473" s="13">
        <v>477573</v>
      </c>
      <c r="D473" s="13">
        <v>16383</v>
      </c>
      <c r="E473" s="13">
        <v>452816</v>
      </c>
      <c r="F473" s="13">
        <v>2407652</v>
      </c>
      <c r="G473">
        <f>IF(OR(_xlfn.XLOOKUP(A473,'LPG Fup'!D:D,'LPG Fup'!L:L,"",0)&gt;0.03,_xlfn.XLOOKUP(A473,'LPG Fup'!D:D,'LPG Fup'!L:L,"",0)&lt;-0.03),_xlfn.XLOOKUP(A473,'LPG Fup'!D:D,'LPG Fup'!L:L,0,0),0)</f>
        <v>0</v>
      </c>
      <c r="H473">
        <f>IF(_xlfn.XLOOKUP(A473,'LPG Fup'!D:D,'LPG Fup'!M:M,0,0)="",0,_xlfn.XLOOKUP(A473,'LPG Fup'!D:D,'LPG Fup'!M:M,0,0))</f>
        <v>0</v>
      </c>
      <c r="I473" s="109">
        <f>_xlfn.XLOOKUP(A473,'Rafineri Fiyatları'!A:A,'Rafineri Fiyatları'!B:B,"",0)</f>
        <v>5852.94</v>
      </c>
      <c r="J473">
        <f t="shared" si="28"/>
        <v>2021</v>
      </c>
      <c r="K473">
        <f t="shared" si="29"/>
        <v>9</v>
      </c>
      <c r="L473">
        <f t="shared" si="30"/>
        <v>15</v>
      </c>
      <c r="M473">
        <f t="shared" si="31"/>
        <v>4</v>
      </c>
      <c r="N473">
        <f>_xlfn.XLOOKUP(A473,tatiller!H:H,tatiller!I:I,0,0)</f>
        <v>0</v>
      </c>
      <c r="O473" cm="1">
        <f t="array" ref="O473">_xlfn.IFNA(_xlfn.IFS(L473=1,"A0",A473=EOMONTH(A473,0),"A-1",L473=2,"A+1"),0)</f>
        <v>0</v>
      </c>
      <c r="P473" cm="1">
        <f t="array" ref="P473">_xlfn.IFNA(_xlfn.IFS(AND(_xlfn.XLOOKUP(A473,'LPG Fup'!D:D,'LPG Fup'!M:M,"",0)&lt;&gt;"",_xlfn.XLOOKUP(A473,'LPG Fup'!D:D,'LPG Fup'!M:M,"",0)&gt;0),"Z-1", AND(_xlfn.XLOOKUP(A473+1,'LPG Fup'!D:D,'LPG Fup'!M:M,"",0)&lt;&gt;"",_xlfn.XLOOKUP(A473+1,'LPG Fup'!D:D,'LPG Fup'!M:M,"",0)&gt;0),"Z-2", AND(_xlfn.XLOOKUP(A473-1,'LPG Fup'!D:D,'LPG Fup'!M:M,"",0)&lt;&gt;"",_xlfn.XLOOKUP(A473-1,'LPG Fup'!D:D,'LPG Fup'!M:M,"",0)&gt;0),"Z", AND(_xlfn.XLOOKUP(A473-2,'LPG Fup'!D:D,'LPG Fup'!M:M,"",0)&lt;&gt;"",_xlfn.XLOOKUP(A473-2,'LPG Fup'!D:D,'LPG Fup'!M:M,"",0)&gt;0),"Z+1"),0)</f>
        <v>0</v>
      </c>
      <c r="Q473" cm="1">
        <f t="array" ref="Q473">_xlfn.IFNA(_xlfn.IFS(AND(_xlfn.XLOOKUP(A473,'LPG Fup'!D:D,'LPG Fup'!M:M,"",0)&lt;&gt;"",_xlfn.XLOOKUP(A473,'LPG Fup'!D:D,'LPG Fup'!M:M,"",0)&lt;0),"I-1", AND(_xlfn.XLOOKUP(A473+1,'LPG Fup'!D:D,'LPG Fup'!M:M,"",0)&lt;&gt;"",_xlfn.XLOOKUP(A473+1,'LPG Fup'!D:D,'LPG Fup'!M:M,"",0)&lt;0),"I-2", AND(_xlfn.XLOOKUP(A473-1,'LPG Fup'!D:D,'LPG Fup'!M:M,"",0)&lt;&gt;"",_xlfn.XLOOKUP(A473-1,'LPG Fup'!D:D,'LPG Fup'!M:M,"",0)&lt;0),"I", AND(_xlfn.XLOOKUP(A473-2,'LPG Fup'!D:D,'LPG Fup'!M:M,"",0)&lt;&gt;"",_xlfn.XLOOKUP(A473-2,'LPG Fup'!D:D,'LPG Fup'!M:M,"",0)&lt;0),"I+1"),0)</f>
        <v>0</v>
      </c>
      <c r="R473">
        <f>_xlfn.XLOOKUP(A473,Covid!A:A,Covid!I:I,0,0)</f>
        <v>0</v>
      </c>
      <c r="S473">
        <f>_xlfn.XLOOKUP(A473,Covid!A:A,Covid!K:K,0,0)</f>
        <v>248</v>
      </c>
      <c r="T473" s="145">
        <f>_xlfn.XLOOKUP(A473,Covid!A:A,Covid!K:K,0,0)/_xlfn.XLOOKUP(A473,Covid!A:A,Covid!L:L,0,0)</f>
        <v>8.6907765629380424E-3</v>
      </c>
    </row>
    <row r="474" spans="1:20" x14ac:dyDescent="0.55000000000000004">
      <c r="A474" s="157">
        <v>44455</v>
      </c>
      <c r="B474" s="13">
        <v>1102800</v>
      </c>
      <c r="C474" s="13">
        <v>440500</v>
      </c>
      <c r="D474" s="13">
        <v>4350</v>
      </c>
      <c r="E474" s="13">
        <v>512308</v>
      </c>
      <c r="F474" s="13">
        <v>2059958</v>
      </c>
      <c r="G474">
        <f>IF(OR(_xlfn.XLOOKUP(A474,'LPG Fup'!D:D,'LPG Fup'!L:L,"",0)&gt;0.03,_xlfn.XLOOKUP(A474,'LPG Fup'!D:D,'LPG Fup'!L:L,"",0)&lt;-0.03),_xlfn.XLOOKUP(A474,'LPG Fup'!D:D,'LPG Fup'!L:L,0,0),0)</f>
        <v>0</v>
      </c>
      <c r="H474">
        <f>IF(_xlfn.XLOOKUP(A474,'LPG Fup'!D:D,'LPG Fup'!M:M,0,0)="",0,_xlfn.XLOOKUP(A474,'LPG Fup'!D:D,'LPG Fup'!M:M,0,0))</f>
        <v>0</v>
      </c>
      <c r="I474" s="109">
        <f>_xlfn.XLOOKUP(A474,'Rafineri Fiyatları'!A:A,'Rafineri Fiyatları'!B:B,"",0)</f>
        <v>5852.94</v>
      </c>
      <c r="J474">
        <f t="shared" si="28"/>
        <v>2021</v>
      </c>
      <c r="K474">
        <f t="shared" si="29"/>
        <v>9</v>
      </c>
      <c r="L474">
        <f t="shared" si="30"/>
        <v>16</v>
      </c>
      <c r="M474">
        <f t="shared" si="31"/>
        <v>5</v>
      </c>
      <c r="N474">
        <f>_xlfn.XLOOKUP(A474,tatiller!H:H,tatiller!I:I,0,0)</f>
        <v>0</v>
      </c>
      <c r="O474" cm="1">
        <f t="array" ref="O474">_xlfn.IFNA(_xlfn.IFS(L474=1,"A0",A474=EOMONTH(A474,0),"A-1",L474=2,"A+1"),0)</f>
        <v>0</v>
      </c>
      <c r="P474" cm="1">
        <f t="array" ref="P474">_xlfn.IFNA(_xlfn.IFS(AND(_xlfn.XLOOKUP(A474,'LPG Fup'!D:D,'LPG Fup'!M:M,"",0)&lt;&gt;"",_xlfn.XLOOKUP(A474,'LPG Fup'!D:D,'LPG Fup'!M:M,"",0)&gt;0),"Z-1", AND(_xlfn.XLOOKUP(A474+1,'LPG Fup'!D:D,'LPG Fup'!M:M,"",0)&lt;&gt;"",_xlfn.XLOOKUP(A474+1,'LPG Fup'!D:D,'LPG Fup'!M:M,"",0)&gt;0),"Z-2", AND(_xlfn.XLOOKUP(A474-1,'LPG Fup'!D:D,'LPG Fup'!M:M,"",0)&lt;&gt;"",_xlfn.XLOOKUP(A474-1,'LPG Fup'!D:D,'LPG Fup'!M:M,"",0)&gt;0),"Z", AND(_xlfn.XLOOKUP(A474-2,'LPG Fup'!D:D,'LPG Fup'!M:M,"",0)&lt;&gt;"",_xlfn.XLOOKUP(A474-2,'LPG Fup'!D:D,'LPG Fup'!M:M,"",0)&gt;0),"Z+1"),0)</f>
        <v>0</v>
      </c>
      <c r="Q474" cm="1">
        <f t="array" ref="Q474">_xlfn.IFNA(_xlfn.IFS(AND(_xlfn.XLOOKUP(A474,'LPG Fup'!D:D,'LPG Fup'!M:M,"",0)&lt;&gt;"",_xlfn.XLOOKUP(A474,'LPG Fup'!D:D,'LPG Fup'!M:M,"",0)&lt;0),"I-1", AND(_xlfn.XLOOKUP(A474+1,'LPG Fup'!D:D,'LPG Fup'!M:M,"",0)&lt;&gt;"",_xlfn.XLOOKUP(A474+1,'LPG Fup'!D:D,'LPG Fup'!M:M,"",0)&lt;0),"I-2", AND(_xlfn.XLOOKUP(A474-1,'LPG Fup'!D:D,'LPG Fup'!M:M,"",0)&lt;&gt;"",_xlfn.XLOOKUP(A474-1,'LPG Fup'!D:D,'LPG Fup'!M:M,"",0)&lt;0),"I", AND(_xlfn.XLOOKUP(A474-2,'LPG Fup'!D:D,'LPG Fup'!M:M,"",0)&lt;&gt;"",_xlfn.XLOOKUP(A474-2,'LPG Fup'!D:D,'LPG Fup'!M:M,"",0)&lt;0),"I+1"),0)</f>
        <v>0</v>
      </c>
      <c r="R474">
        <f>_xlfn.XLOOKUP(A474,Covid!A:A,Covid!I:I,0,0)</f>
        <v>0</v>
      </c>
      <c r="S474">
        <f>_xlfn.XLOOKUP(A474,Covid!A:A,Covid!K:K,0,0)</f>
        <v>262</v>
      </c>
      <c r="T474" s="145">
        <f>_xlfn.XLOOKUP(A474,Covid!A:A,Covid!K:K,0,0)/_xlfn.XLOOKUP(A474,Covid!A:A,Covid!L:L,0,0)</f>
        <v>8.1242829235015045E-3</v>
      </c>
    </row>
    <row r="475" spans="1:20" x14ac:dyDescent="0.55000000000000004">
      <c r="A475" s="157">
        <v>44456</v>
      </c>
      <c r="B475" s="13">
        <v>1737420</v>
      </c>
      <c r="C475" s="13">
        <v>430526</v>
      </c>
      <c r="D475" s="13">
        <v>17438</v>
      </c>
      <c r="E475" s="13">
        <v>414564</v>
      </c>
      <c r="F475" s="13">
        <v>2599948</v>
      </c>
      <c r="G475">
        <f>IF(OR(_xlfn.XLOOKUP(A475,'LPG Fup'!D:D,'LPG Fup'!L:L,"",0)&gt;0.03,_xlfn.XLOOKUP(A475,'LPG Fup'!D:D,'LPG Fup'!L:L,"",0)&lt;-0.03),_xlfn.XLOOKUP(A475,'LPG Fup'!D:D,'LPG Fup'!L:L,0,0),0)</f>
        <v>0</v>
      </c>
      <c r="H475">
        <f>IF(_xlfn.XLOOKUP(A475,'LPG Fup'!D:D,'LPG Fup'!M:M,0,0)="",0,_xlfn.XLOOKUP(A475,'LPG Fup'!D:D,'LPG Fup'!M:M,0,0))</f>
        <v>0</v>
      </c>
      <c r="I475" s="109">
        <f>_xlfn.XLOOKUP(A475,'Rafineri Fiyatları'!A:A,'Rafineri Fiyatları'!B:B,"",0)</f>
        <v>5852.94</v>
      </c>
      <c r="J475">
        <f t="shared" si="28"/>
        <v>2021</v>
      </c>
      <c r="K475">
        <f t="shared" si="29"/>
        <v>9</v>
      </c>
      <c r="L475">
        <f t="shared" si="30"/>
        <v>17</v>
      </c>
      <c r="M475">
        <f t="shared" si="31"/>
        <v>6</v>
      </c>
      <c r="N475">
        <f>_xlfn.XLOOKUP(A475,tatiller!H:H,tatiller!I:I,0,0)</f>
        <v>0</v>
      </c>
      <c r="O475" cm="1">
        <f t="array" ref="O475">_xlfn.IFNA(_xlfn.IFS(L475=1,"A0",A475=EOMONTH(A475,0),"A-1",L475=2,"A+1"),0)</f>
        <v>0</v>
      </c>
      <c r="P475" cm="1">
        <f t="array" ref="P475">_xlfn.IFNA(_xlfn.IFS(AND(_xlfn.XLOOKUP(A475,'LPG Fup'!D:D,'LPG Fup'!M:M,"",0)&lt;&gt;"",_xlfn.XLOOKUP(A475,'LPG Fup'!D:D,'LPG Fup'!M:M,"",0)&gt;0),"Z-1", AND(_xlfn.XLOOKUP(A475+1,'LPG Fup'!D:D,'LPG Fup'!M:M,"",0)&lt;&gt;"",_xlfn.XLOOKUP(A475+1,'LPG Fup'!D:D,'LPG Fup'!M:M,"",0)&gt;0),"Z-2", AND(_xlfn.XLOOKUP(A475-1,'LPG Fup'!D:D,'LPG Fup'!M:M,"",0)&lt;&gt;"",_xlfn.XLOOKUP(A475-1,'LPG Fup'!D:D,'LPG Fup'!M:M,"",0)&gt;0),"Z", AND(_xlfn.XLOOKUP(A475-2,'LPG Fup'!D:D,'LPG Fup'!M:M,"",0)&lt;&gt;"",_xlfn.XLOOKUP(A475-2,'LPG Fup'!D:D,'LPG Fup'!M:M,"",0)&gt;0),"Z+1"),0)</f>
        <v>0</v>
      </c>
      <c r="Q475" cm="1">
        <f t="array" ref="Q475">_xlfn.IFNA(_xlfn.IFS(AND(_xlfn.XLOOKUP(A475,'LPG Fup'!D:D,'LPG Fup'!M:M,"",0)&lt;&gt;"",_xlfn.XLOOKUP(A475,'LPG Fup'!D:D,'LPG Fup'!M:M,"",0)&lt;0),"I-1", AND(_xlfn.XLOOKUP(A475+1,'LPG Fup'!D:D,'LPG Fup'!M:M,"",0)&lt;&gt;"",_xlfn.XLOOKUP(A475+1,'LPG Fup'!D:D,'LPG Fup'!M:M,"",0)&lt;0),"I-2", AND(_xlfn.XLOOKUP(A475-1,'LPG Fup'!D:D,'LPG Fup'!M:M,"",0)&lt;&gt;"",_xlfn.XLOOKUP(A475-1,'LPG Fup'!D:D,'LPG Fup'!M:M,"",0)&lt;0),"I", AND(_xlfn.XLOOKUP(A475-2,'LPG Fup'!D:D,'LPG Fup'!M:M,"",0)&lt;&gt;"",_xlfn.XLOOKUP(A475-2,'LPG Fup'!D:D,'LPG Fup'!M:M,"",0)&lt;0),"I+1"),0)</f>
        <v>0</v>
      </c>
      <c r="R475">
        <f>_xlfn.XLOOKUP(A475,Covid!A:A,Covid!I:I,0,0)</f>
        <v>0</v>
      </c>
      <c r="S475">
        <f>_xlfn.XLOOKUP(A475,Covid!A:A,Covid!K:K,0,0)</f>
        <v>237</v>
      </c>
      <c r="T475" s="145">
        <f>_xlfn.XLOOKUP(A475,Covid!A:A,Covid!K:K,0,0)/_xlfn.XLOOKUP(A475,Covid!A:A,Covid!L:L,0,0)</f>
        <v>1.0216838384273829E-2</v>
      </c>
    </row>
    <row r="476" spans="1:20" x14ac:dyDescent="0.55000000000000004">
      <c r="A476" s="157">
        <v>44457</v>
      </c>
      <c r="B476" s="13">
        <v>1264320</v>
      </c>
      <c r="C476" s="13">
        <v>273150</v>
      </c>
      <c r="D476" s="13">
        <v>3463</v>
      </c>
      <c r="E476" s="13">
        <v>600624</v>
      </c>
      <c r="F476" s="13">
        <v>2141557</v>
      </c>
      <c r="G476">
        <f>IF(OR(_xlfn.XLOOKUP(A476,'LPG Fup'!D:D,'LPG Fup'!L:L,"",0)&gt;0.03,_xlfn.XLOOKUP(A476,'LPG Fup'!D:D,'LPG Fup'!L:L,"",0)&lt;-0.03),_xlfn.XLOOKUP(A476,'LPG Fup'!D:D,'LPG Fup'!L:L,0,0),0)</f>
        <v>0</v>
      </c>
      <c r="H476">
        <f>IF(_xlfn.XLOOKUP(A476,'LPG Fup'!D:D,'LPG Fup'!M:M,0,0)="",0,_xlfn.XLOOKUP(A476,'LPG Fup'!D:D,'LPG Fup'!M:M,0,0))</f>
        <v>0</v>
      </c>
      <c r="I476" s="109">
        <f>_xlfn.XLOOKUP(A476,'Rafineri Fiyatları'!A:A,'Rafineri Fiyatları'!B:B,"",0)</f>
        <v>5852.94</v>
      </c>
      <c r="J476">
        <f t="shared" si="28"/>
        <v>2021</v>
      </c>
      <c r="K476">
        <f t="shared" si="29"/>
        <v>9</v>
      </c>
      <c r="L476">
        <f t="shared" si="30"/>
        <v>18</v>
      </c>
      <c r="M476">
        <f t="shared" si="31"/>
        <v>7</v>
      </c>
      <c r="N476">
        <f>_xlfn.XLOOKUP(A476,tatiller!H:H,tatiller!I:I,0,0)</f>
        <v>0</v>
      </c>
      <c r="O476" cm="1">
        <f t="array" ref="O476">_xlfn.IFNA(_xlfn.IFS(L476=1,"A0",A476=EOMONTH(A476,0),"A-1",L476=2,"A+1"),0)</f>
        <v>0</v>
      </c>
      <c r="P476" cm="1">
        <f t="array" ref="P476">_xlfn.IFNA(_xlfn.IFS(AND(_xlfn.XLOOKUP(A476,'LPG Fup'!D:D,'LPG Fup'!M:M,"",0)&lt;&gt;"",_xlfn.XLOOKUP(A476,'LPG Fup'!D:D,'LPG Fup'!M:M,"",0)&gt;0),"Z-1", AND(_xlfn.XLOOKUP(A476+1,'LPG Fup'!D:D,'LPG Fup'!M:M,"",0)&lt;&gt;"",_xlfn.XLOOKUP(A476+1,'LPG Fup'!D:D,'LPG Fup'!M:M,"",0)&gt;0),"Z-2", AND(_xlfn.XLOOKUP(A476-1,'LPG Fup'!D:D,'LPG Fup'!M:M,"",0)&lt;&gt;"",_xlfn.XLOOKUP(A476-1,'LPG Fup'!D:D,'LPG Fup'!M:M,"",0)&gt;0),"Z", AND(_xlfn.XLOOKUP(A476-2,'LPG Fup'!D:D,'LPG Fup'!M:M,"",0)&lt;&gt;"",_xlfn.XLOOKUP(A476-2,'LPG Fup'!D:D,'LPG Fup'!M:M,"",0)&gt;0),"Z+1"),0)</f>
        <v>0</v>
      </c>
      <c r="Q476" cm="1">
        <f t="array" ref="Q476">_xlfn.IFNA(_xlfn.IFS(AND(_xlfn.XLOOKUP(A476,'LPG Fup'!D:D,'LPG Fup'!M:M,"",0)&lt;&gt;"",_xlfn.XLOOKUP(A476,'LPG Fup'!D:D,'LPG Fup'!M:M,"",0)&lt;0),"I-1", AND(_xlfn.XLOOKUP(A476+1,'LPG Fup'!D:D,'LPG Fup'!M:M,"",0)&lt;&gt;"",_xlfn.XLOOKUP(A476+1,'LPG Fup'!D:D,'LPG Fup'!M:M,"",0)&lt;0),"I-2", AND(_xlfn.XLOOKUP(A476-1,'LPG Fup'!D:D,'LPG Fup'!M:M,"",0)&lt;&gt;"",_xlfn.XLOOKUP(A476-1,'LPG Fup'!D:D,'LPG Fup'!M:M,"",0)&lt;0),"I", AND(_xlfn.XLOOKUP(A476-2,'LPG Fup'!D:D,'LPG Fup'!M:M,"",0)&lt;&gt;"",_xlfn.XLOOKUP(A476-2,'LPG Fup'!D:D,'LPG Fup'!M:M,"",0)&lt;0),"I+1"),0)</f>
        <v>0</v>
      </c>
      <c r="R476">
        <f>_xlfn.XLOOKUP(A476,Covid!A:A,Covid!I:I,0,0)</f>
        <v>0</v>
      </c>
      <c r="S476">
        <f>_xlfn.XLOOKUP(A476,Covid!A:A,Covid!K:K,0,0)</f>
        <v>221</v>
      </c>
      <c r="T476" s="145">
        <f>_xlfn.XLOOKUP(A476,Covid!A:A,Covid!K:K,0,0)/_xlfn.XLOOKUP(A476,Covid!A:A,Covid!L:L,0,0)</f>
        <v>9.1995171294176406E-3</v>
      </c>
    </row>
    <row r="477" spans="1:20" x14ac:dyDescent="0.55000000000000004">
      <c r="A477" s="157">
        <v>44458</v>
      </c>
      <c r="B477" s="13">
        <v>882840</v>
      </c>
      <c r="C477" s="13">
        <v>0</v>
      </c>
      <c r="D477" s="13">
        <v>0</v>
      </c>
      <c r="E477" s="13">
        <v>432387</v>
      </c>
      <c r="F477" s="13">
        <v>1315227</v>
      </c>
      <c r="G477">
        <f>IF(OR(_xlfn.XLOOKUP(A477,'LPG Fup'!D:D,'LPG Fup'!L:L,"",0)&gt;0.03,_xlfn.XLOOKUP(A477,'LPG Fup'!D:D,'LPG Fup'!L:L,"",0)&lt;-0.03),_xlfn.XLOOKUP(A477,'LPG Fup'!D:D,'LPG Fup'!L:L,0,0),0)</f>
        <v>0</v>
      </c>
      <c r="H477">
        <f>IF(_xlfn.XLOOKUP(A477,'LPG Fup'!D:D,'LPG Fup'!M:M,0,0)="",0,_xlfn.XLOOKUP(A477,'LPG Fup'!D:D,'LPG Fup'!M:M,0,0))</f>
        <v>0</v>
      </c>
      <c r="I477" s="109">
        <f>_xlfn.XLOOKUP(A477,'Rafineri Fiyatları'!A:A,'Rafineri Fiyatları'!B:B,"",0)</f>
        <v>5852.94</v>
      </c>
      <c r="J477">
        <f t="shared" si="28"/>
        <v>2021</v>
      </c>
      <c r="K477">
        <f t="shared" si="29"/>
        <v>9</v>
      </c>
      <c r="L477">
        <f t="shared" si="30"/>
        <v>19</v>
      </c>
      <c r="M477">
        <f t="shared" si="31"/>
        <v>1</v>
      </c>
      <c r="N477">
        <f>_xlfn.XLOOKUP(A477,tatiller!H:H,tatiller!I:I,0,0)</f>
        <v>0</v>
      </c>
      <c r="O477" cm="1">
        <f t="array" ref="O477">_xlfn.IFNA(_xlfn.IFS(L477=1,"A0",A477=EOMONTH(A477,0),"A-1",L477=2,"A+1"),0)</f>
        <v>0</v>
      </c>
      <c r="P477" cm="1">
        <f t="array" ref="P477">_xlfn.IFNA(_xlfn.IFS(AND(_xlfn.XLOOKUP(A477,'LPG Fup'!D:D,'LPG Fup'!M:M,"",0)&lt;&gt;"",_xlfn.XLOOKUP(A477,'LPG Fup'!D:D,'LPG Fup'!M:M,"",0)&gt;0),"Z-1", AND(_xlfn.XLOOKUP(A477+1,'LPG Fup'!D:D,'LPG Fup'!M:M,"",0)&lt;&gt;"",_xlfn.XLOOKUP(A477+1,'LPG Fup'!D:D,'LPG Fup'!M:M,"",0)&gt;0),"Z-2", AND(_xlfn.XLOOKUP(A477-1,'LPG Fup'!D:D,'LPG Fup'!M:M,"",0)&lt;&gt;"",_xlfn.XLOOKUP(A477-1,'LPG Fup'!D:D,'LPG Fup'!M:M,"",0)&gt;0),"Z", AND(_xlfn.XLOOKUP(A477-2,'LPG Fup'!D:D,'LPG Fup'!M:M,"",0)&lt;&gt;"",_xlfn.XLOOKUP(A477-2,'LPG Fup'!D:D,'LPG Fup'!M:M,"",0)&gt;0),"Z+1"),0)</f>
        <v>0</v>
      </c>
      <c r="Q477" cm="1">
        <f t="array" ref="Q477">_xlfn.IFNA(_xlfn.IFS(AND(_xlfn.XLOOKUP(A477,'LPG Fup'!D:D,'LPG Fup'!M:M,"",0)&lt;&gt;"",_xlfn.XLOOKUP(A477,'LPG Fup'!D:D,'LPG Fup'!M:M,"",0)&lt;0),"I-1", AND(_xlfn.XLOOKUP(A477+1,'LPG Fup'!D:D,'LPG Fup'!M:M,"",0)&lt;&gt;"",_xlfn.XLOOKUP(A477+1,'LPG Fup'!D:D,'LPG Fup'!M:M,"",0)&lt;0),"I-2", AND(_xlfn.XLOOKUP(A477-1,'LPG Fup'!D:D,'LPG Fup'!M:M,"",0)&lt;&gt;"",_xlfn.XLOOKUP(A477-1,'LPG Fup'!D:D,'LPG Fup'!M:M,"",0)&lt;0),"I", AND(_xlfn.XLOOKUP(A477-2,'LPG Fup'!D:D,'LPG Fup'!M:M,"",0)&lt;&gt;"",_xlfn.XLOOKUP(A477-2,'LPG Fup'!D:D,'LPG Fup'!M:M,"",0)&lt;0),"I+1"),0)</f>
        <v>0</v>
      </c>
      <c r="R477">
        <f>_xlfn.XLOOKUP(A477,Covid!A:A,Covid!I:I,0,0)</f>
        <v>0</v>
      </c>
      <c r="S477">
        <f>_xlfn.XLOOKUP(A477,Covid!A:A,Covid!K:K,0,0)</f>
        <v>213</v>
      </c>
      <c r="T477" s="145">
        <f>_xlfn.XLOOKUP(A477,Covid!A:A,Covid!K:K,0,0)/_xlfn.XLOOKUP(A477,Covid!A:A,Covid!L:L,0,0)</f>
        <v>7.8424153166421207E-3</v>
      </c>
    </row>
    <row r="478" spans="1:20" x14ac:dyDescent="0.55000000000000004">
      <c r="A478" s="157">
        <v>44459</v>
      </c>
      <c r="B478" s="13">
        <v>1433040</v>
      </c>
      <c r="C478" s="13">
        <v>493933</v>
      </c>
      <c r="D478" s="13">
        <v>3811</v>
      </c>
      <c r="E478" s="13">
        <v>553686</v>
      </c>
      <c r="F478" s="13">
        <v>2484470</v>
      </c>
      <c r="G478">
        <f>IF(OR(_xlfn.XLOOKUP(A478,'LPG Fup'!D:D,'LPG Fup'!L:L,"",0)&gt;0.03,_xlfn.XLOOKUP(A478,'LPG Fup'!D:D,'LPG Fup'!L:L,"",0)&lt;-0.03),_xlfn.XLOOKUP(A478,'LPG Fup'!D:D,'LPG Fup'!L:L,0,0),0)</f>
        <v>0</v>
      </c>
      <c r="H478">
        <f>IF(_xlfn.XLOOKUP(A478,'LPG Fup'!D:D,'LPG Fup'!M:M,0,0)="",0,_xlfn.XLOOKUP(A478,'LPG Fup'!D:D,'LPG Fup'!M:M,0,0))</f>
        <v>0</v>
      </c>
      <c r="I478" s="109">
        <f>_xlfn.XLOOKUP(A478,'Rafineri Fiyatları'!A:A,'Rafineri Fiyatları'!B:B,"",0)</f>
        <v>5852.94</v>
      </c>
      <c r="J478">
        <f t="shared" si="28"/>
        <v>2021</v>
      </c>
      <c r="K478">
        <f t="shared" si="29"/>
        <v>9</v>
      </c>
      <c r="L478">
        <f t="shared" si="30"/>
        <v>20</v>
      </c>
      <c r="M478">
        <f t="shared" si="31"/>
        <v>2</v>
      </c>
      <c r="N478">
        <f>_xlfn.XLOOKUP(A478,tatiller!H:H,tatiller!I:I,0,0)</f>
        <v>0</v>
      </c>
      <c r="O478" cm="1">
        <f t="array" ref="O478">_xlfn.IFNA(_xlfn.IFS(L478=1,"A0",A478=EOMONTH(A478,0),"A-1",L478=2,"A+1"),0)</f>
        <v>0</v>
      </c>
      <c r="P478" cm="1">
        <f t="array" ref="P478">_xlfn.IFNA(_xlfn.IFS(AND(_xlfn.XLOOKUP(A478,'LPG Fup'!D:D,'LPG Fup'!M:M,"",0)&lt;&gt;"",_xlfn.XLOOKUP(A478,'LPG Fup'!D:D,'LPG Fup'!M:M,"",0)&gt;0),"Z-1", AND(_xlfn.XLOOKUP(A478+1,'LPG Fup'!D:D,'LPG Fup'!M:M,"",0)&lt;&gt;"",_xlfn.XLOOKUP(A478+1,'LPG Fup'!D:D,'LPG Fup'!M:M,"",0)&gt;0),"Z-2", AND(_xlfn.XLOOKUP(A478-1,'LPG Fup'!D:D,'LPG Fup'!M:M,"",0)&lt;&gt;"",_xlfn.XLOOKUP(A478-1,'LPG Fup'!D:D,'LPG Fup'!M:M,"",0)&gt;0),"Z", AND(_xlfn.XLOOKUP(A478-2,'LPG Fup'!D:D,'LPG Fup'!M:M,"",0)&lt;&gt;"",_xlfn.XLOOKUP(A478-2,'LPG Fup'!D:D,'LPG Fup'!M:M,"",0)&gt;0),"Z+1"),0)</f>
        <v>0</v>
      </c>
      <c r="Q478" cm="1">
        <f t="array" ref="Q478">_xlfn.IFNA(_xlfn.IFS(AND(_xlfn.XLOOKUP(A478,'LPG Fup'!D:D,'LPG Fup'!M:M,"",0)&lt;&gt;"",_xlfn.XLOOKUP(A478,'LPG Fup'!D:D,'LPG Fup'!M:M,"",0)&lt;0),"I-1", AND(_xlfn.XLOOKUP(A478+1,'LPG Fup'!D:D,'LPG Fup'!M:M,"",0)&lt;&gt;"",_xlfn.XLOOKUP(A478+1,'LPG Fup'!D:D,'LPG Fup'!M:M,"",0)&lt;0),"I-2", AND(_xlfn.XLOOKUP(A478-1,'LPG Fup'!D:D,'LPG Fup'!M:M,"",0)&lt;&gt;"",_xlfn.XLOOKUP(A478-1,'LPG Fup'!D:D,'LPG Fup'!M:M,"",0)&lt;0),"I", AND(_xlfn.XLOOKUP(A478-2,'LPG Fup'!D:D,'LPG Fup'!M:M,"",0)&lt;&gt;"",_xlfn.XLOOKUP(A478-2,'LPG Fup'!D:D,'LPG Fup'!M:M,"",0)&lt;0),"I+1"),0)</f>
        <v>0</v>
      </c>
      <c r="R478">
        <f>_xlfn.XLOOKUP(A478,Covid!A:A,Covid!I:I,0,0)</f>
        <v>0</v>
      </c>
      <c r="S478">
        <f>_xlfn.XLOOKUP(A478,Covid!A:A,Covid!K:K,0,0)</f>
        <v>231</v>
      </c>
      <c r="T478" s="145">
        <f>_xlfn.XLOOKUP(A478,Covid!A:A,Covid!K:K,0,0)/_xlfn.XLOOKUP(A478,Covid!A:A,Covid!L:L,0,0)</f>
        <v>8.2650542058749863E-3</v>
      </c>
    </row>
    <row r="479" spans="1:20" x14ac:dyDescent="0.55000000000000004">
      <c r="A479" s="157">
        <v>44460</v>
      </c>
      <c r="B479" s="13">
        <v>1529700</v>
      </c>
      <c r="C479" s="13">
        <v>430153</v>
      </c>
      <c r="D479" s="13">
        <v>17536</v>
      </c>
      <c r="E479" s="13">
        <v>553760</v>
      </c>
      <c r="F479" s="13">
        <v>2531149</v>
      </c>
      <c r="G479">
        <f>IF(OR(_xlfn.XLOOKUP(A479,'LPG Fup'!D:D,'LPG Fup'!L:L,"",0)&gt;0.03,_xlfn.XLOOKUP(A479,'LPG Fup'!D:D,'LPG Fup'!L:L,"",0)&lt;-0.03),_xlfn.XLOOKUP(A479,'LPG Fup'!D:D,'LPG Fup'!L:L,0,0),0)</f>
        <v>0</v>
      </c>
      <c r="H479">
        <f>IF(_xlfn.XLOOKUP(A479,'LPG Fup'!D:D,'LPG Fup'!M:M,0,0)="",0,_xlfn.XLOOKUP(A479,'LPG Fup'!D:D,'LPG Fup'!M:M,0,0))</f>
        <v>0</v>
      </c>
      <c r="I479" s="109">
        <f>_xlfn.XLOOKUP(A479,'Rafineri Fiyatları'!A:A,'Rafineri Fiyatları'!B:B,"",0)</f>
        <v>5852.94</v>
      </c>
      <c r="J479">
        <f t="shared" si="28"/>
        <v>2021</v>
      </c>
      <c r="K479">
        <f t="shared" si="29"/>
        <v>9</v>
      </c>
      <c r="L479">
        <f t="shared" si="30"/>
        <v>21</v>
      </c>
      <c r="M479">
        <f t="shared" si="31"/>
        <v>3</v>
      </c>
      <c r="N479">
        <f>_xlfn.XLOOKUP(A479,tatiller!H:H,tatiller!I:I,0,0)</f>
        <v>0</v>
      </c>
      <c r="O479" cm="1">
        <f t="array" ref="O479">_xlfn.IFNA(_xlfn.IFS(L479=1,"A0",A479=EOMONTH(A479,0),"A-1",L479=2,"A+1"),0)</f>
        <v>0</v>
      </c>
      <c r="P479" cm="1">
        <f t="array" ref="P479">_xlfn.IFNA(_xlfn.IFS(AND(_xlfn.XLOOKUP(A479,'LPG Fup'!D:D,'LPG Fup'!M:M,"",0)&lt;&gt;"",_xlfn.XLOOKUP(A479,'LPG Fup'!D:D,'LPG Fup'!M:M,"",0)&gt;0),"Z-1", AND(_xlfn.XLOOKUP(A479+1,'LPG Fup'!D:D,'LPG Fup'!M:M,"",0)&lt;&gt;"",_xlfn.XLOOKUP(A479+1,'LPG Fup'!D:D,'LPG Fup'!M:M,"",0)&gt;0),"Z-2", AND(_xlfn.XLOOKUP(A479-1,'LPG Fup'!D:D,'LPG Fup'!M:M,"",0)&lt;&gt;"",_xlfn.XLOOKUP(A479-1,'LPG Fup'!D:D,'LPG Fup'!M:M,"",0)&gt;0),"Z", AND(_xlfn.XLOOKUP(A479-2,'LPG Fup'!D:D,'LPG Fup'!M:M,"",0)&lt;&gt;"",_xlfn.XLOOKUP(A479-2,'LPG Fup'!D:D,'LPG Fup'!M:M,"",0)&gt;0),"Z+1"),0)</f>
        <v>0</v>
      </c>
      <c r="Q479" cm="1">
        <f t="array" ref="Q479">_xlfn.IFNA(_xlfn.IFS(AND(_xlfn.XLOOKUP(A479,'LPG Fup'!D:D,'LPG Fup'!M:M,"",0)&lt;&gt;"",_xlfn.XLOOKUP(A479,'LPG Fup'!D:D,'LPG Fup'!M:M,"",0)&lt;0),"I-1", AND(_xlfn.XLOOKUP(A479+1,'LPG Fup'!D:D,'LPG Fup'!M:M,"",0)&lt;&gt;"",_xlfn.XLOOKUP(A479+1,'LPG Fup'!D:D,'LPG Fup'!M:M,"",0)&lt;0),"I-2", AND(_xlfn.XLOOKUP(A479-1,'LPG Fup'!D:D,'LPG Fup'!M:M,"",0)&lt;&gt;"",_xlfn.XLOOKUP(A479-1,'LPG Fup'!D:D,'LPG Fup'!M:M,"",0)&lt;0),"I", AND(_xlfn.XLOOKUP(A479-2,'LPG Fup'!D:D,'LPG Fup'!M:M,"",0)&lt;&gt;"",_xlfn.XLOOKUP(A479-2,'LPG Fup'!D:D,'LPG Fup'!M:M,"",0)&lt;0),"I+1"),0)</f>
        <v>0</v>
      </c>
      <c r="R479">
        <f>_xlfn.XLOOKUP(A479,Covid!A:A,Covid!I:I,0,0)</f>
        <v>0</v>
      </c>
      <c r="S479">
        <f>_xlfn.XLOOKUP(A479,Covid!A:A,Covid!K:K,0,0)</f>
        <v>260</v>
      </c>
      <c r="T479" s="145">
        <f>_xlfn.XLOOKUP(A479,Covid!A:A,Covid!K:K,0,0)/_xlfn.XLOOKUP(A479,Covid!A:A,Covid!L:L,0,0)</f>
        <v>1.1129660545353366E-2</v>
      </c>
    </row>
    <row r="480" spans="1:20" x14ac:dyDescent="0.55000000000000004">
      <c r="A480" s="157">
        <v>44461</v>
      </c>
      <c r="B480" s="13">
        <v>1811320</v>
      </c>
      <c r="C480" s="13">
        <v>424938</v>
      </c>
      <c r="D480" s="13">
        <v>11939</v>
      </c>
      <c r="E480" s="13">
        <v>434983</v>
      </c>
      <c r="F480" s="13">
        <v>2683180</v>
      </c>
      <c r="G480">
        <f>IF(OR(_xlfn.XLOOKUP(A480,'LPG Fup'!D:D,'LPG Fup'!L:L,"",0)&gt;0.03,_xlfn.XLOOKUP(A480,'LPG Fup'!D:D,'LPG Fup'!L:L,"",0)&lt;-0.03),_xlfn.XLOOKUP(A480,'LPG Fup'!D:D,'LPG Fup'!L:L,0,0),0)</f>
        <v>0</v>
      </c>
      <c r="H480">
        <f>IF(_xlfn.XLOOKUP(A480,'LPG Fup'!D:D,'LPG Fup'!M:M,0,0)="",0,_xlfn.XLOOKUP(A480,'LPG Fup'!D:D,'LPG Fup'!M:M,0,0))</f>
        <v>0</v>
      </c>
      <c r="I480" s="109">
        <f>_xlfn.XLOOKUP(A480,'Rafineri Fiyatları'!A:A,'Rafineri Fiyatları'!B:B,"",0)</f>
        <v>5852.94</v>
      </c>
      <c r="J480">
        <f t="shared" si="28"/>
        <v>2021</v>
      </c>
      <c r="K480">
        <f t="shared" si="29"/>
        <v>9</v>
      </c>
      <c r="L480">
        <f t="shared" si="30"/>
        <v>22</v>
      </c>
      <c r="M480">
        <f t="shared" si="31"/>
        <v>4</v>
      </c>
      <c r="N480">
        <f>_xlfn.XLOOKUP(A480,tatiller!H:H,tatiller!I:I,0,0)</f>
        <v>0</v>
      </c>
      <c r="O480" cm="1">
        <f t="array" ref="O480">_xlfn.IFNA(_xlfn.IFS(L480=1,"A0",A480=EOMONTH(A480,0),"A-1",L480=2,"A+1"),0)</f>
        <v>0</v>
      </c>
      <c r="P480" t="str" cm="1">
        <f t="array" ref="P480">_xlfn.IFNA(_xlfn.IFS(AND(_xlfn.XLOOKUP(A480,'LPG Fup'!D:D,'LPG Fup'!M:M,"",0)&lt;&gt;"",_xlfn.XLOOKUP(A480,'LPG Fup'!D:D,'LPG Fup'!M:M,"",0)&gt;0),"Z-1", AND(_xlfn.XLOOKUP(A480+1,'LPG Fup'!D:D,'LPG Fup'!M:M,"",0)&lt;&gt;"",_xlfn.XLOOKUP(A480+1,'LPG Fup'!D:D,'LPG Fup'!M:M,"",0)&gt;0),"Z-2", AND(_xlfn.XLOOKUP(A480-1,'LPG Fup'!D:D,'LPG Fup'!M:M,"",0)&lt;&gt;"",_xlfn.XLOOKUP(A480-1,'LPG Fup'!D:D,'LPG Fup'!M:M,"",0)&gt;0),"Z", AND(_xlfn.XLOOKUP(A480-2,'LPG Fup'!D:D,'LPG Fup'!M:M,"",0)&lt;&gt;"",_xlfn.XLOOKUP(A480-2,'LPG Fup'!D:D,'LPG Fup'!M:M,"",0)&gt;0),"Z+1"),0)</f>
        <v>Z-2</v>
      </c>
      <c r="Q480" cm="1">
        <f t="array" ref="Q480">_xlfn.IFNA(_xlfn.IFS(AND(_xlfn.XLOOKUP(A480,'LPG Fup'!D:D,'LPG Fup'!M:M,"",0)&lt;&gt;"",_xlfn.XLOOKUP(A480,'LPG Fup'!D:D,'LPG Fup'!M:M,"",0)&lt;0),"I-1", AND(_xlfn.XLOOKUP(A480+1,'LPG Fup'!D:D,'LPG Fup'!M:M,"",0)&lt;&gt;"",_xlfn.XLOOKUP(A480+1,'LPG Fup'!D:D,'LPG Fup'!M:M,"",0)&lt;0),"I-2", AND(_xlfn.XLOOKUP(A480-1,'LPG Fup'!D:D,'LPG Fup'!M:M,"",0)&lt;&gt;"",_xlfn.XLOOKUP(A480-1,'LPG Fup'!D:D,'LPG Fup'!M:M,"",0)&lt;0),"I", AND(_xlfn.XLOOKUP(A480-2,'LPG Fup'!D:D,'LPG Fup'!M:M,"",0)&lt;&gt;"",_xlfn.XLOOKUP(A480-2,'LPG Fup'!D:D,'LPG Fup'!M:M,"",0)&lt;0),"I+1"),0)</f>
        <v>0</v>
      </c>
      <c r="R480">
        <f>_xlfn.XLOOKUP(A480,Covid!A:A,Covid!I:I,0,0)</f>
        <v>0</v>
      </c>
      <c r="S480">
        <f>_xlfn.XLOOKUP(A480,Covid!A:A,Covid!K:K,0,0)</f>
        <v>242</v>
      </c>
      <c r="T480" s="145">
        <f>_xlfn.XLOOKUP(A480,Covid!A:A,Covid!K:K,0,0)/_xlfn.XLOOKUP(A480,Covid!A:A,Covid!L:L,0,0)</f>
        <v>1.0478004849324558E-2</v>
      </c>
    </row>
    <row r="481" spans="1:20" x14ac:dyDescent="0.55000000000000004">
      <c r="A481" s="157">
        <v>44462</v>
      </c>
      <c r="B481" s="13">
        <v>921040</v>
      </c>
      <c r="C481" s="13">
        <v>675906</v>
      </c>
      <c r="D481" s="13">
        <v>3949</v>
      </c>
      <c r="E481" s="13">
        <v>578712</v>
      </c>
      <c r="F481" s="13">
        <v>2179607</v>
      </c>
      <c r="G481">
        <f>IF(OR(_xlfn.XLOOKUP(A481,'LPG Fup'!D:D,'LPG Fup'!L:L,"",0)&gt;0.03,_xlfn.XLOOKUP(A481,'LPG Fup'!D:D,'LPG Fup'!L:L,"",0)&lt;-0.03),_xlfn.XLOOKUP(A481,'LPG Fup'!D:D,'LPG Fup'!L:L,0,0),0)</f>
        <v>3.2455253222516765E-2</v>
      </c>
      <c r="H481">
        <f>IF(_xlfn.XLOOKUP(A481,'LPG Fup'!D:D,'LPG Fup'!M:M,0,0)="",0,_xlfn.XLOOKUP(A481,'LPG Fup'!D:D,'LPG Fup'!M:M,0,0))</f>
        <v>222.85919999999987</v>
      </c>
      <c r="I481" s="109">
        <f>_xlfn.XLOOKUP(A481,'Rafineri Fiyatları'!A:A,'Rafineri Fiyatları'!B:B,"",0)</f>
        <v>5852.94</v>
      </c>
      <c r="J481">
        <f t="shared" si="28"/>
        <v>2021</v>
      </c>
      <c r="K481">
        <f t="shared" si="29"/>
        <v>9</v>
      </c>
      <c r="L481">
        <f t="shared" si="30"/>
        <v>23</v>
      </c>
      <c r="M481">
        <f t="shared" si="31"/>
        <v>5</v>
      </c>
      <c r="N481">
        <f>_xlfn.XLOOKUP(A481,tatiller!H:H,tatiller!I:I,0,0)</f>
        <v>0</v>
      </c>
      <c r="O481" cm="1">
        <f t="array" ref="O481">_xlfn.IFNA(_xlfn.IFS(L481=1,"A0",A481=EOMONTH(A481,0),"A-1",L481=2,"A+1"),0)</f>
        <v>0</v>
      </c>
      <c r="P481" t="str" cm="1">
        <f t="array" ref="P481">_xlfn.IFNA(_xlfn.IFS(AND(_xlfn.XLOOKUP(A481,'LPG Fup'!D:D,'LPG Fup'!M:M,"",0)&lt;&gt;"",_xlfn.XLOOKUP(A481,'LPG Fup'!D:D,'LPG Fup'!M:M,"",0)&gt;0),"Z-1", AND(_xlfn.XLOOKUP(A481+1,'LPG Fup'!D:D,'LPG Fup'!M:M,"",0)&lt;&gt;"",_xlfn.XLOOKUP(A481+1,'LPG Fup'!D:D,'LPG Fup'!M:M,"",0)&gt;0),"Z-2", AND(_xlfn.XLOOKUP(A481-1,'LPG Fup'!D:D,'LPG Fup'!M:M,"",0)&lt;&gt;"",_xlfn.XLOOKUP(A481-1,'LPG Fup'!D:D,'LPG Fup'!M:M,"",0)&gt;0),"Z", AND(_xlfn.XLOOKUP(A481-2,'LPG Fup'!D:D,'LPG Fup'!M:M,"",0)&lt;&gt;"",_xlfn.XLOOKUP(A481-2,'LPG Fup'!D:D,'LPG Fup'!M:M,"",0)&gt;0),"Z+1"),0)</f>
        <v>Z-1</v>
      </c>
      <c r="Q481" cm="1">
        <f t="array" ref="Q481">_xlfn.IFNA(_xlfn.IFS(AND(_xlfn.XLOOKUP(A481,'LPG Fup'!D:D,'LPG Fup'!M:M,"",0)&lt;&gt;"",_xlfn.XLOOKUP(A481,'LPG Fup'!D:D,'LPG Fup'!M:M,"",0)&lt;0),"I-1", AND(_xlfn.XLOOKUP(A481+1,'LPG Fup'!D:D,'LPG Fup'!M:M,"",0)&lt;&gt;"",_xlfn.XLOOKUP(A481+1,'LPG Fup'!D:D,'LPG Fup'!M:M,"",0)&lt;0),"I-2", AND(_xlfn.XLOOKUP(A481-1,'LPG Fup'!D:D,'LPG Fup'!M:M,"",0)&lt;&gt;"",_xlfn.XLOOKUP(A481-1,'LPG Fup'!D:D,'LPG Fup'!M:M,"",0)&lt;0),"I", AND(_xlfn.XLOOKUP(A481-2,'LPG Fup'!D:D,'LPG Fup'!M:M,"",0)&lt;&gt;"",_xlfn.XLOOKUP(A481-2,'LPG Fup'!D:D,'LPG Fup'!M:M,"",0)&lt;0),"I+1"),0)</f>
        <v>0</v>
      </c>
      <c r="R481">
        <f>_xlfn.XLOOKUP(A481,Covid!A:A,Covid!I:I,0,0)</f>
        <v>0</v>
      </c>
      <c r="S481">
        <f>_xlfn.XLOOKUP(A481,Covid!A:A,Covid!K:K,0,0)</f>
        <v>217</v>
      </c>
      <c r="T481" s="145">
        <f>_xlfn.XLOOKUP(A481,Covid!A:A,Covid!K:K,0,0)/_xlfn.XLOOKUP(A481,Covid!A:A,Covid!L:L,0,0)</f>
        <v>1.0203601824422814E-2</v>
      </c>
    </row>
    <row r="482" spans="1:20" x14ac:dyDescent="0.55000000000000004">
      <c r="A482" s="157">
        <v>44463</v>
      </c>
      <c r="B482" s="13">
        <v>1188760</v>
      </c>
      <c r="C482" s="13">
        <v>804264</v>
      </c>
      <c r="D482" s="13">
        <v>4350</v>
      </c>
      <c r="E482" s="13">
        <v>437522</v>
      </c>
      <c r="F482" s="13">
        <v>4634207</v>
      </c>
      <c r="G482">
        <f>IF(OR(_xlfn.XLOOKUP(A482,'LPG Fup'!D:D,'LPG Fup'!L:L,"",0)&gt;0.03,_xlfn.XLOOKUP(A482,'LPG Fup'!D:D,'LPG Fup'!L:L,"",0)&lt;-0.03),_xlfn.XLOOKUP(A482,'LPG Fup'!D:D,'LPG Fup'!L:L,0,0),0)</f>
        <v>0</v>
      </c>
      <c r="H482">
        <f>IF(_xlfn.XLOOKUP(A482,'LPG Fup'!D:D,'LPG Fup'!M:M,0,0)="",0,_xlfn.XLOOKUP(A482,'LPG Fup'!D:D,'LPG Fup'!M:M,0,0))</f>
        <v>0</v>
      </c>
      <c r="I482" s="109">
        <f>_xlfn.XLOOKUP(A482,'Rafineri Fiyatları'!A:A,'Rafineri Fiyatları'!B:B,"",0)</f>
        <v>6075.8</v>
      </c>
      <c r="J482">
        <f t="shared" si="28"/>
        <v>2021</v>
      </c>
      <c r="K482">
        <f t="shared" si="29"/>
        <v>9</v>
      </c>
      <c r="L482">
        <f t="shared" si="30"/>
        <v>24</v>
      </c>
      <c r="M482">
        <f t="shared" si="31"/>
        <v>6</v>
      </c>
      <c r="N482">
        <f>_xlfn.XLOOKUP(A482,tatiller!H:H,tatiller!I:I,0,0)</f>
        <v>0</v>
      </c>
      <c r="O482" cm="1">
        <f t="array" ref="O482">_xlfn.IFNA(_xlfn.IFS(L482=1,"A0",A482=EOMONTH(A482,0),"A-1",L482=2,"A+1"),0)</f>
        <v>0</v>
      </c>
      <c r="P482" t="str" cm="1">
        <f t="array" ref="P482">_xlfn.IFNA(_xlfn.IFS(AND(_xlfn.XLOOKUP(A482,'LPG Fup'!D:D,'LPG Fup'!M:M,"",0)&lt;&gt;"",_xlfn.XLOOKUP(A482,'LPG Fup'!D:D,'LPG Fup'!M:M,"",0)&gt;0),"Z-1", AND(_xlfn.XLOOKUP(A482+1,'LPG Fup'!D:D,'LPG Fup'!M:M,"",0)&lt;&gt;"",_xlfn.XLOOKUP(A482+1,'LPG Fup'!D:D,'LPG Fup'!M:M,"",0)&gt;0),"Z-2", AND(_xlfn.XLOOKUP(A482-1,'LPG Fup'!D:D,'LPG Fup'!M:M,"",0)&lt;&gt;"",_xlfn.XLOOKUP(A482-1,'LPG Fup'!D:D,'LPG Fup'!M:M,"",0)&gt;0),"Z", AND(_xlfn.XLOOKUP(A482-2,'LPG Fup'!D:D,'LPG Fup'!M:M,"",0)&lt;&gt;"",_xlfn.XLOOKUP(A482-2,'LPG Fup'!D:D,'LPG Fup'!M:M,"",0)&gt;0),"Z+1"),0)</f>
        <v>Z</v>
      </c>
      <c r="Q482" cm="1">
        <f t="array" ref="Q482">_xlfn.IFNA(_xlfn.IFS(AND(_xlfn.XLOOKUP(A482,'LPG Fup'!D:D,'LPG Fup'!M:M,"",0)&lt;&gt;"",_xlfn.XLOOKUP(A482,'LPG Fup'!D:D,'LPG Fup'!M:M,"",0)&lt;0),"I-1", AND(_xlfn.XLOOKUP(A482+1,'LPG Fup'!D:D,'LPG Fup'!M:M,"",0)&lt;&gt;"",_xlfn.XLOOKUP(A482+1,'LPG Fup'!D:D,'LPG Fup'!M:M,"",0)&lt;0),"I-2", AND(_xlfn.XLOOKUP(A482-1,'LPG Fup'!D:D,'LPG Fup'!M:M,"",0)&lt;&gt;"",_xlfn.XLOOKUP(A482-1,'LPG Fup'!D:D,'LPG Fup'!M:M,"",0)&lt;0),"I", AND(_xlfn.XLOOKUP(A482-2,'LPG Fup'!D:D,'LPG Fup'!M:M,"",0)&lt;&gt;"",_xlfn.XLOOKUP(A482-2,'LPG Fup'!D:D,'LPG Fup'!M:M,"",0)&lt;0),"I+1"),0)</f>
        <v>0</v>
      </c>
      <c r="R482">
        <f>_xlfn.XLOOKUP(A482,Covid!A:A,Covid!I:I,0,0)</f>
        <v>0</v>
      </c>
      <c r="S482">
        <f>_xlfn.XLOOKUP(A482,Covid!A:A,Covid!K:K,0,0)</f>
        <v>221</v>
      </c>
      <c r="T482" s="145">
        <f>_xlfn.XLOOKUP(A482,Covid!A:A,Covid!K:K,0,0)/_xlfn.XLOOKUP(A482,Covid!A:A,Covid!L:L,0,0)</f>
        <v>1.0802620001955225E-2</v>
      </c>
    </row>
    <row r="483" spans="1:20" x14ac:dyDescent="0.55000000000000004">
      <c r="A483" s="157">
        <v>44464</v>
      </c>
      <c r="B483" s="13">
        <v>912960</v>
      </c>
      <c r="C483" s="13">
        <v>201604</v>
      </c>
      <c r="D483" s="13">
        <v>7796</v>
      </c>
      <c r="E483" s="13">
        <v>561321</v>
      </c>
      <c r="F483" s="13">
        <v>1683681</v>
      </c>
      <c r="G483">
        <f>IF(OR(_xlfn.XLOOKUP(A483,'LPG Fup'!D:D,'LPG Fup'!L:L,"",0)&gt;0.03,_xlfn.XLOOKUP(A483,'LPG Fup'!D:D,'LPG Fup'!L:L,"",0)&lt;-0.03),_xlfn.XLOOKUP(A483,'LPG Fup'!D:D,'LPG Fup'!L:L,0,0),0)</f>
        <v>0</v>
      </c>
      <c r="H483">
        <f>IF(_xlfn.XLOOKUP(A483,'LPG Fup'!D:D,'LPG Fup'!M:M,0,0)="",0,_xlfn.XLOOKUP(A483,'LPG Fup'!D:D,'LPG Fup'!M:M,0,0))</f>
        <v>0</v>
      </c>
      <c r="I483" s="109">
        <f>_xlfn.XLOOKUP(A483,'Rafineri Fiyatları'!A:A,'Rafineri Fiyatları'!B:B,"",0)</f>
        <v>6075.8</v>
      </c>
      <c r="J483">
        <f t="shared" si="28"/>
        <v>2021</v>
      </c>
      <c r="K483">
        <f t="shared" si="29"/>
        <v>9</v>
      </c>
      <c r="L483">
        <f t="shared" si="30"/>
        <v>25</v>
      </c>
      <c r="M483">
        <f t="shared" si="31"/>
        <v>7</v>
      </c>
      <c r="N483">
        <f>_xlfn.XLOOKUP(A483,tatiller!H:H,tatiller!I:I,0,0)</f>
        <v>0</v>
      </c>
      <c r="O483" cm="1">
        <f t="array" ref="O483">_xlfn.IFNA(_xlfn.IFS(L483=1,"A0",A483=EOMONTH(A483,0),"A-1",L483=2,"A+1"),0)</f>
        <v>0</v>
      </c>
      <c r="P483" t="str" cm="1">
        <f t="array" ref="P483">_xlfn.IFNA(_xlfn.IFS(AND(_xlfn.XLOOKUP(A483,'LPG Fup'!D:D,'LPG Fup'!M:M,"",0)&lt;&gt;"",_xlfn.XLOOKUP(A483,'LPG Fup'!D:D,'LPG Fup'!M:M,"",0)&gt;0),"Z-1", AND(_xlfn.XLOOKUP(A483+1,'LPG Fup'!D:D,'LPG Fup'!M:M,"",0)&lt;&gt;"",_xlfn.XLOOKUP(A483+1,'LPG Fup'!D:D,'LPG Fup'!M:M,"",0)&gt;0),"Z-2", AND(_xlfn.XLOOKUP(A483-1,'LPG Fup'!D:D,'LPG Fup'!M:M,"",0)&lt;&gt;"",_xlfn.XLOOKUP(A483-1,'LPG Fup'!D:D,'LPG Fup'!M:M,"",0)&gt;0),"Z", AND(_xlfn.XLOOKUP(A483-2,'LPG Fup'!D:D,'LPG Fup'!M:M,"",0)&lt;&gt;"",_xlfn.XLOOKUP(A483-2,'LPG Fup'!D:D,'LPG Fup'!M:M,"",0)&gt;0),"Z+1"),0)</f>
        <v>Z+1</v>
      </c>
      <c r="Q483" cm="1">
        <f t="array" ref="Q483">_xlfn.IFNA(_xlfn.IFS(AND(_xlfn.XLOOKUP(A483,'LPG Fup'!D:D,'LPG Fup'!M:M,"",0)&lt;&gt;"",_xlfn.XLOOKUP(A483,'LPG Fup'!D:D,'LPG Fup'!M:M,"",0)&lt;0),"I-1", AND(_xlfn.XLOOKUP(A483+1,'LPG Fup'!D:D,'LPG Fup'!M:M,"",0)&lt;&gt;"",_xlfn.XLOOKUP(A483+1,'LPG Fup'!D:D,'LPG Fup'!M:M,"",0)&lt;0),"I-2", AND(_xlfn.XLOOKUP(A483-1,'LPG Fup'!D:D,'LPG Fup'!M:M,"",0)&lt;&gt;"",_xlfn.XLOOKUP(A483-1,'LPG Fup'!D:D,'LPG Fup'!M:M,"",0)&lt;0),"I", AND(_xlfn.XLOOKUP(A483-2,'LPG Fup'!D:D,'LPG Fup'!M:M,"",0)&lt;&gt;"",_xlfn.XLOOKUP(A483-2,'LPG Fup'!D:D,'LPG Fup'!M:M,"",0)&lt;0),"I+1"),0)</f>
        <v>0</v>
      </c>
      <c r="R483">
        <f>_xlfn.XLOOKUP(A483,Covid!A:A,Covid!I:I,0,0)</f>
        <v>0</v>
      </c>
      <c r="S483">
        <f>_xlfn.XLOOKUP(A483,Covid!A:A,Covid!K:K,0,0)</f>
        <v>193</v>
      </c>
      <c r="T483" s="145">
        <f>_xlfn.XLOOKUP(A483,Covid!A:A,Covid!K:K,0,0)/_xlfn.XLOOKUP(A483,Covid!A:A,Covid!L:L,0,0)</f>
        <v>1.005260690660972E-2</v>
      </c>
    </row>
    <row r="484" spans="1:20" x14ac:dyDescent="0.55000000000000004">
      <c r="A484" s="157">
        <v>44465</v>
      </c>
      <c r="B484" s="13">
        <v>928980</v>
      </c>
      <c r="C484" s="13">
        <v>230</v>
      </c>
      <c r="D484" s="13">
        <v>0</v>
      </c>
      <c r="E484" s="13">
        <v>410233</v>
      </c>
      <c r="F484" s="13">
        <v>1339443</v>
      </c>
      <c r="G484">
        <f>IF(OR(_xlfn.XLOOKUP(A484,'LPG Fup'!D:D,'LPG Fup'!L:L,"",0)&gt;0.03,_xlfn.XLOOKUP(A484,'LPG Fup'!D:D,'LPG Fup'!L:L,"",0)&lt;-0.03),_xlfn.XLOOKUP(A484,'LPG Fup'!D:D,'LPG Fup'!L:L,0,0),0)</f>
        <v>0</v>
      </c>
      <c r="H484">
        <f>IF(_xlfn.XLOOKUP(A484,'LPG Fup'!D:D,'LPG Fup'!M:M,0,0)="",0,_xlfn.XLOOKUP(A484,'LPG Fup'!D:D,'LPG Fup'!M:M,0,0))</f>
        <v>0</v>
      </c>
      <c r="I484" s="109">
        <f>_xlfn.XLOOKUP(A484,'Rafineri Fiyatları'!A:A,'Rafineri Fiyatları'!B:B,"",0)</f>
        <v>6075.8</v>
      </c>
      <c r="J484">
        <f t="shared" si="28"/>
        <v>2021</v>
      </c>
      <c r="K484">
        <f t="shared" si="29"/>
        <v>9</v>
      </c>
      <c r="L484">
        <f t="shared" si="30"/>
        <v>26</v>
      </c>
      <c r="M484">
        <f t="shared" si="31"/>
        <v>1</v>
      </c>
      <c r="N484">
        <f>_xlfn.XLOOKUP(A484,tatiller!H:H,tatiller!I:I,0,0)</f>
        <v>0</v>
      </c>
      <c r="O484" cm="1">
        <f t="array" ref="O484">_xlfn.IFNA(_xlfn.IFS(L484=1,"A0",A484=EOMONTH(A484,0),"A-1",L484=2,"A+1"),0)</f>
        <v>0</v>
      </c>
      <c r="P484" cm="1">
        <f t="array" ref="P484">_xlfn.IFNA(_xlfn.IFS(AND(_xlfn.XLOOKUP(A484,'LPG Fup'!D:D,'LPG Fup'!M:M,"",0)&lt;&gt;"",_xlfn.XLOOKUP(A484,'LPG Fup'!D:D,'LPG Fup'!M:M,"",0)&gt;0),"Z-1", AND(_xlfn.XLOOKUP(A484+1,'LPG Fup'!D:D,'LPG Fup'!M:M,"",0)&lt;&gt;"",_xlfn.XLOOKUP(A484+1,'LPG Fup'!D:D,'LPG Fup'!M:M,"",0)&gt;0),"Z-2", AND(_xlfn.XLOOKUP(A484-1,'LPG Fup'!D:D,'LPG Fup'!M:M,"",0)&lt;&gt;"",_xlfn.XLOOKUP(A484-1,'LPG Fup'!D:D,'LPG Fup'!M:M,"",0)&gt;0),"Z", AND(_xlfn.XLOOKUP(A484-2,'LPG Fup'!D:D,'LPG Fup'!M:M,"",0)&lt;&gt;"",_xlfn.XLOOKUP(A484-2,'LPG Fup'!D:D,'LPG Fup'!M:M,"",0)&gt;0),"Z+1"),0)</f>
        <v>0</v>
      </c>
      <c r="Q484" cm="1">
        <f t="array" ref="Q484">_xlfn.IFNA(_xlfn.IFS(AND(_xlfn.XLOOKUP(A484,'LPG Fup'!D:D,'LPG Fup'!M:M,"",0)&lt;&gt;"",_xlfn.XLOOKUP(A484,'LPG Fup'!D:D,'LPG Fup'!M:M,"",0)&lt;0),"I-1", AND(_xlfn.XLOOKUP(A484+1,'LPG Fup'!D:D,'LPG Fup'!M:M,"",0)&lt;&gt;"",_xlfn.XLOOKUP(A484+1,'LPG Fup'!D:D,'LPG Fup'!M:M,"",0)&lt;0),"I-2", AND(_xlfn.XLOOKUP(A484-1,'LPG Fup'!D:D,'LPG Fup'!M:M,"",0)&lt;&gt;"",_xlfn.XLOOKUP(A484-1,'LPG Fup'!D:D,'LPG Fup'!M:M,"",0)&lt;0),"I", AND(_xlfn.XLOOKUP(A484-2,'LPG Fup'!D:D,'LPG Fup'!M:M,"",0)&lt;&gt;"",_xlfn.XLOOKUP(A484-2,'LPG Fup'!D:D,'LPG Fup'!M:M,"",0)&lt;0),"I+1"),0)</f>
        <v>0</v>
      </c>
      <c r="R484">
        <f>_xlfn.XLOOKUP(A484,Covid!A:A,Covid!I:I,0,0)</f>
        <v>0</v>
      </c>
      <c r="S484">
        <f>_xlfn.XLOOKUP(A484,Covid!A:A,Covid!K:K,0,0)</f>
        <v>228</v>
      </c>
      <c r="T484" s="145">
        <f>_xlfn.XLOOKUP(A484,Covid!A:A,Covid!K:K,0,0)/_xlfn.XLOOKUP(A484,Covid!A:A,Covid!L:L,0,0)</f>
        <v>9.165829145728643E-3</v>
      </c>
    </row>
    <row r="485" spans="1:20" x14ac:dyDescent="0.55000000000000004">
      <c r="A485" s="157">
        <v>44466</v>
      </c>
      <c r="B485" s="13">
        <v>1157600</v>
      </c>
      <c r="C485" s="13">
        <v>522320</v>
      </c>
      <c r="D485" s="13">
        <v>5187</v>
      </c>
      <c r="E485" s="13">
        <v>624819</v>
      </c>
      <c r="F485" s="13">
        <v>2309926</v>
      </c>
      <c r="G485">
        <f>IF(OR(_xlfn.XLOOKUP(A485,'LPG Fup'!D:D,'LPG Fup'!L:L,"",0)&gt;0.03,_xlfn.XLOOKUP(A485,'LPG Fup'!D:D,'LPG Fup'!L:L,"",0)&lt;-0.03),_xlfn.XLOOKUP(A485,'LPG Fup'!D:D,'LPG Fup'!L:L,0,0),0)</f>
        <v>0</v>
      </c>
      <c r="H485">
        <f>IF(_xlfn.XLOOKUP(A485,'LPG Fup'!D:D,'LPG Fup'!M:M,0,0)="",0,_xlfn.XLOOKUP(A485,'LPG Fup'!D:D,'LPG Fup'!M:M,0,0))</f>
        <v>0</v>
      </c>
      <c r="I485" s="109">
        <f>_xlfn.XLOOKUP(A485,'Rafineri Fiyatları'!A:A,'Rafineri Fiyatları'!B:B,"",0)</f>
        <v>6075.8</v>
      </c>
      <c r="J485">
        <f t="shared" si="28"/>
        <v>2021</v>
      </c>
      <c r="K485">
        <f t="shared" si="29"/>
        <v>9</v>
      </c>
      <c r="L485">
        <f t="shared" si="30"/>
        <v>27</v>
      </c>
      <c r="M485">
        <f t="shared" si="31"/>
        <v>2</v>
      </c>
      <c r="N485">
        <f>_xlfn.XLOOKUP(A485,tatiller!H:H,tatiller!I:I,0,0)</f>
        <v>0</v>
      </c>
      <c r="O485" cm="1">
        <f t="array" ref="O485">_xlfn.IFNA(_xlfn.IFS(L485=1,"A0",A485=EOMONTH(A485,0),"A-1",L485=2,"A+1"),0)</f>
        <v>0</v>
      </c>
      <c r="P485" cm="1">
        <f t="array" ref="P485">_xlfn.IFNA(_xlfn.IFS(AND(_xlfn.XLOOKUP(A485,'LPG Fup'!D:D,'LPG Fup'!M:M,"",0)&lt;&gt;"",_xlfn.XLOOKUP(A485,'LPG Fup'!D:D,'LPG Fup'!M:M,"",0)&gt;0),"Z-1", AND(_xlfn.XLOOKUP(A485+1,'LPG Fup'!D:D,'LPG Fup'!M:M,"",0)&lt;&gt;"",_xlfn.XLOOKUP(A485+1,'LPG Fup'!D:D,'LPG Fup'!M:M,"",0)&gt;0),"Z-2", AND(_xlfn.XLOOKUP(A485-1,'LPG Fup'!D:D,'LPG Fup'!M:M,"",0)&lt;&gt;"",_xlfn.XLOOKUP(A485-1,'LPG Fup'!D:D,'LPG Fup'!M:M,"",0)&gt;0),"Z", AND(_xlfn.XLOOKUP(A485-2,'LPG Fup'!D:D,'LPG Fup'!M:M,"",0)&lt;&gt;"",_xlfn.XLOOKUP(A485-2,'LPG Fup'!D:D,'LPG Fup'!M:M,"",0)&gt;0),"Z+1"),0)</f>
        <v>0</v>
      </c>
      <c r="Q485" cm="1">
        <f t="array" ref="Q485">_xlfn.IFNA(_xlfn.IFS(AND(_xlfn.XLOOKUP(A485,'LPG Fup'!D:D,'LPG Fup'!M:M,"",0)&lt;&gt;"",_xlfn.XLOOKUP(A485,'LPG Fup'!D:D,'LPG Fup'!M:M,"",0)&lt;0),"I-1", AND(_xlfn.XLOOKUP(A485+1,'LPG Fup'!D:D,'LPG Fup'!M:M,"",0)&lt;&gt;"",_xlfn.XLOOKUP(A485+1,'LPG Fup'!D:D,'LPG Fup'!M:M,"",0)&lt;0),"I-2", AND(_xlfn.XLOOKUP(A485-1,'LPG Fup'!D:D,'LPG Fup'!M:M,"",0)&lt;&gt;"",_xlfn.XLOOKUP(A485-1,'LPG Fup'!D:D,'LPG Fup'!M:M,"",0)&lt;0),"I", AND(_xlfn.XLOOKUP(A485-2,'LPG Fup'!D:D,'LPG Fup'!M:M,"",0)&lt;&gt;"",_xlfn.XLOOKUP(A485-2,'LPG Fup'!D:D,'LPG Fup'!M:M,"",0)&lt;0),"I+1"),0)</f>
        <v>0</v>
      </c>
      <c r="R485">
        <f>_xlfn.XLOOKUP(A485,Covid!A:A,Covid!I:I,0,0)</f>
        <v>0</v>
      </c>
      <c r="S485">
        <f>_xlfn.XLOOKUP(A485,Covid!A:A,Covid!K:K,0,0)</f>
        <v>206</v>
      </c>
      <c r="T485" s="145">
        <f>_xlfn.XLOOKUP(A485,Covid!A:A,Covid!K:K,0,0)/_xlfn.XLOOKUP(A485,Covid!A:A,Covid!L:L,0,0)</f>
        <v>8.1875993640699515E-3</v>
      </c>
    </row>
    <row r="486" spans="1:20" x14ac:dyDescent="0.55000000000000004">
      <c r="A486" s="157">
        <v>44467</v>
      </c>
      <c r="B486" s="13">
        <v>1013540</v>
      </c>
      <c r="C486" s="13">
        <v>484063</v>
      </c>
      <c r="D486" s="13">
        <v>6016</v>
      </c>
      <c r="E486" s="13">
        <v>464063</v>
      </c>
      <c r="F486" s="13">
        <v>1967682</v>
      </c>
      <c r="G486">
        <f>IF(OR(_xlfn.XLOOKUP(A486,'LPG Fup'!D:D,'LPG Fup'!L:L,"",0)&gt;0.03,_xlfn.XLOOKUP(A486,'LPG Fup'!D:D,'LPG Fup'!L:L,"",0)&lt;-0.03),_xlfn.XLOOKUP(A486,'LPG Fup'!D:D,'LPG Fup'!L:L,0,0),0)</f>
        <v>0</v>
      </c>
      <c r="H486">
        <f>IF(_xlfn.XLOOKUP(A486,'LPG Fup'!D:D,'LPG Fup'!M:M,0,0)="",0,_xlfn.XLOOKUP(A486,'LPG Fup'!D:D,'LPG Fup'!M:M,0,0))</f>
        <v>0</v>
      </c>
      <c r="I486" s="109">
        <f>_xlfn.XLOOKUP(A486,'Rafineri Fiyatları'!A:A,'Rafineri Fiyatları'!B:B,"",0)</f>
        <v>6075.8</v>
      </c>
      <c r="J486">
        <f t="shared" si="28"/>
        <v>2021</v>
      </c>
      <c r="K486">
        <f t="shared" si="29"/>
        <v>9</v>
      </c>
      <c r="L486">
        <f t="shared" si="30"/>
        <v>28</v>
      </c>
      <c r="M486">
        <f t="shared" si="31"/>
        <v>3</v>
      </c>
      <c r="N486">
        <f>_xlfn.XLOOKUP(A486,tatiller!H:H,tatiller!I:I,0,0)</f>
        <v>0</v>
      </c>
      <c r="O486" cm="1">
        <f t="array" ref="O486">_xlfn.IFNA(_xlfn.IFS(L486=1,"A0",A486=EOMONTH(A486,0),"A-1",L486=2,"A+1"),0)</f>
        <v>0</v>
      </c>
      <c r="P486" cm="1">
        <f t="array" ref="P486">_xlfn.IFNA(_xlfn.IFS(AND(_xlfn.XLOOKUP(A486,'LPG Fup'!D:D,'LPG Fup'!M:M,"",0)&lt;&gt;"",_xlfn.XLOOKUP(A486,'LPG Fup'!D:D,'LPG Fup'!M:M,"",0)&gt;0),"Z-1", AND(_xlfn.XLOOKUP(A486+1,'LPG Fup'!D:D,'LPG Fup'!M:M,"",0)&lt;&gt;"",_xlfn.XLOOKUP(A486+1,'LPG Fup'!D:D,'LPG Fup'!M:M,"",0)&gt;0),"Z-2", AND(_xlfn.XLOOKUP(A486-1,'LPG Fup'!D:D,'LPG Fup'!M:M,"",0)&lt;&gt;"",_xlfn.XLOOKUP(A486-1,'LPG Fup'!D:D,'LPG Fup'!M:M,"",0)&gt;0),"Z", AND(_xlfn.XLOOKUP(A486-2,'LPG Fup'!D:D,'LPG Fup'!M:M,"",0)&lt;&gt;"",_xlfn.XLOOKUP(A486-2,'LPG Fup'!D:D,'LPG Fup'!M:M,"",0)&gt;0),"Z+1"),0)</f>
        <v>0</v>
      </c>
      <c r="Q486" cm="1">
        <f t="array" ref="Q486">_xlfn.IFNA(_xlfn.IFS(AND(_xlfn.XLOOKUP(A486,'LPG Fup'!D:D,'LPG Fup'!M:M,"",0)&lt;&gt;"",_xlfn.XLOOKUP(A486,'LPG Fup'!D:D,'LPG Fup'!M:M,"",0)&lt;0),"I-1", AND(_xlfn.XLOOKUP(A486+1,'LPG Fup'!D:D,'LPG Fup'!M:M,"",0)&lt;&gt;"",_xlfn.XLOOKUP(A486+1,'LPG Fup'!D:D,'LPG Fup'!M:M,"",0)&lt;0),"I-2", AND(_xlfn.XLOOKUP(A486-1,'LPG Fup'!D:D,'LPG Fup'!M:M,"",0)&lt;&gt;"",_xlfn.XLOOKUP(A486-1,'LPG Fup'!D:D,'LPG Fup'!M:M,"",0)&lt;0),"I", AND(_xlfn.XLOOKUP(A486-2,'LPG Fup'!D:D,'LPG Fup'!M:M,"",0)&lt;&gt;"",_xlfn.XLOOKUP(A486-2,'LPG Fup'!D:D,'LPG Fup'!M:M,"",0)&lt;0),"I+1"),0)</f>
        <v>0</v>
      </c>
      <c r="R486">
        <f>_xlfn.XLOOKUP(A486,Covid!A:A,Covid!I:I,0,0)</f>
        <v>0</v>
      </c>
      <c r="S486">
        <f>_xlfn.XLOOKUP(A486,Covid!A:A,Covid!K:K,0,0)</f>
        <v>239</v>
      </c>
      <c r="T486" s="145">
        <f>_xlfn.XLOOKUP(A486,Covid!A:A,Covid!K:K,0,0)/_xlfn.XLOOKUP(A486,Covid!A:A,Covid!L:L,0,0)</f>
        <v>7.8784282700421933E-3</v>
      </c>
    </row>
    <row r="487" spans="1:20" x14ac:dyDescent="0.55000000000000004">
      <c r="A487" s="157">
        <v>44468</v>
      </c>
      <c r="B487" s="13">
        <v>1104860</v>
      </c>
      <c r="C487" s="13">
        <v>567757</v>
      </c>
      <c r="D487" s="13">
        <v>7704</v>
      </c>
      <c r="E487" s="13">
        <v>554386</v>
      </c>
      <c r="F487" s="13">
        <v>2234707</v>
      </c>
      <c r="G487">
        <f>IF(OR(_xlfn.XLOOKUP(A487,'LPG Fup'!D:D,'LPG Fup'!L:L,"",0)&gt;0.03,_xlfn.XLOOKUP(A487,'LPG Fup'!D:D,'LPG Fup'!L:L,"",0)&lt;-0.03),_xlfn.XLOOKUP(A487,'LPG Fup'!D:D,'LPG Fup'!L:L,0,0),0)</f>
        <v>0</v>
      </c>
      <c r="H487">
        <f>IF(_xlfn.XLOOKUP(A487,'LPG Fup'!D:D,'LPG Fup'!M:M,0,0)="",0,_xlfn.XLOOKUP(A487,'LPG Fup'!D:D,'LPG Fup'!M:M,0,0))</f>
        <v>0</v>
      </c>
      <c r="I487" s="109">
        <f>_xlfn.XLOOKUP(A487,'Rafineri Fiyatları'!A:A,'Rafineri Fiyatları'!B:B,"",0)</f>
        <v>6075.8</v>
      </c>
      <c r="J487">
        <f t="shared" si="28"/>
        <v>2021</v>
      </c>
      <c r="K487">
        <f t="shared" si="29"/>
        <v>9</v>
      </c>
      <c r="L487">
        <f t="shared" si="30"/>
        <v>29</v>
      </c>
      <c r="M487">
        <f t="shared" si="31"/>
        <v>4</v>
      </c>
      <c r="N487">
        <f>_xlfn.XLOOKUP(A487,tatiller!H:H,tatiller!I:I,0,0)</f>
        <v>0</v>
      </c>
      <c r="O487" cm="1">
        <f t="array" ref="O487">_xlfn.IFNA(_xlfn.IFS(L487=1,"A0",A487=EOMONTH(A487,0),"A-1",L487=2,"A+1"),0)</f>
        <v>0</v>
      </c>
      <c r="P487" cm="1">
        <f t="array" ref="P487">_xlfn.IFNA(_xlfn.IFS(AND(_xlfn.XLOOKUP(A487,'LPG Fup'!D:D,'LPG Fup'!M:M,"",0)&lt;&gt;"",_xlfn.XLOOKUP(A487,'LPG Fup'!D:D,'LPG Fup'!M:M,"",0)&gt;0),"Z-1", AND(_xlfn.XLOOKUP(A487+1,'LPG Fup'!D:D,'LPG Fup'!M:M,"",0)&lt;&gt;"",_xlfn.XLOOKUP(A487+1,'LPG Fup'!D:D,'LPG Fup'!M:M,"",0)&gt;0),"Z-2", AND(_xlfn.XLOOKUP(A487-1,'LPG Fup'!D:D,'LPG Fup'!M:M,"",0)&lt;&gt;"",_xlfn.XLOOKUP(A487-1,'LPG Fup'!D:D,'LPG Fup'!M:M,"",0)&gt;0),"Z", AND(_xlfn.XLOOKUP(A487-2,'LPG Fup'!D:D,'LPG Fup'!M:M,"",0)&lt;&gt;"",_xlfn.XLOOKUP(A487-2,'LPG Fup'!D:D,'LPG Fup'!M:M,"",0)&gt;0),"Z+1"),0)</f>
        <v>0</v>
      </c>
      <c r="Q487" cm="1">
        <f t="array" ref="Q487">_xlfn.IFNA(_xlfn.IFS(AND(_xlfn.XLOOKUP(A487,'LPG Fup'!D:D,'LPG Fup'!M:M,"",0)&lt;&gt;"",_xlfn.XLOOKUP(A487,'LPG Fup'!D:D,'LPG Fup'!M:M,"",0)&lt;0),"I-1", AND(_xlfn.XLOOKUP(A487+1,'LPG Fup'!D:D,'LPG Fup'!M:M,"",0)&lt;&gt;"",_xlfn.XLOOKUP(A487+1,'LPG Fup'!D:D,'LPG Fup'!M:M,"",0)&lt;0),"I-2", AND(_xlfn.XLOOKUP(A487-1,'LPG Fup'!D:D,'LPG Fup'!M:M,"",0)&lt;&gt;"",_xlfn.XLOOKUP(A487-1,'LPG Fup'!D:D,'LPG Fup'!M:M,"",0)&lt;0),"I", AND(_xlfn.XLOOKUP(A487-2,'LPG Fup'!D:D,'LPG Fup'!M:M,"",0)&lt;&gt;"",_xlfn.XLOOKUP(A487-2,'LPG Fup'!D:D,'LPG Fup'!M:M,"",0)&lt;0),"I+1"),0)</f>
        <v>0</v>
      </c>
      <c r="R487">
        <f>_xlfn.XLOOKUP(A487,Covid!A:A,Covid!I:I,0,0)</f>
        <v>0</v>
      </c>
      <c r="S487">
        <f>_xlfn.XLOOKUP(A487,Covid!A:A,Covid!K:K,0,0)</f>
        <v>227</v>
      </c>
      <c r="T487" s="145">
        <f>_xlfn.XLOOKUP(A487,Covid!A:A,Covid!K:K,0,0)/_xlfn.XLOOKUP(A487,Covid!A:A,Covid!L:L,0,0)</f>
        <v>7.3183312915081561E-3</v>
      </c>
    </row>
    <row r="488" spans="1:20" x14ac:dyDescent="0.55000000000000004">
      <c r="A488" s="157">
        <v>44469</v>
      </c>
      <c r="B488" s="13">
        <v>1072240</v>
      </c>
      <c r="C488" s="13">
        <v>876001</v>
      </c>
      <c r="D488" s="13">
        <v>101403</v>
      </c>
      <c r="E488" s="13">
        <v>706545</v>
      </c>
      <c r="F488" s="13">
        <v>4955896</v>
      </c>
      <c r="G488">
        <f>IF(OR(_xlfn.XLOOKUP(A488,'LPG Fup'!D:D,'LPG Fup'!L:L,"",0)&gt;0.03,_xlfn.XLOOKUP(A488,'LPG Fup'!D:D,'LPG Fup'!L:L,"",0)&lt;-0.03),_xlfn.XLOOKUP(A488,'LPG Fup'!D:D,'LPG Fup'!L:L,0,0),0)</f>
        <v>0</v>
      </c>
      <c r="H488">
        <f>IF(_xlfn.XLOOKUP(A488,'LPG Fup'!D:D,'LPG Fup'!M:M,0,0)="",0,_xlfn.XLOOKUP(A488,'LPG Fup'!D:D,'LPG Fup'!M:M,0,0))</f>
        <v>0</v>
      </c>
      <c r="I488" s="109">
        <f>_xlfn.XLOOKUP(A488,'Rafineri Fiyatları'!A:A,'Rafineri Fiyatları'!B:B,"",0)</f>
        <v>6075.8</v>
      </c>
      <c r="J488">
        <f t="shared" si="28"/>
        <v>2021</v>
      </c>
      <c r="K488">
        <f t="shared" si="29"/>
        <v>9</v>
      </c>
      <c r="L488">
        <f t="shared" si="30"/>
        <v>30</v>
      </c>
      <c r="M488">
        <f t="shared" si="31"/>
        <v>5</v>
      </c>
      <c r="N488">
        <f>_xlfn.XLOOKUP(A488,tatiller!H:H,tatiller!I:I,0,0)</f>
        <v>0</v>
      </c>
      <c r="O488" t="str" cm="1">
        <f t="array" ref="O488">_xlfn.IFNA(_xlfn.IFS(L488=1,"A0",A488=EOMONTH(A488,0),"A-1",L488=2,"A+1"),0)</f>
        <v>A-1</v>
      </c>
      <c r="P488" t="str" cm="1">
        <f t="array" ref="P488">_xlfn.IFNA(_xlfn.IFS(AND(_xlfn.XLOOKUP(A488,'LPG Fup'!D:D,'LPG Fup'!M:M,"",0)&lt;&gt;"",_xlfn.XLOOKUP(A488,'LPG Fup'!D:D,'LPG Fup'!M:M,"",0)&gt;0),"Z-1", AND(_xlfn.XLOOKUP(A488+1,'LPG Fup'!D:D,'LPG Fup'!M:M,"",0)&lt;&gt;"",_xlfn.XLOOKUP(A488+1,'LPG Fup'!D:D,'LPG Fup'!M:M,"",0)&gt;0),"Z-2", AND(_xlfn.XLOOKUP(A488-1,'LPG Fup'!D:D,'LPG Fup'!M:M,"",0)&lt;&gt;"",_xlfn.XLOOKUP(A488-1,'LPG Fup'!D:D,'LPG Fup'!M:M,"",0)&gt;0),"Z", AND(_xlfn.XLOOKUP(A488-2,'LPG Fup'!D:D,'LPG Fup'!M:M,"",0)&lt;&gt;"",_xlfn.XLOOKUP(A488-2,'LPG Fup'!D:D,'LPG Fup'!M:M,"",0)&gt;0),"Z+1"),0)</f>
        <v>Z-2</v>
      </c>
      <c r="Q488" cm="1">
        <f t="array" ref="Q488">_xlfn.IFNA(_xlfn.IFS(AND(_xlfn.XLOOKUP(A488,'LPG Fup'!D:D,'LPG Fup'!M:M,"",0)&lt;&gt;"",_xlfn.XLOOKUP(A488,'LPG Fup'!D:D,'LPG Fup'!M:M,"",0)&lt;0),"I-1", AND(_xlfn.XLOOKUP(A488+1,'LPG Fup'!D:D,'LPG Fup'!M:M,"",0)&lt;&gt;"",_xlfn.XLOOKUP(A488+1,'LPG Fup'!D:D,'LPG Fup'!M:M,"",0)&lt;0),"I-2", AND(_xlfn.XLOOKUP(A488-1,'LPG Fup'!D:D,'LPG Fup'!M:M,"",0)&lt;&gt;"",_xlfn.XLOOKUP(A488-1,'LPG Fup'!D:D,'LPG Fup'!M:M,"",0)&lt;0),"I", AND(_xlfn.XLOOKUP(A488-2,'LPG Fup'!D:D,'LPG Fup'!M:M,"",0)&lt;&gt;"",_xlfn.XLOOKUP(A488-2,'LPG Fup'!D:D,'LPG Fup'!M:M,"",0)&lt;0),"I+1"),0)</f>
        <v>0</v>
      </c>
      <c r="R488">
        <f>_xlfn.XLOOKUP(A488,Covid!A:A,Covid!I:I,0,0)</f>
        <v>0</v>
      </c>
      <c r="S488">
        <f>_xlfn.XLOOKUP(A488,Covid!A:A,Covid!K:K,0,0)</f>
        <v>216</v>
      </c>
      <c r="T488" s="145">
        <f>_xlfn.XLOOKUP(A488,Covid!A:A,Covid!K:K,0,0)/_xlfn.XLOOKUP(A488,Covid!A:A,Covid!L:L,0,0)</f>
        <v>6.7249914380896041E-3</v>
      </c>
    </row>
    <row r="489" spans="1:20" x14ac:dyDescent="0.55000000000000004">
      <c r="A489" s="157">
        <v>44470</v>
      </c>
      <c r="B489" s="13">
        <v>1203860</v>
      </c>
      <c r="C489" s="13">
        <v>1122743</v>
      </c>
      <c r="D489" s="13">
        <v>5053</v>
      </c>
      <c r="E489" s="13">
        <v>855729</v>
      </c>
      <c r="F489" s="13">
        <v>3187385</v>
      </c>
      <c r="G489">
        <f>IF(OR(_xlfn.XLOOKUP(A489,'LPG Fup'!D:D,'LPG Fup'!L:L,"",0)&gt;0.03,_xlfn.XLOOKUP(A489,'LPG Fup'!D:D,'LPG Fup'!L:L,"",0)&lt;-0.03),_xlfn.XLOOKUP(A489,'LPG Fup'!D:D,'LPG Fup'!L:L,0,0),0)</f>
        <v>5.4239197374736599E-2</v>
      </c>
      <c r="H489">
        <f>IF(_xlfn.XLOOKUP(A489,'LPG Fup'!D:D,'LPG Fup'!M:M,0,0)="",0,_xlfn.XLOOKUP(A489,'LPG Fup'!D:D,'LPG Fup'!M:M,0,0))</f>
        <v>1067.6096000000007</v>
      </c>
      <c r="I489" s="109">
        <f>_xlfn.XLOOKUP(A489,'Rafineri Fiyatları'!A:A,'Rafineri Fiyatları'!B:B,"",0)</f>
        <v>6075.8</v>
      </c>
      <c r="J489">
        <f t="shared" si="28"/>
        <v>2021</v>
      </c>
      <c r="K489">
        <f t="shared" si="29"/>
        <v>10</v>
      </c>
      <c r="L489">
        <f t="shared" si="30"/>
        <v>1</v>
      </c>
      <c r="M489">
        <f t="shared" si="31"/>
        <v>6</v>
      </c>
      <c r="N489">
        <f>_xlfn.XLOOKUP(A489,tatiller!H:H,tatiller!I:I,0,0)</f>
        <v>0</v>
      </c>
      <c r="O489" t="str" cm="1">
        <f t="array" ref="O489">_xlfn.IFNA(_xlfn.IFS(L489=1,"A0",A489=EOMONTH(A489,0),"A-1",L489=2,"A+1"),0)</f>
        <v>A0</v>
      </c>
      <c r="P489" t="str" cm="1">
        <f t="array" ref="P489">_xlfn.IFNA(_xlfn.IFS(AND(_xlfn.XLOOKUP(A489,'LPG Fup'!D:D,'LPG Fup'!M:M,"",0)&lt;&gt;"",_xlfn.XLOOKUP(A489,'LPG Fup'!D:D,'LPG Fup'!M:M,"",0)&gt;0),"Z-1", AND(_xlfn.XLOOKUP(A489+1,'LPG Fup'!D:D,'LPG Fup'!M:M,"",0)&lt;&gt;"",_xlfn.XLOOKUP(A489+1,'LPG Fup'!D:D,'LPG Fup'!M:M,"",0)&gt;0),"Z-2", AND(_xlfn.XLOOKUP(A489-1,'LPG Fup'!D:D,'LPG Fup'!M:M,"",0)&lt;&gt;"",_xlfn.XLOOKUP(A489-1,'LPG Fup'!D:D,'LPG Fup'!M:M,"",0)&gt;0),"Z", AND(_xlfn.XLOOKUP(A489-2,'LPG Fup'!D:D,'LPG Fup'!M:M,"",0)&lt;&gt;"",_xlfn.XLOOKUP(A489-2,'LPG Fup'!D:D,'LPG Fup'!M:M,"",0)&gt;0),"Z+1"),0)</f>
        <v>Z-1</v>
      </c>
      <c r="Q489" cm="1">
        <f t="array" ref="Q489">_xlfn.IFNA(_xlfn.IFS(AND(_xlfn.XLOOKUP(A489,'LPG Fup'!D:D,'LPG Fup'!M:M,"",0)&lt;&gt;"",_xlfn.XLOOKUP(A489,'LPG Fup'!D:D,'LPG Fup'!M:M,"",0)&lt;0),"I-1", AND(_xlfn.XLOOKUP(A489+1,'LPG Fup'!D:D,'LPG Fup'!M:M,"",0)&lt;&gt;"",_xlfn.XLOOKUP(A489+1,'LPG Fup'!D:D,'LPG Fup'!M:M,"",0)&lt;0),"I-2", AND(_xlfn.XLOOKUP(A489-1,'LPG Fup'!D:D,'LPG Fup'!M:M,"",0)&lt;&gt;"",_xlfn.XLOOKUP(A489-1,'LPG Fup'!D:D,'LPG Fup'!M:M,"",0)&lt;0),"I", AND(_xlfn.XLOOKUP(A489-2,'LPG Fup'!D:D,'LPG Fup'!M:M,"",0)&lt;&gt;"",_xlfn.XLOOKUP(A489-2,'LPG Fup'!D:D,'LPG Fup'!M:M,"",0)&lt;0),"I+1"),0)</f>
        <v>0</v>
      </c>
      <c r="R489">
        <f>_xlfn.XLOOKUP(A489,Covid!A:A,Covid!I:I,0,0)</f>
        <v>0</v>
      </c>
      <c r="S489">
        <f>_xlfn.XLOOKUP(A489,Covid!A:A,Covid!K:K,0,0)</f>
        <v>210</v>
      </c>
      <c r="T489" s="145">
        <f>_xlfn.XLOOKUP(A489,Covid!A:A,Covid!K:K,0,0)/_xlfn.XLOOKUP(A489,Covid!A:A,Covid!L:L,0,0)</f>
        <v>8.0079316656497864E-3</v>
      </c>
    </row>
    <row r="490" spans="1:20" x14ac:dyDescent="0.55000000000000004">
      <c r="A490" s="157">
        <v>44471</v>
      </c>
      <c r="B490" s="13">
        <v>1023940</v>
      </c>
      <c r="C490" s="13">
        <v>328300</v>
      </c>
      <c r="D490" s="13">
        <v>16997</v>
      </c>
      <c r="E490" s="13">
        <v>216274</v>
      </c>
      <c r="F490" s="13">
        <v>1585511</v>
      </c>
      <c r="G490">
        <f>IF(OR(_xlfn.XLOOKUP(A490,'LPG Fup'!D:D,'LPG Fup'!L:L,"",0)&gt;0.03,_xlfn.XLOOKUP(A490,'LPG Fup'!D:D,'LPG Fup'!L:L,"",0)&lt;-0.03),_xlfn.XLOOKUP(A490,'LPG Fup'!D:D,'LPG Fup'!L:L,0,0),0)</f>
        <v>0</v>
      </c>
      <c r="H490">
        <f>IF(_xlfn.XLOOKUP(A490,'LPG Fup'!D:D,'LPG Fup'!M:M,0,0)="",0,_xlfn.XLOOKUP(A490,'LPG Fup'!D:D,'LPG Fup'!M:M,0,0))</f>
        <v>0</v>
      </c>
      <c r="I490" s="109">
        <f>_xlfn.XLOOKUP(A490,'Rafineri Fiyatları'!A:A,'Rafineri Fiyatları'!B:B,"",0)</f>
        <v>7143.41</v>
      </c>
      <c r="J490">
        <f t="shared" si="28"/>
        <v>2021</v>
      </c>
      <c r="K490">
        <f t="shared" si="29"/>
        <v>10</v>
      </c>
      <c r="L490">
        <f t="shared" si="30"/>
        <v>2</v>
      </c>
      <c r="M490">
        <f t="shared" si="31"/>
        <v>7</v>
      </c>
      <c r="N490">
        <f>_xlfn.XLOOKUP(A490,tatiller!H:H,tatiller!I:I,0,0)</f>
        <v>0</v>
      </c>
      <c r="O490" t="str" cm="1">
        <f t="array" ref="O490">_xlfn.IFNA(_xlfn.IFS(L490=1,"A0",A490=EOMONTH(A490,0),"A-1",L490=2,"A+1"),0)</f>
        <v>A+1</v>
      </c>
      <c r="P490" t="str" cm="1">
        <f t="array" ref="P490">_xlfn.IFNA(_xlfn.IFS(AND(_xlfn.XLOOKUP(A490,'LPG Fup'!D:D,'LPG Fup'!M:M,"",0)&lt;&gt;"",_xlfn.XLOOKUP(A490,'LPG Fup'!D:D,'LPG Fup'!M:M,"",0)&gt;0),"Z-1", AND(_xlfn.XLOOKUP(A490+1,'LPG Fup'!D:D,'LPG Fup'!M:M,"",0)&lt;&gt;"",_xlfn.XLOOKUP(A490+1,'LPG Fup'!D:D,'LPG Fup'!M:M,"",0)&gt;0),"Z-2", AND(_xlfn.XLOOKUP(A490-1,'LPG Fup'!D:D,'LPG Fup'!M:M,"",0)&lt;&gt;"",_xlfn.XLOOKUP(A490-1,'LPG Fup'!D:D,'LPG Fup'!M:M,"",0)&gt;0),"Z", AND(_xlfn.XLOOKUP(A490-2,'LPG Fup'!D:D,'LPG Fup'!M:M,"",0)&lt;&gt;"",_xlfn.XLOOKUP(A490-2,'LPG Fup'!D:D,'LPG Fup'!M:M,"",0)&gt;0),"Z+1"),0)</f>
        <v>Z</v>
      </c>
      <c r="Q490" cm="1">
        <f t="array" ref="Q490">_xlfn.IFNA(_xlfn.IFS(AND(_xlfn.XLOOKUP(A490,'LPG Fup'!D:D,'LPG Fup'!M:M,"",0)&lt;&gt;"",_xlfn.XLOOKUP(A490,'LPG Fup'!D:D,'LPG Fup'!M:M,"",0)&lt;0),"I-1", AND(_xlfn.XLOOKUP(A490+1,'LPG Fup'!D:D,'LPG Fup'!M:M,"",0)&lt;&gt;"",_xlfn.XLOOKUP(A490+1,'LPG Fup'!D:D,'LPG Fup'!M:M,"",0)&lt;0),"I-2", AND(_xlfn.XLOOKUP(A490-1,'LPG Fup'!D:D,'LPG Fup'!M:M,"",0)&lt;&gt;"",_xlfn.XLOOKUP(A490-1,'LPG Fup'!D:D,'LPG Fup'!M:M,"",0)&lt;0),"I", AND(_xlfn.XLOOKUP(A490-2,'LPG Fup'!D:D,'LPG Fup'!M:M,"",0)&lt;&gt;"",_xlfn.XLOOKUP(A490-2,'LPG Fup'!D:D,'LPG Fup'!M:M,"",0)&lt;0),"I+1"),0)</f>
        <v>0</v>
      </c>
      <c r="R490">
        <f>_xlfn.XLOOKUP(A490,Covid!A:A,Covid!I:I,0,0)</f>
        <v>0</v>
      </c>
      <c r="S490">
        <f>_xlfn.XLOOKUP(A490,Covid!A:A,Covid!K:K,0,0)</f>
        <v>203</v>
      </c>
      <c r="T490" s="145">
        <f>_xlfn.XLOOKUP(A490,Covid!A:A,Covid!K:K,0,0)/_xlfn.XLOOKUP(A490,Covid!A:A,Covid!L:L,0,0)</f>
        <v>9.1813658977838077E-3</v>
      </c>
    </row>
    <row r="491" spans="1:20" x14ac:dyDescent="0.55000000000000004">
      <c r="A491" s="157">
        <v>44472</v>
      </c>
      <c r="B491" s="13">
        <v>800440</v>
      </c>
      <c r="C491" s="13">
        <v>1828</v>
      </c>
      <c r="D491" s="13">
        <v>0</v>
      </c>
      <c r="E491" s="13">
        <v>367884</v>
      </c>
      <c r="F491" s="13">
        <v>1170152</v>
      </c>
      <c r="G491">
        <f>IF(OR(_xlfn.XLOOKUP(A491,'LPG Fup'!D:D,'LPG Fup'!L:L,"",0)&gt;0.03,_xlfn.XLOOKUP(A491,'LPG Fup'!D:D,'LPG Fup'!L:L,"",0)&lt;-0.03),_xlfn.XLOOKUP(A491,'LPG Fup'!D:D,'LPG Fup'!L:L,0,0),0)</f>
        <v>0</v>
      </c>
      <c r="H491">
        <f>IF(_xlfn.XLOOKUP(A491,'LPG Fup'!D:D,'LPG Fup'!M:M,0,0)="",0,_xlfn.XLOOKUP(A491,'LPG Fup'!D:D,'LPG Fup'!M:M,0,0))</f>
        <v>0</v>
      </c>
      <c r="I491" s="109">
        <f>_xlfn.XLOOKUP(A491,'Rafineri Fiyatları'!A:A,'Rafineri Fiyatları'!B:B,"",0)</f>
        <v>7143.41</v>
      </c>
      <c r="J491">
        <f t="shared" si="28"/>
        <v>2021</v>
      </c>
      <c r="K491">
        <f t="shared" si="29"/>
        <v>10</v>
      </c>
      <c r="L491">
        <f t="shared" si="30"/>
        <v>3</v>
      </c>
      <c r="M491">
        <f t="shared" si="31"/>
        <v>1</v>
      </c>
      <c r="N491">
        <f>_xlfn.XLOOKUP(A491,tatiller!H:H,tatiller!I:I,0,0)</f>
        <v>0</v>
      </c>
      <c r="O491" cm="1">
        <f t="array" ref="O491">_xlfn.IFNA(_xlfn.IFS(L491=1,"A0",A491=EOMONTH(A491,0),"A-1",L491=2,"A+1"),0)</f>
        <v>0</v>
      </c>
      <c r="P491" t="str" cm="1">
        <f t="array" ref="P491">_xlfn.IFNA(_xlfn.IFS(AND(_xlfn.XLOOKUP(A491,'LPG Fup'!D:D,'LPG Fup'!M:M,"",0)&lt;&gt;"",_xlfn.XLOOKUP(A491,'LPG Fup'!D:D,'LPG Fup'!M:M,"",0)&gt;0),"Z-1", AND(_xlfn.XLOOKUP(A491+1,'LPG Fup'!D:D,'LPG Fup'!M:M,"",0)&lt;&gt;"",_xlfn.XLOOKUP(A491+1,'LPG Fup'!D:D,'LPG Fup'!M:M,"",0)&gt;0),"Z-2", AND(_xlfn.XLOOKUP(A491-1,'LPG Fup'!D:D,'LPG Fup'!M:M,"",0)&lt;&gt;"",_xlfn.XLOOKUP(A491-1,'LPG Fup'!D:D,'LPG Fup'!M:M,"",0)&gt;0),"Z", AND(_xlfn.XLOOKUP(A491-2,'LPG Fup'!D:D,'LPG Fup'!M:M,"",0)&lt;&gt;"",_xlfn.XLOOKUP(A491-2,'LPG Fup'!D:D,'LPG Fup'!M:M,"",0)&gt;0),"Z+1"),0)</f>
        <v>Z+1</v>
      </c>
      <c r="Q491" cm="1">
        <f t="array" ref="Q491">_xlfn.IFNA(_xlfn.IFS(AND(_xlfn.XLOOKUP(A491,'LPG Fup'!D:D,'LPG Fup'!M:M,"",0)&lt;&gt;"",_xlfn.XLOOKUP(A491,'LPG Fup'!D:D,'LPG Fup'!M:M,"",0)&lt;0),"I-1", AND(_xlfn.XLOOKUP(A491+1,'LPG Fup'!D:D,'LPG Fup'!M:M,"",0)&lt;&gt;"",_xlfn.XLOOKUP(A491+1,'LPG Fup'!D:D,'LPG Fup'!M:M,"",0)&lt;0),"I-2", AND(_xlfn.XLOOKUP(A491-1,'LPG Fup'!D:D,'LPG Fup'!M:M,"",0)&lt;&gt;"",_xlfn.XLOOKUP(A491-1,'LPG Fup'!D:D,'LPG Fup'!M:M,"",0)&lt;0),"I", AND(_xlfn.XLOOKUP(A491-2,'LPG Fup'!D:D,'LPG Fup'!M:M,"",0)&lt;&gt;"",_xlfn.XLOOKUP(A491-2,'LPG Fup'!D:D,'LPG Fup'!M:M,"",0)&lt;0),"I+1"),0)</f>
        <v>0</v>
      </c>
      <c r="R491">
        <f>_xlfn.XLOOKUP(A491,Covid!A:A,Covid!I:I,0,0)</f>
        <v>0</v>
      </c>
      <c r="S491">
        <f>_xlfn.XLOOKUP(A491,Covid!A:A,Covid!K:K,0,0)</f>
        <v>194</v>
      </c>
      <c r="T491" s="145">
        <f>_xlfn.XLOOKUP(A491,Covid!A:A,Covid!K:K,0,0)/_xlfn.XLOOKUP(A491,Covid!A:A,Covid!L:L,0,0)</f>
        <v>8.8165788038538449E-3</v>
      </c>
    </row>
    <row r="492" spans="1:20" x14ac:dyDescent="0.55000000000000004">
      <c r="A492" s="157">
        <v>44473</v>
      </c>
      <c r="B492" s="13">
        <v>1182820</v>
      </c>
      <c r="C492" s="13">
        <v>270756</v>
      </c>
      <c r="D492" s="13">
        <v>12842</v>
      </c>
      <c r="E492" s="13">
        <v>453085</v>
      </c>
      <c r="F492" s="13">
        <v>1919503</v>
      </c>
      <c r="G492">
        <f>IF(OR(_xlfn.XLOOKUP(A492,'LPG Fup'!D:D,'LPG Fup'!L:L,"",0)&gt;0.03,_xlfn.XLOOKUP(A492,'LPG Fup'!D:D,'LPG Fup'!L:L,"",0)&lt;-0.03),_xlfn.XLOOKUP(A492,'LPG Fup'!D:D,'LPG Fup'!L:L,0,0),0)</f>
        <v>0</v>
      </c>
      <c r="H492">
        <f>IF(_xlfn.XLOOKUP(A492,'LPG Fup'!D:D,'LPG Fup'!M:M,0,0)="",0,_xlfn.XLOOKUP(A492,'LPG Fup'!D:D,'LPG Fup'!M:M,0,0))</f>
        <v>0</v>
      </c>
      <c r="I492" s="109">
        <f>_xlfn.XLOOKUP(A492,'Rafineri Fiyatları'!A:A,'Rafineri Fiyatları'!B:B,"",0)</f>
        <v>7143.41</v>
      </c>
      <c r="J492">
        <f t="shared" si="28"/>
        <v>2021</v>
      </c>
      <c r="K492">
        <f t="shared" si="29"/>
        <v>10</v>
      </c>
      <c r="L492">
        <f t="shared" si="30"/>
        <v>4</v>
      </c>
      <c r="M492">
        <f t="shared" si="31"/>
        <v>2</v>
      </c>
      <c r="N492">
        <f>_xlfn.XLOOKUP(A492,tatiller!H:H,tatiller!I:I,0,0)</f>
        <v>0</v>
      </c>
      <c r="O492" cm="1">
        <f t="array" ref="O492">_xlfn.IFNA(_xlfn.IFS(L492=1,"A0",A492=EOMONTH(A492,0),"A-1",L492=2,"A+1"),0)</f>
        <v>0</v>
      </c>
      <c r="P492" cm="1">
        <f t="array" ref="P492">_xlfn.IFNA(_xlfn.IFS(AND(_xlfn.XLOOKUP(A492,'LPG Fup'!D:D,'LPG Fup'!M:M,"",0)&lt;&gt;"",_xlfn.XLOOKUP(A492,'LPG Fup'!D:D,'LPG Fup'!M:M,"",0)&gt;0),"Z-1", AND(_xlfn.XLOOKUP(A492+1,'LPG Fup'!D:D,'LPG Fup'!M:M,"",0)&lt;&gt;"",_xlfn.XLOOKUP(A492+1,'LPG Fup'!D:D,'LPG Fup'!M:M,"",0)&gt;0),"Z-2", AND(_xlfn.XLOOKUP(A492-1,'LPG Fup'!D:D,'LPG Fup'!M:M,"",0)&lt;&gt;"",_xlfn.XLOOKUP(A492-1,'LPG Fup'!D:D,'LPG Fup'!M:M,"",0)&gt;0),"Z", AND(_xlfn.XLOOKUP(A492-2,'LPG Fup'!D:D,'LPG Fup'!M:M,"",0)&lt;&gt;"",_xlfn.XLOOKUP(A492-2,'LPG Fup'!D:D,'LPG Fup'!M:M,"",0)&gt;0),"Z+1"),0)</f>
        <v>0</v>
      </c>
      <c r="Q492" cm="1">
        <f t="array" ref="Q492">_xlfn.IFNA(_xlfn.IFS(AND(_xlfn.XLOOKUP(A492,'LPG Fup'!D:D,'LPG Fup'!M:M,"",0)&lt;&gt;"",_xlfn.XLOOKUP(A492,'LPG Fup'!D:D,'LPG Fup'!M:M,"",0)&lt;0),"I-1", AND(_xlfn.XLOOKUP(A492+1,'LPG Fup'!D:D,'LPG Fup'!M:M,"",0)&lt;&gt;"",_xlfn.XLOOKUP(A492+1,'LPG Fup'!D:D,'LPG Fup'!M:M,"",0)&lt;0),"I-2", AND(_xlfn.XLOOKUP(A492-1,'LPG Fup'!D:D,'LPG Fup'!M:M,"",0)&lt;&gt;"",_xlfn.XLOOKUP(A492-1,'LPG Fup'!D:D,'LPG Fup'!M:M,"",0)&lt;0),"I", AND(_xlfn.XLOOKUP(A492-2,'LPG Fup'!D:D,'LPG Fup'!M:M,"",0)&lt;&gt;"",_xlfn.XLOOKUP(A492-2,'LPG Fup'!D:D,'LPG Fup'!M:M,"",0)&lt;0),"I+1"),0)</f>
        <v>0</v>
      </c>
      <c r="R492">
        <f>_xlfn.XLOOKUP(A492,Covid!A:A,Covid!I:I,0,0)</f>
        <v>0</v>
      </c>
      <c r="S492">
        <f>_xlfn.XLOOKUP(A492,Covid!A:A,Covid!K:K,0,0)</f>
        <v>248</v>
      </c>
      <c r="T492" s="145">
        <f>_xlfn.XLOOKUP(A492,Covid!A:A,Covid!K:K,0,0)/_xlfn.XLOOKUP(A492,Covid!A:A,Covid!L:L,0,0)</f>
        <v>7.4806949806949805E-3</v>
      </c>
    </row>
    <row r="493" spans="1:20" x14ac:dyDescent="0.55000000000000004">
      <c r="A493" s="157">
        <v>44474</v>
      </c>
      <c r="B493" s="13">
        <v>1124360</v>
      </c>
      <c r="C493" s="13">
        <v>249747</v>
      </c>
      <c r="D493" s="13">
        <v>21467</v>
      </c>
      <c r="E493" s="13">
        <v>417468</v>
      </c>
      <c r="F493" s="13">
        <v>1813042</v>
      </c>
      <c r="G493">
        <f>IF(OR(_xlfn.XLOOKUP(A493,'LPG Fup'!D:D,'LPG Fup'!L:L,"",0)&gt;0.03,_xlfn.XLOOKUP(A493,'LPG Fup'!D:D,'LPG Fup'!L:L,"",0)&lt;-0.03),_xlfn.XLOOKUP(A493,'LPG Fup'!D:D,'LPG Fup'!L:L,0,0),0)</f>
        <v>0</v>
      </c>
      <c r="H493">
        <f>IF(_xlfn.XLOOKUP(A493,'LPG Fup'!D:D,'LPG Fup'!M:M,0,0)="",0,_xlfn.XLOOKUP(A493,'LPG Fup'!D:D,'LPG Fup'!M:M,0,0))</f>
        <v>0</v>
      </c>
      <c r="I493" s="109">
        <f>_xlfn.XLOOKUP(A493,'Rafineri Fiyatları'!A:A,'Rafineri Fiyatları'!B:B,"",0)</f>
        <v>7143.41</v>
      </c>
      <c r="J493">
        <f t="shared" si="28"/>
        <v>2021</v>
      </c>
      <c r="K493">
        <f t="shared" si="29"/>
        <v>10</v>
      </c>
      <c r="L493">
        <f t="shared" si="30"/>
        <v>5</v>
      </c>
      <c r="M493">
        <f t="shared" si="31"/>
        <v>3</v>
      </c>
      <c r="N493">
        <f>_xlfn.XLOOKUP(A493,tatiller!H:H,tatiller!I:I,0,0)</f>
        <v>0</v>
      </c>
      <c r="O493" cm="1">
        <f t="array" ref="O493">_xlfn.IFNA(_xlfn.IFS(L493=1,"A0",A493=EOMONTH(A493,0),"A-1",L493=2,"A+1"),0)</f>
        <v>0</v>
      </c>
      <c r="P493" cm="1">
        <f t="array" ref="P493">_xlfn.IFNA(_xlfn.IFS(AND(_xlfn.XLOOKUP(A493,'LPG Fup'!D:D,'LPG Fup'!M:M,"",0)&lt;&gt;"",_xlfn.XLOOKUP(A493,'LPG Fup'!D:D,'LPG Fup'!M:M,"",0)&gt;0),"Z-1", AND(_xlfn.XLOOKUP(A493+1,'LPG Fup'!D:D,'LPG Fup'!M:M,"",0)&lt;&gt;"",_xlfn.XLOOKUP(A493+1,'LPG Fup'!D:D,'LPG Fup'!M:M,"",0)&gt;0),"Z-2", AND(_xlfn.XLOOKUP(A493-1,'LPG Fup'!D:D,'LPG Fup'!M:M,"",0)&lt;&gt;"",_xlfn.XLOOKUP(A493-1,'LPG Fup'!D:D,'LPG Fup'!M:M,"",0)&gt;0),"Z", AND(_xlfn.XLOOKUP(A493-2,'LPG Fup'!D:D,'LPG Fup'!M:M,"",0)&lt;&gt;"",_xlfn.XLOOKUP(A493-2,'LPG Fup'!D:D,'LPG Fup'!M:M,"",0)&gt;0),"Z+1"),0)</f>
        <v>0</v>
      </c>
      <c r="Q493" cm="1">
        <f t="array" ref="Q493">_xlfn.IFNA(_xlfn.IFS(AND(_xlfn.XLOOKUP(A493,'LPG Fup'!D:D,'LPG Fup'!M:M,"",0)&lt;&gt;"",_xlfn.XLOOKUP(A493,'LPG Fup'!D:D,'LPG Fup'!M:M,"",0)&lt;0),"I-1", AND(_xlfn.XLOOKUP(A493+1,'LPG Fup'!D:D,'LPG Fup'!M:M,"",0)&lt;&gt;"",_xlfn.XLOOKUP(A493+1,'LPG Fup'!D:D,'LPG Fup'!M:M,"",0)&lt;0),"I-2", AND(_xlfn.XLOOKUP(A493-1,'LPG Fup'!D:D,'LPG Fup'!M:M,"",0)&lt;&gt;"",_xlfn.XLOOKUP(A493-1,'LPG Fup'!D:D,'LPG Fup'!M:M,"",0)&lt;0),"I", AND(_xlfn.XLOOKUP(A493-2,'LPG Fup'!D:D,'LPG Fup'!M:M,"",0)&lt;&gt;"",_xlfn.XLOOKUP(A493-2,'LPG Fup'!D:D,'LPG Fup'!M:M,"",0)&lt;0),"I+1"),0)</f>
        <v>0</v>
      </c>
      <c r="R493">
        <f>_xlfn.XLOOKUP(A493,Covid!A:A,Covid!I:I,0,0)</f>
        <v>0</v>
      </c>
      <c r="S493">
        <f>_xlfn.XLOOKUP(A493,Covid!A:A,Covid!K:K,0,0)</f>
        <v>228</v>
      </c>
      <c r="T493" s="145">
        <f>_xlfn.XLOOKUP(A493,Covid!A:A,Covid!K:K,0,0)/_xlfn.XLOOKUP(A493,Covid!A:A,Covid!L:L,0,0)</f>
        <v>7.0656047599863643E-3</v>
      </c>
    </row>
    <row r="494" spans="1:20" x14ac:dyDescent="0.55000000000000004">
      <c r="A494" s="157">
        <v>44475</v>
      </c>
      <c r="B494" s="13">
        <v>1212080</v>
      </c>
      <c r="C494" s="13">
        <v>299511</v>
      </c>
      <c r="D494" s="13">
        <v>5691</v>
      </c>
      <c r="E494" s="13">
        <v>371063</v>
      </c>
      <c r="F494" s="13">
        <v>1888345</v>
      </c>
      <c r="G494">
        <f>IF(OR(_xlfn.XLOOKUP(A494,'LPG Fup'!D:D,'LPG Fup'!L:L,"",0)&gt;0.03,_xlfn.XLOOKUP(A494,'LPG Fup'!D:D,'LPG Fup'!L:L,"",0)&lt;-0.03),_xlfn.XLOOKUP(A494,'LPG Fup'!D:D,'LPG Fup'!L:L,0,0),0)</f>
        <v>0</v>
      </c>
      <c r="H494">
        <f>IF(_xlfn.XLOOKUP(A494,'LPG Fup'!D:D,'LPG Fup'!M:M,0,0)="",0,_xlfn.XLOOKUP(A494,'LPG Fup'!D:D,'LPG Fup'!M:M,0,0))</f>
        <v>0</v>
      </c>
      <c r="I494" s="109">
        <f>_xlfn.XLOOKUP(A494,'Rafineri Fiyatları'!A:A,'Rafineri Fiyatları'!B:B,"",0)</f>
        <v>7143.41</v>
      </c>
      <c r="J494">
        <f t="shared" si="28"/>
        <v>2021</v>
      </c>
      <c r="K494">
        <f t="shared" si="29"/>
        <v>10</v>
      </c>
      <c r="L494">
        <f t="shared" si="30"/>
        <v>6</v>
      </c>
      <c r="M494">
        <f t="shared" si="31"/>
        <v>4</v>
      </c>
      <c r="N494">
        <f>_xlfn.XLOOKUP(A494,tatiller!H:H,tatiller!I:I,0,0)</f>
        <v>0</v>
      </c>
      <c r="O494" cm="1">
        <f t="array" ref="O494">_xlfn.IFNA(_xlfn.IFS(L494=1,"A0",A494=EOMONTH(A494,0),"A-1",L494=2,"A+1"),0)</f>
        <v>0</v>
      </c>
      <c r="P494" cm="1">
        <f t="array" ref="P494">_xlfn.IFNA(_xlfn.IFS(AND(_xlfn.XLOOKUP(A494,'LPG Fup'!D:D,'LPG Fup'!M:M,"",0)&lt;&gt;"",_xlfn.XLOOKUP(A494,'LPG Fup'!D:D,'LPG Fup'!M:M,"",0)&gt;0),"Z-1", AND(_xlfn.XLOOKUP(A494+1,'LPG Fup'!D:D,'LPG Fup'!M:M,"",0)&lt;&gt;"",_xlfn.XLOOKUP(A494+1,'LPG Fup'!D:D,'LPG Fup'!M:M,"",0)&gt;0),"Z-2", AND(_xlfn.XLOOKUP(A494-1,'LPG Fup'!D:D,'LPG Fup'!M:M,"",0)&lt;&gt;"",_xlfn.XLOOKUP(A494-1,'LPG Fup'!D:D,'LPG Fup'!M:M,"",0)&gt;0),"Z", AND(_xlfn.XLOOKUP(A494-2,'LPG Fup'!D:D,'LPG Fup'!M:M,"",0)&lt;&gt;"",_xlfn.XLOOKUP(A494-2,'LPG Fup'!D:D,'LPG Fup'!M:M,"",0)&gt;0),"Z+1"),0)</f>
        <v>0</v>
      </c>
      <c r="Q494" cm="1">
        <f t="array" ref="Q494">_xlfn.IFNA(_xlfn.IFS(AND(_xlfn.XLOOKUP(A494,'LPG Fup'!D:D,'LPG Fup'!M:M,"",0)&lt;&gt;"",_xlfn.XLOOKUP(A494,'LPG Fup'!D:D,'LPG Fup'!M:M,"",0)&lt;0),"I-1", AND(_xlfn.XLOOKUP(A494+1,'LPG Fup'!D:D,'LPG Fup'!M:M,"",0)&lt;&gt;"",_xlfn.XLOOKUP(A494+1,'LPG Fup'!D:D,'LPG Fup'!M:M,"",0)&lt;0),"I-2", AND(_xlfn.XLOOKUP(A494-1,'LPG Fup'!D:D,'LPG Fup'!M:M,"",0)&lt;&gt;"",_xlfn.XLOOKUP(A494-1,'LPG Fup'!D:D,'LPG Fup'!M:M,"",0)&lt;0),"I", AND(_xlfn.XLOOKUP(A494-2,'LPG Fup'!D:D,'LPG Fup'!M:M,"",0)&lt;&gt;"",_xlfn.XLOOKUP(A494-2,'LPG Fup'!D:D,'LPG Fup'!M:M,"",0)&lt;0),"I+1"),0)</f>
        <v>0</v>
      </c>
      <c r="R494">
        <f>_xlfn.XLOOKUP(A494,Covid!A:A,Covid!I:I,0,0)</f>
        <v>0</v>
      </c>
      <c r="S494">
        <f>_xlfn.XLOOKUP(A494,Covid!A:A,Covid!K:K,0,0)</f>
        <v>236</v>
      </c>
      <c r="T494" s="145">
        <f>_xlfn.XLOOKUP(A494,Covid!A:A,Covid!K:K,0,0)/_xlfn.XLOOKUP(A494,Covid!A:A,Covid!L:L,0,0)</f>
        <v>7.5128131665234141E-3</v>
      </c>
    </row>
    <row r="495" spans="1:20" x14ac:dyDescent="0.55000000000000004">
      <c r="A495" s="157">
        <v>44476</v>
      </c>
      <c r="B495" s="13">
        <v>1066780</v>
      </c>
      <c r="C495" s="13">
        <v>340174</v>
      </c>
      <c r="D495" s="13">
        <v>10670</v>
      </c>
      <c r="E495" s="13">
        <v>355798</v>
      </c>
      <c r="F495" s="13">
        <v>1773422</v>
      </c>
      <c r="G495">
        <f>IF(OR(_xlfn.XLOOKUP(A495,'LPG Fup'!D:D,'LPG Fup'!L:L,"",0)&gt;0.03,_xlfn.XLOOKUP(A495,'LPG Fup'!D:D,'LPG Fup'!L:L,"",0)&lt;-0.03),_xlfn.XLOOKUP(A495,'LPG Fup'!D:D,'LPG Fup'!L:L,0,0),0)</f>
        <v>0</v>
      </c>
      <c r="H495">
        <f>IF(_xlfn.XLOOKUP(A495,'LPG Fup'!D:D,'LPG Fup'!M:M,0,0)="",0,_xlfn.XLOOKUP(A495,'LPG Fup'!D:D,'LPG Fup'!M:M,0,0))</f>
        <v>0</v>
      </c>
      <c r="I495" s="109">
        <f>_xlfn.XLOOKUP(A495,'Rafineri Fiyatları'!A:A,'Rafineri Fiyatları'!B:B,"",0)</f>
        <v>7143.41</v>
      </c>
      <c r="J495">
        <f t="shared" si="28"/>
        <v>2021</v>
      </c>
      <c r="K495">
        <f t="shared" si="29"/>
        <v>10</v>
      </c>
      <c r="L495">
        <f t="shared" si="30"/>
        <v>7</v>
      </c>
      <c r="M495">
        <f t="shared" si="31"/>
        <v>5</v>
      </c>
      <c r="N495">
        <f>_xlfn.XLOOKUP(A495,tatiller!H:H,tatiller!I:I,0,0)</f>
        <v>0</v>
      </c>
      <c r="O495" cm="1">
        <f t="array" ref="O495">_xlfn.IFNA(_xlfn.IFS(L495=1,"A0",A495=EOMONTH(A495,0),"A-1",L495=2,"A+1"),0)</f>
        <v>0</v>
      </c>
      <c r="P495" cm="1">
        <f t="array" ref="P495">_xlfn.IFNA(_xlfn.IFS(AND(_xlfn.XLOOKUP(A495,'LPG Fup'!D:D,'LPG Fup'!M:M,"",0)&lt;&gt;"",_xlfn.XLOOKUP(A495,'LPG Fup'!D:D,'LPG Fup'!M:M,"",0)&gt;0),"Z-1", AND(_xlfn.XLOOKUP(A495+1,'LPG Fup'!D:D,'LPG Fup'!M:M,"",0)&lt;&gt;"",_xlfn.XLOOKUP(A495+1,'LPG Fup'!D:D,'LPG Fup'!M:M,"",0)&gt;0),"Z-2", AND(_xlfn.XLOOKUP(A495-1,'LPG Fup'!D:D,'LPG Fup'!M:M,"",0)&lt;&gt;"",_xlfn.XLOOKUP(A495-1,'LPG Fup'!D:D,'LPG Fup'!M:M,"",0)&gt;0),"Z", AND(_xlfn.XLOOKUP(A495-2,'LPG Fup'!D:D,'LPG Fup'!M:M,"",0)&lt;&gt;"",_xlfn.XLOOKUP(A495-2,'LPG Fup'!D:D,'LPG Fup'!M:M,"",0)&gt;0),"Z+1"),0)</f>
        <v>0</v>
      </c>
      <c r="Q495" cm="1">
        <f t="array" ref="Q495">_xlfn.IFNA(_xlfn.IFS(AND(_xlfn.XLOOKUP(A495,'LPG Fup'!D:D,'LPG Fup'!M:M,"",0)&lt;&gt;"",_xlfn.XLOOKUP(A495,'LPG Fup'!D:D,'LPG Fup'!M:M,"",0)&lt;0),"I-1", AND(_xlfn.XLOOKUP(A495+1,'LPG Fup'!D:D,'LPG Fup'!M:M,"",0)&lt;&gt;"",_xlfn.XLOOKUP(A495+1,'LPG Fup'!D:D,'LPG Fup'!M:M,"",0)&lt;0),"I-2", AND(_xlfn.XLOOKUP(A495-1,'LPG Fup'!D:D,'LPG Fup'!M:M,"",0)&lt;&gt;"",_xlfn.XLOOKUP(A495-1,'LPG Fup'!D:D,'LPG Fup'!M:M,"",0)&lt;0),"I", AND(_xlfn.XLOOKUP(A495-2,'LPG Fup'!D:D,'LPG Fup'!M:M,"",0)&lt;&gt;"",_xlfn.XLOOKUP(A495-2,'LPG Fup'!D:D,'LPG Fup'!M:M,"",0)&lt;0),"I+1"),0)</f>
        <v>0</v>
      </c>
      <c r="R495">
        <f>_xlfn.XLOOKUP(A495,Covid!A:A,Covid!I:I,0,0)</f>
        <v>0</v>
      </c>
      <c r="S495">
        <f>_xlfn.XLOOKUP(A495,Covid!A:A,Covid!K:K,0,0)</f>
        <v>217</v>
      </c>
      <c r="T495" s="145">
        <f>_xlfn.XLOOKUP(A495,Covid!A:A,Covid!K:K,0,0)/_xlfn.XLOOKUP(A495,Covid!A:A,Covid!L:L,0,0)</f>
        <v>6.7307692307692311E-3</v>
      </c>
    </row>
    <row r="496" spans="1:20" x14ac:dyDescent="0.55000000000000004">
      <c r="A496" s="157">
        <v>44477</v>
      </c>
      <c r="B496" s="13">
        <v>2182953</v>
      </c>
      <c r="C496" s="13">
        <v>399678</v>
      </c>
      <c r="D496" s="13">
        <v>15252</v>
      </c>
      <c r="E496" s="13">
        <v>559868</v>
      </c>
      <c r="F496" s="13">
        <v>5875589</v>
      </c>
      <c r="G496">
        <f>IF(OR(_xlfn.XLOOKUP(A496,'LPG Fup'!D:D,'LPG Fup'!L:L,"",0)&gt;0.03,_xlfn.XLOOKUP(A496,'LPG Fup'!D:D,'LPG Fup'!L:L,"",0)&lt;-0.03),_xlfn.XLOOKUP(A496,'LPG Fup'!D:D,'LPG Fup'!L:L,0,0),0)</f>
        <v>0</v>
      </c>
      <c r="H496">
        <f>IF(_xlfn.XLOOKUP(A496,'LPG Fup'!D:D,'LPG Fup'!M:M,0,0)="",0,_xlfn.XLOOKUP(A496,'LPG Fup'!D:D,'LPG Fup'!M:M,0,0))</f>
        <v>0</v>
      </c>
      <c r="I496" s="109">
        <f>_xlfn.XLOOKUP(A496,'Rafineri Fiyatları'!A:A,'Rafineri Fiyatları'!B:B,"",0)</f>
        <v>7143.41</v>
      </c>
      <c r="J496">
        <f t="shared" si="28"/>
        <v>2021</v>
      </c>
      <c r="K496">
        <f t="shared" si="29"/>
        <v>10</v>
      </c>
      <c r="L496">
        <f t="shared" si="30"/>
        <v>8</v>
      </c>
      <c r="M496">
        <f t="shared" si="31"/>
        <v>6</v>
      </c>
      <c r="N496">
        <f>_xlfn.XLOOKUP(A496,tatiller!H:H,tatiller!I:I,0,0)</f>
        <v>0</v>
      </c>
      <c r="O496" cm="1">
        <f t="array" ref="O496">_xlfn.IFNA(_xlfn.IFS(L496=1,"A0",A496=EOMONTH(A496,0),"A-1",L496=2,"A+1"),0)</f>
        <v>0</v>
      </c>
      <c r="P496" cm="1">
        <f t="array" ref="P496">_xlfn.IFNA(_xlfn.IFS(AND(_xlfn.XLOOKUP(A496,'LPG Fup'!D:D,'LPG Fup'!M:M,"",0)&lt;&gt;"",_xlfn.XLOOKUP(A496,'LPG Fup'!D:D,'LPG Fup'!M:M,"",0)&gt;0),"Z-1", AND(_xlfn.XLOOKUP(A496+1,'LPG Fup'!D:D,'LPG Fup'!M:M,"",0)&lt;&gt;"",_xlfn.XLOOKUP(A496+1,'LPG Fup'!D:D,'LPG Fup'!M:M,"",0)&gt;0),"Z-2", AND(_xlfn.XLOOKUP(A496-1,'LPG Fup'!D:D,'LPG Fup'!M:M,"",0)&lt;&gt;"",_xlfn.XLOOKUP(A496-1,'LPG Fup'!D:D,'LPG Fup'!M:M,"",0)&gt;0),"Z", AND(_xlfn.XLOOKUP(A496-2,'LPG Fup'!D:D,'LPG Fup'!M:M,"",0)&lt;&gt;"",_xlfn.XLOOKUP(A496-2,'LPG Fup'!D:D,'LPG Fup'!M:M,"",0)&gt;0),"Z+1"),0)</f>
        <v>0</v>
      </c>
      <c r="Q496" cm="1">
        <f t="array" ref="Q496">_xlfn.IFNA(_xlfn.IFS(AND(_xlfn.XLOOKUP(A496,'LPG Fup'!D:D,'LPG Fup'!M:M,"",0)&lt;&gt;"",_xlfn.XLOOKUP(A496,'LPG Fup'!D:D,'LPG Fup'!M:M,"",0)&lt;0),"I-1", AND(_xlfn.XLOOKUP(A496+1,'LPG Fup'!D:D,'LPG Fup'!M:M,"",0)&lt;&gt;"",_xlfn.XLOOKUP(A496+1,'LPG Fup'!D:D,'LPG Fup'!M:M,"",0)&lt;0),"I-2", AND(_xlfn.XLOOKUP(A496-1,'LPG Fup'!D:D,'LPG Fup'!M:M,"",0)&lt;&gt;"",_xlfn.XLOOKUP(A496-1,'LPG Fup'!D:D,'LPG Fup'!M:M,"",0)&lt;0),"I", AND(_xlfn.XLOOKUP(A496-2,'LPG Fup'!D:D,'LPG Fup'!M:M,"",0)&lt;&gt;"",_xlfn.XLOOKUP(A496-2,'LPG Fup'!D:D,'LPG Fup'!M:M,"",0)&lt;0),"I+1"),0)</f>
        <v>0</v>
      </c>
      <c r="R496">
        <f>_xlfn.XLOOKUP(A496,Covid!A:A,Covid!I:I,0,0)</f>
        <v>0</v>
      </c>
      <c r="S496">
        <f>_xlfn.XLOOKUP(A496,Covid!A:A,Covid!K:K,0,0)</f>
        <v>188</v>
      </c>
      <c r="T496" s="145">
        <f>_xlfn.XLOOKUP(A496,Covid!A:A,Covid!K:K,0,0)/_xlfn.XLOOKUP(A496,Covid!A:A,Covid!L:L,0,0)</f>
        <v>6.6744772251215966E-3</v>
      </c>
    </row>
    <row r="497" spans="1:20" x14ac:dyDescent="0.55000000000000004">
      <c r="A497" s="157">
        <v>44478</v>
      </c>
      <c r="B497" s="13">
        <v>1009380</v>
      </c>
      <c r="C497" s="13">
        <v>140674</v>
      </c>
      <c r="D497" s="13">
        <v>4244</v>
      </c>
      <c r="E497" s="13">
        <v>486653</v>
      </c>
      <c r="F497" s="13">
        <v>1640951</v>
      </c>
      <c r="G497">
        <f>IF(OR(_xlfn.XLOOKUP(A497,'LPG Fup'!D:D,'LPG Fup'!L:L,"",0)&gt;0.03,_xlfn.XLOOKUP(A497,'LPG Fup'!D:D,'LPG Fup'!L:L,"",0)&lt;-0.03),_xlfn.XLOOKUP(A497,'LPG Fup'!D:D,'LPG Fup'!L:L,0,0),0)</f>
        <v>0</v>
      </c>
      <c r="H497">
        <f>IF(_xlfn.XLOOKUP(A497,'LPG Fup'!D:D,'LPG Fup'!M:M,0,0)="",0,_xlfn.XLOOKUP(A497,'LPG Fup'!D:D,'LPG Fup'!M:M,0,0))</f>
        <v>0</v>
      </c>
      <c r="I497" s="109">
        <f>_xlfn.XLOOKUP(A497,'Rafineri Fiyatları'!A:A,'Rafineri Fiyatları'!B:B,"",0)</f>
        <v>7143.41</v>
      </c>
      <c r="J497">
        <f t="shared" si="28"/>
        <v>2021</v>
      </c>
      <c r="K497">
        <f t="shared" si="29"/>
        <v>10</v>
      </c>
      <c r="L497">
        <f t="shared" si="30"/>
        <v>9</v>
      </c>
      <c r="M497">
        <f t="shared" si="31"/>
        <v>7</v>
      </c>
      <c r="N497">
        <f>_xlfn.XLOOKUP(A497,tatiller!H:H,tatiller!I:I,0,0)</f>
        <v>0</v>
      </c>
      <c r="O497" cm="1">
        <f t="array" ref="O497">_xlfn.IFNA(_xlfn.IFS(L497=1,"A0",A497=EOMONTH(A497,0),"A-1",L497=2,"A+1"),0)</f>
        <v>0</v>
      </c>
      <c r="P497" cm="1">
        <f t="array" ref="P497">_xlfn.IFNA(_xlfn.IFS(AND(_xlfn.XLOOKUP(A497,'LPG Fup'!D:D,'LPG Fup'!M:M,"",0)&lt;&gt;"",_xlfn.XLOOKUP(A497,'LPG Fup'!D:D,'LPG Fup'!M:M,"",0)&gt;0),"Z-1", AND(_xlfn.XLOOKUP(A497+1,'LPG Fup'!D:D,'LPG Fup'!M:M,"",0)&lt;&gt;"",_xlfn.XLOOKUP(A497+1,'LPG Fup'!D:D,'LPG Fup'!M:M,"",0)&gt;0),"Z-2", AND(_xlfn.XLOOKUP(A497-1,'LPG Fup'!D:D,'LPG Fup'!M:M,"",0)&lt;&gt;"",_xlfn.XLOOKUP(A497-1,'LPG Fup'!D:D,'LPG Fup'!M:M,"",0)&gt;0),"Z", AND(_xlfn.XLOOKUP(A497-2,'LPG Fup'!D:D,'LPG Fup'!M:M,"",0)&lt;&gt;"",_xlfn.XLOOKUP(A497-2,'LPG Fup'!D:D,'LPG Fup'!M:M,"",0)&gt;0),"Z+1"),0)</f>
        <v>0</v>
      </c>
      <c r="Q497" cm="1">
        <f t="array" ref="Q497">_xlfn.IFNA(_xlfn.IFS(AND(_xlfn.XLOOKUP(A497,'LPG Fup'!D:D,'LPG Fup'!M:M,"",0)&lt;&gt;"",_xlfn.XLOOKUP(A497,'LPG Fup'!D:D,'LPG Fup'!M:M,"",0)&lt;0),"I-1", AND(_xlfn.XLOOKUP(A497+1,'LPG Fup'!D:D,'LPG Fup'!M:M,"",0)&lt;&gt;"",_xlfn.XLOOKUP(A497+1,'LPG Fup'!D:D,'LPG Fup'!M:M,"",0)&lt;0),"I-2", AND(_xlfn.XLOOKUP(A497-1,'LPG Fup'!D:D,'LPG Fup'!M:M,"",0)&lt;&gt;"",_xlfn.XLOOKUP(A497-1,'LPG Fup'!D:D,'LPG Fup'!M:M,"",0)&lt;0),"I", AND(_xlfn.XLOOKUP(A497-2,'LPG Fup'!D:D,'LPG Fup'!M:M,"",0)&lt;&gt;"",_xlfn.XLOOKUP(A497-2,'LPG Fup'!D:D,'LPG Fup'!M:M,"",0)&lt;0),"I+1"),0)</f>
        <v>0</v>
      </c>
      <c r="R497">
        <f>_xlfn.XLOOKUP(A497,Covid!A:A,Covid!I:I,0,0)</f>
        <v>0</v>
      </c>
      <c r="S497">
        <f>_xlfn.XLOOKUP(A497,Covid!A:A,Covid!K:K,0,0)</f>
        <v>206</v>
      </c>
      <c r="T497" s="145">
        <f>_xlfn.XLOOKUP(A497,Covid!A:A,Covid!K:K,0,0)/_xlfn.XLOOKUP(A497,Covid!A:A,Covid!L:L,0,0)</f>
        <v>8.506421109138209E-3</v>
      </c>
    </row>
    <row r="498" spans="1:20" x14ac:dyDescent="0.55000000000000004">
      <c r="A498" s="157">
        <v>44479</v>
      </c>
      <c r="B498" s="13">
        <v>795780</v>
      </c>
      <c r="C498" s="13">
        <v>0</v>
      </c>
      <c r="D498" s="13">
        <v>0</v>
      </c>
      <c r="E498" s="13">
        <v>387422</v>
      </c>
      <c r="F498" s="13">
        <v>1183202</v>
      </c>
      <c r="G498">
        <f>IF(OR(_xlfn.XLOOKUP(A498,'LPG Fup'!D:D,'LPG Fup'!L:L,"",0)&gt;0.03,_xlfn.XLOOKUP(A498,'LPG Fup'!D:D,'LPG Fup'!L:L,"",0)&lt;-0.03),_xlfn.XLOOKUP(A498,'LPG Fup'!D:D,'LPG Fup'!L:L,0,0),0)</f>
        <v>0</v>
      </c>
      <c r="H498">
        <f>IF(_xlfn.XLOOKUP(A498,'LPG Fup'!D:D,'LPG Fup'!M:M,0,0)="",0,_xlfn.XLOOKUP(A498,'LPG Fup'!D:D,'LPG Fup'!M:M,0,0))</f>
        <v>0</v>
      </c>
      <c r="I498" s="109">
        <f>_xlfn.XLOOKUP(A498,'Rafineri Fiyatları'!A:A,'Rafineri Fiyatları'!B:B,"",0)</f>
        <v>7143.41</v>
      </c>
      <c r="J498">
        <f t="shared" si="28"/>
        <v>2021</v>
      </c>
      <c r="K498">
        <f t="shared" si="29"/>
        <v>10</v>
      </c>
      <c r="L498">
        <f t="shared" si="30"/>
        <v>10</v>
      </c>
      <c r="M498">
        <f t="shared" si="31"/>
        <v>1</v>
      </c>
      <c r="N498">
        <f>_xlfn.XLOOKUP(A498,tatiller!H:H,tatiller!I:I,0,0)</f>
        <v>0</v>
      </c>
      <c r="O498" cm="1">
        <f t="array" ref="O498">_xlfn.IFNA(_xlfn.IFS(L498=1,"A0",A498=EOMONTH(A498,0),"A-1",L498=2,"A+1"),0)</f>
        <v>0</v>
      </c>
      <c r="P498" cm="1">
        <f t="array" ref="P498">_xlfn.IFNA(_xlfn.IFS(AND(_xlfn.XLOOKUP(A498,'LPG Fup'!D:D,'LPG Fup'!M:M,"",0)&lt;&gt;"",_xlfn.XLOOKUP(A498,'LPG Fup'!D:D,'LPG Fup'!M:M,"",0)&gt;0),"Z-1", AND(_xlfn.XLOOKUP(A498+1,'LPG Fup'!D:D,'LPG Fup'!M:M,"",0)&lt;&gt;"",_xlfn.XLOOKUP(A498+1,'LPG Fup'!D:D,'LPG Fup'!M:M,"",0)&gt;0),"Z-2", AND(_xlfn.XLOOKUP(A498-1,'LPG Fup'!D:D,'LPG Fup'!M:M,"",0)&lt;&gt;"",_xlfn.XLOOKUP(A498-1,'LPG Fup'!D:D,'LPG Fup'!M:M,"",0)&gt;0),"Z", AND(_xlfn.XLOOKUP(A498-2,'LPG Fup'!D:D,'LPG Fup'!M:M,"",0)&lt;&gt;"",_xlfn.XLOOKUP(A498-2,'LPG Fup'!D:D,'LPG Fup'!M:M,"",0)&gt;0),"Z+1"),0)</f>
        <v>0</v>
      </c>
      <c r="Q498" cm="1">
        <f t="array" ref="Q498">_xlfn.IFNA(_xlfn.IFS(AND(_xlfn.XLOOKUP(A498,'LPG Fup'!D:D,'LPG Fup'!M:M,"",0)&lt;&gt;"",_xlfn.XLOOKUP(A498,'LPG Fup'!D:D,'LPG Fup'!M:M,"",0)&lt;0),"I-1", AND(_xlfn.XLOOKUP(A498+1,'LPG Fup'!D:D,'LPG Fup'!M:M,"",0)&lt;&gt;"",_xlfn.XLOOKUP(A498+1,'LPG Fup'!D:D,'LPG Fup'!M:M,"",0)&lt;0),"I-2", AND(_xlfn.XLOOKUP(A498-1,'LPG Fup'!D:D,'LPG Fup'!M:M,"",0)&lt;&gt;"",_xlfn.XLOOKUP(A498-1,'LPG Fup'!D:D,'LPG Fup'!M:M,"",0)&lt;0),"I", AND(_xlfn.XLOOKUP(A498-2,'LPG Fup'!D:D,'LPG Fup'!M:M,"",0)&lt;&gt;"",_xlfn.XLOOKUP(A498-2,'LPG Fup'!D:D,'LPG Fup'!M:M,"",0)&lt;0),"I+1"),0)</f>
        <v>0</v>
      </c>
      <c r="R498">
        <f>_xlfn.XLOOKUP(A498,Covid!A:A,Covid!I:I,0,0)</f>
        <v>0</v>
      </c>
      <c r="S498">
        <f>_xlfn.XLOOKUP(A498,Covid!A:A,Covid!K:K,0,0)</f>
        <v>196</v>
      </c>
      <c r="T498" s="145">
        <f>_xlfn.XLOOKUP(A498,Covid!A:A,Covid!K:K,0,0)/_xlfn.XLOOKUP(A498,Covid!A:A,Covid!L:L,0,0)</f>
        <v>7.60515287909359E-3</v>
      </c>
    </row>
    <row r="499" spans="1:20" x14ac:dyDescent="0.55000000000000004">
      <c r="A499" s="157">
        <v>44480</v>
      </c>
      <c r="B499" s="13">
        <v>1291900</v>
      </c>
      <c r="C499" s="13">
        <v>508352</v>
      </c>
      <c r="D499" s="13">
        <v>20661</v>
      </c>
      <c r="E499" s="13">
        <v>530458</v>
      </c>
      <c r="F499" s="13">
        <v>2351371</v>
      </c>
      <c r="G499">
        <f>IF(OR(_xlfn.XLOOKUP(A499,'LPG Fup'!D:D,'LPG Fup'!L:L,"",0)&gt;0.03,_xlfn.XLOOKUP(A499,'LPG Fup'!D:D,'LPG Fup'!L:L,"",0)&lt;-0.03),_xlfn.XLOOKUP(A499,'LPG Fup'!D:D,'LPG Fup'!L:L,0,0),0)</f>
        <v>0</v>
      </c>
      <c r="H499">
        <f>IF(_xlfn.XLOOKUP(A499,'LPG Fup'!D:D,'LPG Fup'!M:M,0,0)="",0,_xlfn.XLOOKUP(A499,'LPG Fup'!D:D,'LPG Fup'!M:M,0,0))</f>
        <v>0</v>
      </c>
      <c r="I499" s="109">
        <f>_xlfn.XLOOKUP(A499,'Rafineri Fiyatları'!A:A,'Rafineri Fiyatları'!B:B,"",0)</f>
        <v>7143.41</v>
      </c>
      <c r="J499">
        <f t="shared" si="28"/>
        <v>2021</v>
      </c>
      <c r="K499">
        <f t="shared" si="29"/>
        <v>10</v>
      </c>
      <c r="L499">
        <f t="shared" si="30"/>
        <v>11</v>
      </c>
      <c r="M499">
        <f t="shared" si="31"/>
        <v>2</v>
      </c>
      <c r="N499">
        <f>_xlfn.XLOOKUP(A499,tatiller!H:H,tatiller!I:I,0,0)</f>
        <v>0</v>
      </c>
      <c r="O499" cm="1">
        <f t="array" ref="O499">_xlfn.IFNA(_xlfn.IFS(L499=1,"A0",A499=EOMONTH(A499,0),"A-1",L499=2,"A+1"),0)</f>
        <v>0</v>
      </c>
      <c r="P499" cm="1">
        <f t="array" ref="P499">_xlfn.IFNA(_xlfn.IFS(AND(_xlfn.XLOOKUP(A499,'LPG Fup'!D:D,'LPG Fup'!M:M,"",0)&lt;&gt;"",_xlfn.XLOOKUP(A499,'LPG Fup'!D:D,'LPG Fup'!M:M,"",0)&gt;0),"Z-1", AND(_xlfn.XLOOKUP(A499+1,'LPG Fup'!D:D,'LPG Fup'!M:M,"",0)&lt;&gt;"",_xlfn.XLOOKUP(A499+1,'LPG Fup'!D:D,'LPG Fup'!M:M,"",0)&gt;0),"Z-2", AND(_xlfn.XLOOKUP(A499-1,'LPG Fup'!D:D,'LPG Fup'!M:M,"",0)&lt;&gt;"",_xlfn.XLOOKUP(A499-1,'LPG Fup'!D:D,'LPG Fup'!M:M,"",0)&gt;0),"Z", AND(_xlfn.XLOOKUP(A499-2,'LPG Fup'!D:D,'LPG Fup'!M:M,"",0)&lt;&gt;"",_xlfn.XLOOKUP(A499-2,'LPG Fup'!D:D,'LPG Fup'!M:M,"",0)&gt;0),"Z+1"),0)</f>
        <v>0</v>
      </c>
      <c r="Q499" cm="1">
        <f t="array" ref="Q499">_xlfn.IFNA(_xlfn.IFS(AND(_xlfn.XLOOKUP(A499,'LPG Fup'!D:D,'LPG Fup'!M:M,"",0)&lt;&gt;"",_xlfn.XLOOKUP(A499,'LPG Fup'!D:D,'LPG Fup'!M:M,"",0)&lt;0),"I-1", AND(_xlfn.XLOOKUP(A499+1,'LPG Fup'!D:D,'LPG Fup'!M:M,"",0)&lt;&gt;"",_xlfn.XLOOKUP(A499+1,'LPG Fup'!D:D,'LPG Fup'!M:M,"",0)&lt;0),"I-2", AND(_xlfn.XLOOKUP(A499-1,'LPG Fup'!D:D,'LPG Fup'!M:M,"",0)&lt;&gt;"",_xlfn.XLOOKUP(A499-1,'LPG Fup'!D:D,'LPG Fup'!M:M,"",0)&lt;0),"I", AND(_xlfn.XLOOKUP(A499-2,'LPG Fup'!D:D,'LPG Fup'!M:M,"",0)&lt;&gt;"",_xlfn.XLOOKUP(A499-2,'LPG Fup'!D:D,'LPG Fup'!M:M,"",0)&lt;0),"I+1"),0)</f>
        <v>0</v>
      </c>
      <c r="R499">
        <f>_xlfn.XLOOKUP(A499,Covid!A:A,Covid!I:I,0,0)</f>
        <v>0</v>
      </c>
      <c r="S499">
        <f>_xlfn.XLOOKUP(A499,Covid!A:A,Covid!K:K,0,0)</f>
        <v>188</v>
      </c>
      <c r="T499" s="145">
        <f>_xlfn.XLOOKUP(A499,Covid!A:A,Covid!K:K,0,0)/_xlfn.XLOOKUP(A499,Covid!A:A,Covid!L:L,0,0)</f>
        <v>5.5521100971619268E-3</v>
      </c>
    </row>
    <row r="500" spans="1:20" x14ac:dyDescent="0.55000000000000004">
      <c r="A500" s="157">
        <v>44481</v>
      </c>
      <c r="B500" s="13">
        <v>1395520</v>
      </c>
      <c r="C500" s="13">
        <v>399066</v>
      </c>
      <c r="D500" s="13">
        <v>5825</v>
      </c>
      <c r="E500" s="13">
        <v>416836</v>
      </c>
      <c r="F500" s="13">
        <v>2217247</v>
      </c>
      <c r="G500">
        <f>IF(OR(_xlfn.XLOOKUP(A500,'LPG Fup'!D:D,'LPG Fup'!L:L,"",0)&gt;0.03,_xlfn.XLOOKUP(A500,'LPG Fup'!D:D,'LPG Fup'!L:L,"",0)&lt;-0.03),_xlfn.XLOOKUP(A500,'LPG Fup'!D:D,'LPG Fup'!L:L,0,0),0)</f>
        <v>0</v>
      </c>
      <c r="H500">
        <f>IF(_xlfn.XLOOKUP(A500,'LPG Fup'!D:D,'LPG Fup'!M:M,0,0)="",0,_xlfn.XLOOKUP(A500,'LPG Fup'!D:D,'LPG Fup'!M:M,0,0))</f>
        <v>0</v>
      </c>
      <c r="I500" s="109">
        <f>_xlfn.XLOOKUP(A500,'Rafineri Fiyatları'!A:A,'Rafineri Fiyatları'!B:B,"",0)</f>
        <v>7143.41</v>
      </c>
      <c r="J500">
        <f t="shared" si="28"/>
        <v>2021</v>
      </c>
      <c r="K500">
        <f t="shared" si="29"/>
        <v>10</v>
      </c>
      <c r="L500">
        <f t="shared" si="30"/>
        <v>12</v>
      </c>
      <c r="M500">
        <f t="shared" si="31"/>
        <v>3</v>
      </c>
      <c r="N500">
        <f>_xlfn.XLOOKUP(A500,tatiller!H:H,tatiller!I:I,0,0)</f>
        <v>0</v>
      </c>
      <c r="O500" cm="1">
        <f t="array" ref="O500">_xlfn.IFNA(_xlfn.IFS(L500=1,"A0",A500=EOMONTH(A500,0),"A-1",L500=2,"A+1"),0)</f>
        <v>0</v>
      </c>
      <c r="P500" cm="1">
        <f t="array" ref="P500">_xlfn.IFNA(_xlfn.IFS(AND(_xlfn.XLOOKUP(A500,'LPG Fup'!D:D,'LPG Fup'!M:M,"",0)&lt;&gt;"",_xlfn.XLOOKUP(A500,'LPG Fup'!D:D,'LPG Fup'!M:M,"",0)&gt;0),"Z-1", AND(_xlfn.XLOOKUP(A500+1,'LPG Fup'!D:D,'LPG Fup'!M:M,"",0)&lt;&gt;"",_xlfn.XLOOKUP(A500+1,'LPG Fup'!D:D,'LPG Fup'!M:M,"",0)&gt;0),"Z-2", AND(_xlfn.XLOOKUP(A500-1,'LPG Fup'!D:D,'LPG Fup'!M:M,"",0)&lt;&gt;"",_xlfn.XLOOKUP(A500-1,'LPG Fup'!D:D,'LPG Fup'!M:M,"",0)&gt;0),"Z", AND(_xlfn.XLOOKUP(A500-2,'LPG Fup'!D:D,'LPG Fup'!M:M,"",0)&lt;&gt;"",_xlfn.XLOOKUP(A500-2,'LPG Fup'!D:D,'LPG Fup'!M:M,"",0)&gt;0),"Z+1"),0)</f>
        <v>0</v>
      </c>
      <c r="Q500" cm="1">
        <f t="array" ref="Q500">_xlfn.IFNA(_xlfn.IFS(AND(_xlfn.XLOOKUP(A500,'LPG Fup'!D:D,'LPG Fup'!M:M,"",0)&lt;&gt;"",_xlfn.XLOOKUP(A500,'LPG Fup'!D:D,'LPG Fup'!M:M,"",0)&lt;0),"I-1", AND(_xlfn.XLOOKUP(A500+1,'LPG Fup'!D:D,'LPG Fup'!M:M,"",0)&lt;&gt;"",_xlfn.XLOOKUP(A500+1,'LPG Fup'!D:D,'LPG Fup'!M:M,"",0)&lt;0),"I-2", AND(_xlfn.XLOOKUP(A500-1,'LPG Fup'!D:D,'LPG Fup'!M:M,"",0)&lt;&gt;"",_xlfn.XLOOKUP(A500-1,'LPG Fup'!D:D,'LPG Fup'!M:M,"",0)&lt;0),"I", AND(_xlfn.XLOOKUP(A500-2,'LPG Fup'!D:D,'LPG Fup'!M:M,"",0)&lt;&gt;"",_xlfn.XLOOKUP(A500-2,'LPG Fup'!D:D,'LPG Fup'!M:M,"",0)&lt;0),"I+1"),0)</f>
        <v>0</v>
      </c>
      <c r="R500">
        <f>_xlfn.XLOOKUP(A500,Covid!A:A,Covid!I:I,0,0)</f>
        <v>0</v>
      </c>
      <c r="S500">
        <f>_xlfn.XLOOKUP(A500,Covid!A:A,Covid!K:K,0,0)</f>
        <v>237</v>
      </c>
      <c r="T500" s="145">
        <f>_xlfn.XLOOKUP(A500,Covid!A:A,Covid!K:K,0,0)/_xlfn.XLOOKUP(A500,Covid!A:A,Covid!L:L,0,0)</f>
        <v>7.871139156426437E-3</v>
      </c>
    </row>
    <row r="501" spans="1:20" x14ac:dyDescent="0.55000000000000004">
      <c r="A501" s="157">
        <v>44482</v>
      </c>
      <c r="B501" s="13">
        <v>1034760</v>
      </c>
      <c r="C501" s="13">
        <v>417771</v>
      </c>
      <c r="D501" s="13">
        <v>9547</v>
      </c>
      <c r="E501" s="13">
        <v>457517</v>
      </c>
      <c r="F501" s="13">
        <v>1919595</v>
      </c>
      <c r="G501">
        <f>IF(OR(_xlfn.XLOOKUP(A501,'LPG Fup'!D:D,'LPG Fup'!L:L,"",0)&gt;0.03,_xlfn.XLOOKUP(A501,'LPG Fup'!D:D,'LPG Fup'!L:L,"",0)&lt;-0.03),_xlfn.XLOOKUP(A501,'LPG Fup'!D:D,'LPG Fup'!L:L,0,0),0)</f>
        <v>0</v>
      </c>
      <c r="H501">
        <f>IF(_xlfn.XLOOKUP(A501,'LPG Fup'!D:D,'LPG Fup'!M:M,0,0)="",0,_xlfn.XLOOKUP(A501,'LPG Fup'!D:D,'LPG Fup'!M:M,0,0))</f>
        <v>0</v>
      </c>
      <c r="I501" s="109">
        <f>_xlfn.XLOOKUP(A501,'Rafineri Fiyatları'!A:A,'Rafineri Fiyatları'!B:B,"",0)</f>
        <v>7143.41</v>
      </c>
      <c r="J501">
        <f t="shared" si="28"/>
        <v>2021</v>
      </c>
      <c r="K501">
        <f t="shared" si="29"/>
        <v>10</v>
      </c>
      <c r="L501">
        <f t="shared" si="30"/>
        <v>13</v>
      </c>
      <c r="M501">
        <f t="shared" si="31"/>
        <v>4</v>
      </c>
      <c r="N501">
        <f>_xlfn.XLOOKUP(A501,tatiller!H:H,tatiller!I:I,0,0)</f>
        <v>0</v>
      </c>
      <c r="O501" cm="1">
        <f t="array" ref="O501">_xlfn.IFNA(_xlfn.IFS(L501=1,"A0",A501=EOMONTH(A501,0),"A-1",L501=2,"A+1"),0)</f>
        <v>0</v>
      </c>
      <c r="P501" cm="1">
        <f t="array" ref="P501">_xlfn.IFNA(_xlfn.IFS(AND(_xlfn.XLOOKUP(A501,'LPG Fup'!D:D,'LPG Fup'!M:M,"",0)&lt;&gt;"",_xlfn.XLOOKUP(A501,'LPG Fup'!D:D,'LPG Fup'!M:M,"",0)&gt;0),"Z-1", AND(_xlfn.XLOOKUP(A501+1,'LPG Fup'!D:D,'LPG Fup'!M:M,"",0)&lt;&gt;"",_xlfn.XLOOKUP(A501+1,'LPG Fup'!D:D,'LPG Fup'!M:M,"",0)&gt;0),"Z-2", AND(_xlfn.XLOOKUP(A501-1,'LPG Fup'!D:D,'LPG Fup'!M:M,"",0)&lt;&gt;"",_xlfn.XLOOKUP(A501-1,'LPG Fup'!D:D,'LPG Fup'!M:M,"",0)&gt;0),"Z", AND(_xlfn.XLOOKUP(A501-2,'LPG Fup'!D:D,'LPG Fup'!M:M,"",0)&lt;&gt;"",_xlfn.XLOOKUP(A501-2,'LPG Fup'!D:D,'LPG Fup'!M:M,"",0)&gt;0),"Z+1"),0)</f>
        <v>0</v>
      </c>
      <c r="Q501" cm="1">
        <f t="array" ref="Q501">_xlfn.IFNA(_xlfn.IFS(AND(_xlfn.XLOOKUP(A501,'LPG Fup'!D:D,'LPG Fup'!M:M,"",0)&lt;&gt;"",_xlfn.XLOOKUP(A501,'LPG Fup'!D:D,'LPG Fup'!M:M,"",0)&lt;0),"I-1", AND(_xlfn.XLOOKUP(A501+1,'LPG Fup'!D:D,'LPG Fup'!M:M,"",0)&lt;&gt;"",_xlfn.XLOOKUP(A501+1,'LPG Fup'!D:D,'LPG Fup'!M:M,"",0)&lt;0),"I-2", AND(_xlfn.XLOOKUP(A501-1,'LPG Fup'!D:D,'LPG Fup'!M:M,"",0)&lt;&gt;"",_xlfn.XLOOKUP(A501-1,'LPG Fup'!D:D,'LPG Fup'!M:M,"",0)&lt;0),"I", AND(_xlfn.XLOOKUP(A501-2,'LPG Fup'!D:D,'LPG Fup'!M:M,"",0)&lt;&gt;"",_xlfn.XLOOKUP(A501-2,'LPG Fup'!D:D,'LPG Fup'!M:M,"",0)&lt;0),"I+1"),0)</f>
        <v>0</v>
      </c>
      <c r="R501">
        <f>_xlfn.XLOOKUP(A501,Covid!A:A,Covid!I:I,0,0)</f>
        <v>0</v>
      </c>
      <c r="S501">
        <f>_xlfn.XLOOKUP(A501,Covid!A:A,Covid!K:K,0,0)</f>
        <v>236</v>
      </c>
      <c r="T501" s="145">
        <f>_xlfn.XLOOKUP(A501,Covid!A:A,Covid!K:K,0,0)/_xlfn.XLOOKUP(A501,Covid!A:A,Covid!L:L,0,0)</f>
        <v>7.7808183047047572E-3</v>
      </c>
    </row>
    <row r="502" spans="1:20" x14ac:dyDescent="0.55000000000000004">
      <c r="A502" s="157">
        <v>44483</v>
      </c>
      <c r="B502" s="13">
        <v>1328720</v>
      </c>
      <c r="C502" s="13">
        <v>446259</v>
      </c>
      <c r="D502" s="13">
        <v>19962</v>
      </c>
      <c r="E502" s="13">
        <v>399124</v>
      </c>
      <c r="F502" s="13">
        <v>4394839</v>
      </c>
      <c r="G502">
        <f>IF(OR(_xlfn.XLOOKUP(A502,'LPG Fup'!D:D,'LPG Fup'!L:L,"",0)&gt;0.03,_xlfn.XLOOKUP(A502,'LPG Fup'!D:D,'LPG Fup'!L:L,"",0)&lt;-0.03),_xlfn.XLOOKUP(A502,'LPG Fup'!D:D,'LPG Fup'!L:L,0,0),0)</f>
        <v>0</v>
      </c>
      <c r="H502">
        <f>IF(_xlfn.XLOOKUP(A502,'LPG Fup'!D:D,'LPG Fup'!M:M,0,0)="",0,_xlfn.XLOOKUP(A502,'LPG Fup'!D:D,'LPG Fup'!M:M,0,0))</f>
        <v>0</v>
      </c>
      <c r="I502" s="109">
        <f>_xlfn.XLOOKUP(A502,'Rafineri Fiyatları'!A:A,'Rafineri Fiyatları'!B:B,"",0)</f>
        <v>7143.41</v>
      </c>
      <c r="J502">
        <f t="shared" si="28"/>
        <v>2021</v>
      </c>
      <c r="K502">
        <f t="shared" si="29"/>
        <v>10</v>
      </c>
      <c r="L502">
        <f t="shared" si="30"/>
        <v>14</v>
      </c>
      <c r="M502">
        <f t="shared" si="31"/>
        <v>5</v>
      </c>
      <c r="N502">
        <f>_xlfn.XLOOKUP(A502,tatiller!H:H,tatiller!I:I,0,0)</f>
        <v>0</v>
      </c>
      <c r="O502" cm="1">
        <f t="array" ref="O502">_xlfn.IFNA(_xlfn.IFS(L502=1,"A0",A502=EOMONTH(A502,0),"A-1",L502=2,"A+1"),0)</f>
        <v>0</v>
      </c>
      <c r="P502" cm="1">
        <f t="array" ref="P502">_xlfn.IFNA(_xlfn.IFS(AND(_xlfn.XLOOKUP(A502,'LPG Fup'!D:D,'LPG Fup'!M:M,"",0)&lt;&gt;"",_xlfn.XLOOKUP(A502,'LPG Fup'!D:D,'LPG Fup'!M:M,"",0)&gt;0),"Z-1", AND(_xlfn.XLOOKUP(A502+1,'LPG Fup'!D:D,'LPG Fup'!M:M,"",0)&lt;&gt;"",_xlfn.XLOOKUP(A502+1,'LPG Fup'!D:D,'LPG Fup'!M:M,"",0)&gt;0),"Z-2", AND(_xlfn.XLOOKUP(A502-1,'LPG Fup'!D:D,'LPG Fup'!M:M,"",0)&lt;&gt;"",_xlfn.XLOOKUP(A502-1,'LPG Fup'!D:D,'LPG Fup'!M:M,"",0)&gt;0),"Z", AND(_xlfn.XLOOKUP(A502-2,'LPG Fup'!D:D,'LPG Fup'!M:M,"",0)&lt;&gt;"",_xlfn.XLOOKUP(A502-2,'LPG Fup'!D:D,'LPG Fup'!M:M,"",0)&gt;0),"Z+1"),0)</f>
        <v>0</v>
      </c>
      <c r="Q502" cm="1">
        <f t="array" ref="Q502">_xlfn.IFNA(_xlfn.IFS(AND(_xlfn.XLOOKUP(A502,'LPG Fup'!D:D,'LPG Fup'!M:M,"",0)&lt;&gt;"",_xlfn.XLOOKUP(A502,'LPG Fup'!D:D,'LPG Fup'!M:M,"",0)&lt;0),"I-1", AND(_xlfn.XLOOKUP(A502+1,'LPG Fup'!D:D,'LPG Fup'!M:M,"",0)&lt;&gt;"",_xlfn.XLOOKUP(A502+1,'LPG Fup'!D:D,'LPG Fup'!M:M,"",0)&lt;0),"I-2", AND(_xlfn.XLOOKUP(A502-1,'LPG Fup'!D:D,'LPG Fup'!M:M,"",0)&lt;&gt;"",_xlfn.XLOOKUP(A502-1,'LPG Fup'!D:D,'LPG Fup'!M:M,"",0)&lt;0),"I", AND(_xlfn.XLOOKUP(A502-2,'LPG Fup'!D:D,'LPG Fup'!M:M,"",0)&lt;&gt;"",_xlfn.XLOOKUP(A502-2,'LPG Fup'!D:D,'LPG Fup'!M:M,"",0)&lt;0),"I+1"),0)</f>
        <v>0</v>
      </c>
      <c r="R502">
        <f>_xlfn.XLOOKUP(A502,Covid!A:A,Covid!I:I,0,0)</f>
        <v>0</v>
      </c>
      <c r="S502">
        <f>_xlfn.XLOOKUP(A502,Covid!A:A,Covid!K:K,0,0)</f>
        <v>203</v>
      </c>
      <c r="T502" s="145">
        <f>_xlfn.XLOOKUP(A502,Covid!A:A,Covid!K:K,0,0)/_xlfn.XLOOKUP(A502,Covid!A:A,Covid!L:L,0,0)</f>
        <v>7.6716677374248895E-3</v>
      </c>
    </row>
    <row r="503" spans="1:20" x14ac:dyDescent="0.55000000000000004">
      <c r="A503" s="157">
        <v>44484</v>
      </c>
      <c r="B503" s="13">
        <v>1237400</v>
      </c>
      <c r="C503" s="13">
        <v>578953</v>
      </c>
      <c r="D503" s="13">
        <v>28056</v>
      </c>
      <c r="E503" s="13">
        <v>460918</v>
      </c>
      <c r="F503" s="13">
        <v>4602243</v>
      </c>
      <c r="G503">
        <f>IF(OR(_xlfn.XLOOKUP(A503,'LPG Fup'!D:D,'LPG Fup'!L:L,"",0)&gt;0.03,_xlfn.XLOOKUP(A503,'LPG Fup'!D:D,'LPG Fup'!L:L,"",0)&lt;-0.03),_xlfn.XLOOKUP(A503,'LPG Fup'!D:D,'LPG Fup'!L:L,0,0),0)</f>
        <v>0</v>
      </c>
      <c r="H503">
        <f>IF(_xlfn.XLOOKUP(A503,'LPG Fup'!D:D,'LPG Fup'!M:M,0,0)="",0,_xlfn.XLOOKUP(A503,'LPG Fup'!D:D,'LPG Fup'!M:M,0,0))</f>
        <v>0</v>
      </c>
      <c r="I503" s="109">
        <f>_xlfn.XLOOKUP(A503,'Rafineri Fiyatları'!A:A,'Rafineri Fiyatları'!B:B,"",0)</f>
        <v>7143.41</v>
      </c>
      <c r="J503">
        <f t="shared" si="28"/>
        <v>2021</v>
      </c>
      <c r="K503">
        <f t="shared" si="29"/>
        <v>10</v>
      </c>
      <c r="L503">
        <f t="shared" si="30"/>
        <v>15</v>
      </c>
      <c r="M503">
        <f t="shared" si="31"/>
        <v>6</v>
      </c>
      <c r="N503">
        <f>_xlfn.XLOOKUP(A503,tatiller!H:H,tatiller!I:I,0,0)</f>
        <v>0</v>
      </c>
      <c r="O503" cm="1">
        <f t="array" ref="O503">_xlfn.IFNA(_xlfn.IFS(L503=1,"A0",A503=EOMONTH(A503,0),"A-1",L503=2,"A+1"),0)</f>
        <v>0</v>
      </c>
      <c r="P503" cm="1">
        <f t="array" ref="P503">_xlfn.IFNA(_xlfn.IFS(AND(_xlfn.XLOOKUP(A503,'LPG Fup'!D:D,'LPG Fup'!M:M,"",0)&lt;&gt;"",_xlfn.XLOOKUP(A503,'LPG Fup'!D:D,'LPG Fup'!M:M,"",0)&gt;0),"Z-1", AND(_xlfn.XLOOKUP(A503+1,'LPG Fup'!D:D,'LPG Fup'!M:M,"",0)&lt;&gt;"",_xlfn.XLOOKUP(A503+1,'LPG Fup'!D:D,'LPG Fup'!M:M,"",0)&gt;0),"Z-2", AND(_xlfn.XLOOKUP(A503-1,'LPG Fup'!D:D,'LPG Fup'!M:M,"",0)&lt;&gt;"",_xlfn.XLOOKUP(A503-1,'LPG Fup'!D:D,'LPG Fup'!M:M,"",0)&gt;0),"Z", AND(_xlfn.XLOOKUP(A503-2,'LPG Fup'!D:D,'LPG Fup'!M:M,"",0)&lt;&gt;"",_xlfn.XLOOKUP(A503-2,'LPG Fup'!D:D,'LPG Fup'!M:M,"",0)&gt;0),"Z+1"),0)</f>
        <v>0</v>
      </c>
      <c r="Q503" cm="1">
        <f t="array" ref="Q503">_xlfn.IFNA(_xlfn.IFS(AND(_xlfn.XLOOKUP(A503,'LPG Fup'!D:D,'LPG Fup'!M:M,"",0)&lt;&gt;"",_xlfn.XLOOKUP(A503,'LPG Fup'!D:D,'LPG Fup'!M:M,"",0)&lt;0),"I-1", AND(_xlfn.XLOOKUP(A503+1,'LPG Fup'!D:D,'LPG Fup'!M:M,"",0)&lt;&gt;"",_xlfn.XLOOKUP(A503+1,'LPG Fup'!D:D,'LPG Fup'!M:M,"",0)&lt;0),"I-2", AND(_xlfn.XLOOKUP(A503-1,'LPG Fup'!D:D,'LPG Fup'!M:M,"",0)&lt;&gt;"",_xlfn.XLOOKUP(A503-1,'LPG Fup'!D:D,'LPG Fup'!M:M,"",0)&lt;0),"I", AND(_xlfn.XLOOKUP(A503-2,'LPG Fup'!D:D,'LPG Fup'!M:M,"",0)&lt;&gt;"",_xlfn.XLOOKUP(A503-2,'LPG Fup'!D:D,'LPG Fup'!M:M,"",0)&lt;0),"I+1"),0)</f>
        <v>0</v>
      </c>
      <c r="R503">
        <f>_xlfn.XLOOKUP(A503,Covid!A:A,Covid!I:I,0,0)</f>
        <v>0</v>
      </c>
      <c r="S503">
        <f>_xlfn.XLOOKUP(A503,Covid!A:A,Covid!K:K,0,0)</f>
        <v>181</v>
      </c>
      <c r="T503" s="145">
        <f>_xlfn.XLOOKUP(A503,Covid!A:A,Covid!K:K,0,0)/_xlfn.XLOOKUP(A503,Covid!A:A,Covid!L:L,0,0)</f>
        <v>7.0944224512993377E-3</v>
      </c>
    </row>
    <row r="504" spans="1:20" x14ac:dyDescent="0.55000000000000004">
      <c r="A504" s="157">
        <v>44485</v>
      </c>
      <c r="B504" s="13">
        <v>1145420</v>
      </c>
      <c r="C504" s="13">
        <v>157129</v>
      </c>
      <c r="D504" s="13">
        <v>0</v>
      </c>
      <c r="E504" s="13">
        <v>607573</v>
      </c>
      <c r="F504" s="13">
        <v>1910122</v>
      </c>
      <c r="G504">
        <f>IF(OR(_xlfn.XLOOKUP(A504,'LPG Fup'!D:D,'LPG Fup'!L:L,"",0)&gt;0.03,_xlfn.XLOOKUP(A504,'LPG Fup'!D:D,'LPG Fup'!L:L,"",0)&lt;-0.03),_xlfn.XLOOKUP(A504,'LPG Fup'!D:D,'LPG Fup'!L:L,0,0),0)</f>
        <v>0</v>
      </c>
      <c r="H504">
        <f>IF(_xlfn.XLOOKUP(A504,'LPG Fup'!D:D,'LPG Fup'!M:M,0,0)="",0,_xlfn.XLOOKUP(A504,'LPG Fup'!D:D,'LPG Fup'!M:M,0,0))</f>
        <v>0</v>
      </c>
      <c r="I504" s="109">
        <f>_xlfn.XLOOKUP(A504,'Rafineri Fiyatları'!A:A,'Rafineri Fiyatları'!B:B,"",0)</f>
        <v>7143.41</v>
      </c>
      <c r="J504">
        <f t="shared" si="28"/>
        <v>2021</v>
      </c>
      <c r="K504">
        <f t="shared" si="29"/>
        <v>10</v>
      </c>
      <c r="L504">
        <f t="shared" si="30"/>
        <v>16</v>
      </c>
      <c r="M504">
        <f t="shared" si="31"/>
        <v>7</v>
      </c>
      <c r="N504">
        <f>_xlfn.XLOOKUP(A504,tatiller!H:H,tatiller!I:I,0,0)</f>
        <v>0</v>
      </c>
      <c r="O504" cm="1">
        <f t="array" ref="O504">_xlfn.IFNA(_xlfn.IFS(L504=1,"A0",A504=EOMONTH(A504,0),"A-1",L504=2,"A+1"),0)</f>
        <v>0</v>
      </c>
      <c r="P504" cm="1">
        <f t="array" ref="P504">_xlfn.IFNA(_xlfn.IFS(AND(_xlfn.XLOOKUP(A504,'LPG Fup'!D:D,'LPG Fup'!M:M,"",0)&lt;&gt;"",_xlfn.XLOOKUP(A504,'LPG Fup'!D:D,'LPG Fup'!M:M,"",0)&gt;0),"Z-1", AND(_xlfn.XLOOKUP(A504+1,'LPG Fup'!D:D,'LPG Fup'!M:M,"",0)&lt;&gt;"",_xlfn.XLOOKUP(A504+1,'LPG Fup'!D:D,'LPG Fup'!M:M,"",0)&gt;0),"Z-2", AND(_xlfn.XLOOKUP(A504-1,'LPG Fup'!D:D,'LPG Fup'!M:M,"",0)&lt;&gt;"",_xlfn.XLOOKUP(A504-1,'LPG Fup'!D:D,'LPG Fup'!M:M,"",0)&gt;0),"Z", AND(_xlfn.XLOOKUP(A504-2,'LPG Fup'!D:D,'LPG Fup'!M:M,"",0)&lt;&gt;"",_xlfn.XLOOKUP(A504-2,'LPG Fup'!D:D,'LPG Fup'!M:M,"",0)&gt;0),"Z+1"),0)</f>
        <v>0</v>
      </c>
      <c r="Q504" cm="1">
        <f t="array" ref="Q504">_xlfn.IFNA(_xlfn.IFS(AND(_xlfn.XLOOKUP(A504,'LPG Fup'!D:D,'LPG Fup'!M:M,"",0)&lt;&gt;"",_xlfn.XLOOKUP(A504,'LPG Fup'!D:D,'LPG Fup'!M:M,"",0)&lt;0),"I-1", AND(_xlfn.XLOOKUP(A504+1,'LPG Fup'!D:D,'LPG Fup'!M:M,"",0)&lt;&gt;"",_xlfn.XLOOKUP(A504+1,'LPG Fup'!D:D,'LPG Fup'!M:M,"",0)&lt;0),"I-2", AND(_xlfn.XLOOKUP(A504-1,'LPG Fup'!D:D,'LPG Fup'!M:M,"",0)&lt;&gt;"",_xlfn.XLOOKUP(A504-1,'LPG Fup'!D:D,'LPG Fup'!M:M,"",0)&lt;0),"I", AND(_xlfn.XLOOKUP(A504-2,'LPG Fup'!D:D,'LPG Fup'!M:M,"",0)&lt;&gt;"",_xlfn.XLOOKUP(A504-2,'LPG Fup'!D:D,'LPG Fup'!M:M,"",0)&lt;0),"I+1"),0)</f>
        <v>0</v>
      </c>
      <c r="R504">
        <f>_xlfn.XLOOKUP(A504,Covid!A:A,Covid!I:I,0,0)</f>
        <v>0</v>
      </c>
      <c r="S504">
        <f>_xlfn.XLOOKUP(A504,Covid!A:A,Covid!K:K,0,0)</f>
        <v>212</v>
      </c>
      <c r="T504" s="145">
        <f>_xlfn.XLOOKUP(A504,Covid!A:A,Covid!K:K,0,0)/_xlfn.XLOOKUP(A504,Covid!A:A,Covid!L:L,0,0)</f>
        <v>8.2776931787122716E-3</v>
      </c>
    </row>
    <row r="505" spans="1:20" x14ac:dyDescent="0.55000000000000004">
      <c r="A505" s="157">
        <v>44486</v>
      </c>
      <c r="B505" s="13">
        <v>1043240</v>
      </c>
      <c r="C505" s="13">
        <v>214</v>
      </c>
      <c r="D505" s="13">
        <v>0</v>
      </c>
      <c r="E505" s="13">
        <v>358996</v>
      </c>
      <c r="F505" s="13">
        <v>1402450</v>
      </c>
      <c r="G505">
        <f>IF(OR(_xlfn.XLOOKUP(A505,'LPG Fup'!D:D,'LPG Fup'!L:L,"",0)&gt;0.03,_xlfn.XLOOKUP(A505,'LPG Fup'!D:D,'LPG Fup'!L:L,"",0)&lt;-0.03),_xlfn.XLOOKUP(A505,'LPG Fup'!D:D,'LPG Fup'!L:L,0,0),0)</f>
        <v>0</v>
      </c>
      <c r="H505">
        <f>IF(_xlfn.XLOOKUP(A505,'LPG Fup'!D:D,'LPG Fup'!M:M,0,0)="",0,_xlfn.XLOOKUP(A505,'LPG Fup'!D:D,'LPG Fup'!M:M,0,0))</f>
        <v>0</v>
      </c>
      <c r="I505" s="109">
        <f>_xlfn.XLOOKUP(A505,'Rafineri Fiyatları'!A:A,'Rafineri Fiyatları'!B:B,"",0)</f>
        <v>7143.41</v>
      </c>
      <c r="J505">
        <f t="shared" si="28"/>
        <v>2021</v>
      </c>
      <c r="K505">
        <f t="shared" si="29"/>
        <v>10</v>
      </c>
      <c r="L505">
        <f t="shared" si="30"/>
        <v>17</v>
      </c>
      <c r="M505">
        <f t="shared" si="31"/>
        <v>1</v>
      </c>
      <c r="N505">
        <f>_xlfn.XLOOKUP(A505,tatiller!H:H,tatiller!I:I,0,0)</f>
        <v>0</v>
      </c>
      <c r="O505" cm="1">
        <f t="array" ref="O505">_xlfn.IFNA(_xlfn.IFS(L505=1,"A0",A505=EOMONTH(A505,0),"A-1",L505=2,"A+1"),0)</f>
        <v>0</v>
      </c>
      <c r="P505" cm="1">
        <f t="array" ref="P505">_xlfn.IFNA(_xlfn.IFS(AND(_xlfn.XLOOKUP(A505,'LPG Fup'!D:D,'LPG Fup'!M:M,"",0)&lt;&gt;"",_xlfn.XLOOKUP(A505,'LPG Fup'!D:D,'LPG Fup'!M:M,"",0)&gt;0),"Z-1", AND(_xlfn.XLOOKUP(A505+1,'LPG Fup'!D:D,'LPG Fup'!M:M,"",0)&lt;&gt;"",_xlfn.XLOOKUP(A505+1,'LPG Fup'!D:D,'LPG Fup'!M:M,"",0)&gt;0),"Z-2", AND(_xlfn.XLOOKUP(A505-1,'LPG Fup'!D:D,'LPG Fup'!M:M,"",0)&lt;&gt;"",_xlfn.XLOOKUP(A505-1,'LPG Fup'!D:D,'LPG Fup'!M:M,"",0)&gt;0),"Z", AND(_xlfn.XLOOKUP(A505-2,'LPG Fup'!D:D,'LPG Fup'!M:M,"",0)&lt;&gt;"",_xlfn.XLOOKUP(A505-2,'LPG Fup'!D:D,'LPG Fup'!M:M,"",0)&gt;0),"Z+1"),0)</f>
        <v>0</v>
      </c>
      <c r="Q505" cm="1">
        <f t="array" ref="Q505">_xlfn.IFNA(_xlfn.IFS(AND(_xlfn.XLOOKUP(A505,'LPG Fup'!D:D,'LPG Fup'!M:M,"",0)&lt;&gt;"",_xlfn.XLOOKUP(A505,'LPG Fup'!D:D,'LPG Fup'!M:M,"",0)&lt;0),"I-1", AND(_xlfn.XLOOKUP(A505+1,'LPG Fup'!D:D,'LPG Fup'!M:M,"",0)&lt;&gt;"",_xlfn.XLOOKUP(A505+1,'LPG Fup'!D:D,'LPG Fup'!M:M,"",0)&lt;0),"I-2", AND(_xlfn.XLOOKUP(A505-1,'LPG Fup'!D:D,'LPG Fup'!M:M,"",0)&lt;&gt;"",_xlfn.XLOOKUP(A505-1,'LPG Fup'!D:D,'LPG Fup'!M:M,"",0)&lt;0),"I", AND(_xlfn.XLOOKUP(A505-2,'LPG Fup'!D:D,'LPG Fup'!M:M,"",0)&lt;&gt;"",_xlfn.XLOOKUP(A505-2,'LPG Fup'!D:D,'LPG Fup'!M:M,"",0)&lt;0),"I+1"),0)</f>
        <v>0</v>
      </c>
      <c r="R505">
        <f>_xlfn.XLOOKUP(A505,Covid!A:A,Covid!I:I,0,0)</f>
        <v>0</v>
      </c>
      <c r="S505">
        <f>_xlfn.XLOOKUP(A505,Covid!A:A,Covid!K:K,0,0)</f>
        <v>186</v>
      </c>
      <c r="T505" s="145">
        <f>_xlfn.XLOOKUP(A505,Covid!A:A,Covid!K:K,0,0)/_xlfn.XLOOKUP(A505,Covid!A:A,Covid!L:L,0,0)</f>
        <v>7.6220136868417818E-3</v>
      </c>
    </row>
    <row r="506" spans="1:20" x14ac:dyDescent="0.55000000000000004">
      <c r="A506" s="157">
        <v>44487</v>
      </c>
      <c r="B506" s="13">
        <v>1187200</v>
      </c>
      <c r="C506" s="13">
        <v>666264</v>
      </c>
      <c r="D506" s="13">
        <v>8458</v>
      </c>
      <c r="E506" s="13">
        <v>627736</v>
      </c>
      <c r="F506" s="13">
        <v>2489658</v>
      </c>
      <c r="G506">
        <f>IF(OR(_xlfn.XLOOKUP(A506,'LPG Fup'!D:D,'LPG Fup'!L:L,"",0)&gt;0.03,_xlfn.XLOOKUP(A506,'LPG Fup'!D:D,'LPG Fup'!L:L,"",0)&lt;-0.03),_xlfn.XLOOKUP(A506,'LPG Fup'!D:D,'LPG Fup'!L:L,0,0),0)</f>
        <v>0</v>
      </c>
      <c r="H506">
        <f>IF(_xlfn.XLOOKUP(A506,'LPG Fup'!D:D,'LPG Fup'!M:M,0,0)="",0,_xlfn.XLOOKUP(A506,'LPG Fup'!D:D,'LPG Fup'!M:M,0,0))</f>
        <v>0</v>
      </c>
      <c r="I506" s="109">
        <f>_xlfn.XLOOKUP(A506,'Rafineri Fiyatları'!A:A,'Rafineri Fiyatları'!B:B,"",0)</f>
        <v>7143.41</v>
      </c>
      <c r="J506">
        <f t="shared" si="28"/>
        <v>2021</v>
      </c>
      <c r="K506">
        <f t="shared" si="29"/>
        <v>10</v>
      </c>
      <c r="L506">
        <f t="shared" si="30"/>
        <v>18</v>
      </c>
      <c r="M506">
        <f t="shared" si="31"/>
        <v>2</v>
      </c>
      <c r="N506">
        <f>_xlfn.XLOOKUP(A506,tatiller!H:H,tatiller!I:I,0,0)</f>
        <v>0</v>
      </c>
      <c r="O506" cm="1">
        <f t="array" ref="O506">_xlfn.IFNA(_xlfn.IFS(L506=1,"A0",A506=EOMONTH(A506,0),"A-1",L506=2,"A+1"),0)</f>
        <v>0</v>
      </c>
      <c r="P506" cm="1">
        <f t="array" ref="P506">_xlfn.IFNA(_xlfn.IFS(AND(_xlfn.XLOOKUP(A506,'LPG Fup'!D:D,'LPG Fup'!M:M,"",0)&lt;&gt;"",_xlfn.XLOOKUP(A506,'LPG Fup'!D:D,'LPG Fup'!M:M,"",0)&gt;0),"Z-1", AND(_xlfn.XLOOKUP(A506+1,'LPG Fup'!D:D,'LPG Fup'!M:M,"",0)&lt;&gt;"",_xlfn.XLOOKUP(A506+1,'LPG Fup'!D:D,'LPG Fup'!M:M,"",0)&gt;0),"Z-2", AND(_xlfn.XLOOKUP(A506-1,'LPG Fup'!D:D,'LPG Fup'!M:M,"",0)&lt;&gt;"",_xlfn.XLOOKUP(A506-1,'LPG Fup'!D:D,'LPG Fup'!M:M,"",0)&gt;0),"Z", AND(_xlfn.XLOOKUP(A506-2,'LPG Fup'!D:D,'LPG Fup'!M:M,"",0)&lt;&gt;"",_xlfn.XLOOKUP(A506-2,'LPG Fup'!D:D,'LPG Fup'!M:M,"",0)&gt;0),"Z+1"),0)</f>
        <v>0</v>
      </c>
      <c r="Q506" cm="1">
        <f t="array" ref="Q506">_xlfn.IFNA(_xlfn.IFS(AND(_xlfn.XLOOKUP(A506,'LPG Fup'!D:D,'LPG Fup'!M:M,"",0)&lt;&gt;"",_xlfn.XLOOKUP(A506,'LPG Fup'!D:D,'LPG Fup'!M:M,"",0)&lt;0),"I-1", AND(_xlfn.XLOOKUP(A506+1,'LPG Fup'!D:D,'LPG Fup'!M:M,"",0)&lt;&gt;"",_xlfn.XLOOKUP(A506+1,'LPG Fup'!D:D,'LPG Fup'!M:M,"",0)&lt;0),"I-2", AND(_xlfn.XLOOKUP(A506-1,'LPG Fup'!D:D,'LPG Fup'!M:M,"",0)&lt;&gt;"",_xlfn.XLOOKUP(A506-1,'LPG Fup'!D:D,'LPG Fup'!M:M,"",0)&lt;0),"I", AND(_xlfn.XLOOKUP(A506-2,'LPG Fup'!D:D,'LPG Fup'!M:M,"",0)&lt;&gt;"",_xlfn.XLOOKUP(A506-2,'LPG Fup'!D:D,'LPG Fup'!M:M,"",0)&lt;0),"I+1"),0)</f>
        <v>0</v>
      </c>
      <c r="R506">
        <f>_xlfn.XLOOKUP(A506,Covid!A:A,Covid!I:I,0,0)</f>
        <v>0</v>
      </c>
      <c r="S506">
        <f>_xlfn.XLOOKUP(A506,Covid!A:A,Covid!K:K,0,0)</f>
        <v>214</v>
      </c>
      <c r="T506" s="145">
        <f>_xlfn.XLOOKUP(A506,Covid!A:A,Covid!K:K,0,0)/_xlfn.XLOOKUP(A506,Covid!A:A,Covid!L:L,0,0)</f>
        <v>8.0636045065752282E-3</v>
      </c>
    </row>
    <row r="507" spans="1:20" x14ac:dyDescent="0.55000000000000004">
      <c r="A507" s="157">
        <v>44488</v>
      </c>
      <c r="B507" s="13">
        <v>1389440</v>
      </c>
      <c r="C507" s="13">
        <v>593465</v>
      </c>
      <c r="D507" s="13">
        <v>17960</v>
      </c>
      <c r="E507" s="13">
        <v>471388</v>
      </c>
      <c r="F507" s="13">
        <v>2472253</v>
      </c>
      <c r="G507">
        <f>IF(OR(_xlfn.XLOOKUP(A507,'LPG Fup'!D:D,'LPG Fup'!L:L,"",0)&gt;0.03,_xlfn.XLOOKUP(A507,'LPG Fup'!D:D,'LPG Fup'!L:L,"",0)&lt;-0.03),_xlfn.XLOOKUP(A507,'LPG Fup'!D:D,'LPG Fup'!L:L,0,0),0)</f>
        <v>0</v>
      </c>
      <c r="H507">
        <f>IF(_xlfn.XLOOKUP(A507,'LPG Fup'!D:D,'LPG Fup'!M:M,0,0)="",0,_xlfn.XLOOKUP(A507,'LPG Fup'!D:D,'LPG Fup'!M:M,0,0))</f>
        <v>0</v>
      </c>
      <c r="I507" s="109">
        <f>_xlfn.XLOOKUP(A507,'Rafineri Fiyatları'!A:A,'Rafineri Fiyatları'!B:B,"",0)</f>
        <v>7143.41</v>
      </c>
      <c r="J507">
        <f t="shared" si="28"/>
        <v>2021</v>
      </c>
      <c r="K507">
        <f t="shared" si="29"/>
        <v>10</v>
      </c>
      <c r="L507">
        <f t="shared" si="30"/>
        <v>19</v>
      </c>
      <c r="M507">
        <f t="shared" si="31"/>
        <v>3</v>
      </c>
      <c r="N507">
        <f>_xlfn.XLOOKUP(A507,tatiller!H:H,tatiller!I:I,0,0)</f>
        <v>0</v>
      </c>
      <c r="O507" cm="1">
        <f t="array" ref="O507">_xlfn.IFNA(_xlfn.IFS(L507=1,"A0",A507=EOMONTH(A507,0),"A-1",L507=2,"A+1"),0)</f>
        <v>0</v>
      </c>
      <c r="P507" t="str" cm="1">
        <f t="array" ref="P507">_xlfn.IFNA(_xlfn.IFS(AND(_xlfn.XLOOKUP(A507,'LPG Fup'!D:D,'LPG Fup'!M:M,"",0)&lt;&gt;"",_xlfn.XLOOKUP(A507,'LPG Fup'!D:D,'LPG Fup'!M:M,"",0)&gt;0),"Z-1", AND(_xlfn.XLOOKUP(A507+1,'LPG Fup'!D:D,'LPG Fup'!M:M,"",0)&lt;&gt;"",_xlfn.XLOOKUP(A507+1,'LPG Fup'!D:D,'LPG Fup'!M:M,"",0)&gt;0),"Z-2", AND(_xlfn.XLOOKUP(A507-1,'LPG Fup'!D:D,'LPG Fup'!M:M,"",0)&lt;&gt;"",_xlfn.XLOOKUP(A507-1,'LPG Fup'!D:D,'LPG Fup'!M:M,"",0)&gt;0),"Z", AND(_xlfn.XLOOKUP(A507-2,'LPG Fup'!D:D,'LPG Fup'!M:M,"",0)&lt;&gt;"",_xlfn.XLOOKUP(A507-2,'LPG Fup'!D:D,'LPG Fup'!M:M,"",0)&gt;0),"Z+1"),0)</f>
        <v>Z-2</v>
      </c>
      <c r="Q507" cm="1">
        <f t="array" ref="Q507">_xlfn.IFNA(_xlfn.IFS(AND(_xlfn.XLOOKUP(A507,'LPG Fup'!D:D,'LPG Fup'!M:M,"",0)&lt;&gt;"",_xlfn.XLOOKUP(A507,'LPG Fup'!D:D,'LPG Fup'!M:M,"",0)&lt;0),"I-1", AND(_xlfn.XLOOKUP(A507+1,'LPG Fup'!D:D,'LPG Fup'!M:M,"",0)&lt;&gt;"",_xlfn.XLOOKUP(A507+1,'LPG Fup'!D:D,'LPG Fup'!M:M,"",0)&lt;0),"I-2", AND(_xlfn.XLOOKUP(A507-1,'LPG Fup'!D:D,'LPG Fup'!M:M,"",0)&lt;&gt;"",_xlfn.XLOOKUP(A507-1,'LPG Fup'!D:D,'LPG Fup'!M:M,"",0)&lt;0),"I", AND(_xlfn.XLOOKUP(A507-2,'LPG Fup'!D:D,'LPG Fup'!M:M,"",0)&lt;&gt;"",_xlfn.XLOOKUP(A507-2,'LPG Fup'!D:D,'LPG Fup'!M:M,"",0)&lt;0),"I+1"),0)</f>
        <v>0</v>
      </c>
      <c r="R507">
        <f>_xlfn.XLOOKUP(A507,Covid!A:A,Covid!I:I,0,0)</f>
        <v>0</v>
      </c>
      <c r="S507">
        <f>_xlfn.XLOOKUP(A507,Covid!A:A,Covid!K:K,0,0)</f>
        <v>223</v>
      </c>
      <c r="T507" s="145">
        <f>_xlfn.XLOOKUP(A507,Covid!A:A,Covid!K:K,0,0)/_xlfn.XLOOKUP(A507,Covid!A:A,Covid!L:L,0,0)</f>
        <v>8.1529687042995024E-3</v>
      </c>
    </row>
    <row r="508" spans="1:20" x14ac:dyDescent="0.55000000000000004">
      <c r="A508" s="157">
        <v>44489</v>
      </c>
      <c r="B508" s="13">
        <v>1896300</v>
      </c>
      <c r="C508" s="13">
        <v>698048</v>
      </c>
      <c r="D508" s="13">
        <v>16120</v>
      </c>
      <c r="E508" s="13">
        <v>666617</v>
      </c>
      <c r="F508" s="13">
        <v>5477181</v>
      </c>
      <c r="G508">
        <f>IF(OR(_xlfn.XLOOKUP(A508,'LPG Fup'!D:D,'LPG Fup'!L:L,"",0)&gt;0.03,_xlfn.XLOOKUP(A508,'LPG Fup'!D:D,'LPG Fup'!L:L,"",0)&lt;-0.03),_xlfn.XLOOKUP(A508,'LPG Fup'!D:D,'LPG Fup'!L:L,0,0),0)</f>
        <v>3.4151441902299171E-2</v>
      </c>
      <c r="H508">
        <f>IF(_xlfn.XLOOKUP(A508,'LPG Fup'!D:D,'LPG Fup'!M:M,0,0)="",0,_xlfn.XLOOKUP(A508,'LPG Fup'!D:D,'LPG Fup'!M:M,0,0))</f>
        <v>326.09205999999904</v>
      </c>
      <c r="I508" s="109">
        <f>_xlfn.XLOOKUP(A508,'Rafineri Fiyatları'!A:A,'Rafineri Fiyatları'!B:B,"",0)</f>
        <v>7143.41</v>
      </c>
      <c r="J508">
        <f t="shared" si="28"/>
        <v>2021</v>
      </c>
      <c r="K508">
        <f t="shared" si="29"/>
        <v>10</v>
      </c>
      <c r="L508">
        <f t="shared" si="30"/>
        <v>20</v>
      </c>
      <c r="M508">
        <f t="shared" si="31"/>
        <v>4</v>
      </c>
      <c r="N508">
        <f>_xlfn.XLOOKUP(A508,tatiller!H:H,tatiller!I:I,0,0)</f>
        <v>0</v>
      </c>
      <c r="O508" cm="1">
        <f t="array" ref="O508">_xlfn.IFNA(_xlfn.IFS(L508=1,"A0",A508=EOMONTH(A508,0),"A-1",L508=2,"A+1"),0)</f>
        <v>0</v>
      </c>
      <c r="P508" t="str" cm="1">
        <f t="array" ref="P508">_xlfn.IFNA(_xlfn.IFS(AND(_xlfn.XLOOKUP(A508,'LPG Fup'!D:D,'LPG Fup'!M:M,"",0)&lt;&gt;"",_xlfn.XLOOKUP(A508,'LPG Fup'!D:D,'LPG Fup'!M:M,"",0)&gt;0),"Z-1", AND(_xlfn.XLOOKUP(A508+1,'LPG Fup'!D:D,'LPG Fup'!M:M,"",0)&lt;&gt;"",_xlfn.XLOOKUP(A508+1,'LPG Fup'!D:D,'LPG Fup'!M:M,"",0)&gt;0),"Z-2", AND(_xlfn.XLOOKUP(A508-1,'LPG Fup'!D:D,'LPG Fup'!M:M,"",0)&lt;&gt;"",_xlfn.XLOOKUP(A508-1,'LPG Fup'!D:D,'LPG Fup'!M:M,"",0)&gt;0),"Z", AND(_xlfn.XLOOKUP(A508-2,'LPG Fup'!D:D,'LPG Fup'!M:M,"",0)&lt;&gt;"",_xlfn.XLOOKUP(A508-2,'LPG Fup'!D:D,'LPG Fup'!M:M,"",0)&gt;0),"Z+1"),0)</f>
        <v>Z-1</v>
      </c>
      <c r="Q508" cm="1">
        <f t="array" ref="Q508">_xlfn.IFNA(_xlfn.IFS(AND(_xlfn.XLOOKUP(A508,'LPG Fup'!D:D,'LPG Fup'!M:M,"",0)&lt;&gt;"",_xlfn.XLOOKUP(A508,'LPG Fup'!D:D,'LPG Fup'!M:M,"",0)&lt;0),"I-1", AND(_xlfn.XLOOKUP(A508+1,'LPG Fup'!D:D,'LPG Fup'!M:M,"",0)&lt;&gt;"",_xlfn.XLOOKUP(A508+1,'LPG Fup'!D:D,'LPG Fup'!M:M,"",0)&lt;0),"I-2", AND(_xlfn.XLOOKUP(A508-1,'LPG Fup'!D:D,'LPG Fup'!M:M,"",0)&lt;&gt;"",_xlfn.XLOOKUP(A508-1,'LPG Fup'!D:D,'LPG Fup'!M:M,"",0)&lt;0),"I", AND(_xlfn.XLOOKUP(A508-2,'LPG Fup'!D:D,'LPG Fup'!M:M,"",0)&lt;&gt;"",_xlfn.XLOOKUP(A508-2,'LPG Fup'!D:D,'LPG Fup'!M:M,"",0)&lt;0),"I+1"),0)</f>
        <v>0</v>
      </c>
      <c r="R508">
        <f>_xlfn.XLOOKUP(A508,Covid!A:A,Covid!I:I,0,0)</f>
        <v>0</v>
      </c>
      <c r="S508">
        <f>_xlfn.XLOOKUP(A508,Covid!A:A,Covid!K:K,0,0)</f>
        <v>214</v>
      </c>
      <c r="T508" s="145">
        <f>_xlfn.XLOOKUP(A508,Covid!A:A,Covid!K:K,0,0)/_xlfn.XLOOKUP(A508,Covid!A:A,Covid!L:L,0,0)</f>
        <v>7.4297816199701419E-3</v>
      </c>
    </row>
    <row r="509" spans="1:20" x14ac:dyDescent="0.55000000000000004">
      <c r="A509" s="157">
        <v>44490</v>
      </c>
      <c r="B509" s="13">
        <v>1195660</v>
      </c>
      <c r="C509" s="13">
        <v>909641</v>
      </c>
      <c r="D509" s="13">
        <v>19683</v>
      </c>
      <c r="E509" s="13">
        <v>258305</v>
      </c>
      <c r="F509" s="13">
        <v>2383289</v>
      </c>
      <c r="G509">
        <f>IF(OR(_xlfn.XLOOKUP(A509,'LPG Fup'!D:D,'LPG Fup'!L:L,"",0)&gt;0.03,_xlfn.XLOOKUP(A509,'LPG Fup'!D:D,'LPG Fup'!L:L,"",0)&lt;-0.03),_xlfn.XLOOKUP(A509,'LPG Fup'!D:D,'LPG Fup'!L:L,0,0),0)</f>
        <v>0</v>
      </c>
      <c r="H509">
        <f>IF(_xlfn.XLOOKUP(A509,'LPG Fup'!D:D,'LPG Fup'!M:M,0,0)="",0,_xlfn.XLOOKUP(A509,'LPG Fup'!D:D,'LPG Fup'!M:M,0,0))</f>
        <v>0</v>
      </c>
      <c r="I509" s="109">
        <f>_xlfn.XLOOKUP(A509,'Rafineri Fiyatları'!A:A,'Rafineri Fiyatları'!B:B,"",0)</f>
        <v>7469.5</v>
      </c>
      <c r="J509">
        <f t="shared" si="28"/>
        <v>2021</v>
      </c>
      <c r="K509">
        <f t="shared" si="29"/>
        <v>10</v>
      </c>
      <c r="L509">
        <f t="shared" si="30"/>
        <v>21</v>
      </c>
      <c r="M509">
        <f t="shared" si="31"/>
        <v>5</v>
      </c>
      <c r="N509">
        <f>_xlfn.XLOOKUP(A509,tatiller!H:H,tatiller!I:I,0,0)</f>
        <v>0</v>
      </c>
      <c r="O509" cm="1">
        <f t="array" ref="O509">_xlfn.IFNA(_xlfn.IFS(L509=1,"A0",A509=EOMONTH(A509,0),"A-1",L509=2,"A+1"),0)</f>
        <v>0</v>
      </c>
      <c r="P509" t="str" cm="1">
        <f t="array" ref="P509">_xlfn.IFNA(_xlfn.IFS(AND(_xlfn.XLOOKUP(A509,'LPG Fup'!D:D,'LPG Fup'!M:M,"",0)&lt;&gt;"",_xlfn.XLOOKUP(A509,'LPG Fup'!D:D,'LPG Fup'!M:M,"",0)&gt;0),"Z-1", AND(_xlfn.XLOOKUP(A509+1,'LPG Fup'!D:D,'LPG Fup'!M:M,"",0)&lt;&gt;"",_xlfn.XLOOKUP(A509+1,'LPG Fup'!D:D,'LPG Fup'!M:M,"",0)&gt;0),"Z-2", AND(_xlfn.XLOOKUP(A509-1,'LPG Fup'!D:D,'LPG Fup'!M:M,"",0)&lt;&gt;"",_xlfn.XLOOKUP(A509-1,'LPG Fup'!D:D,'LPG Fup'!M:M,"",0)&gt;0),"Z", AND(_xlfn.XLOOKUP(A509-2,'LPG Fup'!D:D,'LPG Fup'!M:M,"",0)&lt;&gt;"",_xlfn.XLOOKUP(A509-2,'LPG Fup'!D:D,'LPG Fup'!M:M,"",0)&gt;0),"Z+1"),0)</f>
        <v>Z</v>
      </c>
      <c r="Q509" cm="1">
        <f t="array" ref="Q509">_xlfn.IFNA(_xlfn.IFS(AND(_xlfn.XLOOKUP(A509,'LPG Fup'!D:D,'LPG Fup'!M:M,"",0)&lt;&gt;"",_xlfn.XLOOKUP(A509,'LPG Fup'!D:D,'LPG Fup'!M:M,"",0)&lt;0),"I-1", AND(_xlfn.XLOOKUP(A509+1,'LPG Fup'!D:D,'LPG Fup'!M:M,"",0)&lt;&gt;"",_xlfn.XLOOKUP(A509+1,'LPG Fup'!D:D,'LPG Fup'!M:M,"",0)&lt;0),"I-2", AND(_xlfn.XLOOKUP(A509-1,'LPG Fup'!D:D,'LPG Fup'!M:M,"",0)&lt;&gt;"",_xlfn.XLOOKUP(A509-1,'LPG Fup'!D:D,'LPG Fup'!M:M,"",0)&lt;0),"I", AND(_xlfn.XLOOKUP(A509-2,'LPG Fup'!D:D,'LPG Fup'!M:M,"",0)&lt;&gt;"",_xlfn.XLOOKUP(A509-2,'LPG Fup'!D:D,'LPG Fup'!M:M,"",0)&lt;0),"I+1"),0)</f>
        <v>0</v>
      </c>
      <c r="R509">
        <f>_xlfn.XLOOKUP(A509,Covid!A:A,Covid!I:I,0,0)</f>
        <v>0</v>
      </c>
      <c r="S509">
        <f>_xlfn.XLOOKUP(A509,Covid!A:A,Covid!K:K,0,0)</f>
        <v>198</v>
      </c>
      <c r="T509" s="145">
        <f>_xlfn.XLOOKUP(A509,Covid!A:A,Covid!K:K,0,0)/_xlfn.XLOOKUP(A509,Covid!A:A,Covid!L:L,0,0)</f>
        <v>6.7901234567901234E-3</v>
      </c>
    </row>
    <row r="510" spans="1:20" x14ac:dyDescent="0.55000000000000004">
      <c r="A510" s="157">
        <v>44491</v>
      </c>
      <c r="B510" s="13">
        <v>1115840</v>
      </c>
      <c r="C510" s="13">
        <v>237575</v>
      </c>
      <c r="D510" s="13">
        <v>3250</v>
      </c>
      <c r="E510" s="13">
        <v>337137</v>
      </c>
      <c r="F510" s="13">
        <v>1693802</v>
      </c>
      <c r="G510">
        <f>IF(OR(_xlfn.XLOOKUP(A510,'LPG Fup'!D:D,'LPG Fup'!L:L,"",0)&gt;0.03,_xlfn.XLOOKUP(A510,'LPG Fup'!D:D,'LPG Fup'!L:L,"",0)&lt;-0.03),_xlfn.XLOOKUP(A510,'LPG Fup'!D:D,'LPG Fup'!L:L,0,0),0)</f>
        <v>0</v>
      </c>
      <c r="H510">
        <f>IF(_xlfn.XLOOKUP(A510,'LPG Fup'!D:D,'LPG Fup'!M:M,0,0)="",0,_xlfn.XLOOKUP(A510,'LPG Fup'!D:D,'LPG Fup'!M:M,0,0))</f>
        <v>0</v>
      </c>
      <c r="I510" s="109">
        <f>_xlfn.XLOOKUP(A510,'Rafineri Fiyatları'!A:A,'Rafineri Fiyatları'!B:B,"",0)</f>
        <v>7469.5</v>
      </c>
      <c r="J510">
        <f t="shared" si="28"/>
        <v>2021</v>
      </c>
      <c r="K510">
        <f t="shared" si="29"/>
        <v>10</v>
      </c>
      <c r="L510">
        <f t="shared" si="30"/>
        <v>22</v>
      </c>
      <c r="M510">
        <f t="shared" si="31"/>
        <v>6</v>
      </c>
      <c r="N510">
        <f>_xlfn.XLOOKUP(A510,tatiller!H:H,tatiller!I:I,0,0)</f>
        <v>0</v>
      </c>
      <c r="O510" cm="1">
        <f t="array" ref="O510">_xlfn.IFNA(_xlfn.IFS(L510=1,"A0",A510=EOMONTH(A510,0),"A-1",L510=2,"A+1"),0)</f>
        <v>0</v>
      </c>
      <c r="P510" t="str" cm="1">
        <f t="array" ref="P510">_xlfn.IFNA(_xlfn.IFS(AND(_xlfn.XLOOKUP(A510,'LPG Fup'!D:D,'LPG Fup'!M:M,"",0)&lt;&gt;"",_xlfn.XLOOKUP(A510,'LPG Fup'!D:D,'LPG Fup'!M:M,"",0)&gt;0),"Z-1", AND(_xlfn.XLOOKUP(A510+1,'LPG Fup'!D:D,'LPG Fup'!M:M,"",0)&lt;&gt;"",_xlfn.XLOOKUP(A510+1,'LPG Fup'!D:D,'LPG Fup'!M:M,"",0)&gt;0),"Z-2", AND(_xlfn.XLOOKUP(A510-1,'LPG Fup'!D:D,'LPG Fup'!M:M,"",0)&lt;&gt;"",_xlfn.XLOOKUP(A510-1,'LPG Fup'!D:D,'LPG Fup'!M:M,"",0)&gt;0),"Z", AND(_xlfn.XLOOKUP(A510-2,'LPG Fup'!D:D,'LPG Fup'!M:M,"",0)&lt;&gt;"",_xlfn.XLOOKUP(A510-2,'LPG Fup'!D:D,'LPG Fup'!M:M,"",0)&gt;0),"Z+1"),0)</f>
        <v>Z+1</v>
      </c>
      <c r="Q510" cm="1">
        <f t="array" ref="Q510">_xlfn.IFNA(_xlfn.IFS(AND(_xlfn.XLOOKUP(A510,'LPG Fup'!D:D,'LPG Fup'!M:M,"",0)&lt;&gt;"",_xlfn.XLOOKUP(A510,'LPG Fup'!D:D,'LPG Fup'!M:M,"",0)&lt;0),"I-1", AND(_xlfn.XLOOKUP(A510+1,'LPG Fup'!D:D,'LPG Fup'!M:M,"",0)&lt;&gt;"",_xlfn.XLOOKUP(A510+1,'LPG Fup'!D:D,'LPG Fup'!M:M,"",0)&lt;0),"I-2", AND(_xlfn.XLOOKUP(A510-1,'LPG Fup'!D:D,'LPG Fup'!M:M,"",0)&lt;&gt;"",_xlfn.XLOOKUP(A510-1,'LPG Fup'!D:D,'LPG Fup'!M:M,"",0)&lt;0),"I", AND(_xlfn.XLOOKUP(A510-2,'LPG Fup'!D:D,'LPG Fup'!M:M,"",0)&lt;&gt;"",_xlfn.XLOOKUP(A510-2,'LPG Fup'!D:D,'LPG Fup'!M:M,"",0)&lt;0),"I+1"),0)</f>
        <v>0</v>
      </c>
      <c r="R510">
        <f>_xlfn.XLOOKUP(A510,Covid!A:A,Covid!I:I,0,0)</f>
        <v>0</v>
      </c>
      <c r="S510">
        <f>_xlfn.XLOOKUP(A510,Covid!A:A,Covid!K:K,0,0)</f>
        <v>228</v>
      </c>
      <c r="T510" s="145">
        <f>_xlfn.XLOOKUP(A510,Covid!A:A,Covid!K:K,0,0)/_xlfn.XLOOKUP(A510,Covid!A:A,Covid!L:L,0,0)</f>
        <v>7.5242558246980396E-3</v>
      </c>
    </row>
    <row r="511" spans="1:20" x14ac:dyDescent="0.55000000000000004">
      <c r="A511" s="157">
        <v>44492</v>
      </c>
      <c r="B511" s="13">
        <v>860840</v>
      </c>
      <c r="C511" s="13">
        <v>99769</v>
      </c>
      <c r="D511" s="13">
        <v>9771</v>
      </c>
      <c r="E511" s="13">
        <v>498199</v>
      </c>
      <c r="F511" s="13">
        <v>1468579</v>
      </c>
      <c r="G511">
        <f>IF(OR(_xlfn.XLOOKUP(A511,'LPG Fup'!D:D,'LPG Fup'!L:L,"",0)&gt;0.03,_xlfn.XLOOKUP(A511,'LPG Fup'!D:D,'LPG Fup'!L:L,"",0)&lt;-0.03),_xlfn.XLOOKUP(A511,'LPG Fup'!D:D,'LPG Fup'!L:L,0,0),0)</f>
        <v>0</v>
      </c>
      <c r="H511">
        <f>IF(_xlfn.XLOOKUP(A511,'LPG Fup'!D:D,'LPG Fup'!M:M,0,0)="",0,_xlfn.XLOOKUP(A511,'LPG Fup'!D:D,'LPG Fup'!M:M,0,0))</f>
        <v>0</v>
      </c>
      <c r="I511" s="109">
        <f>_xlfn.XLOOKUP(A511,'Rafineri Fiyatları'!A:A,'Rafineri Fiyatları'!B:B,"",0)</f>
        <v>7469.5</v>
      </c>
      <c r="J511">
        <f t="shared" si="28"/>
        <v>2021</v>
      </c>
      <c r="K511">
        <f t="shared" si="29"/>
        <v>10</v>
      </c>
      <c r="L511">
        <f t="shared" si="30"/>
        <v>23</v>
      </c>
      <c r="M511">
        <f t="shared" si="31"/>
        <v>7</v>
      </c>
      <c r="N511">
        <f>_xlfn.XLOOKUP(A511,tatiller!H:H,tatiller!I:I,0,0)</f>
        <v>0</v>
      </c>
      <c r="O511" cm="1">
        <f t="array" ref="O511">_xlfn.IFNA(_xlfn.IFS(L511=1,"A0",A511=EOMONTH(A511,0),"A-1",L511=2,"A+1"),0)</f>
        <v>0</v>
      </c>
      <c r="P511" cm="1">
        <f t="array" ref="P511">_xlfn.IFNA(_xlfn.IFS(AND(_xlfn.XLOOKUP(A511,'LPG Fup'!D:D,'LPG Fup'!M:M,"",0)&lt;&gt;"",_xlfn.XLOOKUP(A511,'LPG Fup'!D:D,'LPG Fup'!M:M,"",0)&gt;0),"Z-1", AND(_xlfn.XLOOKUP(A511+1,'LPG Fup'!D:D,'LPG Fup'!M:M,"",0)&lt;&gt;"",_xlfn.XLOOKUP(A511+1,'LPG Fup'!D:D,'LPG Fup'!M:M,"",0)&gt;0),"Z-2", AND(_xlfn.XLOOKUP(A511-1,'LPG Fup'!D:D,'LPG Fup'!M:M,"",0)&lt;&gt;"",_xlfn.XLOOKUP(A511-1,'LPG Fup'!D:D,'LPG Fup'!M:M,"",0)&gt;0),"Z", AND(_xlfn.XLOOKUP(A511-2,'LPG Fup'!D:D,'LPG Fup'!M:M,"",0)&lt;&gt;"",_xlfn.XLOOKUP(A511-2,'LPG Fup'!D:D,'LPG Fup'!M:M,"",0)&gt;0),"Z+1"),0)</f>
        <v>0</v>
      </c>
      <c r="Q511" cm="1">
        <f t="array" ref="Q511">_xlfn.IFNA(_xlfn.IFS(AND(_xlfn.XLOOKUP(A511,'LPG Fup'!D:D,'LPG Fup'!M:M,"",0)&lt;&gt;"",_xlfn.XLOOKUP(A511,'LPG Fup'!D:D,'LPG Fup'!M:M,"",0)&lt;0),"I-1", AND(_xlfn.XLOOKUP(A511+1,'LPG Fup'!D:D,'LPG Fup'!M:M,"",0)&lt;&gt;"",_xlfn.XLOOKUP(A511+1,'LPG Fup'!D:D,'LPG Fup'!M:M,"",0)&lt;0),"I-2", AND(_xlfn.XLOOKUP(A511-1,'LPG Fup'!D:D,'LPG Fup'!M:M,"",0)&lt;&gt;"",_xlfn.XLOOKUP(A511-1,'LPG Fup'!D:D,'LPG Fup'!M:M,"",0)&lt;0),"I", AND(_xlfn.XLOOKUP(A511-2,'LPG Fup'!D:D,'LPG Fup'!M:M,"",0)&lt;&gt;"",_xlfn.XLOOKUP(A511-2,'LPG Fup'!D:D,'LPG Fup'!M:M,"",0)&lt;0),"I+1"),0)</f>
        <v>0</v>
      </c>
      <c r="R511">
        <f>_xlfn.XLOOKUP(A511,Covid!A:A,Covid!I:I,0,0)</f>
        <v>0</v>
      </c>
      <c r="S511">
        <f>_xlfn.XLOOKUP(A511,Covid!A:A,Covid!K:K,0,0)</f>
        <v>217</v>
      </c>
      <c r="T511" s="145">
        <f>_xlfn.XLOOKUP(A511,Covid!A:A,Covid!K:K,0,0)/_xlfn.XLOOKUP(A511,Covid!A:A,Covid!L:L,0,0)</f>
        <v>7.8444131149911431E-3</v>
      </c>
    </row>
    <row r="512" spans="1:20" x14ac:dyDescent="0.55000000000000004">
      <c r="A512" s="157">
        <v>44493</v>
      </c>
      <c r="B512" s="13">
        <v>1053320</v>
      </c>
      <c r="C512" s="13">
        <v>0</v>
      </c>
      <c r="D512" s="13">
        <v>0</v>
      </c>
      <c r="E512" s="13">
        <v>341224</v>
      </c>
      <c r="F512" s="13">
        <v>1394544</v>
      </c>
      <c r="G512">
        <f>IF(OR(_xlfn.XLOOKUP(A512,'LPG Fup'!D:D,'LPG Fup'!L:L,"",0)&gt;0.03,_xlfn.XLOOKUP(A512,'LPG Fup'!D:D,'LPG Fup'!L:L,"",0)&lt;-0.03),_xlfn.XLOOKUP(A512,'LPG Fup'!D:D,'LPG Fup'!L:L,0,0),0)</f>
        <v>0</v>
      </c>
      <c r="H512">
        <f>IF(_xlfn.XLOOKUP(A512,'LPG Fup'!D:D,'LPG Fup'!M:M,0,0)="",0,_xlfn.XLOOKUP(A512,'LPG Fup'!D:D,'LPG Fup'!M:M,0,0))</f>
        <v>0</v>
      </c>
      <c r="I512" s="109">
        <f>_xlfn.XLOOKUP(A512,'Rafineri Fiyatları'!A:A,'Rafineri Fiyatları'!B:B,"",0)</f>
        <v>7469.5</v>
      </c>
      <c r="J512">
        <f t="shared" si="28"/>
        <v>2021</v>
      </c>
      <c r="K512">
        <f t="shared" si="29"/>
        <v>10</v>
      </c>
      <c r="L512">
        <f t="shared" si="30"/>
        <v>24</v>
      </c>
      <c r="M512">
        <f t="shared" si="31"/>
        <v>1</v>
      </c>
      <c r="N512">
        <f>_xlfn.XLOOKUP(A512,tatiller!H:H,tatiller!I:I,0,0)</f>
        <v>0</v>
      </c>
      <c r="O512" cm="1">
        <f t="array" ref="O512">_xlfn.IFNA(_xlfn.IFS(L512=1,"A0",A512=EOMONTH(A512,0),"A-1",L512=2,"A+1"),0)</f>
        <v>0</v>
      </c>
      <c r="P512" cm="1">
        <f t="array" ref="P512">_xlfn.IFNA(_xlfn.IFS(AND(_xlfn.XLOOKUP(A512,'LPG Fup'!D:D,'LPG Fup'!M:M,"",0)&lt;&gt;"",_xlfn.XLOOKUP(A512,'LPG Fup'!D:D,'LPG Fup'!M:M,"",0)&gt;0),"Z-1", AND(_xlfn.XLOOKUP(A512+1,'LPG Fup'!D:D,'LPG Fup'!M:M,"",0)&lt;&gt;"",_xlfn.XLOOKUP(A512+1,'LPG Fup'!D:D,'LPG Fup'!M:M,"",0)&gt;0),"Z-2", AND(_xlfn.XLOOKUP(A512-1,'LPG Fup'!D:D,'LPG Fup'!M:M,"",0)&lt;&gt;"",_xlfn.XLOOKUP(A512-1,'LPG Fup'!D:D,'LPG Fup'!M:M,"",0)&gt;0),"Z", AND(_xlfn.XLOOKUP(A512-2,'LPG Fup'!D:D,'LPG Fup'!M:M,"",0)&lt;&gt;"",_xlfn.XLOOKUP(A512-2,'LPG Fup'!D:D,'LPG Fup'!M:M,"",0)&gt;0),"Z+1"),0)</f>
        <v>0</v>
      </c>
      <c r="Q512" cm="1">
        <f t="array" ref="Q512">_xlfn.IFNA(_xlfn.IFS(AND(_xlfn.XLOOKUP(A512,'LPG Fup'!D:D,'LPG Fup'!M:M,"",0)&lt;&gt;"",_xlfn.XLOOKUP(A512,'LPG Fup'!D:D,'LPG Fup'!M:M,"",0)&lt;0),"I-1", AND(_xlfn.XLOOKUP(A512+1,'LPG Fup'!D:D,'LPG Fup'!M:M,"",0)&lt;&gt;"",_xlfn.XLOOKUP(A512+1,'LPG Fup'!D:D,'LPG Fup'!M:M,"",0)&lt;0),"I-2", AND(_xlfn.XLOOKUP(A512-1,'LPG Fup'!D:D,'LPG Fup'!M:M,"",0)&lt;&gt;"",_xlfn.XLOOKUP(A512-1,'LPG Fup'!D:D,'LPG Fup'!M:M,"",0)&lt;0),"I", AND(_xlfn.XLOOKUP(A512-2,'LPG Fup'!D:D,'LPG Fup'!M:M,"",0)&lt;&gt;"",_xlfn.XLOOKUP(A512-2,'LPG Fup'!D:D,'LPG Fup'!M:M,"",0)&lt;0),"I+1"),0)</f>
        <v>0</v>
      </c>
      <c r="R512">
        <f>_xlfn.XLOOKUP(A512,Covid!A:A,Covid!I:I,0,0)</f>
        <v>0</v>
      </c>
      <c r="S512">
        <f>_xlfn.XLOOKUP(A512,Covid!A:A,Covid!K:K,0,0)</f>
        <v>195</v>
      </c>
      <c r="T512" s="145">
        <f>_xlfn.XLOOKUP(A512,Covid!A:A,Covid!K:K,0,0)/_xlfn.XLOOKUP(A512,Covid!A:A,Covid!L:L,0,0)</f>
        <v>7.9908208007212229E-3</v>
      </c>
    </row>
    <row r="513" spans="1:20" x14ac:dyDescent="0.55000000000000004">
      <c r="A513" s="157">
        <v>44494</v>
      </c>
      <c r="B513" s="13">
        <v>1131460</v>
      </c>
      <c r="C513" s="13">
        <v>437489</v>
      </c>
      <c r="D513" s="13">
        <v>10280</v>
      </c>
      <c r="E513" s="13">
        <v>534240</v>
      </c>
      <c r="F513" s="13">
        <v>4385715</v>
      </c>
      <c r="G513">
        <f>IF(OR(_xlfn.XLOOKUP(A513,'LPG Fup'!D:D,'LPG Fup'!L:L,"",0)&gt;0.03,_xlfn.XLOOKUP(A513,'LPG Fup'!D:D,'LPG Fup'!L:L,"",0)&lt;-0.03),_xlfn.XLOOKUP(A513,'LPG Fup'!D:D,'LPG Fup'!L:L,0,0),0)</f>
        <v>0</v>
      </c>
      <c r="H513">
        <f>IF(_xlfn.XLOOKUP(A513,'LPG Fup'!D:D,'LPG Fup'!M:M,0,0)="",0,_xlfn.XLOOKUP(A513,'LPG Fup'!D:D,'LPG Fup'!M:M,0,0))</f>
        <v>0</v>
      </c>
      <c r="I513" s="109">
        <f>_xlfn.XLOOKUP(A513,'Rafineri Fiyatları'!A:A,'Rafineri Fiyatları'!B:B,"",0)</f>
        <v>7469.5</v>
      </c>
      <c r="J513">
        <f t="shared" si="28"/>
        <v>2021</v>
      </c>
      <c r="K513">
        <f t="shared" si="29"/>
        <v>10</v>
      </c>
      <c r="L513">
        <f t="shared" si="30"/>
        <v>25</v>
      </c>
      <c r="M513">
        <f t="shared" si="31"/>
        <v>2</v>
      </c>
      <c r="N513">
        <f>_xlfn.XLOOKUP(A513,tatiller!H:H,tatiller!I:I,0,0)</f>
        <v>0</v>
      </c>
      <c r="O513" cm="1">
        <f t="array" ref="O513">_xlfn.IFNA(_xlfn.IFS(L513=1,"A0",A513=EOMONTH(A513,0),"A-1",L513=2,"A+1"),0)</f>
        <v>0</v>
      </c>
      <c r="P513" cm="1">
        <f t="array" ref="P513">_xlfn.IFNA(_xlfn.IFS(AND(_xlfn.XLOOKUP(A513,'LPG Fup'!D:D,'LPG Fup'!M:M,"",0)&lt;&gt;"",_xlfn.XLOOKUP(A513,'LPG Fup'!D:D,'LPG Fup'!M:M,"",0)&gt;0),"Z-1", AND(_xlfn.XLOOKUP(A513+1,'LPG Fup'!D:D,'LPG Fup'!M:M,"",0)&lt;&gt;"",_xlfn.XLOOKUP(A513+1,'LPG Fup'!D:D,'LPG Fup'!M:M,"",0)&gt;0),"Z-2", AND(_xlfn.XLOOKUP(A513-1,'LPG Fup'!D:D,'LPG Fup'!M:M,"",0)&lt;&gt;"",_xlfn.XLOOKUP(A513-1,'LPG Fup'!D:D,'LPG Fup'!M:M,"",0)&gt;0),"Z", AND(_xlfn.XLOOKUP(A513-2,'LPG Fup'!D:D,'LPG Fup'!M:M,"",0)&lt;&gt;"",_xlfn.XLOOKUP(A513-2,'LPG Fup'!D:D,'LPG Fup'!M:M,"",0)&gt;0),"Z+1"),0)</f>
        <v>0</v>
      </c>
      <c r="Q513" cm="1">
        <f t="array" ref="Q513">_xlfn.IFNA(_xlfn.IFS(AND(_xlfn.XLOOKUP(A513,'LPG Fup'!D:D,'LPG Fup'!M:M,"",0)&lt;&gt;"",_xlfn.XLOOKUP(A513,'LPG Fup'!D:D,'LPG Fup'!M:M,"",0)&lt;0),"I-1", AND(_xlfn.XLOOKUP(A513+1,'LPG Fup'!D:D,'LPG Fup'!M:M,"",0)&lt;&gt;"",_xlfn.XLOOKUP(A513+1,'LPG Fup'!D:D,'LPG Fup'!M:M,"",0)&lt;0),"I-2", AND(_xlfn.XLOOKUP(A513-1,'LPG Fup'!D:D,'LPG Fup'!M:M,"",0)&lt;&gt;"",_xlfn.XLOOKUP(A513-1,'LPG Fup'!D:D,'LPG Fup'!M:M,"",0)&lt;0),"I", AND(_xlfn.XLOOKUP(A513-2,'LPG Fup'!D:D,'LPG Fup'!M:M,"",0)&lt;&gt;"",_xlfn.XLOOKUP(A513-2,'LPG Fup'!D:D,'LPG Fup'!M:M,"",0)&lt;0),"I+1"),0)</f>
        <v>0</v>
      </c>
      <c r="R513">
        <f>_xlfn.XLOOKUP(A513,Covid!A:A,Covid!I:I,0,0)</f>
        <v>0</v>
      </c>
      <c r="S513">
        <f>_xlfn.XLOOKUP(A513,Covid!A:A,Covid!K:K,0,0)</f>
        <v>232</v>
      </c>
      <c r="T513" s="145">
        <f>_xlfn.XLOOKUP(A513,Covid!A:A,Covid!K:K,0,0)/_xlfn.XLOOKUP(A513,Covid!A:A,Covid!L:L,0,0)</f>
        <v>7.5266026472878278E-3</v>
      </c>
    </row>
    <row r="514" spans="1:20" x14ac:dyDescent="0.55000000000000004">
      <c r="A514" s="157">
        <v>44495</v>
      </c>
      <c r="B514" s="13">
        <v>1112620</v>
      </c>
      <c r="C514" s="13">
        <v>408164</v>
      </c>
      <c r="D514" s="13">
        <v>8216</v>
      </c>
      <c r="E514" s="13">
        <v>491453</v>
      </c>
      <c r="F514" s="13">
        <v>2020453</v>
      </c>
      <c r="G514">
        <f>IF(OR(_xlfn.XLOOKUP(A514,'LPG Fup'!D:D,'LPG Fup'!L:L,"",0)&gt;0.03,_xlfn.XLOOKUP(A514,'LPG Fup'!D:D,'LPG Fup'!L:L,"",0)&lt;-0.03),_xlfn.XLOOKUP(A514,'LPG Fup'!D:D,'LPG Fup'!L:L,0,0),0)</f>
        <v>0</v>
      </c>
      <c r="H514">
        <f>IF(_xlfn.XLOOKUP(A514,'LPG Fup'!D:D,'LPG Fup'!M:M,0,0)="",0,_xlfn.XLOOKUP(A514,'LPG Fup'!D:D,'LPG Fup'!M:M,0,0))</f>
        <v>0</v>
      </c>
      <c r="I514" s="109">
        <f>_xlfn.XLOOKUP(A514,'Rafineri Fiyatları'!A:A,'Rafineri Fiyatları'!B:B,"",0)</f>
        <v>7469.5</v>
      </c>
      <c r="J514">
        <f t="shared" ref="J514:J577" si="32">YEAR(A514)</f>
        <v>2021</v>
      </c>
      <c r="K514">
        <f t="shared" ref="K514:K577" si="33">MONTH(A514)</f>
        <v>10</v>
      </c>
      <c r="L514">
        <f t="shared" ref="L514:L577" si="34">DAY(A514)</f>
        <v>26</v>
      </c>
      <c r="M514">
        <f t="shared" ref="M514:M577" si="35">WEEKDAY(A514)</f>
        <v>3</v>
      </c>
      <c r="N514">
        <f>_xlfn.XLOOKUP(A514,tatiller!H:H,tatiller!I:I,0,0)</f>
        <v>0</v>
      </c>
      <c r="O514" cm="1">
        <f t="array" ref="O514">_xlfn.IFNA(_xlfn.IFS(L514=1,"A0",A514=EOMONTH(A514,0),"A-1",L514=2,"A+1"),0)</f>
        <v>0</v>
      </c>
      <c r="P514" cm="1">
        <f t="array" ref="P514">_xlfn.IFNA(_xlfn.IFS(AND(_xlfn.XLOOKUP(A514,'LPG Fup'!D:D,'LPG Fup'!M:M,"",0)&lt;&gt;"",_xlfn.XLOOKUP(A514,'LPG Fup'!D:D,'LPG Fup'!M:M,"",0)&gt;0),"Z-1", AND(_xlfn.XLOOKUP(A514+1,'LPG Fup'!D:D,'LPG Fup'!M:M,"",0)&lt;&gt;"",_xlfn.XLOOKUP(A514+1,'LPG Fup'!D:D,'LPG Fup'!M:M,"",0)&gt;0),"Z-2", AND(_xlfn.XLOOKUP(A514-1,'LPG Fup'!D:D,'LPG Fup'!M:M,"",0)&lt;&gt;"",_xlfn.XLOOKUP(A514-1,'LPG Fup'!D:D,'LPG Fup'!M:M,"",0)&gt;0),"Z", AND(_xlfn.XLOOKUP(A514-2,'LPG Fup'!D:D,'LPG Fup'!M:M,"",0)&lt;&gt;"",_xlfn.XLOOKUP(A514-2,'LPG Fup'!D:D,'LPG Fup'!M:M,"",0)&gt;0),"Z+1"),0)</f>
        <v>0</v>
      </c>
      <c r="Q514" cm="1">
        <f t="array" ref="Q514">_xlfn.IFNA(_xlfn.IFS(AND(_xlfn.XLOOKUP(A514,'LPG Fup'!D:D,'LPG Fup'!M:M,"",0)&lt;&gt;"",_xlfn.XLOOKUP(A514,'LPG Fup'!D:D,'LPG Fup'!M:M,"",0)&lt;0),"I-1", AND(_xlfn.XLOOKUP(A514+1,'LPG Fup'!D:D,'LPG Fup'!M:M,"",0)&lt;&gt;"",_xlfn.XLOOKUP(A514+1,'LPG Fup'!D:D,'LPG Fup'!M:M,"",0)&lt;0),"I-2", AND(_xlfn.XLOOKUP(A514-1,'LPG Fup'!D:D,'LPG Fup'!M:M,"",0)&lt;&gt;"",_xlfn.XLOOKUP(A514-1,'LPG Fup'!D:D,'LPG Fup'!M:M,"",0)&lt;0),"I", AND(_xlfn.XLOOKUP(A514-2,'LPG Fup'!D:D,'LPG Fup'!M:M,"",0)&lt;&gt;"",_xlfn.XLOOKUP(A514-2,'LPG Fup'!D:D,'LPG Fup'!M:M,"",0)&lt;0),"I+1"),0)</f>
        <v>0</v>
      </c>
      <c r="R514">
        <f>_xlfn.XLOOKUP(A514,Covid!A:A,Covid!I:I,0,0)</f>
        <v>0</v>
      </c>
      <c r="S514">
        <f>_xlfn.XLOOKUP(A514,Covid!A:A,Covid!K:K,0,0)</f>
        <v>215</v>
      </c>
      <c r="T514" s="145">
        <f>_xlfn.XLOOKUP(A514,Covid!A:A,Covid!K:K,0,0)/_xlfn.XLOOKUP(A514,Covid!A:A,Covid!L:L,0,0)</f>
        <v>6.8325547398862298E-3</v>
      </c>
    </row>
    <row r="515" spans="1:20" x14ac:dyDescent="0.55000000000000004">
      <c r="A515" s="157">
        <v>44496</v>
      </c>
      <c r="B515" s="13">
        <v>1607380</v>
      </c>
      <c r="C515" s="13">
        <v>538442</v>
      </c>
      <c r="D515" s="13">
        <v>35429</v>
      </c>
      <c r="E515" s="13">
        <v>519196</v>
      </c>
      <c r="F515" s="13">
        <v>2700447</v>
      </c>
      <c r="G515">
        <f>IF(OR(_xlfn.XLOOKUP(A515,'LPG Fup'!D:D,'LPG Fup'!L:L,"",0)&gt;0.03,_xlfn.XLOOKUP(A515,'LPG Fup'!D:D,'LPG Fup'!L:L,"",0)&lt;-0.03),_xlfn.XLOOKUP(A515,'LPG Fup'!D:D,'LPG Fup'!L:L,0,0),0)</f>
        <v>0</v>
      </c>
      <c r="H515">
        <f>IF(_xlfn.XLOOKUP(A515,'LPG Fup'!D:D,'LPG Fup'!M:M,0,0)="",0,_xlfn.XLOOKUP(A515,'LPG Fup'!D:D,'LPG Fup'!M:M,0,0))</f>
        <v>0</v>
      </c>
      <c r="I515" s="109">
        <f>_xlfn.XLOOKUP(A515,'Rafineri Fiyatları'!A:A,'Rafineri Fiyatları'!B:B,"",0)</f>
        <v>7469.5</v>
      </c>
      <c r="J515">
        <f t="shared" si="32"/>
        <v>2021</v>
      </c>
      <c r="K515">
        <f t="shared" si="33"/>
        <v>10</v>
      </c>
      <c r="L515">
        <f t="shared" si="34"/>
        <v>27</v>
      </c>
      <c r="M515">
        <f t="shared" si="35"/>
        <v>4</v>
      </c>
      <c r="N515">
        <f>_xlfn.XLOOKUP(A515,tatiller!H:H,tatiller!I:I,0,0)</f>
        <v>0</v>
      </c>
      <c r="O515" cm="1">
        <f t="array" ref="O515">_xlfn.IFNA(_xlfn.IFS(L515=1,"A0",A515=EOMONTH(A515,0),"A-1",L515=2,"A+1"),0)</f>
        <v>0</v>
      </c>
      <c r="P515" cm="1">
        <f t="array" ref="P515">_xlfn.IFNA(_xlfn.IFS(AND(_xlfn.XLOOKUP(A515,'LPG Fup'!D:D,'LPG Fup'!M:M,"",0)&lt;&gt;"",_xlfn.XLOOKUP(A515,'LPG Fup'!D:D,'LPG Fup'!M:M,"",0)&gt;0),"Z-1", AND(_xlfn.XLOOKUP(A515+1,'LPG Fup'!D:D,'LPG Fup'!M:M,"",0)&lt;&gt;"",_xlfn.XLOOKUP(A515+1,'LPG Fup'!D:D,'LPG Fup'!M:M,"",0)&gt;0),"Z-2", AND(_xlfn.XLOOKUP(A515-1,'LPG Fup'!D:D,'LPG Fup'!M:M,"",0)&lt;&gt;"",_xlfn.XLOOKUP(A515-1,'LPG Fup'!D:D,'LPG Fup'!M:M,"",0)&gt;0),"Z", AND(_xlfn.XLOOKUP(A515-2,'LPG Fup'!D:D,'LPG Fup'!M:M,"",0)&lt;&gt;"",_xlfn.XLOOKUP(A515-2,'LPG Fup'!D:D,'LPG Fup'!M:M,"",0)&gt;0),"Z+1"),0)</f>
        <v>0</v>
      </c>
      <c r="Q515" cm="1">
        <f t="array" ref="Q515">_xlfn.IFNA(_xlfn.IFS(AND(_xlfn.XLOOKUP(A515,'LPG Fup'!D:D,'LPG Fup'!M:M,"",0)&lt;&gt;"",_xlfn.XLOOKUP(A515,'LPG Fup'!D:D,'LPG Fup'!M:M,"",0)&lt;0),"I-1", AND(_xlfn.XLOOKUP(A515+1,'LPG Fup'!D:D,'LPG Fup'!M:M,"",0)&lt;&gt;"",_xlfn.XLOOKUP(A515+1,'LPG Fup'!D:D,'LPG Fup'!M:M,"",0)&lt;0),"I-2", AND(_xlfn.XLOOKUP(A515-1,'LPG Fup'!D:D,'LPG Fup'!M:M,"",0)&lt;&gt;"",_xlfn.XLOOKUP(A515-1,'LPG Fup'!D:D,'LPG Fup'!M:M,"",0)&lt;0),"I", AND(_xlfn.XLOOKUP(A515-2,'LPG Fup'!D:D,'LPG Fup'!M:M,"",0)&lt;&gt;"",_xlfn.XLOOKUP(A515-2,'LPG Fup'!D:D,'LPG Fup'!M:M,"",0)&lt;0),"I+1"),0)</f>
        <v>0</v>
      </c>
      <c r="R515">
        <f>_xlfn.XLOOKUP(A515,Covid!A:A,Covid!I:I,0,0)</f>
        <v>0</v>
      </c>
      <c r="S515">
        <f>_xlfn.XLOOKUP(A515,Covid!A:A,Covid!K:K,0,0)</f>
        <v>210</v>
      </c>
      <c r="T515" s="145">
        <f>_xlfn.XLOOKUP(A515,Covid!A:A,Covid!K:K,0,0)/_xlfn.XLOOKUP(A515,Covid!A:A,Covid!L:L,0,0)</f>
        <v>6.8757776177067647E-3</v>
      </c>
    </row>
    <row r="516" spans="1:20" x14ac:dyDescent="0.55000000000000004">
      <c r="A516" s="157">
        <v>44497</v>
      </c>
      <c r="B516" s="13">
        <v>1268460</v>
      </c>
      <c r="C516" s="13">
        <v>590820</v>
      </c>
      <c r="D516" s="13">
        <v>5992</v>
      </c>
      <c r="E516" s="13">
        <v>414531</v>
      </c>
      <c r="F516" s="13">
        <v>2279803</v>
      </c>
      <c r="G516">
        <f>IF(OR(_xlfn.XLOOKUP(A516,'LPG Fup'!D:D,'LPG Fup'!L:L,"",0)&gt;0.03,_xlfn.XLOOKUP(A516,'LPG Fup'!D:D,'LPG Fup'!L:L,"",0)&lt;-0.03),_xlfn.XLOOKUP(A516,'LPG Fup'!D:D,'LPG Fup'!L:L,0,0),0)</f>
        <v>0</v>
      </c>
      <c r="H516">
        <f>IF(_xlfn.XLOOKUP(A516,'LPG Fup'!D:D,'LPG Fup'!M:M,0,0)="",0,_xlfn.XLOOKUP(A516,'LPG Fup'!D:D,'LPG Fup'!M:M,0,0))</f>
        <v>0</v>
      </c>
      <c r="I516" s="109">
        <f>_xlfn.XLOOKUP(A516,'Rafineri Fiyatları'!A:A,'Rafineri Fiyatları'!B:B,"",0)</f>
        <v>7469.5</v>
      </c>
      <c r="J516">
        <f t="shared" si="32"/>
        <v>2021</v>
      </c>
      <c r="K516">
        <f t="shared" si="33"/>
        <v>10</v>
      </c>
      <c r="L516">
        <f t="shared" si="34"/>
        <v>28</v>
      </c>
      <c r="M516">
        <f t="shared" si="35"/>
        <v>5</v>
      </c>
      <c r="N516">
        <f>_xlfn.XLOOKUP(A516,tatiller!H:H,tatiller!I:I,0,0)</f>
        <v>0</v>
      </c>
      <c r="O516" cm="1">
        <f t="array" ref="O516">_xlfn.IFNA(_xlfn.IFS(L516=1,"A0",A516=EOMONTH(A516,0),"A-1",L516=2,"A+1"),0)</f>
        <v>0</v>
      </c>
      <c r="P516" cm="1">
        <f t="array" ref="P516">_xlfn.IFNA(_xlfn.IFS(AND(_xlfn.XLOOKUP(A516,'LPG Fup'!D:D,'LPG Fup'!M:M,"",0)&lt;&gt;"",_xlfn.XLOOKUP(A516,'LPG Fup'!D:D,'LPG Fup'!M:M,"",0)&gt;0),"Z-1", AND(_xlfn.XLOOKUP(A516+1,'LPG Fup'!D:D,'LPG Fup'!M:M,"",0)&lt;&gt;"",_xlfn.XLOOKUP(A516+1,'LPG Fup'!D:D,'LPG Fup'!M:M,"",0)&gt;0),"Z-2", AND(_xlfn.XLOOKUP(A516-1,'LPG Fup'!D:D,'LPG Fup'!M:M,"",0)&lt;&gt;"",_xlfn.XLOOKUP(A516-1,'LPG Fup'!D:D,'LPG Fup'!M:M,"",0)&gt;0),"Z", AND(_xlfn.XLOOKUP(A516-2,'LPG Fup'!D:D,'LPG Fup'!M:M,"",0)&lt;&gt;"",_xlfn.XLOOKUP(A516-2,'LPG Fup'!D:D,'LPG Fup'!M:M,"",0)&gt;0),"Z+1"),0)</f>
        <v>0</v>
      </c>
      <c r="Q516" cm="1">
        <f t="array" ref="Q516">_xlfn.IFNA(_xlfn.IFS(AND(_xlfn.XLOOKUP(A516,'LPG Fup'!D:D,'LPG Fup'!M:M,"",0)&lt;&gt;"",_xlfn.XLOOKUP(A516,'LPG Fup'!D:D,'LPG Fup'!M:M,"",0)&lt;0),"I-1", AND(_xlfn.XLOOKUP(A516+1,'LPG Fup'!D:D,'LPG Fup'!M:M,"",0)&lt;&gt;"",_xlfn.XLOOKUP(A516+1,'LPG Fup'!D:D,'LPG Fup'!M:M,"",0)&lt;0),"I-2", AND(_xlfn.XLOOKUP(A516-1,'LPG Fup'!D:D,'LPG Fup'!M:M,"",0)&lt;&gt;"",_xlfn.XLOOKUP(A516-1,'LPG Fup'!D:D,'LPG Fup'!M:M,"",0)&lt;0),"I", AND(_xlfn.XLOOKUP(A516-2,'LPG Fup'!D:D,'LPG Fup'!M:M,"",0)&lt;&gt;"",_xlfn.XLOOKUP(A516-2,'LPG Fup'!D:D,'LPG Fup'!M:M,"",0)&lt;0),"I+1"),0)</f>
        <v>0</v>
      </c>
      <c r="R516">
        <f>_xlfn.XLOOKUP(A516,Covid!A:A,Covid!I:I,0,0)</f>
        <v>0</v>
      </c>
      <c r="S516">
        <f>_xlfn.XLOOKUP(A516,Covid!A:A,Covid!K:K,0,0)</f>
        <v>229</v>
      </c>
      <c r="T516" s="145">
        <f>_xlfn.XLOOKUP(A516,Covid!A:A,Covid!K:K,0,0)/_xlfn.XLOOKUP(A516,Covid!A:A,Covid!L:L,0,0)</f>
        <v>8.2817981266500307E-3</v>
      </c>
    </row>
    <row r="517" spans="1:20" x14ac:dyDescent="0.55000000000000004">
      <c r="A517" s="157">
        <v>44498</v>
      </c>
      <c r="B517" s="13">
        <v>1288880</v>
      </c>
      <c r="C517" s="13">
        <v>632864</v>
      </c>
      <c r="D517" s="13">
        <v>10034</v>
      </c>
      <c r="E517" s="13">
        <v>486629</v>
      </c>
      <c r="F517" s="13">
        <v>2418407</v>
      </c>
      <c r="G517">
        <f>IF(OR(_xlfn.XLOOKUP(A517,'LPG Fup'!D:D,'LPG Fup'!L:L,"",0)&gt;0.03,_xlfn.XLOOKUP(A517,'LPG Fup'!D:D,'LPG Fup'!L:L,"",0)&lt;-0.03),_xlfn.XLOOKUP(A517,'LPG Fup'!D:D,'LPG Fup'!L:L,0,0),0)</f>
        <v>0</v>
      </c>
      <c r="H517">
        <f>IF(_xlfn.XLOOKUP(A517,'LPG Fup'!D:D,'LPG Fup'!M:M,0,0)="",0,_xlfn.XLOOKUP(A517,'LPG Fup'!D:D,'LPG Fup'!M:M,0,0))</f>
        <v>0</v>
      </c>
      <c r="I517" s="109">
        <f>_xlfn.XLOOKUP(A517,'Rafineri Fiyatları'!A:A,'Rafineri Fiyatları'!B:B,"",0)</f>
        <v>7469.5</v>
      </c>
      <c r="J517">
        <f t="shared" si="32"/>
        <v>2021</v>
      </c>
      <c r="K517">
        <f t="shared" si="33"/>
        <v>10</v>
      </c>
      <c r="L517">
        <f t="shared" si="34"/>
        <v>29</v>
      </c>
      <c r="M517">
        <f t="shared" si="35"/>
        <v>6</v>
      </c>
      <c r="N517">
        <f>_xlfn.XLOOKUP(A517,tatiller!H:H,tatiller!I:I,0,0)</f>
        <v>0</v>
      </c>
      <c r="O517" cm="1">
        <f t="array" ref="O517">_xlfn.IFNA(_xlfn.IFS(L517=1,"A0",A517=EOMONTH(A517,0),"A-1",L517=2,"A+1"),0)</f>
        <v>0</v>
      </c>
      <c r="P517" cm="1">
        <f t="array" ref="P517">_xlfn.IFNA(_xlfn.IFS(AND(_xlfn.XLOOKUP(A517,'LPG Fup'!D:D,'LPG Fup'!M:M,"",0)&lt;&gt;"",_xlfn.XLOOKUP(A517,'LPG Fup'!D:D,'LPG Fup'!M:M,"",0)&gt;0),"Z-1", AND(_xlfn.XLOOKUP(A517+1,'LPG Fup'!D:D,'LPG Fup'!M:M,"",0)&lt;&gt;"",_xlfn.XLOOKUP(A517+1,'LPG Fup'!D:D,'LPG Fup'!M:M,"",0)&gt;0),"Z-2", AND(_xlfn.XLOOKUP(A517-1,'LPG Fup'!D:D,'LPG Fup'!M:M,"",0)&lt;&gt;"",_xlfn.XLOOKUP(A517-1,'LPG Fup'!D:D,'LPG Fup'!M:M,"",0)&gt;0),"Z", AND(_xlfn.XLOOKUP(A517-2,'LPG Fup'!D:D,'LPG Fup'!M:M,"",0)&lt;&gt;"",_xlfn.XLOOKUP(A517-2,'LPG Fup'!D:D,'LPG Fup'!M:M,"",0)&gt;0),"Z+1"),0)</f>
        <v>0</v>
      </c>
      <c r="Q517" cm="1">
        <f t="array" ref="Q517">_xlfn.IFNA(_xlfn.IFS(AND(_xlfn.XLOOKUP(A517,'LPG Fup'!D:D,'LPG Fup'!M:M,"",0)&lt;&gt;"",_xlfn.XLOOKUP(A517,'LPG Fup'!D:D,'LPG Fup'!M:M,"",0)&lt;0),"I-1", AND(_xlfn.XLOOKUP(A517+1,'LPG Fup'!D:D,'LPG Fup'!M:M,"",0)&lt;&gt;"",_xlfn.XLOOKUP(A517+1,'LPG Fup'!D:D,'LPG Fup'!M:M,"",0)&lt;0),"I-2", AND(_xlfn.XLOOKUP(A517-1,'LPG Fup'!D:D,'LPG Fup'!M:M,"",0)&lt;&gt;"",_xlfn.XLOOKUP(A517-1,'LPG Fup'!D:D,'LPG Fup'!M:M,"",0)&lt;0),"I", AND(_xlfn.XLOOKUP(A517-2,'LPG Fup'!D:D,'LPG Fup'!M:M,"",0)&lt;&gt;"",_xlfn.XLOOKUP(A517-2,'LPG Fup'!D:D,'LPG Fup'!M:M,"",0)&lt;0),"I+1"),0)</f>
        <v>0</v>
      </c>
      <c r="R517">
        <f>_xlfn.XLOOKUP(A517,Covid!A:A,Covid!I:I,0,0)</f>
        <v>0</v>
      </c>
      <c r="S517">
        <f>_xlfn.XLOOKUP(A517,Covid!A:A,Covid!K:K,0,0)</f>
        <v>209</v>
      </c>
      <c r="T517" s="145">
        <f>_xlfn.XLOOKUP(A517,Covid!A:A,Covid!K:K,0,0)/_xlfn.XLOOKUP(A517,Covid!A:A,Covid!L:L,0,0)</f>
        <v>6.7755948907475844E-3</v>
      </c>
    </row>
    <row r="518" spans="1:20" x14ac:dyDescent="0.55000000000000004">
      <c r="A518" s="157">
        <v>44499</v>
      </c>
      <c r="B518" s="13">
        <v>1324540</v>
      </c>
      <c r="C518" s="13">
        <v>210954</v>
      </c>
      <c r="D518" s="13">
        <v>3925</v>
      </c>
      <c r="E518" s="13">
        <v>485790</v>
      </c>
      <c r="F518" s="13">
        <v>3733778</v>
      </c>
      <c r="G518">
        <f>IF(OR(_xlfn.XLOOKUP(A518,'LPG Fup'!D:D,'LPG Fup'!L:L,"",0)&gt;0.03,_xlfn.XLOOKUP(A518,'LPG Fup'!D:D,'LPG Fup'!L:L,"",0)&lt;-0.03),_xlfn.XLOOKUP(A518,'LPG Fup'!D:D,'LPG Fup'!L:L,0,0),0)</f>
        <v>0</v>
      </c>
      <c r="H518">
        <f>IF(_xlfn.XLOOKUP(A518,'LPG Fup'!D:D,'LPG Fup'!M:M,0,0)="",0,_xlfn.XLOOKUP(A518,'LPG Fup'!D:D,'LPG Fup'!M:M,0,0))</f>
        <v>0</v>
      </c>
      <c r="I518" s="109">
        <f>_xlfn.XLOOKUP(A518,'Rafineri Fiyatları'!A:A,'Rafineri Fiyatları'!B:B,"",0)</f>
        <v>7469.5</v>
      </c>
      <c r="J518">
        <f t="shared" si="32"/>
        <v>2021</v>
      </c>
      <c r="K518">
        <f t="shared" si="33"/>
        <v>10</v>
      </c>
      <c r="L518">
        <f t="shared" si="34"/>
        <v>30</v>
      </c>
      <c r="M518">
        <f t="shared" si="35"/>
        <v>7</v>
      </c>
      <c r="N518">
        <f>_xlfn.XLOOKUP(A518,tatiller!H:H,tatiller!I:I,0,0)</f>
        <v>0</v>
      </c>
      <c r="O518" cm="1">
        <f t="array" ref="O518">_xlfn.IFNA(_xlfn.IFS(L518=1,"A0",A518=EOMONTH(A518,0),"A-1",L518=2,"A+1"),0)</f>
        <v>0</v>
      </c>
      <c r="P518" cm="1">
        <f t="array" ref="P518">_xlfn.IFNA(_xlfn.IFS(AND(_xlfn.XLOOKUP(A518,'LPG Fup'!D:D,'LPG Fup'!M:M,"",0)&lt;&gt;"",_xlfn.XLOOKUP(A518,'LPG Fup'!D:D,'LPG Fup'!M:M,"",0)&gt;0),"Z-1", AND(_xlfn.XLOOKUP(A518+1,'LPG Fup'!D:D,'LPG Fup'!M:M,"",0)&lt;&gt;"",_xlfn.XLOOKUP(A518+1,'LPG Fup'!D:D,'LPG Fup'!M:M,"",0)&gt;0),"Z-2", AND(_xlfn.XLOOKUP(A518-1,'LPG Fup'!D:D,'LPG Fup'!M:M,"",0)&lt;&gt;"",_xlfn.XLOOKUP(A518-1,'LPG Fup'!D:D,'LPG Fup'!M:M,"",0)&gt;0),"Z", AND(_xlfn.XLOOKUP(A518-2,'LPG Fup'!D:D,'LPG Fup'!M:M,"",0)&lt;&gt;"",_xlfn.XLOOKUP(A518-2,'LPG Fup'!D:D,'LPG Fup'!M:M,"",0)&gt;0),"Z+1"),0)</f>
        <v>0</v>
      </c>
      <c r="Q518" cm="1">
        <f t="array" ref="Q518">_xlfn.IFNA(_xlfn.IFS(AND(_xlfn.XLOOKUP(A518,'LPG Fup'!D:D,'LPG Fup'!M:M,"",0)&lt;&gt;"",_xlfn.XLOOKUP(A518,'LPG Fup'!D:D,'LPG Fup'!M:M,"",0)&lt;0),"I-1", AND(_xlfn.XLOOKUP(A518+1,'LPG Fup'!D:D,'LPG Fup'!M:M,"",0)&lt;&gt;"",_xlfn.XLOOKUP(A518+1,'LPG Fup'!D:D,'LPG Fup'!M:M,"",0)&lt;0),"I-2", AND(_xlfn.XLOOKUP(A518-1,'LPG Fup'!D:D,'LPG Fup'!M:M,"",0)&lt;&gt;"",_xlfn.XLOOKUP(A518-1,'LPG Fup'!D:D,'LPG Fup'!M:M,"",0)&lt;0),"I", AND(_xlfn.XLOOKUP(A518-2,'LPG Fup'!D:D,'LPG Fup'!M:M,"",0)&lt;&gt;"",_xlfn.XLOOKUP(A518-2,'LPG Fup'!D:D,'LPG Fup'!M:M,"",0)&lt;0),"I+1"),0)</f>
        <v>0</v>
      </c>
      <c r="R518">
        <f>_xlfn.XLOOKUP(A518,Covid!A:A,Covid!I:I,0,0)</f>
        <v>0</v>
      </c>
      <c r="S518">
        <f>_xlfn.XLOOKUP(A518,Covid!A:A,Covid!K:K,0,0)</f>
        <v>203</v>
      </c>
      <c r="T518" s="145">
        <f>_xlfn.XLOOKUP(A518,Covid!A:A,Covid!K:K,0,0)/_xlfn.XLOOKUP(A518,Covid!A:A,Covid!L:L,0,0)</f>
        <v>7.0899692651578651E-3</v>
      </c>
    </row>
    <row r="519" spans="1:20" x14ac:dyDescent="0.55000000000000004">
      <c r="A519" s="157">
        <v>44500</v>
      </c>
      <c r="B519" s="13">
        <v>1468580</v>
      </c>
      <c r="C519" s="13">
        <v>14730</v>
      </c>
      <c r="D519" s="13">
        <v>200000</v>
      </c>
      <c r="E519" s="13">
        <v>460725</v>
      </c>
      <c r="F519" s="13">
        <v>4343939</v>
      </c>
      <c r="G519">
        <f>IF(OR(_xlfn.XLOOKUP(A519,'LPG Fup'!D:D,'LPG Fup'!L:L,"",0)&gt;0.03,_xlfn.XLOOKUP(A519,'LPG Fup'!D:D,'LPG Fup'!L:L,"",0)&lt;-0.03),_xlfn.XLOOKUP(A519,'LPG Fup'!D:D,'LPG Fup'!L:L,0,0),0)</f>
        <v>0</v>
      </c>
      <c r="H519">
        <f>IF(_xlfn.XLOOKUP(A519,'LPG Fup'!D:D,'LPG Fup'!M:M,0,0)="",0,_xlfn.XLOOKUP(A519,'LPG Fup'!D:D,'LPG Fup'!M:M,0,0))</f>
        <v>0</v>
      </c>
      <c r="I519" s="109">
        <f>_xlfn.XLOOKUP(A519,'Rafineri Fiyatları'!A:A,'Rafineri Fiyatları'!B:B,"",0)</f>
        <v>7469.5</v>
      </c>
      <c r="J519">
        <f t="shared" si="32"/>
        <v>2021</v>
      </c>
      <c r="K519">
        <f t="shared" si="33"/>
        <v>10</v>
      </c>
      <c r="L519">
        <f t="shared" si="34"/>
        <v>31</v>
      </c>
      <c r="M519">
        <f t="shared" si="35"/>
        <v>1</v>
      </c>
      <c r="N519">
        <f>_xlfn.XLOOKUP(A519,tatiller!H:H,tatiller!I:I,0,0)</f>
        <v>0</v>
      </c>
      <c r="O519" t="str" cm="1">
        <f t="array" ref="O519">_xlfn.IFNA(_xlfn.IFS(L519=1,"A0",A519=EOMONTH(A519,0),"A-1",L519=2,"A+1"),0)</f>
        <v>A-1</v>
      </c>
      <c r="P519" t="str" cm="1">
        <f t="array" ref="P519">_xlfn.IFNA(_xlfn.IFS(AND(_xlfn.XLOOKUP(A519,'LPG Fup'!D:D,'LPG Fup'!M:M,"",0)&lt;&gt;"",_xlfn.XLOOKUP(A519,'LPG Fup'!D:D,'LPG Fup'!M:M,"",0)&gt;0),"Z-1", AND(_xlfn.XLOOKUP(A519+1,'LPG Fup'!D:D,'LPG Fup'!M:M,"",0)&lt;&gt;"",_xlfn.XLOOKUP(A519+1,'LPG Fup'!D:D,'LPG Fup'!M:M,"",0)&gt;0),"Z-2", AND(_xlfn.XLOOKUP(A519-1,'LPG Fup'!D:D,'LPG Fup'!M:M,"",0)&lt;&gt;"",_xlfn.XLOOKUP(A519-1,'LPG Fup'!D:D,'LPG Fup'!M:M,"",0)&gt;0),"Z", AND(_xlfn.XLOOKUP(A519-2,'LPG Fup'!D:D,'LPG Fup'!M:M,"",0)&lt;&gt;"",_xlfn.XLOOKUP(A519-2,'LPG Fup'!D:D,'LPG Fup'!M:M,"",0)&gt;0),"Z+1"),0)</f>
        <v>Z-2</v>
      </c>
      <c r="Q519" cm="1">
        <f t="array" ref="Q519">_xlfn.IFNA(_xlfn.IFS(AND(_xlfn.XLOOKUP(A519,'LPG Fup'!D:D,'LPG Fup'!M:M,"",0)&lt;&gt;"",_xlfn.XLOOKUP(A519,'LPG Fup'!D:D,'LPG Fup'!M:M,"",0)&lt;0),"I-1", AND(_xlfn.XLOOKUP(A519+1,'LPG Fup'!D:D,'LPG Fup'!M:M,"",0)&lt;&gt;"",_xlfn.XLOOKUP(A519+1,'LPG Fup'!D:D,'LPG Fup'!M:M,"",0)&lt;0),"I-2", AND(_xlfn.XLOOKUP(A519-1,'LPG Fup'!D:D,'LPG Fup'!M:M,"",0)&lt;&gt;"",_xlfn.XLOOKUP(A519-1,'LPG Fup'!D:D,'LPG Fup'!M:M,"",0)&lt;0),"I", AND(_xlfn.XLOOKUP(A519-2,'LPG Fup'!D:D,'LPG Fup'!M:M,"",0)&lt;&gt;"",_xlfn.XLOOKUP(A519-2,'LPG Fup'!D:D,'LPG Fup'!M:M,"",0)&lt;0),"I+1"),0)</f>
        <v>0</v>
      </c>
      <c r="R519">
        <f>_xlfn.XLOOKUP(A519,Covid!A:A,Covid!I:I,0,0)</f>
        <v>0</v>
      </c>
      <c r="S519">
        <f>_xlfn.XLOOKUP(A519,Covid!A:A,Covid!K:K,0,0)</f>
        <v>201</v>
      </c>
      <c r="T519" s="145">
        <f>_xlfn.XLOOKUP(A519,Covid!A:A,Covid!K:K,0,0)/_xlfn.XLOOKUP(A519,Covid!A:A,Covid!L:L,0,0)</f>
        <v>7.6790830945558742E-3</v>
      </c>
    </row>
    <row r="520" spans="1:20" x14ac:dyDescent="0.55000000000000004">
      <c r="A520" s="157">
        <v>44501</v>
      </c>
      <c r="B520" s="13">
        <v>1207280</v>
      </c>
      <c r="C520" s="13">
        <v>758626</v>
      </c>
      <c r="D520" s="13">
        <v>1000</v>
      </c>
      <c r="E520" s="13">
        <v>844606</v>
      </c>
      <c r="F520" s="13">
        <v>2811512</v>
      </c>
      <c r="G520">
        <f>IF(OR(_xlfn.XLOOKUP(A520,'LPG Fup'!D:D,'LPG Fup'!L:L,"",0)&gt;0.03,_xlfn.XLOOKUP(A520,'LPG Fup'!D:D,'LPG Fup'!L:L,"",0)&lt;-0.03),_xlfn.XLOOKUP(A520,'LPG Fup'!D:D,'LPG Fup'!L:L,0,0),0)</f>
        <v>4.1893939084314581E-2</v>
      </c>
      <c r="H520">
        <f>IF(_xlfn.XLOOKUP(A520,'LPG Fup'!D:D,'LPG Fup'!M:M,0,0)="",0,_xlfn.XLOOKUP(A520,'LPG Fup'!D:D,'LPG Fup'!M:M,0,0))</f>
        <v>744.16624000000047</v>
      </c>
      <c r="I520" s="109">
        <f>_xlfn.XLOOKUP(A520,'Rafineri Fiyatları'!A:A,'Rafineri Fiyatları'!B:B,"",0)</f>
        <v>7469.5</v>
      </c>
      <c r="J520">
        <f t="shared" si="32"/>
        <v>2021</v>
      </c>
      <c r="K520">
        <f t="shared" si="33"/>
        <v>11</v>
      </c>
      <c r="L520">
        <f t="shared" si="34"/>
        <v>1</v>
      </c>
      <c r="M520">
        <f t="shared" si="35"/>
        <v>2</v>
      </c>
      <c r="N520">
        <f>_xlfn.XLOOKUP(A520,tatiller!H:H,tatiller!I:I,0,0)</f>
        <v>0</v>
      </c>
      <c r="O520" t="str" cm="1">
        <f t="array" ref="O520">_xlfn.IFNA(_xlfn.IFS(L520=1,"A0",A520=EOMONTH(A520,0),"A-1",L520=2,"A+1"),0)</f>
        <v>A0</v>
      </c>
      <c r="P520" t="str" cm="1">
        <f t="array" ref="P520">_xlfn.IFNA(_xlfn.IFS(AND(_xlfn.XLOOKUP(A520,'LPG Fup'!D:D,'LPG Fup'!M:M,"",0)&lt;&gt;"",_xlfn.XLOOKUP(A520,'LPG Fup'!D:D,'LPG Fup'!M:M,"",0)&gt;0),"Z-1", AND(_xlfn.XLOOKUP(A520+1,'LPG Fup'!D:D,'LPG Fup'!M:M,"",0)&lt;&gt;"",_xlfn.XLOOKUP(A520+1,'LPG Fup'!D:D,'LPG Fup'!M:M,"",0)&gt;0),"Z-2", AND(_xlfn.XLOOKUP(A520-1,'LPG Fup'!D:D,'LPG Fup'!M:M,"",0)&lt;&gt;"",_xlfn.XLOOKUP(A520-1,'LPG Fup'!D:D,'LPG Fup'!M:M,"",0)&gt;0),"Z", AND(_xlfn.XLOOKUP(A520-2,'LPG Fup'!D:D,'LPG Fup'!M:M,"",0)&lt;&gt;"",_xlfn.XLOOKUP(A520-2,'LPG Fup'!D:D,'LPG Fup'!M:M,"",0)&gt;0),"Z+1"),0)</f>
        <v>Z-1</v>
      </c>
      <c r="Q520" cm="1">
        <f t="array" ref="Q520">_xlfn.IFNA(_xlfn.IFS(AND(_xlfn.XLOOKUP(A520,'LPG Fup'!D:D,'LPG Fup'!M:M,"",0)&lt;&gt;"",_xlfn.XLOOKUP(A520,'LPG Fup'!D:D,'LPG Fup'!M:M,"",0)&lt;0),"I-1", AND(_xlfn.XLOOKUP(A520+1,'LPG Fup'!D:D,'LPG Fup'!M:M,"",0)&lt;&gt;"",_xlfn.XLOOKUP(A520+1,'LPG Fup'!D:D,'LPG Fup'!M:M,"",0)&lt;0),"I-2", AND(_xlfn.XLOOKUP(A520-1,'LPG Fup'!D:D,'LPG Fup'!M:M,"",0)&lt;&gt;"",_xlfn.XLOOKUP(A520-1,'LPG Fup'!D:D,'LPG Fup'!M:M,"",0)&lt;0),"I", AND(_xlfn.XLOOKUP(A520-2,'LPG Fup'!D:D,'LPG Fup'!M:M,"",0)&lt;&gt;"",_xlfn.XLOOKUP(A520-2,'LPG Fup'!D:D,'LPG Fup'!M:M,"",0)&lt;0),"I+1"),0)</f>
        <v>0</v>
      </c>
      <c r="R520">
        <f>_xlfn.XLOOKUP(A520,Covid!A:A,Covid!I:I,0,0)</f>
        <v>0</v>
      </c>
      <c r="S520">
        <f>_xlfn.XLOOKUP(A520,Covid!A:A,Covid!K:K,0,0)</f>
        <v>217</v>
      </c>
      <c r="T520" s="145">
        <f>_xlfn.XLOOKUP(A520,Covid!A:A,Covid!K:K,0,0)/_xlfn.XLOOKUP(A520,Covid!A:A,Covid!L:L,0,0)</f>
        <v>7.4071545603495359E-3</v>
      </c>
    </row>
    <row r="521" spans="1:20" x14ac:dyDescent="0.55000000000000004">
      <c r="A521" s="157">
        <v>44502</v>
      </c>
      <c r="B521" s="13">
        <v>1210620</v>
      </c>
      <c r="C521" s="13">
        <v>1020447</v>
      </c>
      <c r="D521" s="13">
        <v>6114</v>
      </c>
      <c r="E521" s="13">
        <v>231504</v>
      </c>
      <c r="F521" s="13">
        <v>2468685</v>
      </c>
      <c r="G521">
        <f>IF(OR(_xlfn.XLOOKUP(A521,'LPG Fup'!D:D,'LPG Fup'!L:L,"",0)&gt;0.03,_xlfn.XLOOKUP(A521,'LPG Fup'!D:D,'LPG Fup'!L:L,"",0)&lt;-0.03),_xlfn.XLOOKUP(A521,'LPG Fup'!D:D,'LPG Fup'!L:L,0,0),0)</f>
        <v>0</v>
      </c>
      <c r="H521">
        <f>IF(_xlfn.XLOOKUP(A521,'LPG Fup'!D:D,'LPG Fup'!M:M,0,0)="",0,_xlfn.XLOOKUP(A521,'LPG Fup'!D:D,'LPG Fup'!M:M,0,0))</f>
        <v>0</v>
      </c>
      <c r="I521" s="109">
        <f>_xlfn.XLOOKUP(A521,'Rafineri Fiyatları'!A:A,'Rafineri Fiyatları'!B:B,"",0)</f>
        <v>8213.67</v>
      </c>
      <c r="J521">
        <f t="shared" si="32"/>
        <v>2021</v>
      </c>
      <c r="K521">
        <f t="shared" si="33"/>
        <v>11</v>
      </c>
      <c r="L521">
        <f t="shared" si="34"/>
        <v>2</v>
      </c>
      <c r="M521">
        <f t="shared" si="35"/>
        <v>3</v>
      </c>
      <c r="N521">
        <f>_xlfn.XLOOKUP(A521,tatiller!H:H,tatiller!I:I,0,0)</f>
        <v>0</v>
      </c>
      <c r="O521" t="str" cm="1">
        <f t="array" ref="O521">_xlfn.IFNA(_xlfn.IFS(L521=1,"A0",A521=EOMONTH(A521,0),"A-1",L521=2,"A+1"),0)</f>
        <v>A+1</v>
      </c>
      <c r="P521" t="str" cm="1">
        <f t="array" ref="P521">_xlfn.IFNA(_xlfn.IFS(AND(_xlfn.XLOOKUP(A521,'LPG Fup'!D:D,'LPG Fup'!M:M,"",0)&lt;&gt;"",_xlfn.XLOOKUP(A521,'LPG Fup'!D:D,'LPG Fup'!M:M,"",0)&gt;0),"Z-1", AND(_xlfn.XLOOKUP(A521+1,'LPG Fup'!D:D,'LPG Fup'!M:M,"",0)&lt;&gt;"",_xlfn.XLOOKUP(A521+1,'LPG Fup'!D:D,'LPG Fup'!M:M,"",0)&gt;0),"Z-2", AND(_xlfn.XLOOKUP(A521-1,'LPG Fup'!D:D,'LPG Fup'!M:M,"",0)&lt;&gt;"",_xlfn.XLOOKUP(A521-1,'LPG Fup'!D:D,'LPG Fup'!M:M,"",0)&gt;0),"Z", AND(_xlfn.XLOOKUP(A521-2,'LPG Fup'!D:D,'LPG Fup'!M:M,"",0)&lt;&gt;"",_xlfn.XLOOKUP(A521-2,'LPG Fup'!D:D,'LPG Fup'!M:M,"",0)&gt;0),"Z+1"),0)</f>
        <v>Z</v>
      </c>
      <c r="Q521" cm="1">
        <f t="array" ref="Q521">_xlfn.IFNA(_xlfn.IFS(AND(_xlfn.XLOOKUP(A521,'LPG Fup'!D:D,'LPG Fup'!M:M,"",0)&lt;&gt;"",_xlfn.XLOOKUP(A521,'LPG Fup'!D:D,'LPG Fup'!M:M,"",0)&lt;0),"I-1", AND(_xlfn.XLOOKUP(A521+1,'LPG Fup'!D:D,'LPG Fup'!M:M,"",0)&lt;&gt;"",_xlfn.XLOOKUP(A521+1,'LPG Fup'!D:D,'LPG Fup'!M:M,"",0)&lt;0),"I-2", AND(_xlfn.XLOOKUP(A521-1,'LPG Fup'!D:D,'LPG Fup'!M:M,"",0)&lt;&gt;"",_xlfn.XLOOKUP(A521-1,'LPG Fup'!D:D,'LPG Fup'!M:M,"",0)&lt;0),"I", AND(_xlfn.XLOOKUP(A521-2,'LPG Fup'!D:D,'LPG Fup'!M:M,"",0)&lt;&gt;"",_xlfn.XLOOKUP(A521-2,'LPG Fup'!D:D,'LPG Fup'!M:M,"",0)&lt;0),"I+1"),0)</f>
        <v>0</v>
      </c>
      <c r="R521">
        <f>_xlfn.XLOOKUP(A521,Covid!A:A,Covid!I:I,0,0)</f>
        <v>0</v>
      </c>
      <c r="S521">
        <f>_xlfn.XLOOKUP(A521,Covid!A:A,Covid!K:K,0,0)</f>
        <v>224</v>
      </c>
      <c r="T521" s="145">
        <f>_xlfn.XLOOKUP(A521,Covid!A:A,Covid!K:K,0,0)/_xlfn.XLOOKUP(A521,Covid!A:A,Covid!L:L,0,0)</f>
        <v>7.5074571840332473E-3</v>
      </c>
    </row>
    <row r="522" spans="1:20" x14ac:dyDescent="0.55000000000000004">
      <c r="A522" s="157">
        <v>44503</v>
      </c>
      <c r="B522" s="13">
        <v>1127060</v>
      </c>
      <c r="C522" s="13">
        <v>101916</v>
      </c>
      <c r="D522" s="13">
        <v>7256</v>
      </c>
      <c r="E522" s="13">
        <v>361417</v>
      </c>
      <c r="F522" s="13">
        <v>1597649</v>
      </c>
      <c r="G522">
        <f>IF(OR(_xlfn.XLOOKUP(A522,'LPG Fup'!D:D,'LPG Fup'!L:L,"",0)&gt;0.03,_xlfn.XLOOKUP(A522,'LPG Fup'!D:D,'LPG Fup'!L:L,"",0)&lt;-0.03),_xlfn.XLOOKUP(A522,'LPG Fup'!D:D,'LPG Fup'!L:L,0,0),0)</f>
        <v>0</v>
      </c>
      <c r="H522">
        <f>IF(_xlfn.XLOOKUP(A522,'LPG Fup'!D:D,'LPG Fup'!M:M,0,0)="",0,_xlfn.XLOOKUP(A522,'LPG Fup'!D:D,'LPG Fup'!M:M,0,0))</f>
        <v>0</v>
      </c>
      <c r="I522" s="109">
        <f>_xlfn.XLOOKUP(A522,'Rafineri Fiyatları'!A:A,'Rafineri Fiyatları'!B:B,"",0)</f>
        <v>8213.67</v>
      </c>
      <c r="J522">
        <f t="shared" si="32"/>
        <v>2021</v>
      </c>
      <c r="K522">
        <f t="shared" si="33"/>
        <v>11</v>
      </c>
      <c r="L522">
        <f t="shared" si="34"/>
        <v>3</v>
      </c>
      <c r="M522">
        <f t="shared" si="35"/>
        <v>4</v>
      </c>
      <c r="N522">
        <f>_xlfn.XLOOKUP(A522,tatiller!H:H,tatiller!I:I,0,0)</f>
        <v>0</v>
      </c>
      <c r="O522" cm="1">
        <f t="array" ref="O522">_xlfn.IFNA(_xlfn.IFS(L522=1,"A0",A522=EOMONTH(A522,0),"A-1",L522=2,"A+1"),0)</f>
        <v>0</v>
      </c>
      <c r="P522" t="str" cm="1">
        <f t="array" ref="P522">_xlfn.IFNA(_xlfn.IFS(AND(_xlfn.XLOOKUP(A522,'LPG Fup'!D:D,'LPG Fup'!M:M,"",0)&lt;&gt;"",_xlfn.XLOOKUP(A522,'LPG Fup'!D:D,'LPG Fup'!M:M,"",0)&gt;0),"Z-1", AND(_xlfn.XLOOKUP(A522+1,'LPG Fup'!D:D,'LPG Fup'!M:M,"",0)&lt;&gt;"",_xlfn.XLOOKUP(A522+1,'LPG Fup'!D:D,'LPG Fup'!M:M,"",0)&gt;0),"Z-2", AND(_xlfn.XLOOKUP(A522-1,'LPG Fup'!D:D,'LPG Fup'!M:M,"",0)&lt;&gt;"",_xlfn.XLOOKUP(A522-1,'LPG Fup'!D:D,'LPG Fup'!M:M,"",0)&gt;0),"Z", AND(_xlfn.XLOOKUP(A522-2,'LPG Fup'!D:D,'LPG Fup'!M:M,"",0)&lt;&gt;"",_xlfn.XLOOKUP(A522-2,'LPG Fup'!D:D,'LPG Fup'!M:M,"",0)&gt;0),"Z+1"),0)</f>
        <v>Z+1</v>
      </c>
      <c r="Q522" cm="1">
        <f t="array" ref="Q522">_xlfn.IFNA(_xlfn.IFS(AND(_xlfn.XLOOKUP(A522,'LPG Fup'!D:D,'LPG Fup'!M:M,"",0)&lt;&gt;"",_xlfn.XLOOKUP(A522,'LPG Fup'!D:D,'LPG Fup'!M:M,"",0)&lt;0),"I-1", AND(_xlfn.XLOOKUP(A522+1,'LPG Fup'!D:D,'LPG Fup'!M:M,"",0)&lt;&gt;"",_xlfn.XLOOKUP(A522+1,'LPG Fup'!D:D,'LPG Fup'!M:M,"",0)&lt;0),"I-2", AND(_xlfn.XLOOKUP(A522-1,'LPG Fup'!D:D,'LPG Fup'!M:M,"",0)&lt;&gt;"",_xlfn.XLOOKUP(A522-1,'LPG Fup'!D:D,'LPG Fup'!M:M,"",0)&lt;0),"I", AND(_xlfn.XLOOKUP(A522-2,'LPG Fup'!D:D,'LPG Fup'!M:M,"",0)&lt;&gt;"",_xlfn.XLOOKUP(A522-2,'LPG Fup'!D:D,'LPG Fup'!M:M,"",0)&lt;0),"I+1"),0)</f>
        <v>0</v>
      </c>
      <c r="R522">
        <f>_xlfn.XLOOKUP(A522,Covid!A:A,Covid!I:I,0,0)</f>
        <v>0</v>
      </c>
      <c r="S522">
        <f>_xlfn.XLOOKUP(A522,Covid!A:A,Covid!K:K,0,0)</f>
        <v>246</v>
      </c>
      <c r="T522" s="145">
        <f>_xlfn.XLOOKUP(A522,Covid!A:A,Covid!K:K,0,0)/_xlfn.XLOOKUP(A522,Covid!A:A,Covid!L:L,0,0)</f>
        <v>7.3727746808128032E-3</v>
      </c>
    </row>
    <row r="523" spans="1:20" x14ac:dyDescent="0.55000000000000004">
      <c r="A523" s="157">
        <v>44504</v>
      </c>
      <c r="B523" s="13">
        <v>1019080</v>
      </c>
      <c r="C523" s="13">
        <v>195786</v>
      </c>
      <c r="D523" s="13">
        <v>12047</v>
      </c>
      <c r="E523" s="13">
        <v>297841</v>
      </c>
      <c r="F523" s="13">
        <v>1524754</v>
      </c>
      <c r="G523">
        <f>IF(OR(_xlfn.XLOOKUP(A523,'LPG Fup'!D:D,'LPG Fup'!L:L,"",0)&gt;0.03,_xlfn.XLOOKUP(A523,'LPG Fup'!D:D,'LPG Fup'!L:L,"",0)&lt;-0.03),_xlfn.XLOOKUP(A523,'LPG Fup'!D:D,'LPG Fup'!L:L,0,0),0)</f>
        <v>0</v>
      </c>
      <c r="H523">
        <f>IF(_xlfn.XLOOKUP(A523,'LPG Fup'!D:D,'LPG Fup'!M:M,0,0)="",0,_xlfn.XLOOKUP(A523,'LPG Fup'!D:D,'LPG Fup'!M:M,0,0))</f>
        <v>0</v>
      </c>
      <c r="I523" s="109">
        <f>_xlfn.XLOOKUP(A523,'Rafineri Fiyatları'!A:A,'Rafineri Fiyatları'!B:B,"",0)</f>
        <v>8213.67</v>
      </c>
      <c r="J523">
        <f t="shared" si="32"/>
        <v>2021</v>
      </c>
      <c r="K523">
        <f t="shared" si="33"/>
        <v>11</v>
      </c>
      <c r="L523">
        <f t="shared" si="34"/>
        <v>4</v>
      </c>
      <c r="M523">
        <f t="shared" si="35"/>
        <v>5</v>
      </c>
      <c r="N523">
        <f>_xlfn.XLOOKUP(A523,tatiller!H:H,tatiller!I:I,0,0)</f>
        <v>0</v>
      </c>
      <c r="O523" cm="1">
        <f t="array" ref="O523">_xlfn.IFNA(_xlfn.IFS(L523=1,"A0",A523=EOMONTH(A523,0),"A-1",L523=2,"A+1"),0)</f>
        <v>0</v>
      </c>
      <c r="P523" cm="1">
        <f t="array" ref="P523">_xlfn.IFNA(_xlfn.IFS(AND(_xlfn.XLOOKUP(A523,'LPG Fup'!D:D,'LPG Fup'!M:M,"",0)&lt;&gt;"",_xlfn.XLOOKUP(A523,'LPG Fup'!D:D,'LPG Fup'!M:M,"",0)&gt;0),"Z-1", AND(_xlfn.XLOOKUP(A523+1,'LPG Fup'!D:D,'LPG Fup'!M:M,"",0)&lt;&gt;"",_xlfn.XLOOKUP(A523+1,'LPG Fup'!D:D,'LPG Fup'!M:M,"",0)&gt;0),"Z-2", AND(_xlfn.XLOOKUP(A523-1,'LPG Fup'!D:D,'LPG Fup'!M:M,"",0)&lt;&gt;"",_xlfn.XLOOKUP(A523-1,'LPG Fup'!D:D,'LPG Fup'!M:M,"",0)&gt;0),"Z", AND(_xlfn.XLOOKUP(A523-2,'LPG Fup'!D:D,'LPG Fup'!M:M,"",0)&lt;&gt;"",_xlfn.XLOOKUP(A523-2,'LPG Fup'!D:D,'LPG Fup'!M:M,"",0)&gt;0),"Z+1"),0)</f>
        <v>0</v>
      </c>
      <c r="Q523" cm="1">
        <f t="array" ref="Q523">_xlfn.IFNA(_xlfn.IFS(AND(_xlfn.XLOOKUP(A523,'LPG Fup'!D:D,'LPG Fup'!M:M,"",0)&lt;&gt;"",_xlfn.XLOOKUP(A523,'LPG Fup'!D:D,'LPG Fup'!M:M,"",0)&lt;0),"I-1", AND(_xlfn.XLOOKUP(A523+1,'LPG Fup'!D:D,'LPG Fup'!M:M,"",0)&lt;&gt;"",_xlfn.XLOOKUP(A523+1,'LPG Fup'!D:D,'LPG Fup'!M:M,"",0)&lt;0),"I-2", AND(_xlfn.XLOOKUP(A523-1,'LPG Fup'!D:D,'LPG Fup'!M:M,"",0)&lt;&gt;"",_xlfn.XLOOKUP(A523-1,'LPG Fup'!D:D,'LPG Fup'!M:M,"",0)&lt;0),"I", AND(_xlfn.XLOOKUP(A523-2,'LPG Fup'!D:D,'LPG Fup'!M:M,"",0)&lt;&gt;"",_xlfn.XLOOKUP(A523-2,'LPG Fup'!D:D,'LPG Fup'!M:M,"",0)&lt;0),"I+1"),0)</f>
        <v>0</v>
      </c>
      <c r="R523">
        <f>_xlfn.XLOOKUP(A523,Covid!A:A,Covid!I:I,0,0)</f>
        <v>0</v>
      </c>
      <c r="S523">
        <f>_xlfn.XLOOKUP(A523,Covid!A:A,Covid!K:K,0,0)</f>
        <v>228</v>
      </c>
      <c r="T523" s="145">
        <f>_xlfn.XLOOKUP(A523,Covid!A:A,Covid!K:K,0,0)/_xlfn.XLOOKUP(A523,Covid!A:A,Covid!L:L,0,0)</f>
        <v>6.5624730161471375E-3</v>
      </c>
    </row>
    <row r="524" spans="1:20" x14ac:dyDescent="0.55000000000000004">
      <c r="A524" s="157">
        <v>44505</v>
      </c>
      <c r="B524" s="13">
        <v>1177800</v>
      </c>
      <c r="C524" s="13">
        <v>264439</v>
      </c>
      <c r="D524" s="13">
        <v>11777</v>
      </c>
      <c r="E524" s="13">
        <v>427485</v>
      </c>
      <c r="F524" s="13">
        <v>1881501</v>
      </c>
      <c r="G524">
        <f>IF(OR(_xlfn.XLOOKUP(A524,'LPG Fup'!D:D,'LPG Fup'!L:L,"",0)&gt;0.03,_xlfn.XLOOKUP(A524,'LPG Fup'!D:D,'LPG Fup'!L:L,"",0)&lt;-0.03),_xlfn.XLOOKUP(A524,'LPG Fup'!D:D,'LPG Fup'!L:L,0,0),0)</f>
        <v>0</v>
      </c>
      <c r="H524">
        <f>IF(_xlfn.XLOOKUP(A524,'LPG Fup'!D:D,'LPG Fup'!M:M,0,0)="",0,_xlfn.XLOOKUP(A524,'LPG Fup'!D:D,'LPG Fup'!M:M,0,0))</f>
        <v>0</v>
      </c>
      <c r="I524" s="109">
        <f>_xlfn.XLOOKUP(A524,'Rafineri Fiyatları'!A:A,'Rafineri Fiyatları'!B:B,"",0)</f>
        <v>8213.67</v>
      </c>
      <c r="J524">
        <f t="shared" si="32"/>
        <v>2021</v>
      </c>
      <c r="K524">
        <f t="shared" si="33"/>
        <v>11</v>
      </c>
      <c r="L524">
        <f t="shared" si="34"/>
        <v>5</v>
      </c>
      <c r="M524">
        <f t="shared" si="35"/>
        <v>6</v>
      </c>
      <c r="N524">
        <f>_xlfn.XLOOKUP(A524,tatiller!H:H,tatiller!I:I,0,0)</f>
        <v>0</v>
      </c>
      <c r="O524" cm="1">
        <f t="array" ref="O524">_xlfn.IFNA(_xlfn.IFS(L524=1,"A0",A524=EOMONTH(A524,0),"A-1",L524=2,"A+1"),0)</f>
        <v>0</v>
      </c>
      <c r="P524" cm="1">
        <f t="array" ref="P524">_xlfn.IFNA(_xlfn.IFS(AND(_xlfn.XLOOKUP(A524,'LPG Fup'!D:D,'LPG Fup'!M:M,"",0)&lt;&gt;"",_xlfn.XLOOKUP(A524,'LPG Fup'!D:D,'LPG Fup'!M:M,"",0)&gt;0),"Z-1", AND(_xlfn.XLOOKUP(A524+1,'LPG Fup'!D:D,'LPG Fup'!M:M,"",0)&lt;&gt;"",_xlfn.XLOOKUP(A524+1,'LPG Fup'!D:D,'LPG Fup'!M:M,"",0)&gt;0),"Z-2", AND(_xlfn.XLOOKUP(A524-1,'LPG Fup'!D:D,'LPG Fup'!M:M,"",0)&lt;&gt;"",_xlfn.XLOOKUP(A524-1,'LPG Fup'!D:D,'LPG Fup'!M:M,"",0)&gt;0),"Z", AND(_xlfn.XLOOKUP(A524-2,'LPG Fup'!D:D,'LPG Fup'!M:M,"",0)&lt;&gt;"",_xlfn.XLOOKUP(A524-2,'LPG Fup'!D:D,'LPG Fup'!M:M,"",0)&gt;0),"Z+1"),0)</f>
        <v>0</v>
      </c>
      <c r="Q524" cm="1">
        <f t="array" ref="Q524">_xlfn.IFNA(_xlfn.IFS(AND(_xlfn.XLOOKUP(A524,'LPG Fup'!D:D,'LPG Fup'!M:M,"",0)&lt;&gt;"",_xlfn.XLOOKUP(A524,'LPG Fup'!D:D,'LPG Fup'!M:M,"",0)&lt;0),"I-1", AND(_xlfn.XLOOKUP(A524+1,'LPG Fup'!D:D,'LPG Fup'!M:M,"",0)&lt;&gt;"",_xlfn.XLOOKUP(A524+1,'LPG Fup'!D:D,'LPG Fup'!M:M,"",0)&lt;0),"I-2", AND(_xlfn.XLOOKUP(A524-1,'LPG Fup'!D:D,'LPG Fup'!M:M,"",0)&lt;&gt;"",_xlfn.XLOOKUP(A524-1,'LPG Fup'!D:D,'LPG Fup'!M:M,"",0)&lt;0),"I", AND(_xlfn.XLOOKUP(A524-2,'LPG Fup'!D:D,'LPG Fup'!M:M,"",0)&lt;&gt;"",_xlfn.XLOOKUP(A524-2,'LPG Fup'!D:D,'LPG Fup'!M:M,"",0)&lt;0),"I+1"),0)</f>
        <v>0</v>
      </c>
      <c r="R524">
        <f>_xlfn.XLOOKUP(A524,Covid!A:A,Covid!I:I,0,0)</f>
        <v>0</v>
      </c>
      <c r="S524">
        <f>_xlfn.XLOOKUP(A524,Covid!A:A,Covid!K:K,0,0)</f>
        <v>198</v>
      </c>
      <c r="T524" s="145">
        <f>_xlfn.XLOOKUP(A524,Covid!A:A,Covid!K:K,0,0)/_xlfn.XLOOKUP(A524,Covid!A:A,Covid!L:L,0,0)</f>
        <v>6.1488773640570168E-3</v>
      </c>
    </row>
    <row r="525" spans="1:20" x14ac:dyDescent="0.55000000000000004">
      <c r="A525" s="157">
        <v>44506</v>
      </c>
      <c r="B525" s="13">
        <v>1000720</v>
      </c>
      <c r="C525" s="13">
        <v>114484</v>
      </c>
      <c r="D525" s="13">
        <v>4714</v>
      </c>
      <c r="E525" s="13">
        <v>480236</v>
      </c>
      <c r="F525" s="13">
        <v>1600154</v>
      </c>
      <c r="G525">
        <f>IF(OR(_xlfn.XLOOKUP(A525,'LPG Fup'!D:D,'LPG Fup'!L:L,"",0)&gt;0.03,_xlfn.XLOOKUP(A525,'LPG Fup'!D:D,'LPG Fup'!L:L,"",0)&lt;-0.03),_xlfn.XLOOKUP(A525,'LPG Fup'!D:D,'LPG Fup'!L:L,0,0),0)</f>
        <v>0</v>
      </c>
      <c r="H525">
        <f>IF(_xlfn.XLOOKUP(A525,'LPG Fup'!D:D,'LPG Fup'!M:M,0,0)="",0,_xlfn.XLOOKUP(A525,'LPG Fup'!D:D,'LPG Fup'!M:M,0,0))</f>
        <v>0</v>
      </c>
      <c r="I525" s="109">
        <f>_xlfn.XLOOKUP(A525,'Rafineri Fiyatları'!A:A,'Rafineri Fiyatları'!B:B,"",0)</f>
        <v>8213.67</v>
      </c>
      <c r="J525">
        <f t="shared" si="32"/>
        <v>2021</v>
      </c>
      <c r="K525">
        <f t="shared" si="33"/>
        <v>11</v>
      </c>
      <c r="L525">
        <f t="shared" si="34"/>
        <v>6</v>
      </c>
      <c r="M525">
        <f t="shared" si="35"/>
        <v>7</v>
      </c>
      <c r="N525">
        <f>_xlfn.XLOOKUP(A525,tatiller!H:H,tatiller!I:I,0,0)</f>
        <v>0</v>
      </c>
      <c r="O525" cm="1">
        <f t="array" ref="O525">_xlfn.IFNA(_xlfn.IFS(L525=1,"A0",A525=EOMONTH(A525,0),"A-1",L525=2,"A+1"),0)</f>
        <v>0</v>
      </c>
      <c r="P525" cm="1">
        <f t="array" ref="P525">_xlfn.IFNA(_xlfn.IFS(AND(_xlfn.XLOOKUP(A525,'LPG Fup'!D:D,'LPG Fup'!M:M,"",0)&lt;&gt;"",_xlfn.XLOOKUP(A525,'LPG Fup'!D:D,'LPG Fup'!M:M,"",0)&gt;0),"Z-1", AND(_xlfn.XLOOKUP(A525+1,'LPG Fup'!D:D,'LPG Fup'!M:M,"",0)&lt;&gt;"",_xlfn.XLOOKUP(A525+1,'LPG Fup'!D:D,'LPG Fup'!M:M,"",0)&gt;0),"Z-2", AND(_xlfn.XLOOKUP(A525-1,'LPG Fup'!D:D,'LPG Fup'!M:M,"",0)&lt;&gt;"",_xlfn.XLOOKUP(A525-1,'LPG Fup'!D:D,'LPG Fup'!M:M,"",0)&gt;0),"Z", AND(_xlfn.XLOOKUP(A525-2,'LPG Fup'!D:D,'LPG Fup'!M:M,"",0)&lt;&gt;"",_xlfn.XLOOKUP(A525-2,'LPG Fup'!D:D,'LPG Fup'!M:M,"",0)&gt;0),"Z+1"),0)</f>
        <v>0</v>
      </c>
      <c r="Q525" cm="1">
        <f t="array" ref="Q525">_xlfn.IFNA(_xlfn.IFS(AND(_xlfn.XLOOKUP(A525,'LPG Fup'!D:D,'LPG Fup'!M:M,"",0)&lt;&gt;"",_xlfn.XLOOKUP(A525,'LPG Fup'!D:D,'LPG Fup'!M:M,"",0)&lt;0),"I-1", AND(_xlfn.XLOOKUP(A525+1,'LPG Fup'!D:D,'LPG Fup'!M:M,"",0)&lt;&gt;"",_xlfn.XLOOKUP(A525+1,'LPG Fup'!D:D,'LPG Fup'!M:M,"",0)&lt;0),"I-2", AND(_xlfn.XLOOKUP(A525-1,'LPG Fup'!D:D,'LPG Fup'!M:M,"",0)&lt;&gt;"",_xlfn.XLOOKUP(A525-1,'LPG Fup'!D:D,'LPG Fup'!M:M,"",0)&lt;0),"I", AND(_xlfn.XLOOKUP(A525-2,'LPG Fup'!D:D,'LPG Fup'!M:M,"",0)&lt;&gt;"",_xlfn.XLOOKUP(A525-2,'LPG Fup'!D:D,'LPG Fup'!M:M,"",0)&lt;0),"I+1"),0)</f>
        <v>0</v>
      </c>
      <c r="R525">
        <f>_xlfn.XLOOKUP(A525,Covid!A:A,Covid!I:I,0,0)</f>
        <v>0</v>
      </c>
      <c r="S525">
        <f>_xlfn.XLOOKUP(A525,Covid!A:A,Covid!K:K,0,0)</f>
        <v>203</v>
      </c>
      <c r="T525" s="145">
        <f>_xlfn.XLOOKUP(A525,Covid!A:A,Covid!K:K,0,0)/_xlfn.XLOOKUP(A525,Covid!A:A,Covid!L:L,0,0)</f>
        <v>6.6374574941145698E-3</v>
      </c>
    </row>
    <row r="526" spans="1:20" x14ac:dyDescent="0.55000000000000004">
      <c r="A526" s="157">
        <v>44507</v>
      </c>
      <c r="B526" s="13">
        <v>956840</v>
      </c>
      <c r="C526" s="13">
        <v>0</v>
      </c>
      <c r="D526" s="13">
        <v>0</v>
      </c>
      <c r="E526" s="13">
        <v>300780</v>
      </c>
      <c r="F526" s="13">
        <v>1257620</v>
      </c>
      <c r="G526">
        <f>IF(OR(_xlfn.XLOOKUP(A526,'LPG Fup'!D:D,'LPG Fup'!L:L,"",0)&gt;0.03,_xlfn.XLOOKUP(A526,'LPG Fup'!D:D,'LPG Fup'!L:L,"",0)&lt;-0.03),_xlfn.XLOOKUP(A526,'LPG Fup'!D:D,'LPG Fup'!L:L,0,0),0)</f>
        <v>0</v>
      </c>
      <c r="H526">
        <f>IF(_xlfn.XLOOKUP(A526,'LPG Fup'!D:D,'LPG Fup'!M:M,0,0)="",0,_xlfn.XLOOKUP(A526,'LPG Fup'!D:D,'LPG Fup'!M:M,0,0))</f>
        <v>0</v>
      </c>
      <c r="I526" s="109">
        <f>_xlfn.XLOOKUP(A526,'Rafineri Fiyatları'!A:A,'Rafineri Fiyatları'!B:B,"",0)</f>
        <v>8213.67</v>
      </c>
      <c r="J526">
        <f t="shared" si="32"/>
        <v>2021</v>
      </c>
      <c r="K526">
        <f t="shared" si="33"/>
        <v>11</v>
      </c>
      <c r="L526">
        <f t="shared" si="34"/>
        <v>7</v>
      </c>
      <c r="M526">
        <f t="shared" si="35"/>
        <v>1</v>
      </c>
      <c r="N526">
        <f>_xlfn.XLOOKUP(A526,tatiller!H:H,tatiller!I:I,0,0)</f>
        <v>0</v>
      </c>
      <c r="O526" cm="1">
        <f t="array" ref="O526">_xlfn.IFNA(_xlfn.IFS(L526=1,"A0",A526=EOMONTH(A526,0),"A-1",L526=2,"A+1"),0)</f>
        <v>0</v>
      </c>
      <c r="P526" cm="1">
        <f t="array" ref="P526">_xlfn.IFNA(_xlfn.IFS(AND(_xlfn.XLOOKUP(A526,'LPG Fup'!D:D,'LPG Fup'!M:M,"",0)&lt;&gt;"",_xlfn.XLOOKUP(A526,'LPG Fup'!D:D,'LPG Fup'!M:M,"",0)&gt;0),"Z-1", AND(_xlfn.XLOOKUP(A526+1,'LPG Fup'!D:D,'LPG Fup'!M:M,"",0)&lt;&gt;"",_xlfn.XLOOKUP(A526+1,'LPG Fup'!D:D,'LPG Fup'!M:M,"",0)&gt;0),"Z-2", AND(_xlfn.XLOOKUP(A526-1,'LPG Fup'!D:D,'LPG Fup'!M:M,"",0)&lt;&gt;"",_xlfn.XLOOKUP(A526-1,'LPG Fup'!D:D,'LPG Fup'!M:M,"",0)&gt;0),"Z", AND(_xlfn.XLOOKUP(A526-2,'LPG Fup'!D:D,'LPG Fup'!M:M,"",0)&lt;&gt;"",_xlfn.XLOOKUP(A526-2,'LPG Fup'!D:D,'LPG Fup'!M:M,"",0)&gt;0),"Z+1"),0)</f>
        <v>0</v>
      </c>
      <c r="Q526" cm="1">
        <f t="array" ref="Q526">_xlfn.IFNA(_xlfn.IFS(AND(_xlfn.XLOOKUP(A526,'LPG Fup'!D:D,'LPG Fup'!M:M,"",0)&lt;&gt;"",_xlfn.XLOOKUP(A526,'LPG Fup'!D:D,'LPG Fup'!M:M,"",0)&lt;0),"I-1", AND(_xlfn.XLOOKUP(A526+1,'LPG Fup'!D:D,'LPG Fup'!M:M,"",0)&lt;&gt;"",_xlfn.XLOOKUP(A526+1,'LPG Fup'!D:D,'LPG Fup'!M:M,"",0)&lt;0),"I-2", AND(_xlfn.XLOOKUP(A526-1,'LPG Fup'!D:D,'LPG Fup'!M:M,"",0)&lt;&gt;"",_xlfn.XLOOKUP(A526-1,'LPG Fup'!D:D,'LPG Fup'!M:M,"",0)&lt;0),"I", AND(_xlfn.XLOOKUP(A526-2,'LPG Fup'!D:D,'LPG Fup'!M:M,"",0)&lt;&gt;"",_xlfn.XLOOKUP(A526-2,'LPG Fup'!D:D,'LPG Fup'!M:M,"",0)&lt;0),"I+1"),0)</f>
        <v>0</v>
      </c>
      <c r="R526">
        <f>_xlfn.XLOOKUP(A526,Covid!A:A,Covid!I:I,0,0)</f>
        <v>0</v>
      </c>
      <c r="S526">
        <f>_xlfn.XLOOKUP(A526,Covid!A:A,Covid!K:K,0,0)</f>
        <v>200</v>
      </c>
      <c r="T526" s="145">
        <f>_xlfn.XLOOKUP(A526,Covid!A:A,Covid!K:K,0,0)/_xlfn.XLOOKUP(A526,Covid!A:A,Covid!L:L,0,0)</f>
        <v>6.9319284624982666E-3</v>
      </c>
    </row>
    <row r="527" spans="1:20" x14ac:dyDescent="0.55000000000000004">
      <c r="A527" s="157">
        <v>44508</v>
      </c>
      <c r="B527" s="13">
        <v>913300</v>
      </c>
      <c r="C527" s="13">
        <v>352953</v>
      </c>
      <c r="D527" s="13">
        <v>4240</v>
      </c>
      <c r="E527" s="13">
        <v>466804</v>
      </c>
      <c r="F527" s="13">
        <v>1737297</v>
      </c>
      <c r="G527">
        <f>IF(OR(_xlfn.XLOOKUP(A527,'LPG Fup'!D:D,'LPG Fup'!L:L,"",0)&gt;0.03,_xlfn.XLOOKUP(A527,'LPG Fup'!D:D,'LPG Fup'!L:L,"",0)&lt;-0.03),_xlfn.XLOOKUP(A527,'LPG Fup'!D:D,'LPG Fup'!L:L,0,0),0)</f>
        <v>0</v>
      </c>
      <c r="H527">
        <f>IF(_xlfn.XLOOKUP(A527,'LPG Fup'!D:D,'LPG Fup'!M:M,0,0)="",0,_xlfn.XLOOKUP(A527,'LPG Fup'!D:D,'LPG Fup'!M:M,0,0))</f>
        <v>0</v>
      </c>
      <c r="I527" s="109">
        <f>_xlfn.XLOOKUP(A527,'Rafineri Fiyatları'!A:A,'Rafineri Fiyatları'!B:B,"",0)</f>
        <v>8213.67</v>
      </c>
      <c r="J527">
        <f t="shared" si="32"/>
        <v>2021</v>
      </c>
      <c r="K527">
        <f t="shared" si="33"/>
        <v>11</v>
      </c>
      <c r="L527">
        <f t="shared" si="34"/>
        <v>8</v>
      </c>
      <c r="M527">
        <f t="shared" si="35"/>
        <v>2</v>
      </c>
      <c r="N527">
        <f>_xlfn.XLOOKUP(A527,tatiller!H:H,tatiller!I:I,0,0)</f>
        <v>0</v>
      </c>
      <c r="O527" cm="1">
        <f t="array" ref="O527">_xlfn.IFNA(_xlfn.IFS(L527=1,"A0",A527=EOMONTH(A527,0),"A-1",L527=2,"A+1"),0)</f>
        <v>0</v>
      </c>
      <c r="P527" cm="1">
        <f t="array" ref="P527">_xlfn.IFNA(_xlfn.IFS(AND(_xlfn.XLOOKUP(A527,'LPG Fup'!D:D,'LPG Fup'!M:M,"",0)&lt;&gt;"",_xlfn.XLOOKUP(A527,'LPG Fup'!D:D,'LPG Fup'!M:M,"",0)&gt;0),"Z-1", AND(_xlfn.XLOOKUP(A527+1,'LPG Fup'!D:D,'LPG Fup'!M:M,"",0)&lt;&gt;"",_xlfn.XLOOKUP(A527+1,'LPG Fup'!D:D,'LPG Fup'!M:M,"",0)&gt;0),"Z-2", AND(_xlfn.XLOOKUP(A527-1,'LPG Fup'!D:D,'LPG Fup'!M:M,"",0)&lt;&gt;"",_xlfn.XLOOKUP(A527-1,'LPG Fup'!D:D,'LPG Fup'!M:M,"",0)&gt;0),"Z", AND(_xlfn.XLOOKUP(A527-2,'LPG Fup'!D:D,'LPG Fup'!M:M,"",0)&lt;&gt;"",_xlfn.XLOOKUP(A527-2,'LPG Fup'!D:D,'LPG Fup'!M:M,"",0)&gt;0),"Z+1"),0)</f>
        <v>0</v>
      </c>
      <c r="Q527" cm="1">
        <f t="array" ref="Q527">_xlfn.IFNA(_xlfn.IFS(AND(_xlfn.XLOOKUP(A527,'LPG Fup'!D:D,'LPG Fup'!M:M,"",0)&lt;&gt;"",_xlfn.XLOOKUP(A527,'LPG Fup'!D:D,'LPG Fup'!M:M,"",0)&lt;0),"I-1", AND(_xlfn.XLOOKUP(A527+1,'LPG Fup'!D:D,'LPG Fup'!M:M,"",0)&lt;&gt;"",_xlfn.XLOOKUP(A527+1,'LPG Fup'!D:D,'LPG Fup'!M:M,"",0)&lt;0),"I-2", AND(_xlfn.XLOOKUP(A527-1,'LPG Fup'!D:D,'LPG Fup'!M:M,"",0)&lt;&gt;"",_xlfn.XLOOKUP(A527-1,'LPG Fup'!D:D,'LPG Fup'!M:M,"",0)&lt;0),"I", AND(_xlfn.XLOOKUP(A527-2,'LPG Fup'!D:D,'LPG Fup'!M:M,"",0)&lt;&gt;"",_xlfn.XLOOKUP(A527-2,'LPG Fup'!D:D,'LPG Fup'!M:M,"",0)&lt;0),"I+1"),0)</f>
        <v>0</v>
      </c>
      <c r="R527">
        <f>_xlfn.XLOOKUP(A527,Covid!A:A,Covid!I:I,0,0)</f>
        <v>0</v>
      </c>
      <c r="S527">
        <f>_xlfn.XLOOKUP(A527,Covid!A:A,Covid!K:K,0,0)</f>
        <v>187</v>
      </c>
      <c r="T527" s="145">
        <f>_xlfn.XLOOKUP(A527,Covid!A:A,Covid!K:K,0,0)/_xlfn.XLOOKUP(A527,Covid!A:A,Covid!L:L,0,0)</f>
        <v>6.6182976464342598E-3</v>
      </c>
    </row>
    <row r="528" spans="1:20" x14ac:dyDescent="0.55000000000000004">
      <c r="A528" s="157">
        <v>44509</v>
      </c>
      <c r="B528" s="13">
        <v>1231540</v>
      </c>
      <c r="C528" s="13">
        <v>299642</v>
      </c>
      <c r="D528" s="13">
        <v>11718</v>
      </c>
      <c r="E528" s="13">
        <v>460650</v>
      </c>
      <c r="F528" s="13">
        <v>2003550</v>
      </c>
      <c r="G528">
        <f>IF(OR(_xlfn.XLOOKUP(A528,'LPG Fup'!D:D,'LPG Fup'!L:L,"",0)&gt;0.03,_xlfn.XLOOKUP(A528,'LPG Fup'!D:D,'LPG Fup'!L:L,"",0)&lt;-0.03),_xlfn.XLOOKUP(A528,'LPG Fup'!D:D,'LPG Fup'!L:L,0,0),0)</f>
        <v>0</v>
      </c>
      <c r="H528">
        <f>IF(_xlfn.XLOOKUP(A528,'LPG Fup'!D:D,'LPG Fup'!M:M,0,0)="",0,_xlfn.XLOOKUP(A528,'LPG Fup'!D:D,'LPG Fup'!M:M,0,0))</f>
        <v>0</v>
      </c>
      <c r="I528" s="109">
        <f>_xlfn.XLOOKUP(A528,'Rafineri Fiyatları'!A:A,'Rafineri Fiyatları'!B:B,"",0)</f>
        <v>8213.67</v>
      </c>
      <c r="J528">
        <f t="shared" si="32"/>
        <v>2021</v>
      </c>
      <c r="K528">
        <f t="shared" si="33"/>
        <v>11</v>
      </c>
      <c r="L528">
        <f t="shared" si="34"/>
        <v>9</v>
      </c>
      <c r="M528">
        <f t="shared" si="35"/>
        <v>3</v>
      </c>
      <c r="N528">
        <f>_xlfn.XLOOKUP(A528,tatiller!H:H,tatiller!I:I,0,0)</f>
        <v>0</v>
      </c>
      <c r="O528" cm="1">
        <f t="array" ref="O528">_xlfn.IFNA(_xlfn.IFS(L528=1,"A0",A528=EOMONTH(A528,0),"A-1",L528=2,"A+1"),0)</f>
        <v>0</v>
      </c>
      <c r="P528" cm="1">
        <f t="array" ref="P528">_xlfn.IFNA(_xlfn.IFS(AND(_xlfn.XLOOKUP(A528,'LPG Fup'!D:D,'LPG Fup'!M:M,"",0)&lt;&gt;"",_xlfn.XLOOKUP(A528,'LPG Fup'!D:D,'LPG Fup'!M:M,"",0)&gt;0),"Z-1", AND(_xlfn.XLOOKUP(A528+1,'LPG Fup'!D:D,'LPG Fup'!M:M,"",0)&lt;&gt;"",_xlfn.XLOOKUP(A528+1,'LPG Fup'!D:D,'LPG Fup'!M:M,"",0)&gt;0),"Z-2", AND(_xlfn.XLOOKUP(A528-1,'LPG Fup'!D:D,'LPG Fup'!M:M,"",0)&lt;&gt;"",_xlfn.XLOOKUP(A528-1,'LPG Fup'!D:D,'LPG Fup'!M:M,"",0)&gt;0),"Z", AND(_xlfn.XLOOKUP(A528-2,'LPG Fup'!D:D,'LPG Fup'!M:M,"",0)&lt;&gt;"",_xlfn.XLOOKUP(A528-2,'LPG Fup'!D:D,'LPG Fup'!M:M,"",0)&gt;0),"Z+1"),0)</f>
        <v>0</v>
      </c>
      <c r="Q528" cm="1">
        <f t="array" ref="Q528">_xlfn.IFNA(_xlfn.IFS(AND(_xlfn.XLOOKUP(A528,'LPG Fup'!D:D,'LPG Fup'!M:M,"",0)&lt;&gt;"",_xlfn.XLOOKUP(A528,'LPG Fup'!D:D,'LPG Fup'!M:M,"",0)&lt;0),"I-1", AND(_xlfn.XLOOKUP(A528+1,'LPG Fup'!D:D,'LPG Fup'!M:M,"",0)&lt;&gt;"",_xlfn.XLOOKUP(A528+1,'LPG Fup'!D:D,'LPG Fup'!M:M,"",0)&lt;0),"I-2", AND(_xlfn.XLOOKUP(A528-1,'LPG Fup'!D:D,'LPG Fup'!M:M,"",0)&lt;&gt;"",_xlfn.XLOOKUP(A528-1,'LPG Fup'!D:D,'LPG Fup'!M:M,"",0)&lt;0),"I", AND(_xlfn.XLOOKUP(A528-2,'LPG Fup'!D:D,'LPG Fup'!M:M,"",0)&lt;&gt;"",_xlfn.XLOOKUP(A528-2,'LPG Fup'!D:D,'LPG Fup'!M:M,"",0)&lt;0),"I+1"),0)</f>
        <v>0</v>
      </c>
      <c r="R528">
        <f>_xlfn.XLOOKUP(A528,Covid!A:A,Covid!I:I,0,0)</f>
        <v>0</v>
      </c>
      <c r="S528">
        <f>_xlfn.XLOOKUP(A528,Covid!A:A,Covid!K:K,0,0)</f>
        <v>196</v>
      </c>
      <c r="T528" s="145">
        <f>_xlfn.XLOOKUP(A528,Covid!A:A,Covid!K:K,0,0)/_xlfn.XLOOKUP(A528,Covid!A:A,Covid!L:L,0,0)</f>
        <v>6.7916421220416507E-3</v>
      </c>
    </row>
    <row r="529" spans="1:20" x14ac:dyDescent="0.55000000000000004">
      <c r="A529" s="157">
        <v>44510</v>
      </c>
      <c r="B529" s="13">
        <v>1213940</v>
      </c>
      <c r="C529" s="13">
        <v>362390</v>
      </c>
      <c r="D529" s="13">
        <v>16080</v>
      </c>
      <c r="E529" s="13">
        <v>403927</v>
      </c>
      <c r="F529" s="13">
        <v>4196301</v>
      </c>
      <c r="G529">
        <f>IF(OR(_xlfn.XLOOKUP(A529,'LPG Fup'!D:D,'LPG Fup'!L:L,"",0)&gt;0.03,_xlfn.XLOOKUP(A529,'LPG Fup'!D:D,'LPG Fup'!L:L,"",0)&lt;-0.03),_xlfn.XLOOKUP(A529,'LPG Fup'!D:D,'LPG Fup'!L:L,0,0),0)</f>
        <v>0</v>
      </c>
      <c r="H529">
        <f>IF(_xlfn.XLOOKUP(A529,'LPG Fup'!D:D,'LPG Fup'!M:M,0,0)="",0,_xlfn.XLOOKUP(A529,'LPG Fup'!D:D,'LPG Fup'!M:M,0,0))</f>
        <v>0</v>
      </c>
      <c r="I529" s="109">
        <f>_xlfn.XLOOKUP(A529,'Rafineri Fiyatları'!A:A,'Rafineri Fiyatları'!B:B,"",0)</f>
        <v>8213.67</v>
      </c>
      <c r="J529">
        <f t="shared" si="32"/>
        <v>2021</v>
      </c>
      <c r="K529">
        <f t="shared" si="33"/>
        <v>11</v>
      </c>
      <c r="L529">
        <f t="shared" si="34"/>
        <v>10</v>
      </c>
      <c r="M529">
        <f t="shared" si="35"/>
        <v>4</v>
      </c>
      <c r="N529">
        <f>_xlfn.XLOOKUP(A529,tatiller!H:H,tatiller!I:I,0,0)</f>
        <v>0</v>
      </c>
      <c r="O529" cm="1">
        <f t="array" ref="O529">_xlfn.IFNA(_xlfn.IFS(L529=1,"A0",A529=EOMONTH(A529,0),"A-1",L529=2,"A+1"),0)</f>
        <v>0</v>
      </c>
      <c r="P529" cm="1">
        <f t="array" ref="P529">_xlfn.IFNA(_xlfn.IFS(AND(_xlfn.XLOOKUP(A529,'LPG Fup'!D:D,'LPG Fup'!M:M,"",0)&lt;&gt;"",_xlfn.XLOOKUP(A529,'LPG Fup'!D:D,'LPG Fup'!M:M,"",0)&gt;0),"Z-1", AND(_xlfn.XLOOKUP(A529+1,'LPG Fup'!D:D,'LPG Fup'!M:M,"",0)&lt;&gt;"",_xlfn.XLOOKUP(A529+1,'LPG Fup'!D:D,'LPG Fup'!M:M,"",0)&gt;0),"Z-2", AND(_xlfn.XLOOKUP(A529-1,'LPG Fup'!D:D,'LPG Fup'!M:M,"",0)&lt;&gt;"",_xlfn.XLOOKUP(A529-1,'LPG Fup'!D:D,'LPG Fup'!M:M,"",0)&gt;0),"Z", AND(_xlfn.XLOOKUP(A529-2,'LPG Fup'!D:D,'LPG Fup'!M:M,"",0)&lt;&gt;"",_xlfn.XLOOKUP(A529-2,'LPG Fup'!D:D,'LPG Fup'!M:M,"",0)&gt;0),"Z+1"),0)</f>
        <v>0</v>
      </c>
      <c r="Q529" cm="1">
        <f t="array" ref="Q529">_xlfn.IFNA(_xlfn.IFS(AND(_xlfn.XLOOKUP(A529,'LPG Fup'!D:D,'LPG Fup'!M:M,"",0)&lt;&gt;"",_xlfn.XLOOKUP(A529,'LPG Fup'!D:D,'LPG Fup'!M:M,"",0)&lt;0),"I-1", AND(_xlfn.XLOOKUP(A529+1,'LPG Fup'!D:D,'LPG Fup'!M:M,"",0)&lt;&gt;"",_xlfn.XLOOKUP(A529+1,'LPG Fup'!D:D,'LPG Fup'!M:M,"",0)&lt;0),"I-2", AND(_xlfn.XLOOKUP(A529-1,'LPG Fup'!D:D,'LPG Fup'!M:M,"",0)&lt;&gt;"",_xlfn.XLOOKUP(A529-1,'LPG Fup'!D:D,'LPG Fup'!M:M,"",0)&lt;0),"I", AND(_xlfn.XLOOKUP(A529-2,'LPG Fup'!D:D,'LPG Fup'!M:M,"",0)&lt;&gt;"",_xlfn.XLOOKUP(A529-2,'LPG Fup'!D:D,'LPG Fup'!M:M,"",0)&lt;0),"I+1"),0)</f>
        <v>0</v>
      </c>
      <c r="R529">
        <f>_xlfn.XLOOKUP(A529,Covid!A:A,Covid!I:I,0,0)</f>
        <v>0</v>
      </c>
      <c r="S529">
        <f>_xlfn.XLOOKUP(A529,Covid!A:A,Covid!K:K,0,0)</f>
        <v>203</v>
      </c>
      <c r="T529" s="145">
        <f>_xlfn.XLOOKUP(A529,Covid!A:A,Covid!K:K,0,0)/_xlfn.XLOOKUP(A529,Covid!A:A,Covid!L:L,0,0)</f>
        <v>7.3783302438847091E-3</v>
      </c>
    </row>
    <row r="530" spans="1:20" x14ac:dyDescent="0.55000000000000004">
      <c r="A530" s="157">
        <v>44511</v>
      </c>
      <c r="B530" s="13">
        <v>1462600</v>
      </c>
      <c r="C530" s="13">
        <v>363200</v>
      </c>
      <c r="D530" s="13">
        <v>5312</v>
      </c>
      <c r="E530" s="13">
        <v>389251</v>
      </c>
      <c r="F530" s="13">
        <v>2220363</v>
      </c>
      <c r="G530">
        <f>IF(OR(_xlfn.XLOOKUP(A530,'LPG Fup'!D:D,'LPG Fup'!L:L,"",0)&gt;0.03,_xlfn.XLOOKUP(A530,'LPG Fup'!D:D,'LPG Fup'!L:L,"",0)&lt;-0.03),_xlfn.XLOOKUP(A530,'LPG Fup'!D:D,'LPG Fup'!L:L,0,0),0)</f>
        <v>0</v>
      </c>
      <c r="H530">
        <f>IF(_xlfn.XLOOKUP(A530,'LPG Fup'!D:D,'LPG Fup'!M:M,0,0)="",0,_xlfn.XLOOKUP(A530,'LPG Fup'!D:D,'LPG Fup'!M:M,0,0))</f>
        <v>0</v>
      </c>
      <c r="I530" s="109">
        <f>_xlfn.XLOOKUP(A530,'Rafineri Fiyatları'!A:A,'Rafineri Fiyatları'!B:B,"",0)</f>
        <v>8213.67</v>
      </c>
      <c r="J530">
        <f t="shared" si="32"/>
        <v>2021</v>
      </c>
      <c r="K530">
        <f t="shared" si="33"/>
        <v>11</v>
      </c>
      <c r="L530">
        <f t="shared" si="34"/>
        <v>11</v>
      </c>
      <c r="M530">
        <f t="shared" si="35"/>
        <v>5</v>
      </c>
      <c r="N530">
        <f>_xlfn.XLOOKUP(A530,tatiller!H:H,tatiller!I:I,0,0)</f>
        <v>0</v>
      </c>
      <c r="O530" cm="1">
        <f t="array" ref="O530">_xlfn.IFNA(_xlfn.IFS(L530=1,"A0",A530=EOMONTH(A530,0),"A-1",L530=2,"A+1"),0)</f>
        <v>0</v>
      </c>
      <c r="P530" cm="1">
        <f t="array" ref="P530">_xlfn.IFNA(_xlfn.IFS(AND(_xlfn.XLOOKUP(A530,'LPG Fup'!D:D,'LPG Fup'!M:M,"",0)&lt;&gt;"",_xlfn.XLOOKUP(A530,'LPG Fup'!D:D,'LPG Fup'!M:M,"",0)&gt;0),"Z-1", AND(_xlfn.XLOOKUP(A530+1,'LPG Fup'!D:D,'LPG Fup'!M:M,"",0)&lt;&gt;"",_xlfn.XLOOKUP(A530+1,'LPG Fup'!D:D,'LPG Fup'!M:M,"",0)&gt;0),"Z-2", AND(_xlfn.XLOOKUP(A530-1,'LPG Fup'!D:D,'LPG Fup'!M:M,"",0)&lt;&gt;"",_xlfn.XLOOKUP(A530-1,'LPG Fup'!D:D,'LPG Fup'!M:M,"",0)&gt;0),"Z", AND(_xlfn.XLOOKUP(A530-2,'LPG Fup'!D:D,'LPG Fup'!M:M,"",0)&lt;&gt;"",_xlfn.XLOOKUP(A530-2,'LPG Fup'!D:D,'LPG Fup'!M:M,"",0)&gt;0),"Z+1"),0)</f>
        <v>0</v>
      </c>
      <c r="Q530" cm="1">
        <f t="array" ref="Q530">_xlfn.IFNA(_xlfn.IFS(AND(_xlfn.XLOOKUP(A530,'LPG Fup'!D:D,'LPG Fup'!M:M,"",0)&lt;&gt;"",_xlfn.XLOOKUP(A530,'LPG Fup'!D:D,'LPG Fup'!M:M,"",0)&lt;0),"I-1", AND(_xlfn.XLOOKUP(A530+1,'LPG Fup'!D:D,'LPG Fup'!M:M,"",0)&lt;&gt;"",_xlfn.XLOOKUP(A530+1,'LPG Fup'!D:D,'LPG Fup'!M:M,"",0)&lt;0),"I-2", AND(_xlfn.XLOOKUP(A530-1,'LPG Fup'!D:D,'LPG Fup'!M:M,"",0)&lt;&gt;"",_xlfn.XLOOKUP(A530-1,'LPG Fup'!D:D,'LPG Fup'!M:M,"",0)&lt;0),"I", AND(_xlfn.XLOOKUP(A530-2,'LPG Fup'!D:D,'LPG Fup'!M:M,"",0)&lt;&gt;"",_xlfn.XLOOKUP(A530-2,'LPG Fup'!D:D,'LPG Fup'!M:M,"",0)&lt;0),"I+1"),0)</f>
        <v>0</v>
      </c>
      <c r="R530">
        <f>_xlfn.XLOOKUP(A530,Covid!A:A,Covid!I:I,0,0)</f>
        <v>0</v>
      </c>
      <c r="S530">
        <f>_xlfn.XLOOKUP(A530,Covid!A:A,Covid!K:K,0,0)</f>
        <v>197</v>
      </c>
      <c r="T530" s="145">
        <f>_xlfn.XLOOKUP(A530,Covid!A:A,Covid!K:K,0,0)/_xlfn.XLOOKUP(A530,Covid!A:A,Covid!L:L,0,0)</f>
        <v>8.0870279146141207E-3</v>
      </c>
    </row>
    <row r="531" spans="1:20" x14ac:dyDescent="0.55000000000000004">
      <c r="A531" s="157">
        <v>44512</v>
      </c>
      <c r="B531" s="13">
        <v>1329960</v>
      </c>
      <c r="C531" s="13">
        <v>395555</v>
      </c>
      <c r="D531" s="13">
        <v>20755</v>
      </c>
      <c r="E531" s="13">
        <v>386220</v>
      </c>
      <c r="F531" s="13">
        <v>3852487</v>
      </c>
      <c r="G531">
        <f>IF(OR(_xlfn.XLOOKUP(A531,'LPG Fup'!D:D,'LPG Fup'!L:L,"",0)&gt;0.03,_xlfn.XLOOKUP(A531,'LPG Fup'!D:D,'LPG Fup'!L:L,"",0)&lt;-0.03),_xlfn.XLOOKUP(A531,'LPG Fup'!D:D,'LPG Fup'!L:L,0,0),0)</f>
        <v>0</v>
      </c>
      <c r="H531">
        <f>IF(_xlfn.XLOOKUP(A531,'LPG Fup'!D:D,'LPG Fup'!M:M,0,0)="",0,_xlfn.XLOOKUP(A531,'LPG Fup'!D:D,'LPG Fup'!M:M,0,0))</f>
        <v>0</v>
      </c>
      <c r="I531" s="109">
        <f>_xlfn.XLOOKUP(A531,'Rafineri Fiyatları'!A:A,'Rafineri Fiyatları'!B:B,"",0)</f>
        <v>8213.67</v>
      </c>
      <c r="J531">
        <f t="shared" si="32"/>
        <v>2021</v>
      </c>
      <c r="K531">
        <f t="shared" si="33"/>
        <v>11</v>
      </c>
      <c r="L531">
        <f t="shared" si="34"/>
        <v>12</v>
      </c>
      <c r="M531">
        <f t="shared" si="35"/>
        <v>6</v>
      </c>
      <c r="N531">
        <f>_xlfn.XLOOKUP(A531,tatiller!H:H,tatiller!I:I,0,0)</f>
        <v>0</v>
      </c>
      <c r="O531" cm="1">
        <f t="array" ref="O531">_xlfn.IFNA(_xlfn.IFS(L531=1,"A0",A531=EOMONTH(A531,0),"A-1",L531=2,"A+1"),0)</f>
        <v>0</v>
      </c>
      <c r="P531" cm="1">
        <f t="array" ref="P531">_xlfn.IFNA(_xlfn.IFS(AND(_xlfn.XLOOKUP(A531,'LPG Fup'!D:D,'LPG Fup'!M:M,"",0)&lt;&gt;"",_xlfn.XLOOKUP(A531,'LPG Fup'!D:D,'LPG Fup'!M:M,"",0)&gt;0),"Z-1", AND(_xlfn.XLOOKUP(A531+1,'LPG Fup'!D:D,'LPG Fup'!M:M,"",0)&lt;&gt;"",_xlfn.XLOOKUP(A531+1,'LPG Fup'!D:D,'LPG Fup'!M:M,"",0)&gt;0),"Z-2", AND(_xlfn.XLOOKUP(A531-1,'LPG Fup'!D:D,'LPG Fup'!M:M,"",0)&lt;&gt;"",_xlfn.XLOOKUP(A531-1,'LPG Fup'!D:D,'LPG Fup'!M:M,"",0)&gt;0),"Z", AND(_xlfn.XLOOKUP(A531-2,'LPG Fup'!D:D,'LPG Fup'!M:M,"",0)&lt;&gt;"",_xlfn.XLOOKUP(A531-2,'LPG Fup'!D:D,'LPG Fup'!M:M,"",0)&gt;0),"Z+1"),0)</f>
        <v>0</v>
      </c>
      <c r="Q531" cm="1">
        <f t="array" ref="Q531">_xlfn.IFNA(_xlfn.IFS(AND(_xlfn.XLOOKUP(A531,'LPG Fup'!D:D,'LPG Fup'!M:M,"",0)&lt;&gt;"",_xlfn.XLOOKUP(A531,'LPG Fup'!D:D,'LPG Fup'!M:M,"",0)&lt;0),"I-1", AND(_xlfn.XLOOKUP(A531+1,'LPG Fup'!D:D,'LPG Fup'!M:M,"",0)&lt;&gt;"",_xlfn.XLOOKUP(A531+1,'LPG Fup'!D:D,'LPG Fup'!M:M,"",0)&lt;0),"I-2", AND(_xlfn.XLOOKUP(A531-1,'LPG Fup'!D:D,'LPG Fup'!M:M,"",0)&lt;&gt;"",_xlfn.XLOOKUP(A531-1,'LPG Fup'!D:D,'LPG Fup'!M:M,"",0)&lt;0),"I", AND(_xlfn.XLOOKUP(A531-2,'LPG Fup'!D:D,'LPG Fup'!M:M,"",0)&lt;&gt;"",_xlfn.XLOOKUP(A531-2,'LPG Fup'!D:D,'LPG Fup'!M:M,"",0)&lt;0),"I+1"),0)</f>
        <v>0</v>
      </c>
      <c r="R531">
        <f>_xlfn.XLOOKUP(A531,Covid!A:A,Covid!I:I,0,0)</f>
        <v>0</v>
      </c>
      <c r="S531">
        <f>_xlfn.XLOOKUP(A531,Covid!A:A,Covid!K:K,0,0)</f>
        <v>217</v>
      </c>
      <c r="T531" s="145">
        <f>_xlfn.XLOOKUP(A531,Covid!A:A,Covid!K:K,0,0)/_xlfn.XLOOKUP(A531,Covid!A:A,Covid!L:L,0,0)</f>
        <v>8.6234302972500402E-3</v>
      </c>
    </row>
    <row r="532" spans="1:20" x14ac:dyDescent="0.55000000000000004">
      <c r="A532" s="157">
        <v>44513</v>
      </c>
      <c r="B532" s="13">
        <v>1202500</v>
      </c>
      <c r="C532" s="13">
        <v>179407</v>
      </c>
      <c r="D532" s="13">
        <v>13233</v>
      </c>
      <c r="E532" s="13">
        <v>560511</v>
      </c>
      <c r="F532" s="13">
        <v>1955651</v>
      </c>
      <c r="G532">
        <f>IF(OR(_xlfn.XLOOKUP(A532,'LPG Fup'!D:D,'LPG Fup'!L:L,"",0)&gt;0.03,_xlfn.XLOOKUP(A532,'LPG Fup'!D:D,'LPG Fup'!L:L,"",0)&lt;-0.03),_xlfn.XLOOKUP(A532,'LPG Fup'!D:D,'LPG Fup'!L:L,0,0),0)</f>
        <v>0</v>
      </c>
      <c r="H532">
        <f>IF(_xlfn.XLOOKUP(A532,'LPG Fup'!D:D,'LPG Fup'!M:M,0,0)="",0,_xlfn.XLOOKUP(A532,'LPG Fup'!D:D,'LPG Fup'!M:M,0,0))</f>
        <v>0</v>
      </c>
      <c r="I532" s="109">
        <f>_xlfn.XLOOKUP(A532,'Rafineri Fiyatları'!A:A,'Rafineri Fiyatları'!B:B,"",0)</f>
        <v>8213.67</v>
      </c>
      <c r="J532">
        <f t="shared" si="32"/>
        <v>2021</v>
      </c>
      <c r="K532">
        <f t="shared" si="33"/>
        <v>11</v>
      </c>
      <c r="L532">
        <f t="shared" si="34"/>
        <v>13</v>
      </c>
      <c r="M532">
        <f t="shared" si="35"/>
        <v>7</v>
      </c>
      <c r="N532">
        <f>_xlfn.XLOOKUP(A532,tatiller!H:H,tatiller!I:I,0,0)</f>
        <v>0</v>
      </c>
      <c r="O532" cm="1">
        <f t="array" ref="O532">_xlfn.IFNA(_xlfn.IFS(L532=1,"A0",A532=EOMONTH(A532,0),"A-1",L532=2,"A+1"),0)</f>
        <v>0</v>
      </c>
      <c r="P532" cm="1">
        <f t="array" ref="P532">_xlfn.IFNA(_xlfn.IFS(AND(_xlfn.XLOOKUP(A532,'LPG Fup'!D:D,'LPG Fup'!M:M,"",0)&lt;&gt;"",_xlfn.XLOOKUP(A532,'LPG Fup'!D:D,'LPG Fup'!M:M,"",0)&gt;0),"Z-1", AND(_xlfn.XLOOKUP(A532+1,'LPG Fup'!D:D,'LPG Fup'!M:M,"",0)&lt;&gt;"",_xlfn.XLOOKUP(A532+1,'LPG Fup'!D:D,'LPG Fup'!M:M,"",0)&gt;0),"Z-2", AND(_xlfn.XLOOKUP(A532-1,'LPG Fup'!D:D,'LPG Fup'!M:M,"",0)&lt;&gt;"",_xlfn.XLOOKUP(A532-1,'LPG Fup'!D:D,'LPG Fup'!M:M,"",0)&gt;0),"Z", AND(_xlfn.XLOOKUP(A532-2,'LPG Fup'!D:D,'LPG Fup'!M:M,"",0)&lt;&gt;"",_xlfn.XLOOKUP(A532-2,'LPG Fup'!D:D,'LPG Fup'!M:M,"",0)&gt;0),"Z+1"),0)</f>
        <v>0</v>
      </c>
      <c r="Q532" cm="1">
        <f t="array" ref="Q532">_xlfn.IFNA(_xlfn.IFS(AND(_xlfn.XLOOKUP(A532,'LPG Fup'!D:D,'LPG Fup'!M:M,"",0)&lt;&gt;"",_xlfn.XLOOKUP(A532,'LPG Fup'!D:D,'LPG Fup'!M:M,"",0)&lt;0),"I-1", AND(_xlfn.XLOOKUP(A532+1,'LPG Fup'!D:D,'LPG Fup'!M:M,"",0)&lt;&gt;"",_xlfn.XLOOKUP(A532+1,'LPG Fup'!D:D,'LPG Fup'!M:M,"",0)&lt;0),"I-2", AND(_xlfn.XLOOKUP(A532-1,'LPG Fup'!D:D,'LPG Fup'!M:M,"",0)&lt;&gt;"",_xlfn.XLOOKUP(A532-1,'LPG Fup'!D:D,'LPG Fup'!M:M,"",0)&lt;0),"I", AND(_xlfn.XLOOKUP(A532-2,'LPG Fup'!D:D,'LPG Fup'!M:M,"",0)&lt;&gt;"",_xlfn.XLOOKUP(A532-2,'LPG Fup'!D:D,'LPG Fup'!M:M,"",0)&lt;0),"I+1"),0)</f>
        <v>0</v>
      </c>
      <c r="R532">
        <f>_xlfn.XLOOKUP(A532,Covid!A:A,Covid!I:I,0,0)</f>
        <v>0</v>
      </c>
      <c r="S532">
        <f>_xlfn.XLOOKUP(A532,Covid!A:A,Covid!K:K,0,0)</f>
        <v>215</v>
      </c>
      <c r="T532" s="145">
        <f>_xlfn.XLOOKUP(A532,Covid!A:A,Covid!K:K,0,0)/_xlfn.XLOOKUP(A532,Covid!A:A,Covid!L:L,0,0)</f>
        <v>8.5135028114358118E-3</v>
      </c>
    </row>
    <row r="533" spans="1:20" x14ac:dyDescent="0.55000000000000004">
      <c r="A533" s="157">
        <v>44514</v>
      </c>
      <c r="B533" s="13">
        <v>1554740</v>
      </c>
      <c r="C533" s="13">
        <v>0</v>
      </c>
      <c r="D533" s="13">
        <v>8643</v>
      </c>
      <c r="E533" s="13">
        <v>522167</v>
      </c>
      <c r="F533" s="13">
        <v>2085550</v>
      </c>
      <c r="G533">
        <f>IF(OR(_xlfn.XLOOKUP(A533,'LPG Fup'!D:D,'LPG Fup'!L:L,"",0)&gt;0.03,_xlfn.XLOOKUP(A533,'LPG Fup'!D:D,'LPG Fup'!L:L,"",0)&lt;-0.03),_xlfn.XLOOKUP(A533,'LPG Fup'!D:D,'LPG Fup'!L:L,0,0),0)</f>
        <v>0</v>
      </c>
      <c r="H533">
        <f>IF(_xlfn.XLOOKUP(A533,'LPG Fup'!D:D,'LPG Fup'!M:M,0,0)="",0,_xlfn.XLOOKUP(A533,'LPG Fup'!D:D,'LPG Fup'!M:M,0,0))</f>
        <v>0</v>
      </c>
      <c r="I533" s="109">
        <f>_xlfn.XLOOKUP(A533,'Rafineri Fiyatları'!A:A,'Rafineri Fiyatları'!B:B,"",0)</f>
        <v>8213.67</v>
      </c>
      <c r="J533">
        <f t="shared" si="32"/>
        <v>2021</v>
      </c>
      <c r="K533">
        <f t="shared" si="33"/>
        <v>11</v>
      </c>
      <c r="L533">
        <f t="shared" si="34"/>
        <v>14</v>
      </c>
      <c r="M533">
        <f t="shared" si="35"/>
        <v>1</v>
      </c>
      <c r="N533">
        <f>_xlfn.XLOOKUP(A533,tatiller!H:H,tatiller!I:I,0,0)</f>
        <v>0</v>
      </c>
      <c r="O533" cm="1">
        <f t="array" ref="O533">_xlfn.IFNA(_xlfn.IFS(L533=1,"A0",A533=EOMONTH(A533,0),"A-1",L533=2,"A+1"),0)</f>
        <v>0</v>
      </c>
      <c r="P533" t="str" cm="1">
        <f t="array" ref="P533">_xlfn.IFNA(_xlfn.IFS(AND(_xlfn.XLOOKUP(A533,'LPG Fup'!D:D,'LPG Fup'!M:M,"",0)&lt;&gt;"",_xlfn.XLOOKUP(A533,'LPG Fup'!D:D,'LPG Fup'!M:M,"",0)&gt;0),"Z-1", AND(_xlfn.XLOOKUP(A533+1,'LPG Fup'!D:D,'LPG Fup'!M:M,"",0)&lt;&gt;"",_xlfn.XLOOKUP(A533+1,'LPG Fup'!D:D,'LPG Fup'!M:M,"",0)&gt;0),"Z-2", AND(_xlfn.XLOOKUP(A533-1,'LPG Fup'!D:D,'LPG Fup'!M:M,"",0)&lt;&gt;"",_xlfn.XLOOKUP(A533-1,'LPG Fup'!D:D,'LPG Fup'!M:M,"",0)&gt;0),"Z", AND(_xlfn.XLOOKUP(A533-2,'LPG Fup'!D:D,'LPG Fup'!M:M,"",0)&lt;&gt;"",_xlfn.XLOOKUP(A533-2,'LPG Fup'!D:D,'LPG Fup'!M:M,"",0)&gt;0),"Z+1"),0)</f>
        <v>Z-2</v>
      </c>
      <c r="Q533" cm="1">
        <f t="array" ref="Q533">_xlfn.IFNA(_xlfn.IFS(AND(_xlfn.XLOOKUP(A533,'LPG Fup'!D:D,'LPG Fup'!M:M,"",0)&lt;&gt;"",_xlfn.XLOOKUP(A533,'LPG Fup'!D:D,'LPG Fup'!M:M,"",0)&lt;0),"I-1", AND(_xlfn.XLOOKUP(A533+1,'LPG Fup'!D:D,'LPG Fup'!M:M,"",0)&lt;&gt;"",_xlfn.XLOOKUP(A533+1,'LPG Fup'!D:D,'LPG Fup'!M:M,"",0)&lt;0),"I-2", AND(_xlfn.XLOOKUP(A533-1,'LPG Fup'!D:D,'LPG Fup'!M:M,"",0)&lt;&gt;"",_xlfn.XLOOKUP(A533-1,'LPG Fup'!D:D,'LPG Fup'!M:M,"",0)&lt;0),"I", AND(_xlfn.XLOOKUP(A533-2,'LPG Fup'!D:D,'LPG Fup'!M:M,"",0)&lt;&gt;"",_xlfn.XLOOKUP(A533-2,'LPG Fup'!D:D,'LPG Fup'!M:M,"",0)&lt;0),"I+1"),0)</f>
        <v>0</v>
      </c>
      <c r="R533">
        <f>_xlfn.XLOOKUP(A533,Covid!A:A,Covid!I:I,0,0)</f>
        <v>0</v>
      </c>
      <c r="S533">
        <f>_xlfn.XLOOKUP(A533,Covid!A:A,Covid!K:K,0,0)</f>
        <v>189</v>
      </c>
      <c r="T533" s="145">
        <f>_xlfn.XLOOKUP(A533,Covid!A:A,Covid!K:K,0,0)/_xlfn.XLOOKUP(A533,Covid!A:A,Covid!L:L,0,0)</f>
        <v>9.1970802919708033E-3</v>
      </c>
    </row>
    <row r="534" spans="1:20" x14ac:dyDescent="0.55000000000000004">
      <c r="A534" s="157">
        <v>44515</v>
      </c>
      <c r="B534" s="13">
        <v>1379340</v>
      </c>
      <c r="C534" s="13">
        <v>825071</v>
      </c>
      <c r="D534" s="13">
        <v>8697</v>
      </c>
      <c r="E534" s="13">
        <v>845767</v>
      </c>
      <c r="F534" s="13">
        <v>3058875</v>
      </c>
      <c r="G534">
        <f>IF(OR(_xlfn.XLOOKUP(A534,'LPG Fup'!D:D,'LPG Fup'!L:L,"",0)&gt;0.03,_xlfn.XLOOKUP(A534,'LPG Fup'!D:D,'LPG Fup'!L:L,"",0)&lt;-0.03),_xlfn.XLOOKUP(A534,'LPG Fup'!D:D,'LPG Fup'!L:L,0,0),0)</f>
        <v>3.3580392487155913E-2</v>
      </c>
      <c r="H534">
        <f>IF(_xlfn.XLOOKUP(A534,'LPG Fup'!D:D,'LPG Fup'!M:M,0,0)="",0,_xlfn.XLOOKUP(A534,'LPG Fup'!D:D,'LPG Fup'!M:M,0,0))</f>
        <v>371.21865000000071</v>
      </c>
      <c r="I534" s="109">
        <f>_xlfn.XLOOKUP(A534,'Rafineri Fiyatları'!A:A,'Rafineri Fiyatları'!B:B,"",0)</f>
        <v>8213.67</v>
      </c>
      <c r="J534">
        <f t="shared" si="32"/>
        <v>2021</v>
      </c>
      <c r="K534">
        <f t="shared" si="33"/>
        <v>11</v>
      </c>
      <c r="L534">
        <f t="shared" si="34"/>
        <v>15</v>
      </c>
      <c r="M534">
        <f t="shared" si="35"/>
        <v>2</v>
      </c>
      <c r="N534">
        <f>_xlfn.XLOOKUP(A534,tatiller!H:H,tatiller!I:I,0,0)</f>
        <v>0</v>
      </c>
      <c r="O534" cm="1">
        <f t="array" ref="O534">_xlfn.IFNA(_xlfn.IFS(L534=1,"A0",A534=EOMONTH(A534,0),"A-1",L534=2,"A+1"),0)</f>
        <v>0</v>
      </c>
      <c r="P534" t="str" cm="1">
        <f t="array" ref="P534">_xlfn.IFNA(_xlfn.IFS(AND(_xlfn.XLOOKUP(A534,'LPG Fup'!D:D,'LPG Fup'!M:M,"",0)&lt;&gt;"",_xlfn.XLOOKUP(A534,'LPG Fup'!D:D,'LPG Fup'!M:M,"",0)&gt;0),"Z-1", AND(_xlfn.XLOOKUP(A534+1,'LPG Fup'!D:D,'LPG Fup'!M:M,"",0)&lt;&gt;"",_xlfn.XLOOKUP(A534+1,'LPG Fup'!D:D,'LPG Fup'!M:M,"",0)&gt;0),"Z-2", AND(_xlfn.XLOOKUP(A534-1,'LPG Fup'!D:D,'LPG Fup'!M:M,"",0)&lt;&gt;"",_xlfn.XLOOKUP(A534-1,'LPG Fup'!D:D,'LPG Fup'!M:M,"",0)&gt;0),"Z", AND(_xlfn.XLOOKUP(A534-2,'LPG Fup'!D:D,'LPG Fup'!M:M,"",0)&lt;&gt;"",_xlfn.XLOOKUP(A534-2,'LPG Fup'!D:D,'LPG Fup'!M:M,"",0)&gt;0),"Z+1"),0)</f>
        <v>Z-1</v>
      </c>
      <c r="Q534" cm="1">
        <f t="array" ref="Q534">_xlfn.IFNA(_xlfn.IFS(AND(_xlfn.XLOOKUP(A534,'LPG Fup'!D:D,'LPG Fup'!M:M,"",0)&lt;&gt;"",_xlfn.XLOOKUP(A534,'LPG Fup'!D:D,'LPG Fup'!M:M,"",0)&lt;0),"I-1", AND(_xlfn.XLOOKUP(A534+1,'LPG Fup'!D:D,'LPG Fup'!M:M,"",0)&lt;&gt;"",_xlfn.XLOOKUP(A534+1,'LPG Fup'!D:D,'LPG Fup'!M:M,"",0)&lt;0),"I-2", AND(_xlfn.XLOOKUP(A534-1,'LPG Fup'!D:D,'LPG Fup'!M:M,"",0)&lt;&gt;"",_xlfn.XLOOKUP(A534-1,'LPG Fup'!D:D,'LPG Fup'!M:M,"",0)&lt;0),"I", AND(_xlfn.XLOOKUP(A534-2,'LPG Fup'!D:D,'LPG Fup'!M:M,"",0)&lt;&gt;"",_xlfn.XLOOKUP(A534-2,'LPG Fup'!D:D,'LPG Fup'!M:M,"",0)&lt;0),"I+1"),0)</f>
        <v>0</v>
      </c>
      <c r="R534">
        <f>_xlfn.XLOOKUP(A534,Covid!A:A,Covid!I:I,0,0)</f>
        <v>0</v>
      </c>
      <c r="S534">
        <f>_xlfn.XLOOKUP(A534,Covid!A:A,Covid!K:K,0,0)</f>
        <v>215</v>
      </c>
      <c r="T534" s="145">
        <f>_xlfn.XLOOKUP(A534,Covid!A:A,Covid!K:K,0,0)/_xlfn.XLOOKUP(A534,Covid!A:A,Covid!L:L,0,0)</f>
        <v>8.5121545648903316E-3</v>
      </c>
    </row>
    <row r="535" spans="1:20" x14ac:dyDescent="0.55000000000000004">
      <c r="A535" s="157">
        <v>44516</v>
      </c>
      <c r="B535" s="13">
        <v>1337880</v>
      </c>
      <c r="C535" s="13">
        <v>903296</v>
      </c>
      <c r="D535" s="13">
        <v>13803</v>
      </c>
      <c r="E535" s="13">
        <v>182904</v>
      </c>
      <c r="F535" s="13">
        <v>2437883</v>
      </c>
      <c r="G535">
        <f>IF(OR(_xlfn.XLOOKUP(A535,'LPG Fup'!D:D,'LPG Fup'!L:L,"",0)&gt;0.03,_xlfn.XLOOKUP(A535,'LPG Fup'!D:D,'LPG Fup'!L:L,"",0)&lt;-0.03),_xlfn.XLOOKUP(A535,'LPG Fup'!D:D,'LPG Fup'!L:L,0,0),0)</f>
        <v>0</v>
      </c>
      <c r="H535">
        <f>IF(_xlfn.XLOOKUP(A535,'LPG Fup'!D:D,'LPG Fup'!M:M,0,0)="",0,_xlfn.XLOOKUP(A535,'LPG Fup'!D:D,'LPG Fup'!M:M,0,0))</f>
        <v>0</v>
      </c>
      <c r="I535" s="109">
        <f>_xlfn.XLOOKUP(A535,'Rafineri Fiyatları'!A:A,'Rafineri Fiyatları'!B:B,"",0)</f>
        <v>8584.89</v>
      </c>
      <c r="J535">
        <f t="shared" si="32"/>
        <v>2021</v>
      </c>
      <c r="K535">
        <f t="shared" si="33"/>
        <v>11</v>
      </c>
      <c r="L535">
        <f t="shared" si="34"/>
        <v>16</v>
      </c>
      <c r="M535">
        <f t="shared" si="35"/>
        <v>3</v>
      </c>
      <c r="N535">
        <f>_xlfn.XLOOKUP(A535,tatiller!H:H,tatiller!I:I,0,0)</f>
        <v>0</v>
      </c>
      <c r="O535" cm="1">
        <f t="array" ref="O535">_xlfn.IFNA(_xlfn.IFS(L535=1,"A0",A535=EOMONTH(A535,0),"A-1",L535=2,"A+1"),0)</f>
        <v>0</v>
      </c>
      <c r="P535" t="str" cm="1">
        <f t="array" ref="P535">_xlfn.IFNA(_xlfn.IFS(AND(_xlfn.XLOOKUP(A535,'LPG Fup'!D:D,'LPG Fup'!M:M,"",0)&lt;&gt;"",_xlfn.XLOOKUP(A535,'LPG Fup'!D:D,'LPG Fup'!M:M,"",0)&gt;0),"Z-1", AND(_xlfn.XLOOKUP(A535+1,'LPG Fup'!D:D,'LPG Fup'!M:M,"",0)&lt;&gt;"",_xlfn.XLOOKUP(A535+1,'LPG Fup'!D:D,'LPG Fup'!M:M,"",0)&gt;0),"Z-2", AND(_xlfn.XLOOKUP(A535-1,'LPG Fup'!D:D,'LPG Fup'!M:M,"",0)&lt;&gt;"",_xlfn.XLOOKUP(A535-1,'LPG Fup'!D:D,'LPG Fup'!M:M,"",0)&gt;0),"Z", AND(_xlfn.XLOOKUP(A535-2,'LPG Fup'!D:D,'LPG Fup'!M:M,"",0)&lt;&gt;"",_xlfn.XLOOKUP(A535-2,'LPG Fup'!D:D,'LPG Fup'!M:M,"",0)&gt;0),"Z+1"),0)</f>
        <v>Z</v>
      </c>
      <c r="Q535" cm="1">
        <f t="array" ref="Q535">_xlfn.IFNA(_xlfn.IFS(AND(_xlfn.XLOOKUP(A535,'LPG Fup'!D:D,'LPG Fup'!M:M,"",0)&lt;&gt;"",_xlfn.XLOOKUP(A535,'LPG Fup'!D:D,'LPG Fup'!M:M,"",0)&lt;0),"I-1", AND(_xlfn.XLOOKUP(A535+1,'LPG Fup'!D:D,'LPG Fup'!M:M,"",0)&lt;&gt;"",_xlfn.XLOOKUP(A535+1,'LPG Fup'!D:D,'LPG Fup'!M:M,"",0)&lt;0),"I-2", AND(_xlfn.XLOOKUP(A535-1,'LPG Fup'!D:D,'LPG Fup'!M:M,"",0)&lt;&gt;"",_xlfn.XLOOKUP(A535-1,'LPG Fup'!D:D,'LPG Fup'!M:M,"",0)&lt;0),"I", AND(_xlfn.XLOOKUP(A535-2,'LPG Fup'!D:D,'LPG Fup'!M:M,"",0)&lt;&gt;"",_xlfn.XLOOKUP(A535-2,'LPG Fup'!D:D,'LPG Fup'!M:M,"",0)&lt;0),"I+1"),0)</f>
        <v>0</v>
      </c>
      <c r="R535">
        <f>_xlfn.XLOOKUP(A535,Covid!A:A,Covid!I:I,0,0)</f>
        <v>0</v>
      </c>
      <c r="S535">
        <f>_xlfn.XLOOKUP(A535,Covid!A:A,Covid!K:K,0,0)</f>
        <v>227</v>
      </c>
      <c r="T535" s="145">
        <f>_xlfn.XLOOKUP(A535,Covid!A:A,Covid!K:K,0,0)/_xlfn.XLOOKUP(A535,Covid!A:A,Covid!L:L,0,0)</f>
        <v>8.2704849346012313E-3</v>
      </c>
    </row>
    <row r="536" spans="1:20" x14ac:dyDescent="0.55000000000000004">
      <c r="A536" s="157">
        <v>44517</v>
      </c>
      <c r="B536" s="13">
        <v>918780</v>
      </c>
      <c r="C536" s="13">
        <v>144989</v>
      </c>
      <c r="D536" s="13">
        <v>19958</v>
      </c>
      <c r="E536" s="13">
        <v>315818</v>
      </c>
      <c r="F536" s="13">
        <v>1399545</v>
      </c>
      <c r="G536">
        <f>IF(OR(_xlfn.XLOOKUP(A536,'LPG Fup'!D:D,'LPG Fup'!L:L,"",0)&gt;0.03,_xlfn.XLOOKUP(A536,'LPG Fup'!D:D,'LPG Fup'!L:L,"",0)&lt;-0.03),_xlfn.XLOOKUP(A536,'LPG Fup'!D:D,'LPG Fup'!L:L,0,0),0)</f>
        <v>0</v>
      </c>
      <c r="H536">
        <f>IF(_xlfn.XLOOKUP(A536,'LPG Fup'!D:D,'LPG Fup'!M:M,0,0)="",0,_xlfn.XLOOKUP(A536,'LPG Fup'!D:D,'LPG Fup'!M:M,0,0))</f>
        <v>0</v>
      </c>
      <c r="I536" s="109">
        <f>_xlfn.XLOOKUP(A536,'Rafineri Fiyatları'!A:A,'Rafineri Fiyatları'!B:B,"",0)</f>
        <v>8584.89</v>
      </c>
      <c r="J536">
        <f t="shared" si="32"/>
        <v>2021</v>
      </c>
      <c r="K536">
        <f t="shared" si="33"/>
        <v>11</v>
      </c>
      <c r="L536">
        <f t="shared" si="34"/>
        <v>17</v>
      </c>
      <c r="M536">
        <f t="shared" si="35"/>
        <v>4</v>
      </c>
      <c r="N536">
        <f>_xlfn.XLOOKUP(A536,tatiller!H:H,tatiller!I:I,0,0)</f>
        <v>0</v>
      </c>
      <c r="O536" cm="1">
        <f t="array" ref="O536">_xlfn.IFNA(_xlfn.IFS(L536=1,"A0",A536=EOMONTH(A536,0),"A-1",L536=2,"A+1"),0)</f>
        <v>0</v>
      </c>
      <c r="P536" t="str" cm="1">
        <f t="array" ref="P536">_xlfn.IFNA(_xlfn.IFS(AND(_xlfn.XLOOKUP(A536,'LPG Fup'!D:D,'LPG Fup'!M:M,"",0)&lt;&gt;"",_xlfn.XLOOKUP(A536,'LPG Fup'!D:D,'LPG Fup'!M:M,"",0)&gt;0),"Z-1", AND(_xlfn.XLOOKUP(A536+1,'LPG Fup'!D:D,'LPG Fup'!M:M,"",0)&lt;&gt;"",_xlfn.XLOOKUP(A536+1,'LPG Fup'!D:D,'LPG Fup'!M:M,"",0)&gt;0),"Z-2", AND(_xlfn.XLOOKUP(A536-1,'LPG Fup'!D:D,'LPG Fup'!M:M,"",0)&lt;&gt;"",_xlfn.XLOOKUP(A536-1,'LPG Fup'!D:D,'LPG Fup'!M:M,"",0)&gt;0),"Z", AND(_xlfn.XLOOKUP(A536-2,'LPG Fup'!D:D,'LPG Fup'!M:M,"",0)&lt;&gt;"",_xlfn.XLOOKUP(A536-2,'LPG Fup'!D:D,'LPG Fup'!M:M,"",0)&gt;0),"Z+1"),0)</f>
        <v>Z+1</v>
      </c>
      <c r="Q536" cm="1">
        <f t="array" ref="Q536">_xlfn.IFNA(_xlfn.IFS(AND(_xlfn.XLOOKUP(A536,'LPG Fup'!D:D,'LPG Fup'!M:M,"",0)&lt;&gt;"",_xlfn.XLOOKUP(A536,'LPG Fup'!D:D,'LPG Fup'!M:M,"",0)&lt;0),"I-1", AND(_xlfn.XLOOKUP(A536+1,'LPG Fup'!D:D,'LPG Fup'!M:M,"",0)&lt;&gt;"",_xlfn.XLOOKUP(A536+1,'LPG Fup'!D:D,'LPG Fup'!M:M,"",0)&lt;0),"I-2", AND(_xlfn.XLOOKUP(A536-1,'LPG Fup'!D:D,'LPG Fup'!M:M,"",0)&lt;&gt;"",_xlfn.XLOOKUP(A536-1,'LPG Fup'!D:D,'LPG Fup'!M:M,"",0)&lt;0),"I", AND(_xlfn.XLOOKUP(A536-2,'LPG Fup'!D:D,'LPG Fup'!M:M,"",0)&lt;&gt;"",_xlfn.XLOOKUP(A536-2,'LPG Fup'!D:D,'LPG Fup'!M:M,"",0)&lt;0),"I+1"),0)</f>
        <v>0</v>
      </c>
      <c r="R536">
        <f>_xlfn.XLOOKUP(A536,Covid!A:A,Covid!I:I,0,0)</f>
        <v>0</v>
      </c>
      <c r="S536">
        <f>_xlfn.XLOOKUP(A536,Covid!A:A,Covid!K:K,0,0)</f>
        <v>229</v>
      </c>
      <c r="T536" s="145">
        <f>_xlfn.XLOOKUP(A536,Covid!A:A,Covid!K:K,0,0)/_xlfn.XLOOKUP(A536,Covid!A:A,Covid!L:L,0,0)</f>
        <v>8.0229828679536132E-3</v>
      </c>
    </row>
    <row r="537" spans="1:20" x14ac:dyDescent="0.55000000000000004">
      <c r="A537" s="157">
        <v>44518</v>
      </c>
      <c r="B537" s="13">
        <v>711280</v>
      </c>
      <c r="C537" s="13">
        <v>296589</v>
      </c>
      <c r="D537" s="13">
        <v>12001</v>
      </c>
      <c r="E537" s="13">
        <v>398077</v>
      </c>
      <c r="F537" s="13">
        <v>1417947</v>
      </c>
      <c r="G537">
        <f>IF(OR(_xlfn.XLOOKUP(A537,'LPG Fup'!D:D,'LPG Fup'!L:L,"",0)&gt;0.03,_xlfn.XLOOKUP(A537,'LPG Fup'!D:D,'LPG Fup'!L:L,"",0)&lt;-0.03),_xlfn.XLOOKUP(A537,'LPG Fup'!D:D,'LPG Fup'!L:L,0,0),0)</f>
        <v>0</v>
      </c>
      <c r="H537">
        <f>IF(_xlfn.XLOOKUP(A537,'LPG Fup'!D:D,'LPG Fup'!M:M,0,0)="",0,_xlfn.XLOOKUP(A537,'LPG Fup'!D:D,'LPG Fup'!M:M,0,0))</f>
        <v>0</v>
      </c>
      <c r="I537" s="109">
        <f>_xlfn.XLOOKUP(A537,'Rafineri Fiyatları'!A:A,'Rafineri Fiyatları'!B:B,"",0)</f>
        <v>8584.89</v>
      </c>
      <c r="J537">
        <f t="shared" si="32"/>
        <v>2021</v>
      </c>
      <c r="K537">
        <f t="shared" si="33"/>
        <v>11</v>
      </c>
      <c r="L537">
        <f t="shared" si="34"/>
        <v>18</v>
      </c>
      <c r="M537">
        <f t="shared" si="35"/>
        <v>5</v>
      </c>
      <c r="N537">
        <f>_xlfn.XLOOKUP(A537,tatiller!H:H,tatiller!I:I,0,0)</f>
        <v>0</v>
      </c>
      <c r="O537" cm="1">
        <f t="array" ref="O537">_xlfn.IFNA(_xlfn.IFS(L537=1,"A0",A537=EOMONTH(A537,0),"A-1",L537=2,"A+1"),0)</f>
        <v>0</v>
      </c>
      <c r="P537" t="str" cm="1">
        <f t="array" ref="P537">_xlfn.IFNA(_xlfn.IFS(AND(_xlfn.XLOOKUP(A537,'LPG Fup'!D:D,'LPG Fup'!M:M,"",0)&lt;&gt;"",_xlfn.XLOOKUP(A537,'LPG Fup'!D:D,'LPG Fup'!M:M,"",0)&gt;0),"Z-1", AND(_xlfn.XLOOKUP(A537+1,'LPG Fup'!D:D,'LPG Fup'!M:M,"",0)&lt;&gt;"",_xlfn.XLOOKUP(A537+1,'LPG Fup'!D:D,'LPG Fup'!M:M,"",0)&gt;0),"Z-2", AND(_xlfn.XLOOKUP(A537-1,'LPG Fup'!D:D,'LPG Fup'!M:M,"",0)&lt;&gt;"",_xlfn.XLOOKUP(A537-1,'LPG Fup'!D:D,'LPG Fup'!M:M,"",0)&gt;0),"Z", AND(_xlfn.XLOOKUP(A537-2,'LPG Fup'!D:D,'LPG Fup'!M:M,"",0)&lt;&gt;"",_xlfn.XLOOKUP(A537-2,'LPG Fup'!D:D,'LPG Fup'!M:M,"",0)&gt;0),"Z+1"),0)</f>
        <v>Z-2</v>
      </c>
      <c r="Q537" cm="1">
        <f t="array" ref="Q537">_xlfn.IFNA(_xlfn.IFS(AND(_xlfn.XLOOKUP(A537,'LPG Fup'!D:D,'LPG Fup'!M:M,"",0)&lt;&gt;"",_xlfn.XLOOKUP(A537,'LPG Fup'!D:D,'LPG Fup'!M:M,"",0)&lt;0),"I-1", AND(_xlfn.XLOOKUP(A537+1,'LPG Fup'!D:D,'LPG Fup'!M:M,"",0)&lt;&gt;"",_xlfn.XLOOKUP(A537+1,'LPG Fup'!D:D,'LPG Fup'!M:M,"",0)&lt;0),"I-2", AND(_xlfn.XLOOKUP(A537-1,'LPG Fup'!D:D,'LPG Fup'!M:M,"",0)&lt;&gt;"",_xlfn.XLOOKUP(A537-1,'LPG Fup'!D:D,'LPG Fup'!M:M,"",0)&lt;0),"I", AND(_xlfn.XLOOKUP(A537-2,'LPG Fup'!D:D,'LPG Fup'!M:M,"",0)&lt;&gt;"",_xlfn.XLOOKUP(A537-2,'LPG Fup'!D:D,'LPG Fup'!M:M,"",0)&lt;0),"I+1"),0)</f>
        <v>0</v>
      </c>
      <c r="R537">
        <f>_xlfn.XLOOKUP(A537,Covid!A:A,Covid!I:I,0,0)</f>
        <v>0</v>
      </c>
      <c r="S537">
        <f>_xlfn.XLOOKUP(A537,Covid!A:A,Covid!K:K,0,0)</f>
        <v>226</v>
      </c>
      <c r="T537" s="145">
        <f>_xlfn.XLOOKUP(A537,Covid!A:A,Covid!K:K,0,0)/_xlfn.XLOOKUP(A537,Covid!A:A,Covid!L:L,0,0)</f>
        <v>7.6511612160606677E-3</v>
      </c>
    </row>
    <row r="538" spans="1:20" x14ac:dyDescent="0.55000000000000004">
      <c r="A538" s="157">
        <v>44519</v>
      </c>
      <c r="B538" s="13">
        <v>1097520</v>
      </c>
      <c r="C538" s="13">
        <v>612314</v>
      </c>
      <c r="D538" s="13">
        <v>6409</v>
      </c>
      <c r="E538" s="13">
        <v>767700</v>
      </c>
      <c r="F538" s="13">
        <v>2483943</v>
      </c>
      <c r="G538">
        <f>IF(OR(_xlfn.XLOOKUP(A538,'LPG Fup'!D:D,'LPG Fup'!L:L,"",0)&gt;0.03,_xlfn.XLOOKUP(A538,'LPG Fup'!D:D,'LPG Fup'!L:L,"",0)&lt;-0.03),_xlfn.XLOOKUP(A538,'LPG Fup'!D:D,'LPG Fup'!L:L,0,0),0)</f>
        <v>4.0392111439017588E-2</v>
      </c>
      <c r="H538">
        <f>IF(_xlfn.XLOOKUP(A538,'LPG Fup'!D:D,'LPG Fup'!M:M,0,0)="",0,_xlfn.XLOOKUP(A538,'LPG Fup'!D:D,'LPG Fup'!M:M,0,0))</f>
        <v>679.74719999999979</v>
      </c>
      <c r="I538" s="109">
        <f>_xlfn.XLOOKUP(A538,'Rafineri Fiyatları'!A:A,'Rafineri Fiyatları'!B:B,"",0)</f>
        <v>8584.89</v>
      </c>
      <c r="J538">
        <f t="shared" si="32"/>
        <v>2021</v>
      </c>
      <c r="K538">
        <f t="shared" si="33"/>
        <v>11</v>
      </c>
      <c r="L538">
        <f t="shared" si="34"/>
        <v>19</v>
      </c>
      <c r="M538">
        <f t="shared" si="35"/>
        <v>6</v>
      </c>
      <c r="N538">
        <f>_xlfn.XLOOKUP(A538,tatiller!H:H,tatiller!I:I,0,0)</f>
        <v>0</v>
      </c>
      <c r="O538" cm="1">
        <f t="array" ref="O538">_xlfn.IFNA(_xlfn.IFS(L538=1,"A0",A538=EOMONTH(A538,0),"A-1",L538=2,"A+1"),0)</f>
        <v>0</v>
      </c>
      <c r="P538" t="str" cm="1">
        <f t="array" ref="P538">_xlfn.IFNA(_xlfn.IFS(AND(_xlfn.XLOOKUP(A538,'LPG Fup'!D:D,'LPG Fup'!M:M,"",0)&lt;&gt;"",_xlfn.XLOOKUP(A538,'LPG Fup'!D:D,'LPG Fup'!M:M,"",0)&gt;0),"Z-1", AND(_xlfn.XLOOKUP(A538+1,'LPG Fup'!D:D,'LPG Fup'!M:M,"",0)&lt;&gt;"",_xlfn.XLOOKUP(A538+1,'LPG Fup'!D:D,'LPG Fup'!M:M,"",0)&gt;0),"Z-2", AND(_xlfn.XLOOKUP(A538-1,'LPG Fup'!D:D,'LPG Fup'!M:M,"",0)&lt;&gt;"",_xlfn.XLOOKUP(A538-1,'LPG Fup'!D:D,'LPG Fup'!M:M,"",0)&gt;0),"Z", AND(_xlfn.XLOOKUP(A538-2,'LPG Fup'!D:D,'LPG Fup'!M:M,"",0)&lt;&gt;"",_xlfn.XLOOKUP(A538-2,'LPG Fup'!D:D,'LPG Fup'!M:M,"",0)&gt;0),"Z+1"),0)</f>
        <v>Z-1</v>
      </c>
      <c r="Q538" cm="1">
        <f t="array" ref="Q538">_xlfn.IFNA(_xlfn.IFS(AND(_xlfn.XLOOKUP(A538,'LPG Fup'!D:D,'LPG Fup'!M:M,"",0)&lt;&gt;"",_xlfn.XLOOKUP(A538,'LPG Fup'!D:D,'LPG Fup'!M:M,"",0)&lt;0),"I-1", AND(_xlfn.XLOOKUP(A538+1,'LPG Fup'!D:D,'LPG Fup'!M:M,"",0)&lt;&gt;"",_xlfn.XLOOKUP(A538+1,'LPG Fup'!D:D,'LPG Fup'!M:M,"",0)&lt;0),"I-2", AND(_xlfn.XLOOKUP(A538-1,'LPG Fup'!D:D,'LPG Fup'!M:M,"",0)&lt;&gt;"",_xlfn.XLOOKUP(A538-1,'LPG Fup'!D:D,'LPG Fup'!M:M,"",0)&lt;0),"I", AND(_xlfn.XLOOKUP(A538-2,'LPG Fup'!D:D,'LPG Fup'!M:M,"",0)&lt;&gt;"",_xlfn.XLOOKUP(A538-2,'LPG Fup'!D:D,'LPG Fup'!M:M,"",0)&lt;0),"I+1"),0)</f>
        <v>0</v>
      </c>
      <c r="R538">
        <f>_xlfn.XLOOKUP(A538,Covid!A:A,Covid!I:I,0,0)</f>
        <v>0</v>
      </c>
      <c r="S538">
        <f>_xlfn.XLOOKUP(A538,Covid!A:A,Covid!K:K,0,0)</f>
        <v>218</v>
      </c>
      <c r="T538" s="145">
        <f>_xlfn.XLOOKUP(A538,Covid!A:A,Covid!K:K,0,0)/_xlfn.XLOOKUP(A538,Covid!A:A,Covid!L:L,0,0)</f>
        <v>7.5828724477373126E-3</v>
      </c>
    </row>
    <row r="539" spans="1:20" x14ac:dyDescent="0.55000000000000004">
      <c r="A539" s="157">
        <v>44520</v>
      </c>
      <c r="B539" s="13">
        <v>994820</v>
      </c>
      <c r="C539" s="13">
        <v>125987</v>
      </c>
      <c r="D539" s="13">
        <v>9573</v>
      </c>
      <c r="E539" s="13">
        <v>303231</v>
      </c>
      <c r="F539" s="13">
        <v>3632163</v>
      </c>
      <c r="G539">
        <f>IF(OR(_xlfn.XLOOKUP(A539,'LPG Fup'!D:D,'LPG Fup'!L:L,"",0)&gt;0.03,_xlfn.XLOOKUP(A539,'LPG Fup'!D:D,'LPG Fup'!L:L,"",0)&lt;-0.03),_xlfn.XLOOKUP(A539,'LPG Fup'!D:D,'LPG Fup'!L:L,0,0),0)</f>
        <v>0</v>
      </c>
      <c r="H539">
        <f>IF(_xlfn.XLOOKUP(A539,'LPG Fup'!D:D,'LPG Fup'!M:M,0,0)="",0,_xlfn.XLOOKUP(A539,'LPG Fup'!D:D,'LPG Fup'!M:M,0,0))</f>
        <v>0</v>
      </c>
      <c r="I539" s="109">
        <f>_xlfn.XLOOKUP(A539,'Rafineri Fiyatları'!A:A,'Rafineri Fiyatları'!B:B,"",0)</f>
        <v>9264.6299999999992</v>
      </c>
      <c r="J539">
        <f t="shared" si="32"/>
        <v>2021</v>
      </c>
      <c r="K539">
        <f t="shared" si="33"/>
        <v>11</v>
      </c>
      <c r="L539">
        <f t="shared" si="34"/>
        <v>20</v>
      </c>
      <c r="M539">
        <f t="shared" si="35"/>
        <v>7</v>
      </c>
      <c r="N539">
        <f>_xlfn.XLOOKUP(A539,tatiller!H:H,tatiller!I:I,0,0)</f>
        <v>0</v>
      </c>
      <c r="O539" cm="1">
        <f t="array" ref="O539">_xlfn.IFNA(_xlfn.IFS(L539=1,"A0",A539=EOMONTH(A539,0),"A-1",L539=2,"A+1"),0)</f>
        <v>0</v>
      </c>
      <c r="P539" t="str" cm="1">
        <f t="array" ref="P539">_xlfn.IFNA(_xlfn.IFS(AND(_xlfn.XLOOKUP(A539,'LPG Fup'!D:D,'LPG Fup'!M:M,"",0)&lt;&gt;"",_xlfn.XLOOKUP(A539,'LPG Fup'!D:D,'LPG Fup'!M:M,"",0)&gt;0),"Z-1", AND(_xlfn.XLOOKUP(A539+1,'LPG Fup'!D:D,'LPG Fup'!M:M,"",0)&lt;&gt;"",_xlfn.XLOOKUP(A539+1,'LPG Fup'!D:D,'LPG Fup'!M:M,"",0)&gt;0),"Z-2", AND(_xlfn.XLOOKUP(A539-1,'LPG Fup'!D:D,'LPG Fup'!M:M,"",0)&lt;&gt;"",_xlfn.XLOOKUP(A539-1,'LPG Fup'!D:D,'LPG Fup'!M:M,"",0)&gt;0),"Z", AND(_xlfn.XLOOKUP(A539-2,'LPG Fup'!D:D,'LPG Fup'!M:M,"",0)&lt;&gt;"",_xlfn.XLOOKUP(A539-2,'LPG Fup'!D:D,'LPG Fup'!M:M,"",0)&gt;0),"Z+1"),0)</f>
        <v>Z</v>
      </c>
      <c r="Q539" cm="1">
        <f t="array" ref="Q539">_xlfn.IFNA(_xlfn.IFS(AND(_xlfn.XLOOKUP(A539,'LPG Fup'!D:D,'LPG Fup'!M:M,"",0)&lt;&gt;"",_xlfn.XLOOKUP(A539,'LPG Fup'!D:D,'LPG Fup'!M:M,"",0)&lt;0),"I-1", AND(_xlfn.XLOOKUP(A539+1,'LPG Fup'!D:D,'LPG Fup'!M:M,"",0)&lt;&gt;"",_xlfn.XLOOKUP(A539+1,'LPG Fup'!D:D,'LPG Fup'!M:M,"",0)&lt;0),"I-2", AND(_xlfn.XLOOKUP(A539-1,'LPG Fup'!D:D,'LPG Fup'!M:M,"",0)&lt;&gt;"",_xlfn.XLOOKUP(A539-1,'LPG Fup'!D:D,'LPG Fup'!M:M,"",0)&lt;0),"I", AND(_xlfn.XLOOKUP(A539-2,'LPG Fup'!D:D,'LPG Fup'!M:M,"",0)&lt;&gt;"",_xlfn.XLOOKUP(A539-2,'LPG Fup'!D:D,'LPG Fup'!M:M,"",0)&lt;0),"I+1"),0)</f>
        <v>0</v>
      </c>
      <c r="R539">
        <f>_xlfn.XLOOKUP(A539,Covid!A:A,Covid!I:I,0,0)</f>
        <v>0</v>
      </c>
      <c r="S539">
        <f>_xlfn.XLOOKUP(A539,Covid!A:A,Covid!K:K,0,0)</f>
        <v>201</v>
      </c>
      <c r="T539" s="145">
        <f>_xlfn.XLOOKUP(A539,Covid!A:A,Covid!K:K,0,0)/_xlfn.XLOOKUP(A539,Covid!A:A,Covid!L:L,0,0)</f>
        <v>6.8922950313753733E-3</v>
      </c>
    </row>
    <row r="540" spans="1:20" x14ac:dyDescent="0.55000000000000004">
      <c r="A540" s="157">
        <v>44521</v>
      </c>
      <c r="B540" s="13">
        <v>583080</v>
      </c>
      <c r="C540" s="13">
        <v>0</v>
      </c>
      <c r="D540" s="13">
        <v>0</v>
      </c>
      <c r="E540" s="13">
        <v>341540</v>
      </c>
      <c r="F540" s="13">
        <v>924620</v>
      </c>
      <c r="G540">
        <f>IF(OR(_xlfn.XLOOKUP(A540,'LPG Fup'!D:D,'LPG Fup'!L:L,"",0)&gt;0.03,_xlfn.XLOOKUP(A540,'LPG Fup'!D:D,'LPG Fup'!L:L,"",0)&lt;-0.03),_xlfn.XLOOKUP(A540,'LPG Fup'!D:D,'LPG Fup'!L:L,0,0),0)</f>
        <v>0</v>
      </c>
      <c r="H540">
        <f>IF(_xlfn.XLOOKUP(A540,'LPG Fup'!D:D,'LPG Fup'!M:M,0,0)="",0,_xlfn.XLOOKUP(A540,'LPG Fup'!D:D,'LPG Fup'!M:M,0,0))</f>
        <v>0</v>
      </c>
      <c r="I540" s="109">
        <f>_xlfn.XLOOKUP(A540,'Rafineri Fiyatları'!A:A,'Rafineri Fiyatları'!B:B,"",0)</f>
        <v>9264.6299999999992</v>
      </c>
      <c r="J540">
        <f t="shared" si="32"/>
        <v>2021</v>
      </c>
      <c r="K540">
        <f t="shared" si="33"/>
        <v>11</v>
      </c>
      <c r="L540">
        <f t="shared" si="34"/>
        <v>21</v>
      </c>
      <c r="M540">
        <f t="shared" si="35"/>
        <v>1</v>
      </c>
      <c r="N540">
        <f>_xlfn.XLOOKUP(A540,tatiller!H:H,tatiller!I:I,0,0)</f>
        <v>0</v>
      </c>
      <c r="O540" cm="1">
        <f t="array" ref="O540">_xlfn.IFNA(_xlfn.IFS(L540=1,"A0",A540=EOMONTH(A540,0),"A-1",L540=2,"A+1"),0)</f>
        <v>0</v>
      </c>
      <c r="P540" t="str" cm="1">
        <f t="array" ref="P540">_xlfn.IFNA(_xlfn.IFS(AND(_xlfn.XLOOKUP(A540,'LPG Fup'!D:D,'LPG Fup'!M:M,"",0)&lt;&gt;"",_xlfn.XLOOKUP(A540,'LPG Fup'!D:D,'LPG Fup'!M:M,"",0)&gt;0),"Z-1", AND(_xlfn.XLOOKUP(A540+1,'LPG Fup'!D:D,'LPG Fup'!M:M,"",0)&lt;&gt;"",_xlfn.XLOOKUP(A540+1,'LPG Fup'!D:D,'LPG Fup'!M:M,"",0)&gt;0),"Z-2", AND(_xlfn.XLOOKUP(A540-1,'LPG Fup'!D:D,'LPG Fup'!M:M,"",0)&lt;&gt;"",_xlfn.XLOOKUP(A540-1,'LPG Fup'!D:D,'LPG Fup'!M:M,"",0)&gt;0),"Z", AND(_xlfn.XLOOKUP(A540-2,'LPG Fup'!D:D,'LPG Fup'!M:M,"",0)&lt;&gt;"",_xlfn.XLOOKUP(A540-2,'LPG Fup'!D:D,'LPG Fup'!M:M,"",0)&gt;0),"Z+1"),0)</f>
        <v>Z-2</v>
      </c>
      <c r="Q540" cm="1">
        <f t="array" ref="Q540">_xlfn.IFNA(_xlfn.IFS(AND(_xlfn.XLOOKUP(A540,'LPG Fup'!D:D,'LPG Fup'!M:M,"",0)&lt;&gt;"",_xlfn.XLOOKUP(A540,'LPG Fup'!D:D,'LPG Fup'!M:M,"",0)&lt;0),"I-1", AND(_xlfn.XLOOKUP(A540+1,'LPG Fup'!D:D,'LPG Fup'!M:M,"",0)&lt;&gt;"",_xlfn.XLOOKUP(A540+1,'LPG Fup'!D:D,'LPG Fup'!M:M,"",0)&lt;0),"I-2", AND(_xlfn.XLOOKUP(A540-1,'LPG Fup'!D:D,'LPG Fup'!M:M,"",0)&lt;&gt;"",_xlfn.XLOOKUP(A540-1,'LPG Fup'!D:D,'LPG Fup'!M:M,"",0)&lt;0),"I", AND(_xlfn.XLOOKUP(A540-2,'LPG Fup'!D:D,'LPG Fup'!M:M,"",0)&lt;&gt;"",_xlfn.XLOOKUP(A540-2,'LPG Fup'!D:D,'LPG Fup'!M:M,"",0)&lt;0),"I+1"),0)</f>
        <v>0</v>
      </c>
      <c r="R540">
        <f>_xlfn.XLOOKUP(A540,Covid!A:A,Covid!I:I,0,0)</f>
        <v>0</v>
      </c>
      <c r="S540">
        <f>_xlfn.XLOOKUP(A540,Covid!A:A,Covid!K:K,0,0)</f>
        <v>195</v>
      </c>
      <c r="T540" s="145">
        <f>_xlfn.XLOOKUP(A540,Covid!A:A,Covid!K:K,0,0)/_xlfn.XLOOKUP(A540,Covid!A:A,Covid!L:L,0,0)</f>
        <v>5.6867891513560807E-3</v>
      </c>
    </row>
    <row r="541" spans="1:20" x14ac:dyDescent="0.55000000000000004">
      <c r="A541" s="157">
        <v>44522</v>
      </c>
      <c r="B541" s="13">
        <v>1054180</v>
      </c>
      <c r="C541" s="13">
        <v>552369</v>
      </c>
      <c r="D541" s="13">
        <v>21443</v>
      </c>
      <c r="E541" s="13">
        <v>601323</v>
      </c>
      <c r="F541" s="13">
        <v>2229315</v>
      </c>
      <c r="G541">
        <f>IF(OR(_xlfn.XLOOKUP(A541,'LPG Fup'!D:D,'LPG Fup'!L:L,"",0)&gt;0.03,_xlfn.XLOOKUP(A541,'LPG Fup'!D:D,'LPG Fup'!L:L,"",0)&lt;-0.03),_xlfn.XLOOKUP(A541,'LPG Fup'!D:D,'LPG Fup'!L:L,0,0),0)</f>
        <v>3.0889832485651563E-2</v>
      </c>
      <c r="H541">
        <f>IF(_xlfn.XLOOKUP(A541,'LPG Fup'!D:D,'LPG Fup'!M:M,0,0)="",0,_xlfn.XLOOKUP(A541,'LPG Fup'!D:D,'LPG Fup'!M:M,0,0))</f>
        <v>285.8184999999994</v>
      </c>
      <c r="I541" s="109">
        <f>_xlfn.XLOOKUP(A541,'Rafineri Fiyatları'!A:A,'Rafineri Fiyatları'!B:B,"",0)</f>
        <v>9264.6299999999992</v>
      </c>
      <c r="J541">
        <f t="shared" si="32"/>
        <v>2021</v>
      </c>
      <c r="K541">
        <f t="shared" si="33"/>
        <v>11</v>
      </c>
      <c r="L541">
        <f t="shared" si="34"/>
        <v>22</v>
      </c>
      <c r="M541">
        <f t="shared" si="35"/>
        <v>2</v>
      </c>
      <c r="N541">
        <f>_xlfn.XLOOKUP(A541,tatiller!H:H,tatiller!I:I,0,0)</f>
        <v>0</v>
      </c>
      <c r="O541" cm="1">
        <f t="array" ref="O541">_xlfn.IFNA(_xlfn.IFS(L541=1,"A0",A541=EOMONTH(A541,0),"A-1",L541=2,"A+1"),0)</f>
        <v>0</v>
      </c>
      <c r="P541" t="str" cm="1">
        <f t="array" ref="P541">_xlfn.IFNA(_xlfn.IFS(AND(_xlfn.XLOOKUP(A541,'LPG Fup'!D:D,'LPG Fup'!M:M,"",0)&lt;&gt;"",_xlfn.XLOOKUP(A541,'LPG Fup'!D:D,'LPG Fup'!M:M,"",0)&gt;0),"Z-1", AND(_xlfn.XLOOKUP(A541+1,'LPG Fup'!D:D,'LPG Fup'!M:M,"",0)&lt;&gt;"",_xlfn.XLOOKUP(A541+1,'LPG Fup'!D:D,'LPG Fup'!M:M,"",0)&gt;0),"Z-2", AND(_xlfn.XLOOKUP(A541-1,'LPG Fup'!D:D,'LPG Fup'!M:M,"",0)&lt;&gt;"",_xlfn.XLOOKUP(A541-1,'LPG Fup'!D:D,'LPG Fup'!M:M,"",0)&gt;0),"Z", AND(_xlfn.XLOOKUP(A541-2,'LPG Fup'!D:D,'LPG Fup'!M:M,"",0)&lt;&gt;"",_xlfn.XLOOKUP(A541-2,'LPG Fup'!D:D,'LPG Fup'!M:M,"",0)&gt;0),"Z+1"),0)</f>
        <v>Z-1</v>
      </c>
      <c r="Q541" cm="1">
        <f t="array" ref="Q541">_xlfn.IFNA(_xlfn.IFS(AND(_xlfn.XLOOKUP(A541,'LPG Fup'!D:D,'LPG Fup'!M:M,"",0)&lt;&gt;"",_xlfn.XLOOKUP(A541,'LPG Fup'!D:D,'LPG Fup'!M:M,"",0)&lt;0),"I-1", AND(_xlfn.XLOOKUP(A541+1,'LPG Fup'!D:D,'LPG Fup'!M:M,"",0)&lt;&gt;"",_xlfn.XLOOKUP(A541+1,'LPG Fup'!D:D,'LPG Fup'!M:M,"",0)&lt;0),"I-2", AND(_xlfn.XLOOKUP(A541-1,'LPG Fup'!D:D,'LPG Fup'!M:M,"",0)&lt;&gt;"",_xlfn.XLOOKUP(A541-1,'LPG Fup'!D:D,'LPG Fup'!M:M,"",0)&lt;0),"I", AND(_xlfn.XLOOKUP(A541-2,'LPG Fup'!D:D,'LPG Fup'!M:M,"",0)&lt;&gt;"",_xlfn.XLOOKUP(A541-2,'LPG Fup'!D:D,'LPG Fup'!M:M,"",0)&lt;0),"I+1"),0)</f>
        <v>0</v>
      </c>
      <c r="R541">
        <f>_xlfn.XLOOKUP(A541,Covid!A:A,Covid!I:I,0,0)</f>
        <v>0</v>
      </c>
      <c r="S541">
        <f>_xlfn.XLOOKUP(A541,Covid!A:A,Covid!K:K,0,0)</f>
        <v>193</v>
      </c>
      <c r="T541" s="145">
        <f>_xlfn.XLOOKUP(A541,Covid!A:A,Covid!K:K,0,0)/_xlfn.XLOOKUP(A541,Covid!A:A,Covid!L:L,0,0)</f>
        <v>6.6701226887852082E-3</v>
      </c>
    </row>
    <row r="542" spans="1:20" x14ac:dyDescent="0.55000000000000004">
      <c r="A542" s="157">
        <v>44523</v>
      </c>
      <c r="B542" s="13">
        <v>702560</v>
      </c>
      <c r="C542" s="13">
        <v>766899</v>
      </c>
      <c r="D542" s="13">
        <v>16976</v>
      </c>
      <c r="E542" s="13">
        <v>221155</v>
      </c>
      <c r="F542" s="13">
        <v>1707590</v>
      </c>
      <c r="G542">
        <f>IF(OR(_xlfn.XLOOKUP(A542,'LPG Fup'!D:D,'LPG Fup'!L:L,"",0)&gt;0.03,_xlfn.XLOOKUP(A542,'LPG Fup'!D:D,'LPG Fup'!L:L,"",0)&lt;-0.03),_xlfn.XLOOKUP(A542,'LPG Fup'!D:D,'LPG Fup'!L:L,0,0),0)</f>
        <v>0</v>
      </c>
      <c r="H542">
        <f>IF(_xlfn.XLOOKUP(A542,'LPG Fup'!D:D,'LPG Fup'!M:M,0,0)="",0,_xlfn.XLOOKUP(A542,'LPG Fup'!D:D,'LPG Fup'!M:M,0,0))</f>
        <v>0</v>
      </c>
      <c r="I542" s="109">
        <f>_xlfn.XLOOKUP(A542,'Rafineri Fiyatları'!A:A,'Rafineri Fiyatları'!B:B,"",0)</f>
        <v>9550.4500000000007</v>
      </c>
      <c r="J542">
        <f t="shared" si="32"/>
        <v>2021</v>
      </c>
      <c r="K542">
        <f t="shared" si="33"/>
        <v>11</v>
      </c>
      <c r="L542">
        <f t="shared" si="34"/>
        <v>23</v>
      </c>
      <c r="M542">
        <f t="shared" si="35"/>
        <v>3</v>
      </c>
      <c r="N542">
        <f>_xlfn.XLOOKUP(A542,tatiller!H:H,tatiller!I:I,0,0)</f>
        <v>0</v>
      </c>
      <c r="O542" cm="1">
        <f t="array" ref="O542">_xlfn.IFNA(_xlfn.IFS(L542=1,"A0",A542=EOMONTH(A542,0),"A-1",L542=2,"A+1"),0)</f>
        <v>0</v>
      </c>
      <c r="P542" t="str" cm="1">
        <f t="array" ref="P542">_xlfn.IFNA(_xlfn.IFS(AND(_xlfn.XLOOKUP(A542,'LPG Fup'!D:D,'LPG Fup'!M:M,"",0)&lt;&gt;"",_xlfn.XLOOKUP(A542,'LPG Fup'!D:D,'LPG Fup'!M:M,"",0)&gt;0),"Z-1", AND(_xlfn.XLOOKUP(A542+1,'LPG Fup'!D:D,'LPG Fup'!M:M,"",0)&lt;&gt;"",_xlfn.XLOOKUP(A542+1,'LPG Fup'!D:D,'LPG Fup'!M:M,"",0)&gt;0),"Z-2", AND(_xlfn.XLOOKUP(A542-1,'LPG Fup'!D:D,'LPG Fup'!M:M,"",0)&lt;&gt;"",_xlfn.XLOOKUP(A542-1,'LPG Fup'!D:D,'LPG Fup'!M:M,"",0)&gt;0),"Z", AND(_xlfn.XLOOKUP(A542-2,'LPG Fup'!D:D,'LPG Fup'!M:M,"",0)&lt;&gt;"",_xlfn.XLOOKUP(A542-2,'LPG Fup'!D:D,'LPG Fup'!M:M,"",0)&gt;0),"Z+1"),0)</f>
        <v>Z-2</v>
      </c>
      <c r="Q542" cm="1">
        <f t="array" ref="Q542">_xlfn.IFNA(_xlfn.IFS(AND(_xlfn.XLOOKUP(A542,'LPG Fup'!D:D,'LPG Fup'!M:M,"",0)&lt;&gt;"",_xlfn.XLOOKUP(A542,'LPG Fup'!D:D,'LPG Fup'!M:M,"",0)&lt;0),"I-1", AND(_xlfn.XLOOKUP(A542+1,'LPG Fup'!D:D,'LPG Fup'!M:M,"",0)&lt;&gt;"",_xlfn.XLOOKUP(A542+1,'LPG Fup'!D:D,'LPG Fup'!M:M,"",0)&lt;0),"I-2", AND(_xlfn.XLOOKUP(A542-1,'LPG Fup'!D:D,'LPG Fup'!M:M,"",0)&lt;&gt;"",_xlfn.XLOOKUP(A542-1,'LPG Fup'!D:D,'LPG Fup'!M:M,"",0)&lt;0),"I", AND(_xlfn.XLOOKUP(A542-2,'LPG Fup'!D:D,'LPG Fup'!M:M,"",0)&lt;&gt;"",_xlfn.XLOOKUP(A542-2,'LPG Fup'!D:D,'LPG Fup'!M:M,"",0)&lt;0),"I+1"),0)</f>
        <v>0</v>
      </c>
      <c r="R542">
        <f>_xlfn.XLOOKUP(A542,Covid!A:A,Covid!I:I,0,0)</f>
        <v>0</v>
      </c>
      <c r="S542">
        <f>_xlfn.XLOOKUP(A542,Covid!A:A,Covid!K:K,0,0)</f>
        <v>208</v>
      </c>
      <c r="T542" s="145">
        <f>_xlfn.XLOOKUP(A542,Covid!A:A,Covid!K:K,0,0)/_xlfn.XLOOKUP(A542,Covid!A:A,Covid!L:L,0,0)</f>
        <v>7.0861581439716553E-3</v>
      </c>
    </row>
    <row r="543" spans="1:20" x14ac:dyDescent="0.55000000000000004">
      <c r="A543" s="157">
        <v>44524</v>
      </c>
      <c r="B543" s="13">
        <v>717740</v>
      </c>
      <c r="C543" s="13">
        <v>480576</v>
      </c>
      <c r="D543" s="13">
        <v>5993</v>
      </c>
      <c r="E543" s="13">
        <v>887731</v>
      </c>
      <c r="F543" s="13">
        <v>2092040</v>
      </c>
      <c r="G543">
        <f>IF(OR(_xlfn.XLOOKUP(A543,'LPG Fup'!D:D,'LPG Fup'!L:L,"",0)&gt;0.03,_xlfn.XLOOKUP(A543,'LPG Fup'!D:D,'LPG Fup'!L:L,"",0)&lt;-0.03),_xlfn.XLOOKUP(A543,'LPG Fup'!D:D,'LPG Fup'!L:L,0,0),0)</f>
        <v>5.7746797628208127E-2</v>
      </c>
      <c r="H543">
        <f>IF(_xlfn.XLOOKUP(A543,'LPG Fup'!D:D,'LPG Fup'!M:M,0,0)="",0,_xlfn.XLOOKUP(A543,'LPG Fup'!D:D,'LPG Fup'!M:M,0,0))</f>
        <v>976.61850000000049</v>
      </c>
      <c r="I543" s="109">
        <f>_xlfn.XLOOKUP(A543,'Rafineri Fiyatları'!A:A,'Rafineri Fiyatları'!B:B,"",0)</f>
        <v>9550.4500000000007</v>
      </c>
      <c r="J543">
        <f t="shared" si="32"/>
        <v>2021</v>
      </c>
      <c r="K543">
        <f t="shared" si="33"/>
        <v>11</v>
      </c>
      <c r="L543">
        <f t="shared" si="34"/>
        <v>24</v>
      </c>
      <c r="M543">
        <f t="shared" si="35"/>
        <v>4</v>
      </c>
      <c r="N543">
        <f>_xlfn.XLOOKUP(A543,tatiller!H:H,tatiller!I:I,0,0)</f>
        <v>0</v>
      </c>
      <c r="O543" cm="1">
        <f t="array" ref="O543">_xlfn.IFNA(_xlfn.IFS(L543=1,"A0",A543=EOMONTH(A543,0),"A-1",L543=2,"A+1"),0)</f>
        <v>0</v>
      </c>
      <c r="P543" t="str" cm="1">
        <f t="array" ref="P543">_xlfn.IFNA(_xlfn.IFS(AND(_xlfn.XLOOKUP(A543,'LPG Fup'!D:D,'LPG Fup'!M:M,"",0)&lt;&gt;"",_xlfn.XLOOKUP(A543,'LPG Fup'!D:D,'LPG Fup'!M:M,"",0)&gt;0),"Z-1", AND(_xlfn.XLOOKUP(A543+1,'LPG Fup'!D:D,'LPG Fup'!M:M,"",0)&lt;&gt;"",_xlfn.XLOOKUP(A543+1,'LPG Fup'!D:D,'LPG Fup'!M:M,"",0)&gt;0),"Z-2", AND(_xlfn.XLOOKUP(A543-1,'LPG Fup'!D:D,'LPG Fup'!M:M,"",0)&lt;&gt;"",_xlfn.XLOOKUP(A543-1,'LPG Fup'!D:D,'LPG Fup'!M:M,"",0)&gt;0),"Z", AND(_xlfn.XLOOKUP(A543-2,'LPG Fup'!D:D,'LPG Fup'!M:M,"",0)&lt;&gt;"",_xlfn.XLOOKUP(A543-2,'LPG Fup'!D:D,'LPG Fup'!M:M,"",0)&gt;0),"Z+1"),0)</f>
        <v>Z-1</v>
      </c>
      <c r="Q543" cm="1">
        <f t="array" ref="Q543">_xlfn.IFNA(_xlfn.IFS(AND(_xlfn.XLOOKUP(A543,'LPG Fup'!D:D,'LPG Fup'!M:M,"",0)&lt;&gt;"",_xlfn.XLOOKUP(A543,'LPG Fup'!D:D,'LPG Fup'!M:M,"",0)&lt;0),"I-1", AND(_xlfn.XLOOKUP(A543+1,'LPG Fup'!D:D,'LPG Fup'!M:M,"",0)&lt;&gt;"",_xlfn.XLOOKUP(A543+1,'LPG Fup'!D:D,'LPG Fup'!M:M,"",0)&lt;0),"I-2", AND(_xlfn.XLOOKUP(A543-1,'LPG Fup'!D:D,'LPG Fup'!M:M,"",0)&lt;&gt;"",_xlfn.XLOOKUP(A543-1,'LPG Fup'!D:D,'LPG Fup'!M:M,"",0)&lt;0),"I", AND(_xlfn.XLOOKUP(A543-2,'LPG Fup'!D:D,'LPG Fup'!M:M,"",0)&lt;&gt;"",_xlfn.XLOOKUP(A543-2,'LPG Fup'!D:D,'LPG Fup'!M:M,"",0)&lt;0),"I+1"),0)</f>
        <v>0</v>
      </c>
      <c r="R543">
        <f>_xlfn.XLOOKUP(A543,Covid!A:A,Covid!I:I,0,0)</f>
        <v>0</v>
      </c>
      <c r="S543">
        <f>_xlfn.XLOOKUP(A543,Covid!A:A,Covid!K:K,0,0)</f>
        <v>175</v>
      </c>
      <c r="T543" s="145">
        <f>_xlfn.XLOOKUP(A543,Covid!A:A,Covid!K:K,0,0)/_xlfn.XLOOKUP(A543,Covid!A:A,Covid!L:L,0,0)</f>
        <v>6.1870249248718399E-3</v>
      </c>
    </row>
    <row r="544" spans="1:20" x14ac:dyDescent="0.55000000000000004">
      <c r="A544" s="157">
        <v>44525</v>
      </c>
      <c r="B544" s="13">
        <v>812760</v>
      </c>
      <c r="C544" s="13">
        <v>394028</v>
      </c>
      <c r="D544" s="13">
        <v>23169</v>
      </c>
      <c r="E544" s="13">
        <v>300069</v>
      </c>
      <c r="F544" s="13">
        <v>1530026</v>
      </c>
      <c r="G544">
        <f>IF(OR(_xlfn.XLOOKUP(A544,'LPG Fup'!D:D,'LPG Fup'!L:L,"",0)&gt;0.03,_xlfn.XLOOKUP(A544,'LPG Fup'!D:D,'LPG Fup'!L:L,"",0)&lt;-0.03),_xlfn.XLOOKUP(A544,'LPG Fup'!D:D,'LPG Fup'!L:L,0,0),0)</f>
        <v>3.7232601108602041E-2</v>
      </c>
      <c r="H544">
        <f>IF(_xlfn.XLOOKUP(A544,'LPG Fup'!D:D,'LPG Fup'!M:M,0,0)="",0,_xlfn.XLOOKUP(A544,'LPG Fup'!D:D,'LPG Fup'!M:M,0,0))</f>
        <v>0</v>
      </c>
      <c r="I544" s="109">
        <f>_xlfn.XLOOKUP(A544,'Rafineri Fiyatları'!A:A,'Rafineri Fiyatları'!B:B,"",0)</f>
        <v>10527.07</v>
      </c>
      <c r="J544">
        <f t="shared" si="32"/>
        <v>2021</v>
      </c>
      <c r="K544">
        <f t="shared" si="33"/>
        <v>11</v>
      </c>
      <c r="L544">
        <f t="shared" si="34"/>
        <v>25</v>
      </c>
      <c r="M544">
        <f t="shared" si="35"/>
        <v>5</v>
      </c>
      <c r="N544">
        <f>_xlfn.XLOOKUP(A544,tatiller!H:H,tatiller!I:I,0,0)</f>
        <v>0</v>
      </c>
      <c r="O544" cm="1">
        <f t="array" ref="O544">_xlfn.IFNA(_xlfn.IFS(L544=1,"A0",A544=EOMONTH(A544,0),"A-1",L544=2,"A+1"),0)</f>
        <v>0</v>
      </c>
      <c r="P544" t="str" cm="1">
        <f t="array" ref="P544">_xlfn.IFNA(_xlfn.IFS(AND(_xlfn.XLOOKUP(A544,'LPG Fup'!D:D,'LPG Fup'!M:M,"",0)&lt;&gt;"",_xlfn.XLOOKUP(A544,'LPG Fup'!D:D,'LPG Fup'!M:M,"",0)&gt;0),"Z-1", AND(_xlfn.XLOOKUP(A544+1,'LPG Fup'!D:D,'LPG Fup'!M:M,"",0)&lt;&gt;"",_xlfn.XLOOKUP(A544+1,'LPG Fup'!D:D,'LPG Fup'!M:M,"",0)&gt;0),"Z-2", AND(_xlfn.XLOOKUP(A544-1,'LPG Fup'!D:D,'LPG Fup'!M:M,"",0)&lt;&gt;"",_xlfn.XLOOKUP(A544-1,'LPG Fup'!D:D,'LPG Fup'!M:M,"",0)&gt;0),"Z", AND(_xlfn.XLOOKUP(A544-2,'LPG Fup'!D:D,'LPG Fup'!M:M,"",0)&lt;&gt;"",_xlfn.XLOOKUP(A544-2,'LPG Fup'!D:D,'LPG Fup'!M:M,"",0)&gt;0),"Z+1"),0)</f>
        <v>Z</v>
      </c>
      <c r="Q544" cm="1">
        <f t="array" ref="Q544">_xlfn.IFNA(_xlfn.IFS(AND(_xlfn.XLOOKUP(A544,'LPG Fup'!D:D,'LPG Fup'!M:M,"",0)&lt;&gt;"",_xlfn.XLOOKUP(A544,'LPG Fup'!D:D,'LPG Fup'!M:M,"",0)&lt;0),"I-1", AND(_xlfn.XLOOKUP(A544+1,'LPG Fup'!D:D,'LPG Fup'!M:M,"",0)&lt;&gt;"",_xlfn.XLOOKUP(A544+1,'LPG Fup'!D:D,'LPG Fup'!M:M,"",0)&lt;0),"I-2", AND(_xlfn.XLOOKUP(A544-1,'LPG Fup'!D:D,'LPG Fup'!M:M,"",0)&lt;&gt;"",_xlfn.XLOOKUP(A544-1,'LPG Fup'!D:D,'LPG Fup'!M:M,"",0)&lt;0),"I", AND(_xlfn.XLOOKUP(A544-2,'LPG Fup'!D:D,'LPG Fup'!M:M,"",0)&lt;&gt;"",_xlfn.XLOOKUP(A544-2,'LPG Fup'!D:D,'LPG Fup'!M:M,"",0)&lt;0),"I+1"),0)</f>
        <v>0</v>
      </c>
      <c r="R544">
        <f>_xlfn.XLOOKUP(A544,Covid!A:A,Covid!I:I,0,0)</f>
        <v>0</v>
      </c>
      <c r="S544">
        <f>_xlfn.XLOOKUP(A544,Covid!A:A,Covid!K:K,0,0)</f>
        <v>222</v>
      </c>
      <c r="T544" s="145">
        <f>_xlfn.XLOOKUP(A544,Covid!A:A,Covid!K:K,0,0)/_xlfn.XLOOKUP(A544,Covid!A:A,Covid!L:L,0,0)</f>
        <v>7.4901312459934545E-3</v>
      </c>
    </row>
    <row r="545" spans="1:20" x14ac:dyDescent="0.55000000000000004">
      <c r="A545" s="157">
        <v>44526</v>
      </c>
      <c r="B545" s="13">
        <v>940180</v>
      </c>
      <c r="C545" s="13">
        <v>288352</v>
      </c>
      <c r="D545" s="13">
        <v>7980</v>
      </c>
      <c r="E545" s="13">
        <v>223134</v>
      </c>
      <c r="F545" s="13">
        <v>1459646</v>
      </c>
      <c r="G545">
        <f>IF(OR(_xlfn.XLOOKUP(A545,'LPG Fup'!D:D,'LPG Fup'!L:L,"",0)&gt;0.03,_xlfn.XLOOKUP(A545,'LPG Fup'!D:D,'LPG Fup'!L:L,"",0)&lt;-0.03),_xlfn.XLOOKUP(A545,'LPG Fup'!D:D,'LPG Fup'!L:L,0,0),0)</f>
        <v>0</v>
      </c>
      <c r="H545">
        <f>IF(_xlfn.XLOOKUP(A545,'LPG Fup'!D:D,'LPG Fup'!M:M,0,0)="",0,_xlfn.XLOOKUP(A545,'LPG Fup'!D:D,'LPG Fup'!M:M,0,0))</f>
        <v>0</v>
      </c>
      <c r="I545" s="109">
        <f>_xlfn.XLOOKUP(A545,'Rafineri Fiyatları'!A:A,'Rafineri Fiyatları'!B:B,"",0)</f>
        <v>10527.07</v>
      </c>
      <c r="J545">
        <f t="shared" si="32"/>
        <v>2021</v>
      </c>
      <c r="K545">
        <f t="shared" si="33"/>
        <v>11</v>
      </c>
      <c r="L545">
        <f t="shared" si="34"/>
        <v>26</v>
      </c>
      <c r="M545">
        <f t="shared" si="35"/>
        <v>6</v>
      </c>
      <c r="N545">
        <f>_xlfn.XLOOKUP(A545,tatiller!H:H,tatiller!I:I,0,0)</f>
        <v>0</v>
      </c>
      <c r="O545" cm="1">
        <f t="array" ref="O545">_xlfn.IFNA(_xlfn.IFS(L545=1,"A0",A545=EOMONTH(A545,0),"A-1",L545=2,"A+1"),0)</f>
        <v>0</v>
      </c>
      <c r="P545" t="str" cm="1">
        <f t="array" ref="P545">_xlfn.IFNA(_xlfn.IFS(AND(_xlfn.XLOOKUP(A545,'LPG Fup'!D:D,'LPG Fup'!M:M,"",0)&lt;&gt;"",_xlfn.XLOOKUP(A545,'LPG Fup'!D:D,'LPG Fup'!M:M,"",0)&gt;0),"Z-1", AND(_xlfn.XLOOKUP(A545+1,'LPG Fup'!D:D,'LPG Fup'!M:M,"",0)&lt;&gt;"",_xlfn.XLOOKUP(A545+1,'LPG Fup'!D:D,'LPG Fup'!M:M,"",0)&gt;0),"Z-2", AND(_xlfn.XLOOKUP(A545-1,'LPG Fup'!D:D,'LPG Fup'!M:M,"",0)&lt;&gt;"",_xlfn.XLOOKUP(A545-1,'LPG Fup'!D:D,'LPG Fup'!M:M,"",0)&gt;0),"Z", AND(_xlfn.XLOOKUP(A545-2,'LPG Fup'!D:D,'LPG Fup'!M:M,"",0)&lt;&gt;"",_xlfn.XLOOKUP(A545-2,'LPG Fup'!D:D,'LPG Fup'!M:M,"",0)&gt;0),"Z+1"),0)</f>
        <v>Z+1</v>
      </c>
      <c r="Q545" cm="1">
        <f t="array" ref="Q545">_xlfn.IFNA(_xlfn.IFS(AND(_xlfn.XLOOKUP(A545,'LPG Fup'!D:D,'LPG Fup'!M:M,"",0)&lt;&gt;"",_xlfn.XLOOKUP(A545,'LPG Fup'!D:D,'LPG Fup'!M:M,"",0)&lt;0),"I-1", AND(_xlfn.XLOOKUP(A545+1,'LPG Fup'!D:D,'LPG Fup'!M:M,"",0)&lt;&gt;"",_xlfn.XLOOKUP(A545+1,'LPG Fup'!D:D,'LPG Fup'!M:M,"",0)&lt;0),"I-2", AND(_xlfn.XLOOKUP(A545-1,'LPG Fup'!D:D,'LPG Fup'!M:M,"",0)&lt;&gt;"",_xlfn.XLOOKUP(A545-1,'LPG Fup'!D:D,'LPG Fup'!M:M,"",0)&lt;0),"I", AND(_xlfn.XLOOKUP(A545-2,'LPG Fup'!D:D,'LPG Fup'!M:M,"",0)&lt;&gt;"",_xlfn.XLOOKUP(A545-2,'LPG Fup'!D:D,'LPG Fup'!M:M,"",0)&lt;0),"I+1"),0)</f>
        <v>0</v>
      </c>
      <c r="R545">
        <f>_xlfn.XLOOKUP(A545,Covid!A:A,Covid!I:I,0,0)</f>
        <v>0</v>
      </c>
      <c r="S545">
        <f>_xlfn.XLOOKUP(A545,Covid!A:A,Covid!K:K,0,0)</f>
        <v>201</v>
      </c>
      <c r="T545" s="145">
        <f>_xlfn.XLOOKUP(A545,Covid!A:A,Covid!K:K,0,0)/_xlfn.XLOOKUP(A545,Covid!A:A,Covid!L:L,0,0)</f>
        <v>7.9318101100982596E-3</v>
      </c>
    </row>
    <row r="546" spans="1:20" x14ac:dyDescent="0.55000000000000004">
      <c r="A546" s="157">
        <v>44527</v>
      </c>
      <c r="B546" s="13">
        <v>405780</v>
      </c>
      <c r="C546" s="13">
        <v>91074</v>
      </c>
      <c r="D546" s="13">
        <v>3199</v>
      </c>
      <c r="E546" s="13">
        <v>286748</v>
      </c>
      <c r="F546" s="13">
        <v>2497513</v>
      </c>
      <c r="G546">
        <f>IF(OR(_xlfn.XLOOKUP(A546,'LPG Fup'!D:D,'LPG Fup'!L:L,"",0)&gt;0.03,_xlfn.XLOOKUP(A546,'LPG Fup'!D:D,'LPG Fup'!L:L,"",0)&lt;-0.03),_xlfn.XLOOKUP(A546,'LPG Fup'!D:D,'LPG Fup'!L:L,0,0),0)</f>
        <v>0</v>
      </c>
      <c r="H546">
        <f>IF(_xlfn.XLOOKUP(A546,'LPG Fup'!D:D,'LPG Fup'!M:M,0,0)="",0,_xlfn.XLOOKUP(A546,'LPG Fup'!D:D,'LPG Fup'!M:M,0,0))</f>
        <v>0</v>
      </c>
      <c r="I546" s="109">
        <f>_xlfn.XLOOKUP(A546,'Rafineri Fiyatları'!A:A,'Rafineri Fiyatları'!B:B,"",0)</f>
        <v>10527.07</v>
      </c>
      <c r="J546">
        <f t="shared" si="32"/>
        <v>2021</v>
      </c>
      <c r="K546">
        <f t="shared" si="33"/>
        <v>11</v>
      </c>
      <c r="L546">
        <f t="shared" si="34"/>
        <v>27</v>
      </c>
      <c r="M546">
        <f t="shared" si="35"/>
        <v>7</v>
      </c>
      <c r="N546">
        <f>_xlfn.XLOOKUP(A546,tatiller!H:H,tatiller!I:I,0,0)</f>
        <v>0</v>
      </c>
      <c r="O546" cm="1">
        <f t="array" ref="O546">_xlfn.IFNA(_xlfn.IFS(L546=1,"A0",A546=EOMONTH(A546,0),"A-1",L546=2,"A+1"),0)</f>
        <v>0</v>
      </c>
      <c r="P546" cm="1">
        <f t="array" ref="P546">_xlfn.IFNA(_xlfn.IFS(AND(_xlfn.XLOOKUP(A546,'LPG Fup'!D:D,'LPG Fup'!M:M,"",0)&lt;&gt;"",_xlfn.XLOOKUP(A546,'LPG Fup'!D:D,'LPG Fup'!M:M,"",0)&gt;0),"Z-1", AND(_xlfn.XLOOKUP(A546+1,'LPG Fup'!D:D,'LPG Fup'!M:M,"",0)&lt;&gt;"",_xlfn.XLOOKUP(A546+1,'LPG Fup'!D:D,'LPG Fup'!M:M,"",0)&gt;0),"Z-2", AND(_xlfn.XLOOKUP(A546-1,'LPG Fup'!D:D,'LPG Fup'!M:M,"",0)&lt;&gt;"",_xlfn.XLOOKUP(A546-1,'LPG Fup'!D:D,'LPG Fup'!M:M,"",0)&gt;0),"Z", AND(_xlfn.XLOOKUP(A546-2,'LPG Fup'!D:D,'LPG Fup'!M:M,"",0)&lt;&gt;"",_xlfn.XLOOKUP(A546-2,'LPG Fup'!D:D,'LPG Fup'!M:M,"",0)&gt;0),"Z+1"),0)</f>
        <v>0</v>
      </c>
      <c r="Q546" cm="1">
        <f t="array" ref="Q546">_xlfn.IFNA(_xlfn.IFS(AND(_xlfn.XLOOKUP(A546,'LPG Fup'!D:D,'LPG Fup'!M:M,"",0)&lt;&gt;"",_xlfn.XLOOKUP(A546,'LPG Fup'!D:D,'LPG Fup'!M:M,"",0)&lt;0),"I-1", AND(_xlfn.XLOOKUP(A546+1,'LPG Fup'!D:D,'LPG Fup'!M:M,"",0)&lt;&gt;"",_xlfn.XLOOKUP(A546+1,'LPG Fup'!D:D,'LPG Fup'!M:M,"",0)&lt;0),"I-2", AND(_xlfn.XLOOKUP(A546-1,'LPG Fup'!D:D,'LPG Fup'!M:M,"",0)&lt;&gt;"",_xlfn.XLOOKUP(A546-1,'LPG Fup'!D:D,'LPG Fup'!M:M,"",0)&lt;0),"I", AND(_xlfn.XLOOKUP(A546-2,'LPG Fup'!D:D,'LPG Fup'!M:M,"",0)&lt;&gt;"",_xlfn.XLOOKUP(A546-2,'LPG Fup'!D:D,'LPG Fup'!M:M,"",0)&lt;0),"I+1"),0)</f>
        <v>0</v>
      </c>
      <c r="R546">
        <f>_xlfn.XLOOKUP(A546,Covid!A:A,Covid!I:I,0,0)</f>
        <v>0</v>
      </c>
      <c r="S546">
        <f>_xlfn.XLOOKUP(A546,Covid!A:A,Covid!K:K,0,0)</f>
        <v>192</v>
      </c>
      <c r="T546" s="145">
        <f>_xlfn.XLOOKUP(A546,Covid!A:A,Covid!K:K,0,0)/_xlfn.XLOOKUP(A546,Covid!A:A,Covid!L:L,0,0)</f>
        <v>7.6484882284985857E-3</v>
      </c>
    </row>
    <row r="547" spans="1:20" x14ac:dyDescent="0.55000000000000004">
      <c r="A547" s="157">
        <v>44528</v>
      </c>
      <c r="B547" s="13">
        <v>535040</v>
      </c>
      <c r="C547" s="13">
        <v>0</v>
      </c>
      <c r="D547" s="13">
        <v>0</v>
      </c>
      <c r="E547" s="13">
        <v>156687</v>
      </c>
      <c r="F547" s="13">
        <v>691727</v>
      </c>
      <c r="G547">
        <f>IF(OR(_xlfn.XLOOKUP(A547,'LPG Fup'!D:D,'LPG Fup'!L:L,"",0)&gt;0.03,_xlfn.XLOOKUP(A547,'LPG Fup'!D:D,'LPG Fup'!L:L,"",0)&lt;-0.03),_xlfn.XLOOKUP(A547,'LPG Fup'!D:D,'LPG Fup'!L:L,0,0),0)</f>
        <v>0</v>
      </c>
      <c r="H547">
        <f>IF(_xlfn.XLOOKUP(A547,'LPG Fup'!D:D,'LPG Fup'!M:M,0,0)="",0,_xlfn.XLOOKUP(A547,'LPG Fup'!D:D,'LPG Fup'!M:M,0,0))</f>
        <v>0</v>
      </c>
      <c r="I547" s="109">
        <f>_xlfn.XLOOKUP(A547,'Rafineri Fiyatları'!A:A,'Rafineri Fiyatları'!B:B,"",0)</f>
        <v>10527.07</v>
      </c>
      <c r="J547">
        <f t="shared" si="32"/>
        <v>2021</v>
      </c>
      <c r="K547">
        <f t="shared" si="33"/>
        <v>11</v>
      </c>
      <c r="L547">
        <f t="shared" si="34"/>
        <v>28</v>
      </c>
      <c r="M547">
        <f t="shared" si="35"/>
        <v>1</v>
      </c>
      <c r="N547">
        <f>_xlfn.XLOOKUP(A547,tatiller!H:H,tatiller!I:I,0,0)</f>
        <v>0</v>
      </c>
      <c r="O547" cm="1">
        <f t="array" ref="O547">_xlfn.IFNA(_xlfn.IFS(L547=1,"A0",A547=EOMONTH(A547,0),"A-1",L547=2,"A+1"),0)</f>
        <v>0</v>
      </c>
      <c r="P547" cm="1">
        <f t="array" ref="P547">_xlfn.IFNA(_xlfn.IFS(AND(_xlfn.XLOOKUP(A547,'LPG Fup'!D:D,'LPG Fup'!M:M,"",0)&lt;&gt;"",_xlfn.XLOOKUP(A547,'LPG Fup'!D:D,'LPG Fup'!M:M,"",0)&gt;0),"Z-1", AND(_xlfn.XLOOKUP(A547+1,'LPG Fup'!D:D,'LPG Fup'!M:M,"",0)&lt;&gt;"",_xlfn.XLOOKUP(A547+1,'LPG Fup'!D:D,'LPG Fup'!M:M,"",0)&gt;0),"Z-2", AND(_xlfn.XLOOKUP(A547-1,'LPG Fup'!D:D,'LPG Fup'!M:M,"",0)&lt;&gt;"",_xlfn.XLOOKUP(A547-1,'LPG Fup'!D:D,'LPG Fup'!M:M,"",0)&gt;0),"Z", AND(_xlfn.XLOOKUP(A547-2,'LPG Fup'!D:D,'LPG Fup'!M:M,"",0)&lt;&gt;"",_xlfn.XLOOKUP(A547-2,'LPG Fup'!D:D,'LPG Fup'!M:M,"",0)&gt;0),"Z+1"),0)</f>
        <v>0</v>
      </c>
      <c r="Q547" cm="1">
        <f t="array" ref="Q547">_xlfn.IFNA(_xlfn.IFS(AND(_xlfn.XLOOKUP(A547,'LPG Fup'!D:D,'LPG Fup'!M:M,"",0)&lt;&gt;"",_xlfn.XLOOKUP(A547,'LPG Fup'!D:D,'LPG Fup'!M:M,"",0)&lt;0),"I-1", AND(_xlfn.XLOOKUP(A547+1,'LPG Fup'!D:D,'LPG Fup'!M:M,"",0)&lt;&gt;"",_xlfn.XLOOKUP(A547+1,'LPG Fup'!D:D,'LPG Fup'!M:M,"",0)&lt;0),"I-2", AND(_xlfn.XLOOKUP(A547-1,'LPG Fup'!D:D,'LPG Fup'!M:M,"",0)&lt;&gt;"",_xlfn.XLOOKUP(A547-1,'LPG Fup'!D:D,'LPG Fup'!M:M,"",0)&lt;0),"I", AND(_xlfn.XLOOKUP(A547-2,'LPG Fup'!D:D,'LPG Fup'!M:M,"",0)&lt;&gt;"",_xlfn.XLOOKUP(A547-2,'LPG Fup'!D:D,'LPG Fup'!M:M,"",0)&lt;0),"I+1"),0)</f>
        <v>0</v>
      </c>
      <c r="R547">
        <f>_xlfn.XLOOKUP(A547,Covid!A:A,Covid!I:I,0,0)</f>
        <v>0</v>
      </c>
      <c r="S547">
        <f>_xlfn.XLOOKUP(A547,Covid!A:A,Covid!K:K,0,0)</f>
        <v>213</v>
      </c>
      <c r="T547" s="145">
        <f>_xlfn.XLOOKUP(A547,Covid!A:A,Covid!K:K,0,0)/_xlfn.XLOOKUP(A547,Covid!A:A,Covid!L:L,0,0)</f>
        <v>1.064627380416854E-2</v>
      </c>
    </row>
    <row r="548" spans="1:20" x14ac:dyDescent="0.55000000000000004">
      <c r="A548" s="157">
        <v>44529</v>
      </c>
      <c r="B548" s="13">
        <v>595560</v>
      </c>
      <c r="C548" s="13">
        <v>254092</v>
      </c>
      <c r="D548" s="13">
        <v>8410</v>
      </c>
      <c r="E548" s="13">
        <v>384796</v>
      </c>
      <c r="F548" s="13">
        <v>1242858</v>
      </c>
      <c r="G548">
        <f>IF(OR(_xlfn.XLOOKUP(A548,'LPG Fup'!D:D,'LPG Fup'!L:L,"",0)&gt;0.03,_xlfn.XLOOKUP(A548,'LPG Fup'!D:D,'LPG Fup'!L:L,"",0)&lt;-0.03),_xlfn.XLOOKUP(A548,'LPG Fup'!D:D,'LPG Fup'!L:L,0,0),0)</f>
        <v>0</v>
      </c>
      <c r="H548">
        <f>IF(_xlfn.XLOOKUP(A548,'LPG Fup'!D:D,'LPG Fup'!M:M,0,0)="",0,_xlfn.XLOOKUP(A548,'LPG Fup'!D:D,'LPG Fup'!M:M,0,0))</f>
        <v>0</v>
      </c>
      <c r="I548" s="109">
        <f>_xlfn.XLOOKUP(A548,'Rafineri Fiyatları'!A:A,'Rafineri Fiyatları'!B:B,"",0)</f>
        <v>10527.07</v>
      </c>
      <c r="J548">
        <f t="shared" si="32"/>
        <v>2021</v>
      </c>
      <c r="K548">
        <f t="shared" si="33"/>
        <v>11</v>
      </c>
      <c r="L548">
        <f t="shared" si="34"/>
        <v>29</v>
      </c>
      <c r="M548">
        <f t="shared" si="35"/>
        <v>2</v>
      </c>
      <c r="N548">
        <f>_xlfn.XLOOKUP(A548,tatiller!H:H,tatiller!I:I,0,0)</f>
        <v>0</v>
      </c>
      <c r="O548" cm="1">
        <f t="array" ref="O548">_xlfn.IFNA(_xlfn.IFS(L548=1,"A0",A548=EOMONTH(A548,0),"A-1",L548=2,"A+1"),0)</f>
        <v>0</v>
      </c>
      <c r="P548" cm="1">
        <f t="array" ref="P548">_xlfn.IFNA(_xlfn.IFS(AND(_xlfn.XLOOKUP(A548,'LPG Fup'!D:D,'LPG Fup'!M:M,"",0)&lt;&gt;"",_xlfn.XLOOKUP(A548,'LPG Fup'!D:D,'LPG Fup'!M:M,"",0)&gt;0),"Z-1", AND(_xlfn.XLOOKUP(A548+1,'LPG Fup'!D:D,'LPG Fup'!M:M,"",0)&lt;&gt;"",_xlfn.XLOOKUP(A548+1,'LPG Fup'!D:D,'LPG Fup'!M:M,"",0)&gt;0),"Z-2", AND(_xlfn.XLOOKUP(A548-1,'LPG Fup'!D:D,'LPG Fup'!M:M,"",0)&lt;&gt;"",_xlfn.XLOOKUP(A548-1,'LPG Fup'!D:D,'LPG Fup'!M:M,"",0)&gt;0),"Z", AND(_xlfn.XLOOKUP(A548-2,'LPG Fup'!D:D,'LPG Fup'!M:M,"",0)&lt;&gt;"",_xlfn.XLOOKUP(A548-2,'LPG Fup'!D:D,'LPG Fup'!M:M,"",0)&gt;0),"Z+1"),0)</f>
        <v>0</v>
      </c>
      <c r="Q548" cm="1">
        <f t="array" ref="Q548">_xlfn.IFNA(_xlfn.IFS(AND(_xlfn.XLOOKUP(A548,'LPG Fup'!D:D,'LPG Fup'!M:M,"",0)&lt;&gt;"",_xlfn.XLOOKUP(A548,'LPG Fup'!D:D,'LPG Fup'!M:M,"",0)&lt;0),"I-1", AND(_xlfn.XLOOKUP(A548+1,'LPG Fup'!D:D,'LPG Fup'!M:M,"",0)&lt;&gt;"",_xlfn.XLOOKUP(A548+1,'LPG Fup'!D:D,'LPG Fup'!M:M,"",0)&lt;0),"I-2", AND(_xlfn.XLOOKUP(A548-1,'LPG Fup'!D:D,'LPG Fup'!M:M,"",0)&lt;&gt;"",_xlfn.XLOOKUP(A548-1,'LPG Fup'!D:D,'LPG Fup'!M:M,"",0)&lt;0),"I", AND(_xlfn.XLOOKUP(A548-2,'LPG Fup'!D:D,'LPG Fup'!M:M,"",0)&lt;&gt;"",_xlfn.XLOOKUP(A548-2,'LPG Fup'!D:D,'LPG Fup'!M:M,"",0)&lt;0),"I+1"),0)</f>
        <v>0</v>
      </c>
      <c r="R548">
        <f>_xlfn.XLOOKUP(A548,Covid!A:A,Covid!I:I,0,0)</f>
        <v>0</v>
      </c>
      <c r="S548">
        <f>_xlfn.XLOOKUP(A548,Covid!A:A,Covid!K:K,0,0)</f>
        <v>189</v>
      </c>
      <c r="T548" s="145">
        <f>_xlfn.XLOOKUP(A548,Covid!A:A,Covid!K:K,0,0)/_xlfn.XLOOKUP(A548,Covid!A:A,Covid!L:L,0,0)</f>
        <v>8.1209985820478673E-3</v>
      </c>
    </row>
    <row r="549" spans="1:20" x14ac:dyDescent="0.55000000000000004">
      <c r="A549" s="157">
        <v>44530</v>
      </c>
      <c r="B549" s="13">
        <v>484300</v>
      </c>
      <c r="C549" s="13">
        <v>292823</v>
      </c>
      <c r="D549" s="13">
        <v>121599</v>
      </c>
      <c r="E549" s="13">
        <v>260860</v>
      </c>
      <c r="F549" s="13">
        <v>1159582</v>
      </c>
      <c r="G549">
        <f>IF(OR(_xlfn.XLOOKUP(A549,'LPG Fup'!D:D,'LPG Fup'!L:L,"",0)&gt;0.03,_xlfn.XLOOKUP(A549,'LPG Fup'!D:D,'LPG Fup'!L:L,"",0)&lt;-0.03),_xlfn.XLOOKUP(A549,'LPG Fup'!D:D,'LPG Fup'!L:L,0,0),0)</f>
        <v>0</v>
      </c>
      <c r="H549">
        <f>IF(_xlfn.XLOOKUP(A549,'LPG Fup'!D:D,'LPG Fup'!M:M,0,0)="",0,_xlfn.XLOOKUP(A549,'LPG Fup'!D:D,'LPG Fup'!M:M,0,0))</f>
        <v>0</v>
      </c>
      <c r="I549" s="109">
        <f>_xlfn.XLOOKUP(A549,'Rafineri Fiyatları'!A:A,'Rafineri Fiyatları'!B:B,"",0)</f>
        <v>10527.07</v>
      </c>
      <c r="J549">
        <f t="shared" si="32"/>
        <v>2021</v>
      </c>
      <c r="K549">
        <f t="shared" si="33"/>
        <v>11</v>
      </c>
      <c r="L549">
        <f t="shared" si="34"/>
        <v>30</v>
      </c>
      <c r="M549">
        <f t="shared" si="35"/>
        <v>3</v>
      </c>
      <c r="N549">
        <f>_xlfn.XLOOKUP(A549,tatiller!H:H,tatiller!I:I,0,0)</f>
        <v>0</v>
      </c>
      <c r="O549" t="str" cm="1">
        <f t="array" ref="O549">_xlfn.IFNA(_xlfn.IFS(L549=1,"A0",A549=EOMONTH(A549,0),"A-1",L549=2,"A+1"),0)</f>
        <v>A-1</v>
      </c>
      <c r="P549" cm="1">
        <f t="array" ref="P549">_xlfn.IFNA(_xlfn.IFS(AND(_xlfn.XLOOKUP(A549,'LPG Fup'!D:D,'LPG Fup'!M:M,"",0)&lt;&gt;"",_xlfn.XLOOKUP(A549,'LPG Fup'!D:D,'LPG Fup'!M:M,"",0)&gt;0),"Z-1", AND(_xlfn.XLOOKUP(A549+1,'LPG Fup'!D:D,'LPG Fup'!M:M,"",0)&lt;&gt;"",_xlfn.XLOOKUP(A549+1,'LPG Fup'!D:D,'LPG Fup'!M:M,"",0)&gt;0),"Z-2", AND(_xlfn.XLOOKUP(A549-1,'LPG Fup'!D:D,'LPG Fup'!M:M,"",0)&lt;&gt;"",_xlfn.XLOOKUP(A549-1,'LPG Fup'!D:D,'LPG Fup'!M:M,"",0)&gt;0),"Z", AND(_xlfn.XLOOKUP(A549-2,'LPG Fup'!D:D,'LPG Fup'!M:M,"",0)&lt;&gt;"",_xlfn.XLOOKUP(A549-2,'LPG Fup'!D:D,'LPG Fup'!M:M,"",0)&gt;0),"Z+1"),0)</f>
        <v>0</v>
      </c>
      <c r="Q549" cm="1">
        <f t="array" ref="Q549">_xlfn.IFNA(_xlfn.IFS(AND(_xlfn.XLOOKUP(A549,'LPG Fup'!D:D,'LPG Fup'!M:M,"",0)&lt;&gt;"",_xlfn.XLOOKUP(A549,'LPG Fup'!D:D,'LPG Fup'!M:M,"",0)&lt;0),"I-1", AND(_xlfn.XLOOKUP(A549+1,'LPG Fup'!D:D,'LPG Fup'!M:M,"",0)&lt;&gt;"",_xlfn.XLOOKUP(A549+1,'LPG Fup'!D:D,'LPG Fup'!M:M,"",0)&lt;0),"I-2", AND(_xlfn.XLOOKUP(A549-1,'LPG Fup'!D:D,'LPG Fup'!M:M,"",0)&lt;&gt;"",_xlfn.XLOOKUP(A549-1,'LPG Fup'!D:D,'LPG Fup'!M:M,"",0)&lt;0),"I", AND(_xlfn.XLOOKUP(A549-2,'LPG Fup'!D:D,'LPG Fup'!M:M,"",0)&lt;&gt;"",_xlfn.XLOOKUP(A549-2,'LPG Fup'!D:D,'LPG Fup'!M:M,"",0)&lt;0),"I+1"),0)</f>
        <v>0</v>
      </c>
      <c r="R549">
        <f>_xlfn.XLOOKUP(A549,Covid!A:A,Covid!I:I,0,0)</f>
        <v>0</v>
      </c>
      <c r="S549">
        <f>_xlfn.XLOOKUP(A549,Covid!A:A,Covid!K:K,0,0)</f>
        <v>207</v>
      </c>
      <c r="T549" s="145">
        <f>_xlfn.XLOOKUP(A549,Covid!A:A,Covid!K:K,0,0)/_xlfn.XLOOKUP(A549,Covid!A:A,Covid!L:L,0,0)</f>
        <v>8.4496693607641442E-3</v>
      </c>
    </row>
    <row r="550" spans="1:20" x14ac:dyDescent="0.55000000000000004">
      <c r="A550" s="157">
        <v>44531</v>
      </c>
      <c r="B550" s="13">
        <v>639700</v>
      </c>
      <c r="C550" s="13">
        <v>127043</v>
      </c>
      <c r="D550" s="13">
        <v>14459</v>
      </c>
      <c r="E550" s="13">
        <v>125736</v>
      </c>
      <c r="F550" s="13">
        <v>906938</v>
      </c>
      <c r="G550">
        <f>IF(OR(_xlfn.XLOOKUP(A550,'LPG Fup'!D:D,'LPG Fup'!L:L,"",0)&gt;0.03,_xlfn.XLOOKUP(A550,'LPG Fup'!D:D,'LPG Fup'!L:L,"",0)&lt;-0.03),_xlfn.XLOOKUP(A550,'LPG Fup'!D:D,'LPG Fup'!L:L,0,0),0)</f>
        <v>0</v>
      </c>
      <c r="H550">
        <f>IF(_xlfn.XLOOKUP(A550,'LPG Fup'!D:D,'LPG Fup'!M:M,0,0)="",0,_xlfn.XLOOKUP(A550,'LPG Fup'!D:D,'LPG Fup'!M:M,0,0))</f>
        <v>0</v>
      </c>
      <c r="I550" s="109">
        <f>_xlfn.XLOOKUP(A550,'Rafineri Fiyatları'!A:A,'Rafineri Fiyatları'!B:B,"",0)</f>
        <v>10527.07</v>
      </c>
      <c r="J550">
        <f t="shared" si="32"/>
        <v>2021</v>
      </c>
      <c r="K550">
        <f t="shared" si="33"/>
        <v>12</v>
      </c>
      <c r="L550">
        <f t="shared" si="34"/>
        <v>1</v>
      </c>
      <c r="M550">
        <f t="shared" si="35"/>
        <v>4</v>
      </c>
      <c r="N550">
        <f>_xlfn.XLOOKUP(A550,tatiller!H:H,tatiller!I:I,0,0)</f>
        <v>0</v>
      </c>
      <c r="O550" t="str" cm="1">
        <f t="array" ref="O550">_xlfn.IFNA(_xlfn.IFS(L550=1,"A0",A550=EOMONTH(A550,0),"A-1",L550=2,"A+1"),0)</f>
        <v>A0</v>
      </c>
      <c r="P550" cm="1">
        <f t="array" ref="P550">_xlfn.IFNA(_xlfn.IFS(AND(_xlfn.XLOOKUP(A550,'LPG Fup'!D:D,'LPG Fup'!M:M,"",0)&lt;&gt;"",_xlfn.XLOOKUP(A550,'LPG Fup'!D:D,'LPG Fup'!M:M,"",0)&gt;0),"Z-1", AND(_xlfn.XLOOKUP(A550+1,'LPG Fup'!D:D,'LPG Fup'!M:M,"",0)&lt;&gt;"",_xlfn.XLOOKUP(A550+1,'LPG Fup'!D:D,'LPG Fup'!M:M,"",0)&gt;0),"Z-2", AND(_xlfn.XLOOKUP(A550-1,'LPG Fup'!D:D,'LPG Fup'!M:M,"",0)&lt;&gt;"",_xlfn.XLOOKUP(A550-1,'LPG Fup'!D:D,'LPG Fup'!M:M,"",0)&gt;0),"Z", AND(_xlfn.XLOOKUP(A550-2,'LPG Fup'!D:D,'LPG Fup'!M:M,"",0)&lt;&gt;"",_xlfn.XLOOKUP(A550-2,'LPG Fup'!D:D,'LPG Fup'!M:M,"",0)&gt;0),"Z+1"),0)</f>
        <v>0</v>
      </c>
      <c r="Q550" cm="1">
        <f t="array" ref="Q550">_xlfn.IFNA(_xlfn.IFS(AND(_xlfn.XLOOKUP(A550,'LPG Fup'!D:D,'LPG Fup'!M:M,"",0)&lt;&gt;"",_xlfn.XLOOKUP(A550,'LPG Fup'!D:D,'LPG Fup'!M:M,"",0)&lt;0),"I-1", AND(_xlfn.XLOOKUP(A550+1,'LPG Fup'!D:D,'LPG Fup'!M:M,"",0)&lt;&gt;"",_xlfn.XLOOKUP(A550+1,'LPG Fup'!D:D,'LPG Fup'!M:M,"",0)&lt;0),"I-2", AND(_xlfn.XLOOKUP(A550-1,'LPG Fup'!D:D,'LPG Fup'!M:M,"",0)&lt;&gt;"",_xlfn.XLOOKUP(A550-1,'LPG Fup'!D:D,'LPG Fup'!M:M,"",0)&lt;0),"I", AND(_xlfn.XLOOKUP(A550-2,'LPG Fup'!D:D,'LPG Fup'!M:M,"",0)&lt;&gt;"",_xlfn.XLOOKUP(A550-2,'LPG Fup'!D:D,'LPG Fup'!M:M,"",0)&lt;0),"I+1"),0)</f>
        <v>0</v>
      </c>
      <c r="R550">
        <f>_xlfn.XLOOKUP(A550,Covid!A:A,Covid!I:I,0,0)</f>
        <v>0</v>
      </c>
      <c r="S550">
        <f>_xlfn.XLOOKUP(A550,Covid!A:A,Covid!K:K,0,0)</f>
        <v>196</v>
      </c>
      <c r="T550" s="145">
        <f>_xlfn.XLOOKUP(A550,Covid!A:A,Covid!K:K,0,0)/_xlfn.XLOOKUP(A550,Covid!A:A,Covid!L:L,0,0)</f>
        <v>8.1283954713225227E-3</v>
      </c>
    </row>
    <row r="551" spans="1:20" x14ac:dyDescent="0.55000000000000004">
      <c r="A551" s="157">
        <v>44532</v>
      </c>
      <c r="B551" s="13">
        <v>735040</v>
      </c>
      <c r="C551" s="13">
        <v>152061</v>
      </c>
      <c r="D551" s="13">
        <v>29407</v>
      </c>
      <c r="E551" s="13">
        <v>363885</v>
      </c>
      <c r="F551" s="13">
        <v>1280393</v>
      </c>
      <c r="G551">
        <f>IF(OR(_xlfn.XLOOKUP(A551,'LPG Fup'!D:D,'LPG Fup'!L:L,"",0)&gt;0.03,_xlfn.XLOOKUP(A551,'LPG Fup'!D:D,'LPG Fup'!L:L,"",0)&lt;-0.03),_xlfn.XLOOKUP(A551,'LPG Fup'!D:D,'LPG Fup'!L:L,0,0),0)</f>
        <v>0</v>
      </c>
      <c r="H551">
        <f>IF(_xlfn.XLOOKUP(A551,'LPG Fup'!D:D,'LPG Fup'!M:M,0,0)="",0,_xlfn.XLOOKUP(A551,'LPG Fup'!D:D,'LPG Fup'!M:M,0,0))</f>
        <v>0</v>
      </c>
      <c r="I551" s="109">
        <f>_xlfn.XLOOKUP(A551,'Rafineri Fiyatları'!A:A,'Rafineri Fiyatları'!B:B,"",0)</f>
        <v>10527.07</v>
      </c>
      <c r="J551">
        <f t="shared" si="32"/>
        <v>2021</v>
      </c>
      <c r="K551">
        <f t="shared" si="33"/>
        <v>12</v>
      </c>
      <c r="L551">
        <f t="shared" si="34"/>
        <v>2</v>
      </c>
      <c r="M551">
        <f t="shared" si="35"/>
        <v>5</v>
      </c>
      <c r="N551">
        <f>_xlfn.XLOOKUP(A551,tatiller!H:H,tatiller!I:I,0,0)</f>
        <v>0</v>
      </c>
      <c r="O551" t="str" cm="1">
        <f t="array" ref="O551">_xlfn.IFNA(_xlfn.IFS(L551=1,"A0",A551=EOMONTH(A551,0),"A-1",L551=2,"A+1"),0)</f>
        <v>A+1</v>
      </c>
      <c r="P551" cm="1">
        <f t="array" ref="P551">_xlfn.IFNA(_xlfn.IFS(AND(_xlfn.XLOOKUP(A551,'LPG Fup'!D:D,'LPG Fup'!M:M,"",0)&lt;&gt;"",_xlfn.XLOOKUP(A551,'LPG Fup'!D:D,'LPG Fup'!M:M,"",0)&gt;0),"Z-1", AND(_xlfn.XLOOKUP(A551+1,'LPG Fup'!D:D,'LPG Fup'!M:M,"",0)&lt;&gt;"",_xlfn.XLOOKUP(A551+1,'LPG Fup'!D:D,'LPG Fup'!M:M,"",0)&gt;0),"Z-2", AND(_xlfn.XLOOKUP(A551-1,'LPG Fup'!D:D,'LPG Fup'!M:M,"",0)&lt;&gt;"",_xlfn.XLOOKUP(A551-1,'LPG Fup'!D:D,'LPG Fup'!M:M,"",0)&gt;0),"Z", AND(_xlfn.XLOOKUP(A551-2,'LPG Fup'!D:D,'LPG Fup'!M:M,"",0)&lt;&gt;"",_xlfn.XLOOKUP(A551-2,'LPG Fup'!D:D,'LPG Fup'!M:M,"",0)&gt;0),"Z+1"),0)</f>
        <v>0</v>
      </c>
      <c r="Q551" cm="1">
        <f t="array" ref="Q551">_xlfn.IFNA(_xlfn.IFS(AND(_xlfn.XLOOKUP(A551,'LPG Fup'!D:D,'LPG Fup'!M:M,"",0)&lt;&gt;"",_xlfn.XLOOKUP(A551,'LPG Fup'!D:D,'LPG Fup'!M:M,"",0)&lt;0),"I-1", AND(_xlfn.XLOOKUP(A551+1,'LPG Fup'!D:D,'LPG Fup'!M:M,"",0)&lt;&gt;"",_xlfn.XLOOKUP(A551+1,'LPG Fup'!D:D,'LPG Fup'!M:M,"",0)&lt;0),"I-2", AND(_xlfn.XLOOKUP(A551-1,'LPG Fup'!D:D,'LPG Fup'!M:M,"",0)&lt;&gt;"",_xlfn.XLOOKUP(A551-1,'LPG Fup'!D:D,'LPG Fup'!M:M,"",0)&lt;0),"I", AND(_xlfn.XLOOKUP(A551-2,'LPG Fup'!D:D,'LPG Fup'!M:M,"",0)&lt;&gt;"",_xlfn.XLOOKUP(A551-2,'LPG Fup'!D:D,'LPG Fup'!M:M,"",0)&lt;0),"I+1"),0)</f>
        <v>0</v>
      </c>
      <c r="R551">
        <f>_xlfn.XLOOKUP(A551,Covid!A:A,Covid!I:I,0,0)</f>
        <v>0</v>
      </c>
      <c r="S551">
        <f>_xlfn.XLOOKUP(A551,Covid!A:A,Covid!K:K,0,0)</f>
        <v>192</v>
      </c>
      <c r="T551" s="145">
        <f>_xlfn.XLOOKUP(A551,Covid!A:A,Covid!K:K,0,0)/_xlfn.XLOOKUP(A551,Covid!A:A,Covid!L:L,0,0)</f>
        <v>8.6160473882606354E-3</v>
      </c>
    </row>
    <row r="552" spans="1:20" x14ac:dyDescent="0.55000000000000004">
      <c r="A552" s="157">
        <v>44533</v>
      </c>
      <c r="B552" s="13">
        <v>958840</v>
      </c>
      <c r="C552" s="13">
        <v>364375</v>
      </c>
      <c r="D552" s="13">
        <v>9250</v>
      </c>
      <c r="E552" s="13">
        <v>347273</v>
      </c>
      <c r="F552" s="13">
        <v>3879517</v>
      </c>
      <c r="G552">
        <f>IF(OR(_xlfn.XLOOKUP(A552,'LPG Fup'!D:D,'LPG Fup'!L:L,"",0)&gt;0.03,_xlfn.XLOOKUP(A552,'LPG Fup'!D:D,'LPG Fup'!L:L,"",0)&lt;-0.03),_xlfn.XLOOKUP(A552,'LPG Fup'!D:D,'LPG Fup'!L:L,0,0),0)</f>
        <v>0</v>
      </c>
      <c r="H552">
        <f>IF(_xlfn.XLOOKUP(A552,'LPG Fup'!D:D,'LPG Fup'!M:M,0,0)="",0,_xlfn.XLOOKUP(A552,'LPG Fup'!D:D,'LPG Fup'!M:M,0,0))</f>
        <v>0</v>
      </c>
      <c r="I552" s="109">
        <f>_xlfn.XLOOKUP(A552,'Rafineri Fiyatları'!A:A,'Rafineri Fiyatları'!B:B,"",0)</f>
        <v>10527.07</v>
      </c>
      <c r="J552">
        <f t="shared" si="32"/>
        <v>2021</v>
      </c>
      <c r="K552">
        <f t="shared" si="33"/>
        <v>12</v>
      </c>
      <c r="L552">
        <f t="shared" si="34"/>
        <v>3</v>
      </c>
      <c r="M552">
        <f t="shared" si="35"/>
        <v>6</v>
      </c>
      <c r="N552">
        <f>_xlfn.XLOOKUP(A552,tatiller!H:H,tatiller!I:I,0,0)</f>
        <v>0</v>
      </c>
      <c r="O552" cm="1">
        <f t="array" ref="O552">_xlfn.IFNA(_xlfn.IFS(L552=1,"A0",A552=EOMONTH(A552,0),"A-1",L552=2,"A+1"),0)</f>
        <v>0</v>
      </c>
      <c r="P552" cm="1">
        <f t="array" ref="P552">_xlfn.IFNA(_xlfn.IFS(AND(_xlfn.XLOOKUP(A552,'LPG Fup'!D:D,'LPG Fup'!M:M,"",0)&lt;&gt;"",_xlfn.XLOOKUP(A552,'LPG Fup'!D:D,'LPG Fup'!M:M,"",0)&gt;0),"Z-1", AND(_xlfn.XLOOKUP(A552+1,'LPG Fup'!D:D,'LPG Fup'!M:M,"",0)&lt;&gt;"",_xlfn.XLOOKUP(A552+1,'LPG Fup'!D:D,'LPG Fup'!M:M,"",0)&gt;0),"Z-2", AND(_xlfn.XLOOKUP(A552-1,'LPG Fup'!D:D,'LPG Fup'!M:M,"",0)&lt;&gt;"",_xlfn.XLOOKUP(A552-1,'LPG Fup'!D:D,'LPG Fup'!M:M,"",0)&gt;0),"Z", AND(_xlfn.XLOOKUP(A552-2,'LPG Fup'!D:D,'LPG Fup'!M:M,"",0)&lt;&gt;"",_xlfn.XLOOKUP(A552-2,'LPG Fup'!D:D,'LPG Fup'!M:M,"",0)&gt;0),"Z+1"),0)</f>
        <v>0</v>
      </c>
      <c r="Q552" cm="1">
        <f t="array" ref="Q552">_xlfn.IFNA(_xlfn.IFS(AND(_xlfn.XLOOKUP(A552,'LPG Fup'!D:D,'LPG Fup'!M:M,"",0)&lt;&gt;"",_xlfn.XLOOKUP(A552,'LPG Fup'!D:D,'LPG Fup'!M:M,"",0)&lt;0),"I-1", AND(_xlfn.XLOOKUP(A552+1,'LPG Fup'!D:D,'LPG Fup'!M:M,"",0)&lt;&gt;"",_xlfn.XLOOKUP(A552+1,'LPG Fup'!D:D,'LPG Fup'!M:M,"",0)&lt;0),"I-2", AND(_xlfn.XLOOKUP(A552-1,'LPG Fup'!D:D,'LPG Fup'!M:M,"",0)&lt;&gt;"",_xlfn.XLOOKUP(A552-1,'LPG Fup'!D:D,'LPG Fup'!M:M,"",0)&lt;0),"I", AND(_xlfn.XLOOKUP(A552-2,'LPG Fup'!D:D,'LPG Fup'!M:M,"",0)&lt;&gt;"",_xlfn.XLOOKUP(A552-2,'LPG Fup'!D:D,'LPG Fup'!M:M,"",0)&lt;0),"I+1"),0)</f>
        <v>0</v>
      </c>
      <c r="R552">
        <f>_xlfn.XLOOKUP(A552,Covid!A:A,Covid!I:I,0,0)</f>
        <v>0</v>
      </c>
      <c r="S552">
        <f>_xlfn.XLOOKUP(A552,Covid!A:A,Covid!K:K,0,0)</f>
        <v>187</v>
      </c>
      <c r="T552" s="145">
        <f>_xlfn.XLOOKUP(A552,Covid!A:A,Covid!K:K,0,0)/_xlfn.XLOOKUP(A552,Covid!A:A,Covid!L:L,0,0)</f>
        <v>9.2606348734710041E-3</v>
      </c>
    </row>
    <row r="553" spans="1:20" x14ac:dyDescent="0.55000000000000004">
      <c r="A553" s="157">
        <v>44534</v>
      </c>
      <c r="B553" s="13">
        <v>621220</v>
      </c>
      <c r="C553" s="13">
        <v>102634</v>
      </c>
      <c r="D553" s="13">
        <v>0</v>
      </c>
      <c r="E553" s="13">
        <v>412047</v>
      </c>
      <c r="F553" s="13">
        <v>1135901</v>
      </c>
      <c r="G553">
        <f>IF(OR(_xlfn.XLOOKUP(A553,'LPG Fup'!D:D,'LPG Fup'!L:L,"",0)&gt;0.03,_xlfn.XLOOKUP(A553,'LPG Fup'!D:D,'LPG Fup'!L:L,"",0)&lt;-0.03),_xlfn.XLOOKUP(A553,'LPG Fup'!D:D,'LPG Fup'!L:L,0,0),0)</f>
        <v>0</v>
      </c>
      <c r="H553">
        <f>IF(_xlfn.XLOOKUP(A553,'LPG Fup'!D:D,'LPG Fup'!M:M,0,0)="",0,_xlfn.XLOOKUP(A553,'LPG Fup'!D:D,'LPG Fup'!M:M,0,0))</f>
        <v>0</v>
      </c>
      <c r="I553" s="109">
        <f>_xlfn.XLOOKUP(A553,'Rafineri Fiyatları'!A:A,'Rafineri Fiyatları'!B:B,"",0)</f>
        <v>10527.07</v>
      </c>
      <c r="J553">
        <f t="shared" si="32"/>
        <v>2021</v>
      </c>
      <c r="K553">
        <f t="shared" si="33"/>
        <v>12</v>
      </c>
      <c r="L553">
        <f t="shared" si="34"/>
        <v>4</v>
      </c>
      <c r="M553">
        <f t="shared" si="35"/>
        <v>7</v>
      </c>
      <c r="N553">
        <f>_xlfn.XLOOKUP(A553,tatiller!H:H,tatiller!I:I,0,0)</f>
        <v>0</v>
      </c>
      <c r="O553" cm="1">
        <f t="array" ref="O553">_xlfn.IFNA(_xlfn.IFS(L553=1,"A0",A553=EOMONTH(A553,0),"A-1",L553=2,"A+1"),0)</f>
        <v>0</v>
      </c>
      <c r="P553" cm="1">
        <f t="array" ref="P553">_xlfn.IFNA(_xlfn.IFS(AND(_xlfn.XLOOKUP(A553,'LPG Fup'!D:D,'LPG Fup'!M:M,"",0)&lt;&gt;"",_xlfn.XLOOKUP(A553,'LPG Fup'!D:D,'LPG Fup'!M:M,"",0)&gt;0),"Z-1", AND(_xlfn.XLOOKUP(A553+1,'LPG Fup'!D:D,'LPG Fup'!M:M,"",0)&lt;&gt;"",_xlfn.XLOOKUP(A553+1,'LPG Fup'!D:D,'LPG Fup'!M:M,"",0)&gt;0),"Z-2", AND(_xlfn.XLOOKUP(A553-1,'LPG Fup'!D:D,'LPG Fup'!M:M,"",0)&lt;&gt;"",_xlfn.XLOOKUP(A553-1,'LPG Fup'!D:D,'LPG Fup'!M:M,"",0)&gt;0),"Z", AND(_xlfn.XLOOKUP(A553-2,'LPG Fup'!D:D,'LPG Fup'!M:M,"",0)&lt;&gt;"",_xlfn.XLOOKUP(A553-2,'LPG Fup'!D:D,'LPG Fup'!M:M,"",0)&gt;0),"Z+1"),0)</f>
        <v>0</v>
      </c>
      <c r="Q553" cm="1">
        <f t="array" ref="Q553">_xlfn.IFNA(_xlfn.IFS(AND(_xlfn.XLOOKUP(A553,'LPG Fup'!D:D,'LPG Fup'!M:M,"",0)&lt;&gt;"",_xlfn.XLOOKUP(A553,'LPG Fup'!D:D,'LPG Fup'!M:M,"",0)&lt;0),"I-1", AND(_xlfn.XLOOKUP(A553+1,'LPG Fup'!D:D,'LPG Fup'!M:M,"",0)&lt;&gt;"",_xlfn.XLOOKUP(A553+1,'LPG Fup'!D:D,'LPG Fup'!M:M,"",0)&lt;0),"I-2", AND(_xlfn.XLOOKUP(A553-1,'LPG Fup'!D:D,'LPG Fup'!M:M,"",0)&lt;&gt;"",_xlfn.XLOOKUP(A553-1,'LPG Fup'!D:D,'LPG Fup'!M:M,"",0)&lt;0),"I", AND(_xlfn.XLOOKUP(A553-2,'LPG Fup'!D:D,'LPG Fup'!M:M,"",0)&lt;&gt;"",_xlfn.XLOOKUP(A553-2,'LPG Fup'!D:D,'LPG Fup'!M:M,"",0)&lt;0),"I+1"),0)</f>
        <v>0</v>
      </c>
      <c r="R553">
        <f>_xlfn.XLOOKUP(A553,Covid!A:A,Covid!I:I,0,0)</f>
        <v>0</v>
      </c>
      <c r="S553">
        <f>_xlfn.XLOOKUP(A553,Covid!A:A,Covid!K:K,0,0)</f>
        <v>228</v>
      </c>
      <c r="T553" s="145">
        <f>_xlfn.XLOOKUP(A553,Covid!A:A,Covid!K:K,0,0)/_xlfn.XLOOKUP(A553,Covid!A:A,Covid!L:L,0,0)</f>
        <v>1.1714535272054669E-2</v>
      </c>
    </row>
    <row r="554" spans="1:20" x14ac:dyDescent="0.55000000000000004">
      <c r="A554" s="157">
        <v>44535</v>
      </c>
      <c r="B554" s="13">
        <v>542300</v>
      </c>
      <c r="C554" s="13">
        <v>0</v>
      </c>
      <c r="D554" s="13">
        <v>0</v>
      </c>
      <c r="E554" s="13">
        <v>343669</v>
      </c>
      <c r="F554" s="13">
        <v>885969</v>
      </c>
      <c r="G554">
        <f>IF(OR(_xlfn.XLOOKUP(A554,'LPG Fup'!D:D,'LPG Fup'!L:L,"",0)&gt;0.03,_xlfn.XLOOKUP(A554,'LPG Fup'!D:D,'LPG Fup'!L:L,"",0)&lt;-0.03),_xlfn.XLOOKUP(A554,'LPG Fup'!D:D,'LPG Fup'!L:L,0,0),0)</f>
        <v>0</v>
      </c>
      <c r="H554">
        <f>IF(_xlfn.XLOOKUP(A554,'LPG Fup'!D:D,'LPG Fup'!M:M,0,0)="",0,_xlfn.XLOOKUP(A554,'LPG Fup'!D:D,'LPG Fup'!M:M,0,0))</f>
        <v>0</v>
      </c>
      <c r="I554" s="109">
        <f>_xlfn.XLOOKUP(A554,'Rafineri Fiyatları'!A:A,'Rafineri Fiyatları'!B:B,"",0)</f>
        <v>10527.07</v>
      </c>
      <c r="J554">
        <f t="shared" si="32"/>
        <v>2021</v>
      </c>
      <c r="K554">
        <f t="shared" si="33"/>
        <v>12</v>
      </c>
      <c r="L554">
        <f t="shared" si="34"/>
        <v>5</v>
      </c>
      <c r="M554">
        <f t="shared" si="35"/>
        <v>1</v>
      </c>
      <c r="N554">
        <f>_xlfn.XLOOKUP(A554,tatiller!H:H,tatiller!I:I,0,0)</f>
        <v>0</v>
      </c>
      <c r="O554" cm="1">
        <f t="array" ref="O554">_xlfn.IFNA(_xlfn.IFS(L554=1,"A0",A554=EOMONTH(A554,0),"A-1",L554=2,"A+1"),0)</f>
        <v>0</v>
      </c>
      <c r="P554" cm="1">
        <f t="array" ref="P554">_xlfn.IFNA(_xlfn.IFS(AND(_xlfn.XLOOKUP(A554,'LPG Fup'!D:D,'LPG Fup'!M:M,"",0)&lt;&gt;"",_xlfn.XLOOKUP(A554,'LPG Fup'!D:D,'LPG Fup'!M:M,"",0)&gt;0),"Z-1", AND(_xlfn.XLOOKUP(A554+1,'LPG Fup'!D:D,'LPG Fup'!M:M,"",0)&lt;&gt;"",_xlfn.XLOOKUP(A554+1,'LPG Fup'!D:D,'LPG Fup'!M:M,"",0)&gt;0),"Z-2", AND(_xlfn.XLOOKUP(A554-1,'LPG Fup'!D:D,'LPG Fup'!M:M,"",0)&lt;&gt;"",_xlfn.XLOOKUP(A554-1,'LPG Fup'!D:D,'LPG Fup'!M:M,"",0)&gt;0),"Z", AND(_xlfn.XLOOKUP(A554-2,'LPG Fup'!D:D,'LPG Fup'!M:M,"",0)&lt;&gt;"",_xlfn.XLOOKUP(A554-2,'LPG Fup'!D:D,'LPG Fup'!M:M,"",0)&gt;0),"Z+1"),0)</f>
        <v>0</v>
      </c>
      <c r="Q554" cm="1">
        <f t="array" ref="Q554">_xlfn.IFNA(_xlfn.IFS(AND(_xlfn.XLOOKUP(A554,'LPG Fup'!D:D,'LPG Fup'!M:M,"",0)&lt;&gt;"",_xlfn.XLOOKUP(A554,'LPG Fup'!D:D,'LPG Fup'!M:M,"",0)&lt;0),"I-1", AND(_xlfn.XLOOKUP(A554+1,'LPG Fup'!D:D,'LPG Fup'!M:M,"",0)&lt;&gt;"",_xlfn.XLOOKUP(A554+1,'LPG Fup'!D:D,'LPG Fup'!M:M,"",0)&lt;0),"I-2", AND(_xlfn.XLOOKUP(A554-1,'LPG Fup'!D:D,'LPG Fup'!M:M,"",0)&lt;&gt;"",_xlfn.XLOOKUP(A554-1,'LPG Fup'!D:D,'LPG Fup'!M:M,"",0)&lt;0),"I", AND(_xlfn.XLOOKUP(A554-2,'LPG Fup'!D:D,'LPG Fup'!M:M,"",0)&lt;&gt;"",_xlfn.XLOOKUP(A554-2,'LPG Fup'!D:D,'LPG Fup'!M:M,"",0)&lt;0),"I+1"),0)</f>
        <v>0</v>
      </c>
      <c r="R554">
        <f>_xlfn.XLOOKUP(A554,Covid!A:A,Covid!I:I,0,0)</f>
        <v>0</v>
      </c>
      <c r="S554">
        <f>_xlfn.XLOOKUP(A554,Covid!A:A,Covid!K:K,0,0)</f>
        <v>185</v>
      </c>
      <c r="T554" s="145">
        <f>_xlfn.XLOOKUP(A554,Covid!A:A,Covid!K:K,0,0)/_xlfn.XLOOKUP(A554,Covid!A:A,Covid!L:L,0,0)</f>
        <v>7.6200675508690998E-3</v>
      </c>
    </row>
    <row r="555" spans="1:20" x14ac:dyDescent="0.55000000000000004">
      <c r="A555" s="157">
        <v>44536</v>
      </c>
      <c r="B555" s="13">
        <v>755380</v>
      </c>
      <c r="C555" s="13">
        <v>405439</v>
      </c>
      <c r="D555" s="13">
        <v>15861</v>
      </c>
      <c r="E555" s="13">
        <v>363258</v>
      </c>
      <c r="F555" s="13">
        <v>1539938</v>
      </c>
      <c r="G555">
        <f>IF(OR(_xlfn.XLOOKUP(A555,'LPG Fup'!D:D,'LPG Fup'!L:L,"",0)&gt;0.03,_xlfn.XLOOKUP(A555,'LPG Fup'!D:D,'LPG Fup'!L:L,"",0)&lt;-0.03),_xlfn.XLOOKUP(A555,'LPG Fup'!D:D,'LPG Fup'!L:L,0,0),0)</f>
        <v>0</v>
      </c>
      <c r="H555">
        <f>IF(_xlfn.XLOOKUP(A555,'LPG Fup'!D:D,'LPG Fup'!M:M,0,0)="",0,_xlfn.XLOOKUP(A555,'LPG Fup'!D:D,'LPG Fup'!M:M,0,0))</f>
        <v>0</v>
      </c>
      <c r="I555" s="109">
        <f>_xlfn.XLOOKUP(A555,'Rafineri Fiyatları'!A:A,'Rafineri Fiyatları'!B:B,"",0)</f>
        <v>10527.07</v>
      </c>
      <c r="J555">
        <f t="shared" si="32"/>
        <v>2021</v>
      </c>
      <c r="K555">
        <f t="shared" si="33"/>
        <v>12</v>
      </c>
      <c r="L555">
        <f t="shared" si="34"/>
        <v>6</v>
      </c>
      <c r="M555">
        <f t="shared" si="35"/>
        <v>2</v>
      </c>
      <c r="N555">
        <f>_xlfn.XLOOKUP(A555,tatiller!H:H,tatiller!I:I,0,0)</f>
        <v>0</v>
      </c>
      <c r="O555" cm="1">
        <f t="array" ref="O555">_xlfn.IFNA(_xlfn.IFS(L555=1,"A0",A555=EOMONTH(A555,0),"A-1",L555=2,"A+1"),0)</f>
        <v>0</v>
      </c>
      <c r="P555" cm="1">
        <f t="array" ref="P555">_xlfn.IFNA(_xlfn.IFS(AND(_xlfn.XLOOKUP(A555,'LPG Fup'!D:D,'LPG Fup'!M:M,"",0)&lt;&gt;"",_xlfn.XLOOKUP(A555,'LPG Fup'!D:D,'LPG Fup'!M:M,"",0)&gt;0),"Z-1", AND(_xlfn.XLOOKUP(A555+1,'LPG Fup'!D:D,'LPG Fup'!M:M,"",0)&lt;&gt;"",_xlfn.XLOOKUP(A555+1,'LPG Fup'!D:D,'LPG Fup'!M:M,"",0)&gt;0),"Z-2", AND(_xlfn.XLOOKUP(A555-1,'LPG Fup'!D:D,'LPG Fup'!M:M,"",0)&lt;&gt;"",_xlfn.XLOOKUP(A555-1,'LPG Fup'!D:D,'LPG Fup'!M:M,"",0)&gt;0),"Z", AND(_xlfn.XLOOKUP(A555-2,'LPG Fup'!D:D,'LPG Fup'!M:M,"",0)&lt;&gt;"",_xlfn.XLOOKUP(A555-2,'LPG Fup'!D:D,'LPG Fup'!M:M,"",0)&gt;0),"Z+1"),0)</f>
        <v>0</v>
      </c>
      <c r="Q555" cm="1">
        <f t="array" ref="Q555">_xlfn.IFNA(_xlfn.IFS(AND(_xlfn.XLOOKUP(A555,'LPG Fup'!D:D,'LPG Fup'!M:M,"",0)&lt;&gt;"",_xlfn.XLOOKUP(A555,'LPG Fup'!D:D,'LPG Fup'!M:M,"",0)&lt;0),"I-1", AND(_xlfn.XLOOKUP(A555+1,'LPG Fup'!D:D,'LPG Fup'!M:M,"",0)&lt;&gt;"",_xlfn.XLOOKUP(A555+1,'LPG Fup'!D:D,'LPG Fup'!M:M,"",0)&lt;0),"I-2", AND(_xlfn.XLOOKUP(A555-1,'LPG Fup'!D:D,'LPG Fup'!M:M,"",0)&lt;&gt;"",_xlfn.XLOOKUP(A555-1,'LPG Fup'!D:D,'LPG Fup'!M:M,"",0)&lt;0),"I", AND(_xlfn.XLOOKUP(A555-2,'LPG Fup'!D:D,'LPG Fup'!M:M,"",0)&lt;&gt;"",_xlfn.XLOOKUP(A555-2,'LPG Fup'!D:D,'LPG Fup'!M:M,"",0)&lt;0),"I+1"),0)</f>
        <v>0</v>
      </c>
      <c r="R555">
        <f>_xlfn.XLOOKUP(A555,Covid!A:A,Covid!I:I,0,0)</f>
        <v>0</v>
      </c>
      <c r="S555">
        <f>_xlfn.XLOOKUP(A555,Covid!A:A,Covid!K:K,0,0)</f>
        <v>187</v>
      </c>
      <c r="T555" s="145">
        <f>_xlfn.XLOOKUP(A555,Covid!A:A,Covid!K:K,0,0)/_xlfn.XLOOKUP(A555,Covid!A:A,Covid!L:L,0,0)</f>
        <v>7.3015501151848811E-3</v>
      </c>
    </row>
    <row r="556" spans="1:20" x14ac:dyDescent="0.55000000000000004">
      <c r="A556" s="157">
        <v>44537</v>
      </c>
      <c r="B556" s="13">
        <v>752060</v>
      </c>
      <c r="C556" s="13">
        <v>358538</v>
      </c>
      <c r="D556" s="13">
        <v>33512</v>
      </c>
      <c r="E556" s="13">
        <v>339907</v>
      </c>
      <c r="F556" s="13">
        <v>1484017</v>
      </c>
      <c r="G556">
        <f>IF(OR(_xlfn.XLOOKUP(A556,'LPG Fup'!D:D,'LPG Fup'!L:L,"",0)&gt;0.03,_xlfn.XLOOKUP(A556,'LPG Fup'!D:D,'LPG Fup'!L:L,"",0)&lt;-0.03),_xlfn.XLOOKUP(A556,'LPG Fup'!D:D,'LPG Fup'!L:L,0,0),0)</f>
        <v>0</v>
      </c>
      <c r="H556">
        <f>IF(_xlfn.XLOOKUP(A556,'LPG Fup'!D:D,'LPG Fup'!M:M,0,0)="",0,_xlfn.XLOOKUP(A556,'LPG Fup'!D:D,'LPG Fup'!M:M,0,0))</f>
        <v>0</v>
      </c>
      <c r="I556" s="109">
        <f>_xlfn.XLOOKUP(A556,'Rafineri Fiyatları'!A:A,'Rafineri Fiyatları'!B:B,"",0)</f>
        <v>10527.07</v>
      </c>
      <c r="J556">
        <f t="shared" si="32"/>
        <v>2021</v>
      </c>
      <c r="K556">
        <f t="shared" si="33"/>
        <v>12</v>
      </c>
      <c r="L556">
        <f t="shared" si="34"/>
        <v>7</v>
      </c>
      <c r="M556">
        <f t="shared" si="35"/>
        <v>3</v>
      </c>
      <c r="N556">
        <f>_xlfn.XLOOKUP(A556,tatiller!H:H,tatiller!I:I,0,0)</f>
        <v>0</v>
      </c>
      <c r="O556" cm="1">
        <f t="array" ref="O556">_xlfn.IFNA(_xlfn.IFS(L556=1,"A0",A556=EOMONTH(A556,0),"A-1",L556=2,"A+1"),0)</f>
        <v>0</v>
      </c>
      <c r="P556" cm="1">
        <f t="array" ref="P556">_xlfn.IFNA(_xlfn.IFS(AND(_xlfn.XLOOKUP(A556,'LPG Fup'!D:D,'LPG Fup'!M:M,"",0)&lt;&gt;"",_xlfn.XLOOKUP(A556,'LPG Fup'!D:D,'LPG Fup'!M:M,"",0)&gt;0),"Z-1", AND(_xlfn.XLOOKUP(A556+1,'LPG Fup'!D:D,'LPG Fup'!M:M,"",0)&lt;&gt;"",_xlfn.XLOOKUP(A556+1,'LPG Fup'!D:D,'LPG Fup'!M:M,"",0)&gt;0),"Z-2", AND(_xlfn.XLOOKUP(A556-1,'LPG Fup'!D:D,'LPG Fup'!M:M,"",0)&lt;&gt;"",_xlfn.XLOOKUP(A556-1,'LPG Fup'!D:D,'LPG Fup'!M:M,"",0)&gt;0),"Z", AND(_xlfn.XLOOKUP(A556-2,'LPG Fup'!D:D,'LPG Fup'!M:M,"",0)&lt;&gt;"",_xlfn.XLOOKUP(A556-2,'LPG Fup'!D:D,'LPG Fup'!M:M,"",0)&gt;0),"Z+1"),0)</f>
        <v>0</v>
      </c>
      <c r="Q556" cm="1">
        <f t="array" ref="Q556">_xlfn.IFNA(_xlfn.IFS(AND(_xlfn.XLOOKUP(A556,'LPG Fup'!D:D,'LPG Fup'!M:M,"",0)&lt;&gt;"",_xlfn.XLOOKUP(A556,'LPG Fup'!D:D,'LPG Fup'!M:M,"",0)&lt;0),"I-1", AND(_xlfn.XLOOKUP(A556+1,'LPG Fup'!D:D,'LPG Fup'!M:M,"",0)&lt;&gt;"",_xlfn.XLOOKUP(A556+1,'LPG Fup'!D:D,'LPG Fup'!M:M,"",0)&lt;0),"I-2", AND(_xlfn.XLOOKUP(A556-1,'LPG Fup'!D:D,'LPG Fup'!M:M,"",0)&lt;&gt;"",_xlfn.XLOOKUP(A556-1,'LPG Fup'!D:D,'LPG Fup'!M:M,"",0)&lt;0),"I", AND(_xlfn.XLOOKUP(A556-2,'LPG Fup'!D:D,'LPG Fup'!M:M,"",0)&lt;&gt;"",_xlfn.XLOOKUP(A556-2,'LPG Fup'!D:D,'LPG Fup'!M:M,"",0)&lt;0),"I+1"),0)</f>
        <v>0</v>
      </c>
      <c r="R556">
        <f>_xlfn.XLOOKUP(A556,Covid!A:A,Covid!I:I,0,0)</f>
        <v>0</v>
      </c>
      <c r="S556">
        <f>_xlfn.XLOOKUP(A556,Covid!A:A,Covid!K:K,0,0)</f>
        <v>198</v>
      </c>
      <c r="T556" s="145">
        <f>_xlfn.XLOOKUP(A556,Covid!A:A,Covid!K:K,0,0)/_xlfn.XLOOKUP(A556,Covid!A:A,Covid!L:L,0,0)</f>
        <v>8.1260773208569319E-3</v>
      </c>
    </row>
    <row r="557" spans="1:20" x14ac:dyDescent="0.55000000000000004">
      <c r="A557" s="157">
        <v>44538</v>
      </c>
      <c r="B557" s="13">
        <v>780920</v>
      </c>
      <c r="C557" s="13">
        <v>374664</v>
      </c>
      <c r="D557" s="13">
        <v>13024</v>
      </c>
      <c r="E557" s="13">
        <v>299611</v>
      </c>
      <c r="F557" s="13">
        <v>1468219</v>
      </c>
      <c r="G557">
        <f>IF(OR(_xlfn.XLOOKUP(A557,'LPG Fup'!D:D,'LPG Fup'!L:L,"",0)&gt;0.03,_xlfn.XLOOKUP(A557,'LPG Fup'!D:D,'LPG Fup'!L:L,"",0)&lt;-0.03),_xlfn.XLOOKUP(A557,'LPG Fup'!D:D,'LPG Fup'!L:L,0,0),0)</f>
        <v>0</v>
      </c>
      <c r="H557">
        <f>IF(_xlfn.XLOOKUP(A557,'LPG Fup'!D:D,'LPG Fup'!M:M,0,0)="",0,_xlfn.XLOOKUP(A557,'LPG Fup'!D:D,'LPG Fup'!M:M,0,0))</f>
        <v>0</v>
      </c>
      <c r="I557" s="109">
        <f>_xlfn.XLOOKUP(A557,'Rafineri Fiyatları'!A:A,'Rafineri Fiyatları'!B:B,"",0)</f>
        <v>10527.07</v>
      </c>
      <c r="J557">
        <f t="shared" si="32"/>
        <v>2021</v>
      </c>
      <c r="K557">
        <f t="shared" si="33"/>
        <v>12</v>
      </c>
      <c r="L557">
        <f t="shared" si="34"/>
        <v>8</v>
      </c>
      <c r="M557">
        <f t="shared" si="35"/>
        <v>4</v>
      </c>
      <c r="N557">
        <f>_xlfn.XLOOKUP(A557,tatiller!H:H,tatiller!I:I,0,0)</f>
        <v>0</v>
      </c>
      <c r="O557" cm="1">
        <f t="array" ref="O557">_xlfn.IFNA(_xlfn.IFS(L557=1,"A0",A557=EOMONTH(A557,0),"A-1",L557=2,"A+1"),0)</f>
        <v>0</v>
      </c>
      <c r="P557" cm="1">
        <f t="array" ref="P557">_xlfn.IFNA(_xlfn.IFS(AND(_xlfn.XLOOKUP(A557,'LPG Fup'!D:D,'LPG Fup'!M:M,"",0)&lt;&gt;"",_xlfn.XLOOKUP(A557,'LPG Fup'!D:D,'LPG Fup'!M:M,"",0)&gt;0),"Z-1", AND(_xlfn.XLOOKUP(A557+1,'LPG Fup'!D:D,'LPG Fup'!M:M,"",0)&lt;&gt;"",_xlfn.XLOOKUP(A557+1,'LPG Fup'!D:D,'LPG Fup'!M:M,"",0)&gt;0),"Z-2", AND(_xlfn.XLOOKUP(A557-1,'LPG Fup'!D:D,'LPG Fup'!M:M,"",0)&lt;&gt;"",_xlfn.XLOOKUP(A557-1,'LPG Fup'!D:D,'LPG Fup'!M:M,"",0)&gt;0),"Z", AND(_xlfn.XLOOKUP(A557-2,'LPG Fup'!D:D,'LPG Fup'!M:M,"",0)&lt;&gt;"",_xlfn.XLOOKUP(A557-2,'LPG Fup'!D:D,'LPG Fup'!M:M,"",0)&gt;0),"Z+1"),0)</f>
        <v>0</v>
      </c>
      <c r="Q557" cm="1">
        <f t="array" ref="Q557">_xlfn.IFNA(_xlfn.IFS(AND(_xlfn.XLOOKUP(A557,'LPG Fup'!D:D,'LPG Fup'!M:M,"",0)&lt;&gt;"",_xlfn.XLOOKUP(A557,'LPG Fup'!D:D,'LPG Fup'!M:M,"",0)&lt;0),"I-1", AND(_xlfn.XLOOKUP(A557+1,'LPG Fup'!D:D,'LPG Fup'!M:M,"",0)&lt;&gt;"",_xlfn.XLOOKUP(A557+1,'LPG Fup'!D:D,'LPG Fup'!M:M,"",0)&lt;0),"I-2", AND(_xlfn.XLOOKUP(A557-1,'LPG Fup'!D:D,'LPG Fup'!M:M,"",0)&lt;&gt;"",_xlfn.XLOOKUP(A557-1,'LPG Fup'!D:D,'LPG Fup'!M:M,"",0)&lt;0),"I", AND(_xlfn.XLOOKUP(A557-2,'LPG Fup'!D:D,'LPG Fup'!M:M,"",0)&lt;&gt;"",_xlfn.XLOOKUP(A557-2,'LPG Fup'!D:D,'LPG Fup'!M:M,"",0)&lt;0),"I+1"),0)</f>
        <v>0</v>
      </c>
      <c r="R557">
        <f>_xlfn.XLOOKUP(A557,Covid!A:A,Covid!I:I,0,0)</f>
        <v>0</v>
      </c>
      <c r="S557">
        <f>_xlfn.XLOOKUP(A557,Covid!A:A,Covid!K:K,0,0)</f>
        <v>192</v>
      </c>
      <c r="T557" s="145">
        <f>_xlfn.XLOOKUP(A557,Covid!A:A,Covid!K:K,0,0)/_xlfn.XLOOKUP(A557,Covid!A:A,Covid!L:L,0,0)</f>
        <v>6.425057725127999E-3</v>
      </c>
    </row>
    <row r="558" spans="1:20" x14ac:dyDescent="0.55000000000000004">
      <c r="A558" s="157">
        <v>44539</v>
      </c>
      <c r="B558" s="13">
        <v>1036220</v>
      </c>
      <c r="C558" s="13">
        <v>327309</v>
      </c>
      <c r="D558" s="13">
        <v>14031</v>
      </c>
      <c r="E558" s="13">
        <v>484699</v>
      </c>
      <c r="F558" s="13">
        <v>1862259</v>
      </c>
      <c r="G558">
        <f>IF(OR(_xlfn.XLOOKUP(A558,'LPG Fup'!D:D,'LPG Fup'!L:L,"",0)&gt;0.03,_xlfn.XLOOKUP(A558,'LPG Fup'!D:D,'LPG Fup'!L:L,"",0)&lt;-0.03),_xlfn.XLOOKUP(A558,'LPG Fup'!D:D,'LPG Fup'!L:L,0,0),0)</f>
        <v>0</v>
      </c>
      <c r="H558">
        <f>IF(_xlfn.XLOOKUP(A558,'LPG Fup'!D:D,'LPG Fup'!M:M,0,0)="",0,_xlfn.XLOOKUP(A558,'LPG Fup'!D:D,'LPG Fup'!M:M,0,0))</f>
        <v>0</v>
      </c>
      <c r="I558" s="109">
        <f>_xlfn.XLOOKUP(A558,'Rafineri Fiyatları'!A:A,'Rafineri Fiyatları'!B:B,"",0)</f>
        <v>10527.07</v>
      </c>
      <c r="J558">
        <f t="shared" si="32"/>
        <v>2021</v>
      </c>
      <c r="K558">
        <f t="shared" si="33"/>
        <v>12</v>
      </c>
      <c r="L558">
        <f t="shared" si="34"/>
        <v>9</v>
      </c>
      <c r="M558">
        <f t="shared" si="35"/>
        <v>5</v>
      </c>
      <c r="N558">
        <f>_xlfn.XLOOKUP(A558,tatiller!H:H,tatiller!I:I,0,0)</f>
        <v>0</v>
      </c>
      <c r="O558" cm="1">
        <f t="array" ref="O558">_xlfn.IFNA(_xlfn.IFS(L558=1,"A0",A558=EOMONTH(A558,0),"A-1",L558=2,"A+1"),0)</f>
        <v>0</v>
      </c>
      <c r="P558" cm="1">
        <f t="array" ref="P558">_xlfn.IFNA(_xlfn.IFS(AND(_xlfn.XLOOKUP(A558,'LPG Fup'!D:D,'LPG Fup'!M:M,"",0)&lt;&gt;"",_xlfn.XLOOKUP(A558,'LPG Fup'!D:D,'LPG Fup'!M:M,"",0)&gt;0),"Z-1", AND(_xlfn.XLOOKUP(A558+1,'LPG Fup'!D:D,'LPG Fup'!M:M,"",0)&lt;&gt;"",_xlfn.XLOOKUP(A558+1,'LPG Fup'!D:D,'LPG Fup'!M:M,"",0)&gt;0),"Z-2", AND(_xlfn.XLOOKUP(A558-1,'LPG Fup'!D:D,'LPG Fup'!M:M,"",0)&lt;&gt;"",_xlfn.XLOOKUP(A558-1,'LPG Fup'!D:D,'LPG Fup'!M:M,"",0)&gt;0),"Z", AND(_xlfn.XLOOKUP(A558-2,'LPG Fup'!D:D,'LPG Fup'!M:M,"",0)&lt;&gt;"",_xlfn.XLOOKUP(A558-2,'LPG Fup'!D:D,'LPG Fup'!M:M,"",0)&gt;0),"Z+1"),0)</f>
        <v>0</v>
      </c>
      <c r="Q558" cm="1">
        <f t="array" ref="Q558">_xlfn.IFNA(_xlfn.IFS(AND(_xlfn.XLOOKUP(A558,'LPG Fup'!D:D,'LPG Fup'!M:M,"",0)&lt;&gt;"",_xlfn.XLOOKUP(A558,'LPG Fup'!D:D,'LPG Fup'!M:M,"",0)&lt;0),"I-1", AND(_xlfn.XLOOKUP(A558+1,'LPG Fup'!D:D,'LPG Fup'!M:M,"",0)&lt;&gt;"",_xlfn.XLOOKUP(A558+1,'LPG Fup'!D:D,'LPG Fup'!M:M,"",0)&lt;0),"I-2", AND(_xlfn.XLOOKUP(A558-1,'LPG Fup'!D:D,'LPG Fup'!M:M,"",0)&lt;&gt;"",_xlfn.XLOOKUP(A558-1,'LPG Fup'!D:D,'LPG Fup'!M:M,"",0)&lt;0),"I", AND(_xlfn.XLOOKUP(A558-2,'LPG Fup'!D:D,'LPG Fup'!M:M,"",0)&lt;&gt;"",_xlfn.XLOOKUP(A558-2,'LPG Fup'!D:D,'LPG Fup'!M:M,"",0)&lt;0),"I+1"),0)</f>
        <v>0</v>
      </c>
      <c r="R558">
        <f>_xlfn.XLOOKUP(A558,Covid!A:A,Covid!I:I,0,0)</f>
        <v>0</v>
      </c>
      <c r="S558">
        <f>_xlfn.XLOOKUP(A558,Covid!A:A,Covid!K:K,0,0)</f>
        <v>195</v>
      </c>
      <c r="T558" s="145">
        <f>_xlfn.XLOOKUP(A558,Covid!A:A,Covid!K:K,0,0)/_xlfn.XLOOKUP(A558,Covid!A:A,Covid!L:L,0,0)</f>
        <v>7.1525510765506365E-3</v>
      </c>
    </row>
    <row r="559" spans="1:20" x14ac:dyDescent="0.55000000000000004">
      <c r="A559" s="157">
        <v>44540</v>
      </c>
      <c r="B559" s="13">
        <v>1634660</v>
      </c>
      <c r="C559" s="13">
        <v>440004</v>
      </c>
      <c r="D559" s="13">
        <v>1001</v>
      </c>
      <c r="E559" s="13">
        <v>396097</v>
      </c>
      <c r="F559" s="13">
        <v>4672890</v>
      </c>
      <c r="G559">
        <f>IF(OR(_xlfn.XLOOKUP(A559,'LPG Fup'!D:D,'LPG Fup'!L:L,"",0)&gt;0.03,_xlfn.XLOOKUP(A559,'LPG Fup'!D:D,'LPG Fup'!L:L,"",0)&lt;-0.03),_xlfn.XLOOKUP(A559,'LPG Fup'!D:D,'LPG Fup'!L:L,0,0),0)</f>
        <v>0</v>
      </c>
      <c r="H559">
        <f>IF(_xlfn.XLOOKUP(A559,'LPG Fup'!D:D,'LPG Fup'!M:M,0,0)="",0,_xlfn.XLOOKUP(A559,'LPG Fup'!D:D,'LPG Fup'!M:M,0,0))</f>
        <v>0</v>
      </c>
      <c r="I559" s="109">
        <f>_xlfn.XLOOKUP(A559,'Rafineri Fiyatları'!A:A,'Rafineri Fiyatları'!B:B,"",0)</f>
        <v>10527.07</v>
      </c>
      <c r="J559">
        <f t="shared" si="32"/>
        <v>2021</v>
      </c>
      <c r="K559">
        <f t="shared" si="33"/>
        <v>12</v>
      </c>
      <c r="L559">
        <f t="shared" si="34"/>
        <v>10</v>
      </c>
      <c r="M559">
        <f t="shared" si="35"/>
        <v>6</v>
      </c>
      <c r="N559">
        <f>_xlfn.XLOOKUP(A559,tatiller!H:H,tatiller!I:I,0,0)</f>
        <v>0</v>
      </c>
      <c r="O559" cm="1">
        <f t="array" ref="O559">_xlfn.IFNA(_xlfn.IFS(L559=1,"A0",A559=EOMONTH(A559,0),"A-1",L559=2,"A+1"),0)</f>
        <v>0</v>
      </c>
      <c r="P559" cm="1">
        <f t="array" ref="P559">_xlfn.IFNA(_xlfn.IFS(AND(_xlfn.XLOOKUP(A559,'LPG Fup'!D:D,'LPG Fup'!M:M,"",0)&lt;&gt;"",_xlfn.XLOOKUP(A559,'LPG Fup'!D:D,'LPG Fup'!M:M,"",0)&gt;0),"Z-1", AND(_xlfn.XLOOKUP(A559+1,'LPG Fup'!D:D,'LPG Fup'!M:M,"",0)&lt;&gt;"",_xlfn.XLOOKUP(A559+1,'LPG Fup'!D:D,'LPG Fup'!M:M,"",0)&gt;0),"Z-2", AND(_xlfn.XLOOKUP(A559-1,'LPG Fup'!D:D,'LPG Fup'!M:M,"",0)&lt;&gt;"",_xlfn.XLOOKUP(A559-1,'LPG Fup'!D:D,'LPG Fup'!M:M,"",0)&gt;0),"Z", AND(_xlfn.XLOOKUP(A559-2,'LPG Fup'!D:D,'LPG Fup'!M:M,"",0)&lt;&gt;"",_xlfn.XLOOKUP(A559-2,'LPG Fup'!D:D,'LPG Fup'!M:M,"",0)&gt;0),"Z+1"),0)</f>
        <v>0</v>
      </c>
      <c r="Q559" cm="1">
        <f t="array" ref="Q559">_xlfn.IFNA(_xlfn.IFS(AND(_xlfn.XLOOKUP(A559,'LPG Fup'!D:D,'LPG Fup'!M:M,"",0)&lt;&gt;"",_xlfn.XLOOKUP(A559,'LPG Fup'!D:D,'LPG Fup'!M:M,"",0)&lt;0),"I-1", AND(_xlfn.XLOOKUP(A559+1,'LPG Fup'!D:D,'LPG Fup'!M:M,"",0)&lt;&gt;"",_xlfn.XLOOKUP(A559+1,'LPG Fup'!D:D,'LPG Fup'!M:M,"",0)&lt;0),"I-2", AND(_xlfn.XLOOKUP(A559-1,'LPG Fup'!D:D,'LPG Fup'!M:M,"",0)&lt;&gt;"",_xlfn.XLOOKUP(A559-1,'LPG Fup'!D:D,'LPG Fup'!M:M,"",0)&lt;0),"I", AND(_xlfn.XLOOKUP(A559-2,'LPG Fup'!D:D,'LPG Fup'!M:M,"",0)&lt;&gt;"",_xlfn.XLOOKUP(A559-2,'LPG Fup'!D:D,'LPG Fup'!M:M,"",0)&lt;0),"I+1"),0)</f>
        <v>0</v>
      </c>
      <c r="R559">
        <f>_xlfn.XLOOKUP(A559,Covid!A:A,Covid!I:I,0,0)</f>
        <v>0</v>
      </c>
      <c r="S559">
        <f>_xlfn.XLOOKUP(A559,Covid!A:A,Covid!K:K,0,0)</f>
        <v>176</v>
      </c>
      <c r="T559" s="145">
        <f>_xlfn.XLOOKUP(A559,Covid!A:A,Covid!K:K,0,0)/_xlfn.XLOOKUP(A559,Covid!A:A,Covid!L:L,0,0)</f>
        <v>7.0038600819769987E-3</v>
      </c>
    </row>
    <row r="560" spans="1:20" x14ac:dyDescent="0.55000000000000004">
      <c r="A560" s="157">
        <v>44541</v>
      </c>
      <c r="B560" s="13">
        <v>827780</v>
      </c>
      <c r="C560" s="13">
        <v>125131</v>
      </c>
      <c r="D560" s="13">
        <v>9506</v>
      </c>
      <c r="E560" s="13">
        <v>387570</v>
      </c>
      <c r="F560" s="13">
        <v>1349987</v>
      </c>
      <c r="G560">
        <f>IF(OR(_xlfn.XLOOKUP(A560,'LPG Fup'!D:D,'LPG Fup'!L:L,"",0)&gt;0.03,_xlfn.XLOOKUP(A560,'LPG Fup'!D:D,'LPG Fup'!L:L,"",0)&lt;-0.03),_xlfn.XLOOKUP(A560,'LPG Fup'!D:D,'LPG Fup'!L:L,0,0),0)</f>
        <v>0</v>
      </c>
      <c r="H560">
        <f>IF(_xlfn.XLOOKUP(A560,'LPG Fup'!D:D,'LPG Fup'!M:M,0,0)="",0,_xlfn.XLOOKUP(A560,'LPG Fup'!D:D,'LPG Fup'!M:M,0,0))</f>
        <v>0</v>
      </c>
      <c r="I560" s="109">
        <f>_xlfn.XLOOKUP(A560,'Rafineri Fiyatları'!A:A,'Rafineri Fiyatları'!B:B,"",0)</f>
        <v>10527.07</v>
      </c>
      <c r="J560">
        <f t="shared" si="32"/>
        <v>2021</v>
      </c>
      <c r="K560">
        <f t="shared" si="33"/>
        <v>12</v>
      </c>
      <c r="L560">
        <f t="shared" si="34"/>
        <v>11</v>
      </c>
      <c r="M560">
        <f t="shared" si="35"/>
        <v>7</v>
      </c>
      <c r="N560">
        <f>_xlfn.XLOOKUP(A560,tatiller!H:H,tatiller!I:I,0,0)</f>
        <v>0</v>
      </c>
      <c r="O560" cm="1">
        <f t="array" ref="O560">_xlfn.IFNA(_xlfn.IFS(L560=1,"A0",A560=EOMONTH(A560,0),"A-1",L560=2,"A+1"),0)</f>
        <v>0</v>
      </c>
      <c r="P560" cm="1">
        <f t="array" ref="P560">_xlfn.IFNA(_xlfn.IFS(AND(_xlfn.XLOOKUP(A560,'LPG Fup'!D:D,'LPG Fup'!M:M,"",0)&lt;&gt;"",_xlfn.XLOOKUP(A560,'LPG Fup'!D:D,'LPG Fup'!M:M,"",0)&gt;0),"Z-1", AND(_xlfn.XLOOKUP(A560+1,'LPG Fup'!D:D,'LPG Fup'!M:M,"",0)&lt;&gt;"",_xlfn.XLOOKUP(A560+1,'LPG Fup'!D:D,'LPG Fup'!M:M,"",0)&gt;0),"Z-2", AND(_xlfn.XLOOKUP(A560-1,'LPG Fup'!D:D,'LPG Fup'!M:M,"",0)&lt;&gt;"",_xlfn.XLOOKUP(A560-1,'LPG Fup'!D:D,'LPG Fup'!M:M,"",0)&gt;0),"Z", AND(_xlfn.XLOOKUP(A560-2,'LPG Fup'!D:D,'LPG Fup'!M:M,"",0)&lt;&gt;"",_xlfn.XLOOKUP(A560-2,'LPG Fup'!D:D,'LPG Fup'!M:M,"",0)&gt;0),"Z+1"),0)</f>
        <v>0</v>
      </c>
      <c r="Q560" cm="1">
        <f t="array" ref="Q560">_xlfn.IFNA(_xlfn.IFS(AND(_xlfn.XLOOKUP(A560,'LPG Fup'!D:D,'LPG Fup'!M:M,"",0)&lt;&gt;"",_xlfn.XLOOKUP(A560,'LPG Fup'!D:D,'LPG Fup'!M:M,"",0)&lt;0),"I-1", AND(_xlfn.XLOOKUP(A560+1,'LPG Fup'!D:D,'LPG Fup'!M:M,"",0)&lt;&gt;"",_xlfn.XLOOKUP(A560+1,'LPG Fup'!D:D,'LPG Fup'!M:M,"",0)&lt;0),"I-2", AND(_xlfn.XLOOKUP(A560-1,'LPG Fup'!D:D,'LPG Fup'!M:M,"",0)&lt;&gt;"",_xlfn.XLOOKUP(A560-1,'LPG Fup'!D:D,'LPG Fup'!M:M,"",0)&lt;0),"I", AND(_xlfn.XLOOKUP(A560-2,'LPG Fup'!D:D,'LPG Fup'!M:M,"",0)&lt;&gt;"",_xlfn.XLOOKUP(A560-2,'LPG Fup'!D:D,'LPG Fup'!M:M,"",0)&lt;0),"I+1"),0)</f>
        <v>0</v>
      </c>
      <c r="R560">
        <f>_xlfn.XLOOKUP(A560,Covid!A:A,Covid!I:I,0,0)</f>
        <v>0</v>
      </c>
      <c r="S560">
        <f>_xlfn.XLOOKUP(A560,Covid!A:A,Covid!K:K,0,0)</f>
        <v>191</v>
      </c>
      <c r="T560" s="145">
        <f>_xlfn.XLOOKUP(A560,Covid!A:A,Covid!K:K,0,0)/_xlfn.XLOOKUP(A560,Covid!A:A,Covid!L:L,0,0)</f>
        <v>8.2398619499568591E-3</v>
      </c>
    </row>
    <row r="561" spans="1:20" x14ac:dyDescent="0.55000000000000004">
      <c r="A561" s="157">
        <v>44542</v>
      </c>
      <c r="B561" s="13">
        <v>680720</v>
      </c>
      <c r="C561" s="13">
        <v>0</v>
      </c>
      <c r="D561" s="13">
        <v>0</v>
      </c>
      <c r="E561" s="13">
        <v>223913</v>
      </c>
      <c r="F561" s="13">
        <v>904633</v>
      </c>
      <c r="G561">
        <f>IF(OR(_xlfn.XLOOKUP(A561,'LPG Fup'!D:D,'LPG Fup'!L:L,"",0)&gt;0.03,_xlfn.XLOOKUP(A561,'LPG Fup'!D:D,'LPG Fup'!L:L,"",0)&lt;-0.03),_xlfn.XLOOKUP(A561,'LPG Fup'!D:D,'LPG Fup'!L:L,0,0),0)</f>
        <v>0</v>
      </c>
      <c r="H561">
        <f>IF(_xlfn.XLOOKUP(A561,'LPG Fup'!D:D,'LPG Fup'!M:M,0,0)="",0,_xlfn.XLOOKUP(A561,'LPG Fup'!D:D,'LPG Fup'!M:M,0,0))</f>
        <v>0</v>
      </c>
      <c r="I561" s="109">
        <f>_xlfn.XLOOKUP(A561,'Rafineri Fiyatları'!A:A,'Rafineri Fiyatları'!B:B,"",0)</f>
        <v>10527.07</v>
      </c>
      <c r="J561">
        <f t="shared" si="32"/>
        <v>2021</v>
      </c>
      <c r="K561">
        <f t="shared" si="33"/>
        <v>12</v>
      </c>
      <c r="L561">
        <f t="shared" si="34"/>
        <v>12</v>
      </c>
      <c r="M561">
        <f t="shared" si="35"/>
        <v>1</v>
      </c>
      <c r="N561">
        <f>_xlfn.XLOOKUP(A561,tatiller!H:H,tatiller!I:I,0,0)</f>
        <v>0</v>
      </c>
      <c r="O561" cm="1">
        <f t="array" ref="O561">_xlfn.IFNA(_xlfn.IFS(L561=1,"A0",A561=EOMONTH(A561,0),"A-1",L561=2,"A+1"),0)</f>
        <v>0</v>
      </c>
      <c r="P561" cm="1">
        <f t="array" ref="P561">_xlfn.IFNA(_xlfn.IFS(AND(_xlfn.XLOOKUP(A561,'LPG Fup'!D:D,'LPG Fup'!M:M,"",0)&lt;&gt;"",_xlfn.XLOOKUP(A561,'LPG Fup'!D:D,'LPG Fup'!M:M,"",0)&gt;0),"Z-1", AND(_xlfn.XLOOKUP(A561+1,'LPG Fup'!D:D,'LPG Fup'!M:M,"",0)&lt;&gt;"",_xlfn.XLOOKUP(A561+1,'LPG Fup'!D:D,'LPG Fup'!M:M,"",0)&gt;0),"Z-2", AND(_xlfn.XLOOKUP(A561-1,'LPG Fup'!D:D,'LPG Fup'!M:M,"",0)&lt;&gt;"",_xlfn.XLOOKUP(A561-1,'LPG Fup'!D:D,'LPG Fup'!M:M,"",0)&gt;0),"Z", AND(_xlfn.XLOOKUP(A561-2,'LPG Fup'!D:D,'LPG Fup'!M:M,"",0)&lt;&gt;"",_xlfn.XLOOKUP(A561-2,'LPG Fup'!D:D,'LPG Fup'!M:M,"",0)&gt;0),"Z+1"),0)</f>
        <v>0</v>
      </c>
      <c r="Q561" cm="1">
        <f t="array" ref="Q561">_xlfn.IFNA(_xlfn.IFS(AND(_xlfn.XLOOKUP(A561,'LPG Fup'!D:D,'LPG Fup'!M:M,"",0)&lt;&gt;"",_xlfn.XLOOKUP(A561,'LPG Fup'!D:D,'LPG Fup'!M:M,"",0)&lt;0),"I-1", AND(_xlfn.XLOOKUP(A561+1,'LPG Fup'!D:D,'LPG Fup'!M:M,"",0)&lt;&gt;"",_xlfn.XLOOKUP(A561+1,'LPG Fup'!D:D,'LPG Fup'!M:M,"",0)&lt;0),"I-2", AND(_xlfn.XLOOKUP(A561-1,'LPG Fup'!D:D,'LPG Fup'!M:M,"",0)&lt;&gt;"",_xlfn.XLOOKUP(A561-1,'LPG Fup'!D:D,'LPG Fup'!M:M,"",0)&lt;0),"I", AND(_xlfn.XLOOKUP(A561-2,'LPG Fup'!D:D,'LPG Fup'!M:M,"",0)&lt;&gt;"",_xlfn.XLOOKUP(A561-2,'LPG Fup'!D:D,'LPG Fup'!M:M,"",0)&lt;0),"I+1"),0)</f>
        <v>0</v>
      </c>
      <c r="R561">
        <f>_xlfn.XLOOKUP(A561,Covid!A:A,Covid!I:I,0,0)</f>
        <v>0</v>
      </c>
      <c r="S561">
        <f>_xlfn.XLOOKUP(A561,Covid!A:A,Covid!K:K,0,0)</f>
        <v>182</v>
      </c>
      <c r="T561" s="145">
        <f>_xlfn.XLOOKUP(A561,Covid!A:A,Covid!K:K,0,0)/_xlfn.XLOOKUP(A561,Covid!A:A,Covid!L:L,0,0)</f>
        <v>8.0360296714941711E-3</v>
      </c>
    </row>
    <row r="562" spans="1:20" x14ac:dyDescent="0.55000000000000004">
      <c r="A562" s="157">
        <v>44543</v>
      </c>
      <c r="B562" s="13">
        <v>909180</v>
      </c>
      <c r="C562" s="13">
        <v>485740</v>
      </c>
      <c r="D562" s="13">
        <v>4961</v>
      </c>
      <c r="E562" s="13">
        <v>407069</v>
      </c>
      <c r="F562" s="13">
        <v>1806950</v>
      </c>
      <c r="G562">
        <f>IF(OR(_xlfn.XLOOKUP(A562,'LPG Fup'!D:D,'LPG Fup'!L:L,"",0)&gt;0.03,_xlfn.XLOOKUP(A562,'LPG Fup'!D:D,'LPG Fup'!L:L,"",0)&lt;-0.03),_xlfn.XLOOKUP(A562,'LPG Fup'!D:D,'LPG Fup'!L:L,0,0),0)</f>
        <v>0</v>
      </c>
      <c r="H562">
        <f>IF(_xlfn.XLOOKUP(A562,'LPG Fup'!D:D,'LPG Fup'!M:M,0,0)="",0,_xlfn.XLOOKUP(A562,'LPG Fup'!D:D,'LPG Fup'!M:M,0,0))</f>
        <v>0</v>
      </c>
      <c r="I562" s="109">
        <f>_xlfn.XLOOKUP(A562,'Rafineri Fiyatları'!A:A,'Rafineri Fiyatları'!B:B,"",0)</f>
        <v>10527.07</v>
      </c>
      <c r="J562">
        <f t="shared" si="32"/>
        <v>2021</v>
      </c>
      <c r="K562">
        <f t="shared" si="33"/>
        <v>12</v>
      </c>
      <c r="L562">
        <f t="shared" si="34"/>
        <v>13</v>
      </c>
      <c r="M562">
        <f t="shared" si="35"/>
        <v>2</v>
      </c>
      <c r="N562">
        <f>_xlfn.XLOOKUP(A562,tatiller!H:H,tatiller!I:I,0,0)</f>
        <v>0</v>
      </c>
      <c r="O562" cm="1">
        <f t="array" ref="O562">_xlfn.IFNA(_xlfn.IFS(L562=1,"A0",A562=EOMONTH(A562,0),"A-1",L562=2,"A+1"),0)</f>
        <v>0</v>
      </c>
      <c r="P562" cm="1">
        <f t="array" ref="P562">_xlfn.IFNA(_xlfn.IFS(AND(_xlfn.XLOOKUP(A562,'LPG Fup'!D:D,'LPG Fup'!M:M,"",0)&lt;&gt;"",_xlfn.XLOOKUP(A562,'LPG Fup'!D:D,'LPG Fup'!M:M,"",0)&gt;0),"Z-1", AND(_xlfn.XLOOKUP(A562+1,'LPG Fup'!D:D,'LPG Fup'!M:M,"",0)&lt;&gt;"",_xlfn.XLOOKUP(A562+1,'LPG Fup'!D:D,'LPG Fup'!M:M,"",0)&gt;0),"Z-2", AND(_xlfn.XLOOKUP(A562-1,'LPG Fup'!D:D,'LPG Fup'!M:M,"",0)&lt;&gt;"",_xlfn.XLOOKUP(A562-1,'LPG Fup'!D:D,'LPG Fup'!M:M,"",0)&gt;0),"Z", AND(_xlfn.XLOOKUP(A562-2,'LPG Fup'!D:D,'LPG Fup'!M:M,"",0)&lt;&gt;"",_xlfn.XLOOKUP(A562-2,'LPG Fup'!D:D,'LPG Fup'!M:M,"",0)&gt;0),"Z+1"),0)</f>
        <v>0</v>
      </c>
      <c r="Q562" cm="1">
        <f t="array" ref="Q562">_xlfn.IFNA(_xlfn.IFS(AND(_xlfn.XLOOKUP(A562,'LPG Fup'!D:D,'LPG Fup'!M:M,"",0)&lt;&gt;"",_xlfn.XLOOKUP(A562,'LPG Fup'!D:D,'LPG Fup'!M:M,"",0)&lt;0),"I-1", AND(_xlfn.XLOOKUP(A562+1,'LPG Fup'!D:D,'LPG Fup'!M:M,"",0)&lt;&gt;"",_xlfn.XLOOKUP(A562+1,'LPG Fup'!D:D,'LPG Fup'!M:M,"",0)&lt;0),"I-2", AND(_xlfn.XLOOKUP(A562-1,'LPG Fup'!D:D,'LPG Fup'!M:M,"",0)&lt;&gt;"",_xlfn.XLOOKUP(A562-1,'LPG Fup'!D:D,'LPG Fup'!M:M,"",0)&lt;0),"I", AND(_xlfn.XLOOKUP(A562-2,'LPG Fup'!D:D,'LPG Fup'!M:M,"",0)&lt;&gt;"",_xlfn.XLOOKUP(A562-2,'LPG Fup'!D:D,'LPG Fup'!M:M,"",0)&lt;0),"I+1"),0)</f>
        <v>0</v>
      </c>
      <c r="R562">
        <f>_xlfn.XLOOKUP(A562,Covid!A:A,Covid!I:I,0,0)</f>
        <v>0</v>
      </c>
      <c r="S562">
        <f>_xlfn.XLOOKUP(A562,Covid!A:A,Covid!K:K,0,0)</f>
        <v>171</v>
      </c>
      <c r="T562" s="145">
        <f>_xlfn.XLOOKUP(A562,Covid!A:A,Covid!K:K,0,0)/_xlfn.XLOOKUP(A562,Covid!A:A,Covid!L:L,0,0)</f>
        <v>7.3573702779450995E-3</v>
      </c>
    </row>
    <row r="563" spans="1:20" x14ac:dyDescent="0.55000000000000004">
      <c r="A563" s="157">
        <v>44544</v>
      </c>
      <c r="B563" s="13">
        <v>852280</v>
      </c>
      <c r="C563" s="13">
        <v>392354</v>
      </c>
      <c r="D563" s="13">
        <v>6027</v>
      </c>
      <c r="E563" s="13">
        <v>430384</v>
      </c>
      <c r="F563" s="13">
        <v>1681045</v>
      </c>
      <c r="G563">
        <f>IF(OR(_xlfn.XLOOKUP(A563,'LPG Fup'!D:D,'LPG Fup'!L:L,"",0)&gt;0.03,_xlfn.XLOOKUP(A563,'LPG Fup'!D:D,'LPG Fup'!L:L,"",0)&lt;-0.03),_xlfn.XLOOKUP(A563,'LPG Fup'!D:D,'LPG Fup'!L:L,0,0),0)</f>
        <v>0</v>
      </c>
      <c r="H563">
        <f>IF(_xlfn.XLOOKUP(A563,'LPG Fup'!D:D,'LPG Fup'!M:M,0,0)="",0,_xlfn.XLOOKUP(A563,'LPG Fup'!D:D,'LPG Fup'!M:M,0,0))</f>
        <v>0</v>
      </c>
      <c r="I563" s="109">
        <f>_xlfn.XLOOKUP(A563,'Rafineri Fiyatları'!A:A,'Rafineri Fiyatları'!B:B,"",0)</f>
        <v>10527.07</v>
      </c>
      <c r="J563">
        <f t="shared" si="32"/>
        <v>2021</v>
      </c>
      <c r="K563">
        <f t="shared" si="33"/>
        <v>12</v>
      </c>
      <c r="L563">
        <f t="shared" si="34"/>
        <v>14</v>
      </c>
      <c r="M563">
        <f t="shared" si="35"/>
        <v>3</v>
      </c>
      <c r="N563">
        <f>_xlfn.XLOOKUP(A563,tatiller!H:H,tatiller!I:I,0,0)</f>
        <v>0</v>
      </c>
      <c r="O563" cm="1">
        <f t="array" ref="O563">_xlfn.IFNA(_xlfn.IFS(L563=1,"A0",A563=EOMONTH(A563,0),"A-1",L563=2,"A+1"),0)</f>
        <v>0</v>
      </c>
      <c r="P563" cm="1">
        <f t="array" ref="P563">_xlfn.IFNA(_xlfn.IFS(AND(_xlfn.XLOOKUP(A563,'LPG Fup'!D:D,'LPG Fup'!M:M,"",0)&lt;&gt;"",_xlfn.XLOOKUP(A563,'LPG Fup'!D:D,'LPG Fup'!M:M,"",0)&gt;0),"Z-1", AND(_xlfn.XLOOKUP(A563+1,'LPG Fup'!D:D,'LPG Fup'!M:M,"",0)&lt;&gt;"",_xlfn.XLOOKUP(A563+1,'LPG Fup'!D:D,'LPG Fup'!M:M,"",0)&gt;0),"Z-2", AND(_xlfn.XLOOKUP(A563-1,'LPG Fup'!D:D,'LPG Fup'!M:M,"",0)&lt;&gt;"",_xlfn.XLOOKUP(A563-1,'LPG Fup'!D:D,'LPG Fup'!M:M,"",0)&gt;0),"Z", AND(_xlfn.XLOOKUP(A563-2,'LPG Fup'!D:D,'LPG Fup'!M:M,"",0)&lt;&gt;"",_xlfn.XLOOKUP(A563-2,'LPG Fup'!D:D,'LPG Fup'!M:M,"",0)&gt;0),"Z+1"),0)</f>
        <v>0</v>
      </c>
      <c r="Q563" cm="1">
        <f t="array" ref="Q563">_xlfn.IFNA(_xlfn.IFS(AND(_xlfn.XLOOKUP(A563,'LPG Fup'!D:D,'LPG Fup'!M:M,"",0)&lt;&gt;"",_xlfn.XLOOKUP(A563,'LPG Fup'!D:D,'LPG Fup'!M:M,"",0)&lt;0),"I-1", AND(_xlfn.XLOOKUP(A563+1,'LPG Fup'!D:D,'LPG Fup'!M:M,"",0)&lt;&gt;"",_xlfn.XLOOKUP(A563+1,'LPG Fup'!D:D,'LPG Fup'!M:M,"",0)&lt;0),"I-2", AND(_xlfn.XLOOKUP(A563-1,'LPG Fup'!D:D,'LPG Fup'!M:M,"",0)&lt;&gt;"",_xlfn.XLOOKUP(A563-1,'LPG Fup'!D:D,'LPG Fup'!M:M,"",0)&lt;0),"I", AND(_xlfn.XLOOKUP(A563-2,'LPG Fup'!D:D,'LPG Fup'!M:M,"",0)&lt;&gt;"",_xlfn.XLOOKUP(A563-2,'LPG Fup'!D:D,'LPG Fup'!M:M,"",0)&lt;0),"I+1"),0)</f>
        <v>0</v>
      </c>
      <c r="R563">
        <f>_xlfn.XLOOKUP(A563,Covid!A:A,Covid!I:I,0,0)</f>
        <v>0</v>
      </c>
      <c r="S563">
        <f>_xlfn.XLOOKUP(A563,Covid!A:A,Covid!K:K,0,0)</f>
        <v>181</v>
      </c>
      <c r="T563" s="145">
        <f>_xlfn.XLOOKUP(A563,Covid!A:A,Covid!K:K,0,0)/_xlfn.XLOOKUP(A563,Covid!A:A,Covid!L:L,0,0)</f>
        <v>7.5284918060061559E-3</v>
      </c>
    </row>
    <row r="564" spans="1:20" x14ac:dyDescent="0.55000000000000004">
      <c r="A564" s="157">
        <v>44545</v>
      </c>
      <c r="B564" s="13">
        <v>1173000</v>
      </c>
      <c r="C564" s="13">
        <v>380953</v>
      </c>
      <c r="D564" s="13">
        <v>4001</v>
      </c>
      <c r="E564" s="13">
        <v>344799</v>
      </c>
      <c r="F564" s="13">
        <v>1902753</v>
      </c>
      <c r="G564">
        <f>IF(OR(_xlfn.XLOOKUP(A564,'LPG Fup'!D:D,'LPG Fup'!L:L,"",0)&gt;0.03,_xlfn.XLOOKUP(A564,'LPG Fup'!D:D,'LPG Fup'!L:L,"",0)&lt;-0.03),_xlfn.XLOOKUP(A564,'LPG Fup'!D:D,'LPG Fup'!L:L,0,0),0)</f>
        <v>0</v>
      </c>
      <c r="H564">
        <f>IF(_xlfn.XLOOKUP(A564,'LPG Fup'!D:D,'LPG Fup'!M:M,0,0)="",0,_xlfn.XLOOKUP(A564,'LPG Fup'!D:D,'LPG Fup'!M:M,0,0))</f>
        <v>0</v>
      </c>
      <c r="I564" s="109">
        <f>_xlfn.XLOOKUP(A564,'Rafineri Fiyatları'!A:A,'Rafineri Fiyatları'!B:B,"",0)</f>
        <v>10527.07</v>
      </c>
      <c r="J564">
        <f t="shared" si="32"/>
        <v>2021</v>
      </c>
      <c r="K564">
        <f t="shared" si="33"/>
        <v>12</v>
      </c>
      <c r="L564">
        <f t="shared" si="34"/>
        <v>15</v>
      </c>
      <c r="M564">
        <f t="shared" si="35"/>
        <v>4</v>
      </c>
      <c r="N564">
        <f>_xlfn.XLOOKUP(A564,tatiller!H:H,tatiller!I:I,0,0)</f>
        <v>0</v>
      </c>
      <c r="O564" cm="1">
        <f t="array" ref="O564">_xlfn.IFNA(_xlfn.IFS(L564=1,"A0",A564=EOMONTH(A564,0),"A-1",L564=2,"A+1"),0)</f>
        <v>0</v>
      </c>
      <c r="P564" cm="1">
        <f t="array" ref="P564">_xlfn.IFNA(_xlfn.IFS(AND(_xlfn.XLOOKUP(A564,'LPG Fup'!D:D,'LPG Fup'!M:M,"",0)&lt;&gt;"",_xlfn.XLOOKUP(A564,'LPG Fup'!D:D,'LPG Fup'!M:M,"",0)&gt;0),"Z-1", AND(_xlfn.XLOOKUP(A564+1,'LPG Fup'!D:D,'LPG Fup'!M:M,"",0)&lt;&gt;"",_xlfn.XLOOKUP(A564+1,'LPG Fup'!D:D,'LPG Fup'!M:M,"",0)&gt;0),"Z-2", AND(_xlfn.XLOOKUP(A564-1,'LPG Fup'!D:D,'LPG Fup'!M:M,"",0)&lt;&gt;"",_xlfn.XLOOKUP(A564-1,'LPG Fup'!D:D,'LPG Fup'!M:M,"",0)&gt;0),"Z", AND(_xlfn.XLOOKUP(A564-2,'LPG Fup'!D:D,'LPG Fup'!M:M,"",0)&lt;&gt;"",_xlfn.XLOOKUP(A564-2,'LPG Fup'!D:D,'LPG Fup'!M:M,"",0)&gt;0),"Z+1"),0)</f>
        <v>0</v>
      </c>
      <c r="Q564" cm="1">
        <f t="array" ref="Q564">_xlfn.IFNA(_xlfn.IFS(AND(_xlfn.XLOOKUP(A564,'LPG Fup'!D:D,'LPG Fup'!M:M,"",0)&lt;&gt;"",_xlfn.XLOOKUP(A564,'LPG Fup'!D:D,'LPG Fup'!M:M,"",0)&lt;0),"I-1", AND(_xlfn.XLOOKUP(A564+1,'LPG Fup'!D:D,'LPG Fup'!M:M,"",0)&lt;&gt;"",_xlfn.XLOOKUP(A564+1,'LPG Fup'!D:D,'LPG Fup'!M:M,"",0)&lt;0),"I-2", AND(_xlfn.XLOOKUP(A564-1,'LPG Fup'!D:D,'LPG Fup'!M:M,"",0)&lt;&gt;"",_xlfn.XLOOKUP(A564-1,'LPG Fup'!D:D,'LPG Fup'!M:M,"",0)&lt;0),"I", AND(_xlfn.XLOOKUP(A564-2,'LPG Fup'!D:D,'LPG Fup'!M:M,"",0)&lt;&gt;"",_xlfn.XLOOKUP(A564-2,'LPG Fup'!D:D,'LPG Fup'!M:M,"",0)&lt;0),"I+1"),0)</f>
        <v>0</v>
      </c>
      <c r="R564">
        <f>_xlfn.XLOOKUP(A564,Covid!A:A,Covid!I:I,0,0)</f>
        <v>0</v>
      </c>
      <c r="S564">
        <f>_xlfn.XLOOKUP(A564,Covid!A:A,Covid!K:K,0,0)</f>
        <v>193</v>
      </c>
      <c r="T564" s="145">
        <f>_xlfn.XLOOKUP(A564,Covid!A:A,Covid!K:K,0,0)/_xlfn.XLOOKUP(A564,Covid!A:A,Covid!L:L,0,0)</f>
        <v>7.6468956773247752E-3</v>
      </c>
    </row>
    <row r="565" spans="1:20" x14ac:dyDescent="0.55000000000000004">
      <c r="A565" s="157">
        <v>44546</v>
      </c>
      <c r="B565" s="13">
        <v>616020</v>
      </c>
      <c r="C565" s="13">
        <v>423251</v>
      </c>
      <c r="D565" s="13">
        <v>14424</v>
      </c>
      <c r="E565" s="13">
        <v>378725</v>
      </c>
      <c r="F565" s="13">
        <v>1432420</v>
      </c>
      <c r="G565">
        <f>IF(OR(_xlfn.XLOOKUP(A565,'LPG Fup'!D:D,'LPG Fup'!L:L,"",0)&gt;0.03,_xlfn.XLOOKUP(A565,'LPG Fup'!D:D,'LPG Fup'!L:L,"",0)&lt;-0.03),_xlfn.XLOOKUP(A565,'LPG Fup'!D:D,'LPG Fup'!L:L,0,0),0)</f>
        <v>0</v>
      </c>
      <c r="H565">
        <f>IF(_xlfn.XLOOKUP(A565,'LPG Fup'!D:D,'LPG Fup'!M:M,0,0)="",0,_xlfn.XLOOKUP(A565,'LPG Fup'!D:D,'LPG Fup'!M:M,0,0))</f>
        <v>0</v>
      </c>
      <c r="I565" s="109">
        <f>_xlfn.XLOOKUP(A565,'Rafineri Fiyatları'!A:A,'Rafineri Fiyatları'!B:B,"",0)</f>
        <v>10527.07</v>
      </c>
      <c r="J565">
        <f t="shared" si="32"/>
        <v>2021</v>
      </c>
      <c r="K565">
        <f t="shared" si="33"/>
        <v>12</v>
      </c>
      <c r="L565">
        <f t="shared" si="34"/>
        <v>16</v>
      </c>
      <c r="M565">
        <f t="shared" si="35"/>
        <v>5</v>
      </c>
      <c r="N565">
        <f>_xlfn.XLOOKUP(A565,tatiller!H:H,tatiller!I:I,0,0)</f>
        <v>0</v>
      </c>
      <c r="O565" cm="1">
        <f t="array" ref="O565">_xlfn.IFNA(_xlfn.IFS(L565=1,"A0",A565=EOMONTH(A565,0),"A-1",L565=2,"A+1"),0)</f>
        <v>0</v>
      </c>
      <c r="P565" t="str" cm="1">
        <f t="array" ref="P565">_xlfn.IFNA(_xlfn.IFS(AND(_xlfn.XLOOKUP(A565,'LPG Fup'!D:D,'LPG Fup'!M:M,"",0)&lt;&gt;"",_xlfn.XLOOKUP(A565,'LPG Fup'!D:D,'LPG Fup'!M:M,"",0)&gt;0),"Z-1", AND(_xlfn.XLOOKUP(A565+1,'LPG Fup'!D:D,'LPG Fup'!M:M,"",0)&lt;&gt;"",_xlfn.XLOOKUP(A565+1,'LPG Fup'!D:D,'LPG Fup'!M:M,"",0)&gt;0),"Z-2", AND(_xlfn.XLOOKUP(A565-1,'LPG Fup'!D:D,'LPG Fup'!M:M,"",0)&lt;&gt;"",_xlfn.XLOOKUP(A565-1,'LPG Fup'!D:D,'LPG Fup'!M:M,"",0)&gt;0),"Z", AND(_xlfn.XLOOKUP(A565-2,'LPG Fup'!D:D,'LPG Fup'!M:M,"",0)&lt;&gt;"",_xlfn.XLOOKUP(A565-2,'LPG Fup'!D:D,'LPG Fup'!M:M,"",0)&gt;0),"Z+1"),0)</f>
        <v>Z-2</v>
      </c>
      <c r="Q565" cm="1">
        <f t="array" ref="Q565">_xlfn.IFNA(_xlfn.IFS(AND(_xlfn.XLOOKUP(A565,'LPG Fup'!D:D,'LPG Fup'!M:M,"",0)&lt;&gt;"",_xlfn.XLOOKUP(A565,'LPG Fup'!D:D,'LPG Fup'!M:M,"",0)&lt;0),"I-1", AND(_xlfn.XLOOKUP(A565+1,'LPG Fup'!D:D,'LPG Fup'!M:M,"",0)&lt;&gt;"",_xlfn.XLOOKUP(A565+1,'LPG Fup'!D:D,'LPG Fup'!M:M,"",0)&lt;0),"I-2", AND(_xlfn.XLOOKUP(A565-1,'LPG Fup'!D:D,'LPG Fup'!M:M,"",0)&lt;&gt;"",_xlfn.XLOOKUP(A565-1,'LPG Fup'!D:D,'LPG Fup'!M:M,"",0)&lt;0),"I", AND(_xlfn.XLOOKUP(A565-2,'LPG Fup'!D:D,'LPG Fup'!M:M,"",0)&lt;&gt;"",_xlfn.XLOOKUP(A565-2,'LPG Fup'!D:D,'LPG Fup'!M:M,"",0)&lt;0),"I+1"),0)</f>
        <v>0</v>
      </c>
      <c r="R565">
        <f>_xlfn.XLOOKUP(A565,Covid!A:A,Covid!I:I,0,0)</f>
        <v>0</v>
      </c>
      <c r="S565">
        <f>_xlfn.XLOOKUP(A565,Covid!A:A,Covid!K:K,0,0)</f>
        <v>167</v>
      </c>
      <c r="T565" s="145">
        <f>_xlfn.XLOOKUP(A565,Covid!A:A,Covid!K:K,0,0)/_xlfn.XLOOKUP(A565,Covid!A:A,Covid!L:L,0,0)</f>
        <v>6.5071695760598501E-3</v>
      </c>
    </row>
    <row r="566" spans="1:20" x14ac:dyDescent="0.55000000000000004">
      <c r="A566" s="157">
        <v>44547</v>
      </c>
      <c r="B566" s="13">
        <v>1108000</v>
      </c>
      <c r="C566" s="13">
        <v>978184</v>
      </c>
      <c r="D566" s="13">
        <v>35116</v>
      </c>
      <c r="E566" s="13">
        <v>779110</v>
      </c>
      <c r="F566" s="13">
        <v>2900410</v>
      </c>
      <c r="G566">
        <f>IF(OR(_xlfn.XLOOKUP(A566,'LPG Fup'!D:D,'LPG Fup'!L:L,"",0)&gt;0.03,_xlfn.XLOOKUP(A566,'LPG Fup'!D:D,'LPG Fup'!L:L,"",0)&lt;-0.03),_xlfn.XLOOKUP(A566,'LPG Fup'!D:D,'LPG Fup'!L:L,0,0),0)</f>
        <v>4.3441573606577126E-2</v>
      </c>
      <c r="H566">
        <f>IF(_xlfn.XLOOKUP(A566,'LPG Fup'!D:D,'LPG Fup'!M:M,0,0)="",0,_xlfn.XLOOKUP(A566,'LPG Fup'!D:D,'LPG Fup'!M:M,0,0))</f>
        <v>1058.9011499999997</v>
      </c>
      <c r="I566" s="109">
        <f>_xlfn.XLOOKUP(A566,'Rafineri Fiyatları'!A:A,'Rafineri Fiyatları'!B:B,"",0)</f>
        <v>10527.07</v>
      </c>
      <c r="J566">
        <f t="shared" si="32"/>
        <v>2021</v>
      </c>
      <c r="K566">
        <f t="shared" si="33"/>
        <v>12</v>
      </c>
      <c r="L566">
        <f t="shared" si="34"/>
        <v>17</v>
      </c>
      <c r="M566">
        <f t="shared" si="35"/>
        <v>6</v>
      </c>
      <c r="N566">
        <f>_xlfn.XLOOKUP(A566,tatiller!H:H,tatiller!I:I,0,0)</f>
        <v>0</v>
      </c>
      <c r="O566" cm="1">
        <f t="array" ref="O566">_xlfn.IFNA(_xlfn.IFS(L566=1,"A0",A566=EOMONTH(A566,0),"A-1",L566=2,"A+1"),0)</f>
        <v>0</v>
      </c>
      <c r="P566" t="str" cm="1">
        <f t="array" ref="P566">_xlfn.IFNA(_xlfn.IFS(AND(_xlfn.XLOOKUP(A566,'LPG Fup'!D:D,'LPG Fup'!M:M,"",0)&lt;&gt;"",_xlfn.XLOOKUP(A566,'LPG Fup'!D:D,'LPG Fup'!M:M,"",0)&gt;0),"Z-1", AND(_xlfn.XLOOKUP(A566+1,'LPG Fup'!D:D,'LPG Fup'!M:M,"",0)&lt;&gt;"",_xlfn.XLOOKUP(A566+1,'LPG Fup'!D:D,'LPG Fup'!M:M,"",0)&gt;0),"Z-2", AND(_xlfn.XLOOKUP(A566-1,'LPG Fup'!D:D,'LPG Fup'!M:M,"",0)&lt;&gt;"",_xlfn.XLOOKUP(A566-1,'LPG Fup'!D:D,'LPG Fup'!M:M,"",0)&gt;0),"Z", AND(_xlfn.XLOOKUP(A566-2,'LPG Fup'!D:D,'LPG Fup'!M:M,"",0)&lt;&gt;"",_xlfn.XLOOKUP(A566-2,'LPG Fup'!D:D,'LPG Fup'!M:M,"",0)&gt;0),"Z+1"),0)</f>
        <v>Z-1</v>
      </c>
      <c r="Q566" cm="1">
        <f t="array" ref="Q566">_xlfn.IFNA(_xlfn.IFS(AND(_xlfn.XLOOKUP(A566,'LPG Fup'!D:D,'LPG Fup'!M:M,"",0)&lt;&gt;"",_xlfn.XLOOKUP(A566,'LPG Fup'!D:D,'LPG Fup'!M:M,"",0)&lt;0),"I-1", AND(_xlfn.XLOOKUP(A566+1,'LPG Fup'!D:D,'LPG Fup'!M:M,"",0)&lt;&gt;"",_xlfn.XLOOKUP(A566+1,'LPG Fup'!D:D,'LPG Fup'!M:M,"",0)&lt;0),"I-2", AND(_xlfn.XLOOKUP(A566-1,'LPG Fup'!D:D,'LPG Fup'!M:M,"",0)&lt;&gt;"",_xlfn.XLOOKUP(A566-1,'LPG Fup'!D:D,'LPG Fup'!M:M,"",0)&lt;0),"I", AND(_xlfn.XLOOKUP(A566-2,'LPG Fup'!D:D,'LPG Fup'!M:M,"",0)&lt;&gt;"",_xlfn.XLOOKUP(A566-2,'LPG Fup'!D:D,'LPG Fup'!M:M,"",0)&lt;0),"I+1"),0)</f>
        <v>0</v>
      </c>
      <c r="R566">
        <f>_xlfn.XLOOKUP(A566,Covid!A:A,Covid!I:I,0,0)</f>
        <v>0</v>
      </c>
      <c r="S566">
        <f>_xlfn.XLOOKUP(A566,Covid!A:A,Covid!K:K,0,0)</f>
        <v>190</v>
      </c>
      <c r="T566" s="145">
        <f>_xlfn.XLOOKUP(A566,Covid!A:A,Covid!K:K,0,0)/_xlfn.XLOOKUP(A566,Covid!A:A,Covid!L:L,0,0)</f>
        <v>7.836667354093628E-3</v>
      </c>
    </row>
    <row r="567" spans="1:20" x14ac:dyDescent="0.55000000000000004">
      <c r="A567" s="157">
        <v>44548</v>
      </c>
      <c r="B567" s="13">
        <v>1195080</v>
      </c>
      <c r="C567" s="13">
        <v>333398</v>
      </c>
      <c r="D567" s="13">
        <v>6035</v>
      </c>
      <c r="E567" s="13">
        <v>210722</v>
      </c>
      <c r="F567" s="13">
        <v>1745235</v>
      </c>
      <c r="G567">
        <f>IF(OR(_xlfn.XLOOKUP(A567,'LPG Fup'!D:D,'LPG Fup'!L:L,"",0)&gt;0.03,_xlfn.XLOOKUP(A567,'LPG Fup'!D:D,'LPG Fup'!L:L,"",0)&lt;-0.03),_xlfn.XLOOKUP(A567,'LPG Fup'!D:D,'LPG Fup'!L:L,0,0),0)</f>
        <v>0</v>
      </c>
      <c r="H567">
        <f>IF(_xlfn.XLOOKUP(A567,'LPG Fup'!D:D,'LPG Fup'!M:M,0,0)="",0,_xlfn.XLOOKUP(A567,'LPG Fup'!D:D,'LPG Fup'!M:M,0,0))</f>
        <v>0</v>
      </c>
      <c r="I567" s="109">
        <f>_xlfn.XLOOKUP(A567,'Rafineri Fiyatları'!A:A,'Rafineri Fiyatları'!B:B,"",0)</f>
        <v>11585.97</v>
      </c>
      <c r="J567">
        <f t="shared" si="32"/>
        <v>2021</v>
      </c>
      <c r="K567">
        <f t="shared" si="33"/>
        <v>12</v>
      </c>
      <c r="L567">
        <f t="shared" si="34"/>
        <v>18</v>
      </c>
      <c r="M567">
        <f t="shared" si="35"/>
        <v>7</v>
      </c>
      <c r="N567">
        <f>_xlfn.XLOOKUP(A567,tatiller!H:H,tatiller!I:I,0,0)</f>
        <v>0</v>
      </c>
      <c r="O567" cm="1">
        <f t="array" ref="O567">_xlfn.IFNA(_xlfn.IFS(L567=1,"A0",A567=EOMONTH(A567,0),"A-1",L567=2,"A+1"),0)</f>
        <v>0</v>
      </c>
      <c r="P567" t="str" cm="1">
        <f t="array" ref="P567">_xlfn.IFNA(_xlfn.IFS(AND(_xlfn.XLOOKUP(A567,'LPG Fup'!D:D,'LPG Fup'!M:M,"",0)&lt;&gt;"",_xlfn.XLOOKUP(A567,'LPG Fup'!D:D,'LPG Fup'!M:M,"",0)&gt;0),"Z-1", AND(_xlfn.XLOOKUP(A567+1,'LPG Fup'!D:D,'LPG Fup'!M:M,"",0)&lt;&gt;"",_xlfn.XLOOKUP(A567+1,'LPG Fup'!D:D,'LPG Fup'!M:M,"",0)&gt;0),"Z-2", AND(_xlfn.XLOOKUP(A567-1,'LPG Fup'!D:D,'LPG Fup'!M:M,"",0)&lt;&gt;"",_xlfn.XLOOKUP(A567-1,'LPG Fup'!D:D,'LPG Fup'!M:M,"",0)&gt;0),"Z", AND(_xlfn.XLOOKUP(A567-2,'LPG Fup'!D:D,'LPG Fup'!M:M,"",0)&lt;&gt;"",_xlfn.XLOOKUP(A567-2,'LPG Fup'!D:D,'LPG Fup'!M:M,"",0)&gt;0),"Z+1"),0)</f>
        <v>Z</v>
      </c>
      <c r="Q567" cm="1">
        <f t="array" ref="Q567">_xlfn.IFNA(_xlfn.IFS(AND(_xlfn.XLOOKUP(A567,'LPG Fup'!D:D,'LPG Fup'!M:M,"",0)&lt;&gt;"",_xlfn.XLOOKUP(A567,'LPG Fup'!D:D,'LPG Fup'!M:M,"",0)&lt;0),"I-1", AND(_xlfn.XLOOKUP(A567+1,'LPG Fup'!D:D,'LPG Fup'!M:M,"",0)&lt;&gt;"",_xlfn.XLOOKUP(A567+1,'LPG Fup'!D:D,'LPG Fup'!M:M,"",0)&lt;0),"I-2", AND(_xlfn.XLOOKUP(A567-1,'LPG Fup'!D:D,'LPG Fup'!M:M,"",0)&lt;&gt;"",_xlfn.XLOOKUP(A567-1,'LPG Fup'!D:D,'LPG Fup'!M:M,"",0)&lt;0),"I", AND(_xlfn.XLOOKUP(A567-2,'LPG Fup'!D:D,'LPG Fup'!M:M,"",0)&lt;&gt;"",_xlfn.XLOOKUP(A567-2,'LPG Fup'!D:D,'LPG Fup'!M:M,"",0)&lt;0),"I+1"),0)</f>
        <v>0</v>
      </c>
      <c r="R567">
        <f>_xlfn.XLOOKUP(A567,Covid!A:A,Covid!I:I,0,0)</f>
        <v>0</v>
      </c>
      <c r="S567">
        <f>_xlfn.XLOOKUP(A567,Covid!A:A,Covid!K:K,0,0)</f>
        <v>191</v>
      </c>
      <c r="T567" s="145">
        <f>_xlfn.XLOOKUP(A567,Covid!A:A,Covid!K:K,0,0)/_xlfn.XLOOKUP(A567,Covid!A:A,Covid!L:L,0,0)</f>
        <v>7.4702753441802253E-3</v>
      </c>
    </row>
    <row r="568" spans="1:20" x14ac:dyDescent="0.55000000000000004">
      <c r="A568" s="157">
        <v>44549</v>
      </c>
      <c r="B568" s="13">
        <v>751960</v>
      </c>
      <c r="C568" s="13">
        <v>1216</v>
      </c>
      <c r="D568" s="13">
        <v>6687</v>
      </c>
      <c r="E568" s="13">
        <v>332679</v>
      </c>
      <c r="F568" s="13">
        <v>1092542</v>
      </c>
      <c r="G568">
        <f>IF(OR(_xlfn.XLOOKUP(A568,'LPG Fup'!D:D,'LPG Fup'!L:L,"",0)&gt;0.03,_xlfn.XLOOKUP(A568,'LPG Fup'!D:D,'LPG Fup'!L:L,"",0)&lt;-0.03),_xlfn.XLOOKUP(A568,'LPG Fup'!D:D,'LPG Fup'!L:L,0,0),0)</f>
        <v>0</v>
      </c>
      <c r="H568">
        <f>IF(_xlfn.XLOOKUP(A568,'LPG Fup'!D:D,'LPG Fup'!M:M,0,0)="",0,_xlfn.XLOOKUP(A568,'LPG Fup'!D:D,'LPG Fup'!M:M,0,0))</f>
        <v>0</v>
      </c>
      <c r="I568" s="109">
        <f>_xlfn.XLOOKUP(A568,'Rafineri Fiyatları'!A:A,'Rafineri Fiyatları'!B:B,"",0)</f>
        <v>11585.97</v>
      </c>
      <c r="J568">
        <f t="shared" si="32"/>
        <v>2021</v>
      </c>
      <c r="K568">
        <f t="shared" si="33"/>
        <v>12</v>
      </c>
      <c r="L568">
        <f t="shared" si="34"/>
        <v>19</v>
      </c>
      <c r="M568">
        <f t="shared" si="35"/>
        <v>1</v>
      </c>
      <c r="N568">
        <f>_xlfn.XLOOKUP(A568,tatiller!H:H,tatiller!I:I,0,0)</f>
        <v>0</v>
      </c>
      <c r="O568" cm="1">
        <f t="array" ref="O568">_xlfn.IFNA(_xlfn.IFS(L568=1,"A0",A568=EOMONTH(A568,0),"A-1",L568=2,"A+1"),0)</f>
        <v>0</v>
      </c>
      <c r="P568" t="str" cm="1">
        <f t="array" ref="P568">_xlfn.IFNA(_xlfn.IFS(AND(_xlfn.XLOOKUP(A568,'LPG Fup'!D:D,'LPG Fup'!M:M,"",0)&lt;&gt;"",_xlfn.XLOOKUP(A568,'LPG Fup'!D:D,'LPG Fup'!M:M,"",0)&gt;0),"Z-1", AND(_xlfn.XLOOKUP(A568+1,'LPG Fup'!D:D,'LPG Fup'!M:M,"",0)&lt;&gt;"",_xlfn.XLOOKUP(A568+1,'LPG Fup'!D:D,'LPG Fup'!M:M,"",0)&gt;0),"Z-2", AND(_xlfn.XLOOKUP(A568-1,'LPG Fup'!D:D,'LPG Fup'!M:M,"",0)&lt;&gt;"",_xlfn.XLOOKUP(A568-1,'LPG Fup'!D:D,'LPG Fup'!M:M,"",0)&gt;0),"Z", AND(_xlfn.XLOOKUP(A568-2,'LPG Fup'!D:D,'LPG Fup'!M:M,"",0)&lt;&gt;"",_xlfn.XLOOKUP(A568-2,'LPG Fup'!D:D,'LPG Fup'!M:M,"",0)&gt;0),"Z+1"),0)</f>
        <v>Z+1</v>
      </c>
      <c r="Q568" cm="1">
        <f t="array" ref="Q568">_xlfn.IFNA(_xlfn.IFS(AND(_xlfn.XLOOKUP(A568,'LPG Fup'!D:D,'LPG Fup'!M:M,"",0)&lt;&gt;"",_xlfn.XLOOKUP(A568,'LPG Fup'!D:D,'LPG Fup'!M:M,"",0)&lt;0),"I-1", AND(_xlfn.XLOOKUP(A568+1,'LPG Fup'!D:D,'LPG Fup'!M:M,"",0)&lt;&gt;"",_xlfn.XLOOKUP(A568+1,'LPG Fup'!D:D,'LPG Fup'!M:M,"",0)&lt;0),"I-2", AND(_xlfn.XLOOKUP(A568-1,'LPG Fup'!D:D,'LPG Fup'!M:M,"",0)&lt;&gt;"",_xlfn.XLOOKUP(A568-1,'LPG Fup'!D:D,'LPG Fup'!M:M,"",0)&lt;0),"I", AND(_xlfn.XLOOKUP(A568-2,'LPG Fup'!D:D,'LPG Fup'!M:M,"",0)&lt;&gt;"",_xlfn.XLOOKUP(A568-2,'LPG Fup'!D:D,'LPG Fup'!M:M,"",0)&lt;0),"I+1"),0)</f>
        <v>0</v>
      </c>
      <c r="R568">
        <f>_xlfn.XLOOKUP(A568,Covid!A:A,Covid!I:I,0,0)</f>
        <v>0</v>
      </c>
      <c r="S568">
        <f>_xlfn.XLOOKUP(A568,Covid!A:A,Covid!K:K,0,0)</f>
        <v>171</v>
      </c>
      <c r="T568" s="145">
        <f>_xlfn.XLOOKUP(A568,Covid!A:A,Covid!K:K,0,0)/_xlfn.XLOOKUP(A568,Covid!A:A,Covid!L:L,0,0)</f>
        <v>7.4809694636451133E-3</v>
      </c>
    </row>
    <row r="569" spans="1:20" x14ac:dyDescent="0.55000000000000004">
      <c r="A569" s="157">
        <v>44550</v>
      </c>
      <c r="B569" s="13">
        <v>1198420</v>
      </c>
      <c r="C569" s="13">
        <v>475412</v>
      </c>
      <c r="D569" s="13">
        <v>10233</v>
      </c>
      <c r="E569" s="13">
        <v>645450</v>
      </c>
      <c r="F569" s="13">
        <v>2329515</v>
      </c>
      <c r="G569">
        <f>IF(OR(_xlfn.XLOOKUP(A569,'LPG Fup'!D:D,'LPG Fup'!L:L,"",0)&gt;0.03,_xlfn.XLOOKUP(A569,'LPG Fup'!D:D,'LPG Fup'!L:L,"",0)&lt;-0.03),_xlfn.XLOOKUP(A569,'LPG Fup'!D:D,'LPG Fup'!L:L,0,0),0)</f>
        <v>7.388839309150104E-2</v>
      </c>
      <c r="H569">
        <f>IF(_xlfn.XLOOKUP(A569,'LPG Fup'!D:D,'LPG Fup'!M:M,0,0)="",0,_xlfn.XLOOKUP(A569,'LPG Fup'!D:D,'LPG Fup'!M:M,0,0))</f>
        <v>0</v>
      </c>
      <c r="I569" s="109">
        <f>_xlfn.XLOOKUP(A569,'Rafineri Fiyatları'!A:A,'Rafineri Fiyatları'!B:B,"",0)</f>
        <v>11585.97</v>
      </c>
      <c r="J569">
        <f t="shared" si="32"/>
        <v>2021</v>
      </c>
      <c r="K569">
        <f t="shared" si="33"/>
        <v>12</v>
      </c>
      <c r="L569">
        <f t="shared" si="34"/>
        <v>20</v>
      </c>
      <c r="M569">
        <f t="shared" si="35"/>
        <v>2</v>
      </c>
      <c r="N569">
        <f>_xlfn.XLOOKUP(A569,tatiller!H:H,tatiller!I:I,0,0)</f>
        <v>0</v>
      </c>
      <c r="O569" cm="1">
        <f t="array" ref="O569">_xlfn.IFNA(_xlfn.IFS(L569=1,"A0",A569=EOMONTH(A569,0),"A-1",L569=2,"A+1"),0)</f>
        <v>0</v>
      </c>
      <c r="P569" cm="1">
        <f t="array" ref="P569">_xlfn.IFNA(_xlfn.IFS(AND(_xlfn.XLOOKUP(A569,'LPG Fup'!D:D,'LPG Fup'!M:M,"",0)&lt;&gt;"",_xlfn.XLOOKUP(A569,'LPG Fup'!D:D,'LPG Fup'!M:M,"",0)&gt;0),"Z-1", AND(_xlfn.XLOOKUP(A569+1,'LPG Fup'!D:D,'LPG Fup'!M:M,"",0)&lt;&gt;"",_xlfn.XLOOKUP(A569+1,'LPG Fup'!D:D,'LPG Fup'!M:M,"",0)&gt;0),"Z-2", AND(_xlfn.XLOOKUP(A569-1,'LPG Fup'!D:D,'LPG Fup'!M:M,"",0)&lt;&gt;"",_xlfn.XLOOKUP(A569-1,'LPG Fup'!D:D,'LPG Fup'!M:M,"",0)&gt;0),"Z", AND(_xlfn.XLOOKUP(A569-2,'LPG Fup'!D:D,'LPG Fup'!M:M,"",0)&lt;&gt;"",_xlfn.XLOOKUP(A569-2,'LPG Fup'!D:D,'LPG Fup'!M:M,"",0)&gt;0),"Z+1"),0)</f>
        <v>0</v>
      </c>
      <c r="Q569" cm="1">
        <f t="array" ref="Q569">_xlfn.IFNA(_xlfn.IFS(AND(_xlfn.XLOOKUP(A569,'LPG Fup'!D:D,'LPG Fup'!M:M,"",0)&lt;&gt;"",_xlfn.XLOOKUP(A569,'LPG Fup'!D:D,'LPG Fup'!M:M,"",0)&lt;0),"I-1", AND(_xlfn.XLOOKUP(A569+1,'LPG Fup'!D:D,'LPG Fup'!M:M,"",0)&lt;&gt;"",_xlfn.XLOOKUP(A569+1,'LPG Fup'!D:D,'LPG Fup'!M:M,"",0)&lt;0),"I-2", AND(_xlfn.XLOOKUP(A569-1,'LPG Fup'!D:D,'LPG Fup'!M:M,"",0)&lt;&gt;"",_xlfn.XLOOKUP(A569-1,'LPG Fup'!D:D,'LPG Fup'!M:M,"",0)&lt;0),"I", AND(_xlfn.XLOOKUP(A569-2,'LPG Fup'!D:D,'LPG Fup'!M:M,"",0)&lt;&gt;"",_xlfn.XLOOKUP(A569-2,'LPG Fup'!D:D,'LPG Fup'!M:M,"",0)&lt;0),"I+1"),0)</f>
        <v>0</v>
      </c>
      <c r="R569">
        <f>_xlfn.XLOOKUP(A569,Covid!A:A,Covid!I:I,0,0)</f>
        <v>0</v>
      </c>
      <c r="S569">
        <f>_xlfn.XLOOKUP(A569,Covid!A:A,Covid!K:K,0,0)</f>
        <v>176</v>
      </c>
      <c r="T569" s="145">
        <f>_xlfn.XLOOKUP(A569,Covid!A:A,Covid!K:K,0,0)/_xlfn.XLOOKUP(A569,Covid!A:A,Covid!L:L,0,0)</f>
        <v>7.1845532105972157E-3</v>
      </c>
    </row>
    <row r="570" spans="1:20" x14ac:dyDescent="0.55000000000000004">
      <c r="A570" s="157">
        <v>44551</v>
      </c>
      <c r="B570" s="13">
        <v>856120</v>
      </c>
      <c r="C570" s="13">
        <v>189595</v>
      </c>
      <c r="D570" s="13">
        <v>17328</v>
      </c>
      <c r="E570" s="13">
        <v>85586</v>
      </c>
      <c r="F570" s="13">
        <v>3350974</v>
      </c>
      <c r="G570">
        <f>IF(OR(_xlfn.XLOOKUP(A570,'LPG Fup'!D:D,'LPG Fup'!L:L,"",0)&gt;0.03,_xlfn.XLOOKUP(A570,'LPG Fup'!D:D,'LPG Fup'!L:L,"",0)&lt;-0.03),_xlfn.XLOOKUP(A570,'LPG Fup'!D:D,'LPG Fup'!L:L,0,0),0)</f>
        <v>0.11127224526221864</v>
      </c>
      <c r="H570">
        <f>IF(_xlfn.XLOOKUP(A570,'LPG Fup'!D:D,'LPG Fup'!M:M,0,0)="",0,_xlfn.XLOOKUP(A570,'LPG Fup'!D:D,'LPG Fup'!M:M,0,0))</f>
        <v>0</v>
      </c>
      <c r="I570" s="109">
        <f>_xlfn.XLOOKUP(A570,'Rafineri Fiyatları'!A:A,'Rafineri Fiyatları'!B:B,"",0)</f>
        <v>11585.97</v>
      </c>
      <c r="J570">
        <f t="shared" si="32"/>
        <v>2021</v>
      </c>
      <c r="K570">
        <f t="shared" si="33"/>
        <v>12</v>
      </c>
      <c r="L570">
        <f t="shared" si="34"/>
        <v>21</v>
      </c>
      <c r="M570">
        <f t="shared" si="35"/>
        <v>3</v>
      </c>
      <c r="N570">
        <f>_xlfn.XLOOKUP(A570,tatiller!H:H,tatiller!I:I,0,0)</f>
        <v>0</v>
      </c>
      <c r="O570" cm="1">
        <f t="array" ref="O570">_xlfn.IFNA(_xlfn.IFS(L570=1,"A0",A570=EOMONTH(A570,0),"A-1",L570=2,"A+1"),0)</f>
        <v>0</v>
      </c>
      <c r="P570" cm="1">
        <f t="array" ref="P570">_xlfn.IFNA(_xlfn.IFS(AND(_xlfn.XLOOKUP(A570,'LPG Fup'!D:D,'LPG Fup'!M:M,"",0)&lt;&gt;"",_xlfn.XLOOKUP(A570,'LPG Fup'!D:D,'LPG Fup'!M:M,"",0)&gt;0),"Z-1", AND(_xlfn.XLOOKUP(A570+1,'LPG Fup'!D:D,'LPG Fup'!M:M,"",0)&lt;&gt;"",_xlfn.XLOOKUP(A570+1,'LPG Fup'!D:D,'LPG Fup'!M:M,"",0)&gt;0),"Z-2", AND(_xlfn.XLOOKUP(A570-1,'LPG Fup'!D:D,'LPG Fup'!M:M,"",0)&lt;&gt;"",_xlfn.XLOOKUP(A570-1,'LPG Fup'!D:D,'LPG Fup'!M:M,"",0)&gt;0),"Z", AND(_xlfn.XLOOKUP(A570-2,'LPG Fup'!D:D,'LPG Fup'!M:M,"",0)&lt;&gt;"",_xlfn.XLOOKUP(A570-2,'LPG Fup'!D:D,'LPG Fup'!M:M,"",0)&gt;0),"Z+1"),0)</f>
        <v>0</v>
      </c>
      <c r="Q570" cm="1">
        <f t="array" ref="Q570">_xlfn.IFNA(_xlfn.IFS(AND(_xlfn.XLOOKUP(A570,'LPG Fup'!D:D,'LPG Fup'!M:M,"",0)&lt;&gt;"",_xlfn.XLOOKUP(A570,'LPG Fup'!D:D,'LPG Fup'!M:M,"",0)&lt;0),"I-1", AND(_xlfn.XLOOKUP(A570+1,'LPG Fup'!D:D,'LPG Fup'!M:M,"",0)&lt;&gt;"",_xlfn.XLOOKUP(A570+1,'LPG Fup'!D:D,'LPG Fup'!M:M,"",0)&lt;0),"I-2", AND(_xlfn.XLOOKUP(A570-1,'LPG Fup'!D:D,'LPG Fup'!M:M,"",0)&lt;&gt;"",_xlfn.XLOOKUP(A570-1,'LPG Fup'!D:D,'LPG Fup'!M:M,"",0)&lt;0),"I", AND(_xlfn.XLOOKUP(A570-2,'LPG Fup'!D:D,'LPG Fup'!M:M,"",0)&lt;&gt;"",_xlfn.XLOOKUP(A570-2,'LPG Fup'!D:D,'LPG Fup'!M:M,"",0)&lt;0),"I+1"),0)</f>
        <v>0</v>
      </c>
      <c r="R570">
        <f>_xlfn.XLOOKUP(A570,Covid!A:A,Covid!I:I,0,0)</f>
        <v>0</v>
      </c>
      <c r="S570">
        <f>_xlfn.XLOOKUP(A570,Covid!A:A,Covid!K:K,0,0)</f>
        <v>187</v>
      </c>
      <c r="T570" s="145">
        <f>_xlfn.XLOOKUP(A570,Covid!A:A,Covid!K:K,0,0)/_xlfn.XLOOKUP(A570,Covid!A:A,Covid!L:L,0,0)</f>
        <v>7.3241422528591569E-3</v>
      </c>
    </row>
    <row r="571" spans="1:20" x14ac:dyDescent="0.55000000000000004">
      <c r="A571" s="157">
        <v>44552</v>
      </c>
      <c r="B571" s="13">
        <v>5865638</v>
      </c>
      <c r="C571" s="13">
        <v>126569</v>
      </c>
      <c r="D571" s="13">
        <v>19464</v>
      </c>
      <c r="E571" s="13">
        <v>274487</v>
      </c>
      <c r="F571" s="13">
        <v>6286158</v>
      </c>
      <c r="G571">
        <f>IF(OR(_xlfn.XLOOKUP(A571,'LPG Fup'!D:D,'LPG Fup'!L:L,"",0)&gt;0.03,_xlfn.XLOOKUP(A571,'LPG Fup'!D:D,'LPG Fup'!L:L,"",0)&lt;-0.03),_xlfn.XLOOKUP(A571,'LPG Fup'!D:D,'LPG Fup'!L:L,0,0),0)</f>
        <v>0</v>
      </c>
      <c r="H571">
        <f>IF(_xlfn.XLOOKUP(A571,'LPG Fup'!D:D,'LPG Fup'!M:M,0,0)="",0,_xlfn.XLOOKUP(A571,'LPG Fup'!D:D,'LPG Fup'!M:M,0,0))</f>
        <v>0</v>
      </c>
      <c r="I571" s="109">
        <f>_xlfn.XLOOKUP(A571,'Rafineri Fiyatları'!A:A,'Rafineri Fiyatları'!B:B,"",0)</f>
        <v>11585.97</v>
      </c>
      <c r="J571">
        <f t="shared" si="32"/>
        <v>2021</v>
      </c>
      <c r="K571">
        <f t="shared" si="33"/>
        <v>12</v>
      </c>
      <c r="L571">
        <f t="shared" si="34"/>
        <v>22</v>
      </c>
      <c r="M571">
        <f t="shared" si="35"/>
        <v>4</v>
      </c>
      <c r="N571">
        <f>_xlfn.XLOOKUP(A571,tatiller!H:H,tatiller!I:I,0,0)</f>
        <v>0</v>
      </c>
      <c r="O571" cm="1">
        <f t="array" ref="O571">_xlfn.IFNA(_xlfn.IFS(L571=1,"A0",A571=EOMONTH(A571,0),"A-1",L571=2,"A+1"),0)</f>
        <v>0</v>
      </c>
      <c r="P571" cm="1">
        <f t="array" ref="P571">_xlfn.IFNA(_xlfn.IFS(AND(_xlfn.XLOOKUP(A571,'LPG Fup'!D:D,'LPG Fup'!M:M,"",0)&lt;&gt;"",_xlfn.XLOOKUP(A571,'LPG Fup'!D:D,'LPG Fup'!M:M,"",0)&gt;0),"Z-1", AND(_xlfn.XLOOKUP(A571+1,'LPG Fup'!D:D,'LPG Fup'!M:M,"",0)&lt;&gt;"",_xlfn.XLOOKUP(A571+1,'LPG Fup'!D:D,'LPG Fup'!M:M,"",0)&gt;0),"Z-2", AND(_xlfn.XLOOKUP(A571-1,'LPG Fup'!D:D,'LPG Fup'!M:M,"",0)&lt;&gt;"",_xlfn.XLOOKUP(A571-1,'LPG Fup'!D:D,'LPG Fup'!M:M,"",0)&gt;0),"Z", AND(_xlfn.XLOOKUP(A571-2,'LPG Fup'!D:D,'LPG Fup'!M:M,"",0)&lt;&gt;"",_xlfn.XLOOKUP(A571-2,'LPG Fup'!D:D,'LPG Fup'!M:M,"",0)&gt;0),"Z+1"),0)</f>
        <v>0</v>
      </c>
      <c r="Q571" cm="1">
        <f t="array" ref="Q571">_xlfn.IFNA(_xlfn.IFS(AND(_xlfn.XLOOKUP(A571,'LPG Fup'!D:D,'LPG Fup'!M:M,"",0)&lt;&gt;"",_xlfn.XLOOKUP(A571,'LPG Fup'!D:D,'LPG Fup'!M:M,"",0)&lt;0),"I-1", AND(_xlfn.XLOOKUP(A571+1,'LPG Fup'!D:D,'LPG Fup'!M:M,"",0)&lt;&gt;"",_xlfn.XLOOKUP(A571+1,'LPG Fup'!D:D,'LPG Fup'!M:M,"",0)&lt;0),"I-2", AND(_xlfn.XLOOKUP(A571-1,'LPG Fup'!D:D,'LPG Fup'!M:M,"",0)&lt;&gt;"",_xlfn.XLOOKUP(A571-1,'LPG Fup'!D:D,'LPG Fup'!M:M,"",0)&lt;0),"I", AND(_xlfn.XLOOKUP(A571-2,'LPG Fup'!D:D,'LPG Fup'!M:M,"",0)&lt;&gt;"",_xlfn.XLOOKUP(A571-2,'LPG Fup'!D:D,'LPG Fup'!M:M,"",0)&lt;0),"I+1"),0)</f>
        <v>0</v>
      </c>
      <c r="R571">
        <f>_xlfn.XLOOKUP(A571,Covid!A:A,Covid!I:I,0,0)</f>
        <v>0</v>
      </c>
      <c r="S571">
        <f>_xlfn.XLOOKUP(A571,Covid!A:A,Covid!K:K,0,0)</f>
        <v>179</v>
      </c>
      <c r="T571" s="145">
        <f>_xlfn.XLOOKUP(A571,Covid!A:A,Covid!K:K,0,0)/_xlfn.XLOOKUP(A571,Covid!A:A,Covid!L:L,0,0)</f>
        <v>7.8453716690042082E-3</v>
      </c>
    </row>
    <row r="572" spans="1:20" x14ac:dyDescent="0.55000000000000004">
      <c r="A572" s="157">
        <v>44553</v>
      </c>
      <c r="B572" s="13">
        <v>581460</v>
      </c>
      <c r="C572" s="13">
        <v>217829</v>
      </c>
      <c r="D572" s="13">
        <v>10698</v>
      </c>
      <c r="E572" s="13">
        <v>208422</v>
      </c>
      <c r="F572" s="13">
        <v>1018409</v>
      </c>
      <c r="G572">
        <f>IF(OR(_xlfn.XLOOKUP(A572,'LPG Fup'!D:D,'LPG Fup'!L:L,"",0)&gt;0.03,_xlfn.XLOOKUP(A572,'LPG Fup'!D:D,'LPG Fup'!L:L,"",0)&lt;-0.03),_xlfn.XLOOKUP(A572,'LPG Fup'!D:D,'LPG Fup'!L:L,0,0),0)</f>
        <v>0</v>
      </c>
      <c r="H572">
        <f>IF(_xlfn.XLOOKUP(A572,'LPG Fup'!D:D,'LPG Fup'!M:M,0,0)="",0,_xlfn.XLOOKUP(A572,'LPG Fup'!D:D,'LPG Fup'!M:M,0,0))</f>
        <v>0</v>
      </c>
      <c r="I572" s="109">
        <f>_xlfn.XLOOKUP(A572,'Rafineri Fiyatları'!A:A,'Rafineri Fiyatları'!B:B,"",0)</f>
        <v>11585.97</v>
      </c>
      <c r="J572">
        <f t="shared" si="32"/>
        <v>2021</v>
      </c>
      <c r="K572">
        <f t="shared" si="33"/>
        <v>12</v>
      </c>
      <c r="L572">
        <f t="shared" si="34"/>
        <v>23</v>
      </c>
      <c r="M572">
        <f t="shared" si="35"/>
        <v>5</v>
      </c>
      <c r="N572">
        <f>_xlfn.XLOOKUP(A572,tatiller!H:H,tatiller!I:I,0,0)</f>
        <v>0</v>
      </c>
      <c r="O572" cm="1">
        <f t="array" ref="O572">_xlfn.IFNA(_xlfn.IFS(L572=1,"A0",A572=EOMONTH(A572,0),"A-1",L572=2,"A+1"),0)</f>
        <v>0</v>
      </c>
      <c r="P572" cm="1">
        <f t="array" ref="P572">_xlfn.IFNA(_xlfn.IFS(AND(_xlfn.XLOOKUP(A572,'LPG Fup'!D:D,'LPG Fup'!M:M,"",0)&lt;&gt;"",_xlfn.XLOOKUP(A572,'LPG Fup'!D:D,'LPG Fup'!M:M,"",0)&gt;0),"Z-1", AND(_xlfn.XLOOKUP(A572+1,'LPG Fup'!D:D,'LPG Fup'!M:M,"",0)&lt;&gt;"",_xlfn.XLOOKUP(A572+1,'LPG Fup'!D:D,'LPG Fup'!M:M,"",0)&gt;0),"Z-2", AND(_xlfn.XLOOKUP(A572-1,'LPG Fup'!D:D,'LPG Fup'!M:M,"",0)&lt;&gt;"",_xlfn.XLOOKUP(A572-1,'LPG Fup'!D:D,'LPG Fup'!M:M,"",0)&gt;0),"Z", AND(_xlfn.XLOOKUP(A572-2,'LPG Fup'!D:D,'LPG Fup'!M:M,"",0)&lt;&gt;"",_xlfn.XLOOKUP(A572-2,'LPG Fup'!D:D,'LPG Fup'!M:M,"",0)&gt;0),"Z+1"),0)</f>
        <v>0</v>
      </c>
      <c r="Q572" t="str" cm="1">
        <f t="array" ref="Q572">_xlfn.IFNA(_xlfn.IFS(AND(_xlfn.XLOOKUP(A572,'LPG Fup'!D:D,'LPG Fup'!M:M,"",0)&lt;&gt;"",_xlfn.XLOOKUP(A572,'LPG Fup'!D:D,'LPG Fup'!M:M,"",0)&lt;0),"I-1", AND(_xlfn.XLOOKUP(A572+1,'LPG Fup'!D:D,'LPG Fup'!M:M,"",0)&lt;&gt;"",_xlfn.XLOOKUP(A572+1,'LPG Fup'!D:D,'LPG Fup'!M:M,"",0)&lt;0),"I-2", AND(_xlfn.XLOOKUP(A572-1,'LPG Fup'!D:D,'LPG Fup'!M:M,"",0)&lt;&gt;"",_xlfn.XLOOKUP(A572-1,'LPG Fup'!D:D,'LPG Fup'!M:M,"",0)&lt;0),"I", AND(_xlfn.XLOOKUP(A572-2,'LPG Fup'!D:D,'LPG Fup'!M:M,"",0)&lt;&gt;"",_xlfn.XLOOKUP(A572-2,'LPG Fup'!D:D,'LPG Fup'!M:M,"",0)&lt;0),"I+1"),0)</f>
        <v>I-2</v>
      </c>
      <c r="R572">
        <f>_xlfn.XLOOKUP(A572,Covid!A:A,Covid!I:I,0,0)</f>
        <v>0</v>
      </c>
      <c r="S572">
        <f>_xlfn.XLOOKUP(A572,Covid!A:A,Covid!K:K,0,0)</f>
        <v>168</v>
      </c>
      <c r="T572" s="145">
        <f>_xlfn.XLOOKUP(A572,Covid!A:A,Covid!K:K,0,0)/_xlfn.XLOOKUP(A572,Covid!A:A,Covid!L:L,0,0)</f>
        <v>7.7759777829206206E-3</v>
      </c>
    </row>
    <row r="573" spans="1:20" x14ac:dyDescent="0.55000000000000004">
      <c r="A573" s="157">
        <v>44554</v>
      </c>
      <c r="B573" s="13">
        <v>846440</v>
      </c>
      <c r="C573" s="13">
        <v>156439</v>
      </c>
      <c r="D573" s="13">
        <v>29122</v>
      </c>
      <c r="E573" s="13">
        <v>157575</v>
      </c>
      <c r="F573" s="13">
        <v>1189576</v>
      </c>
      <c r="G573">
        <f>IF(OR(_xlfn.XLOOKUP(A573,'LPG Fup'!D:D,'LPG Fup'!L:L,"",0)&gt;0.03,_xlfn.XLOOKUP(A573,'LPG Fup'!D:D,'LPG Fup'!L:L,"",0)&lt;-0.03),_xlfn.XLOOKUP(A573,'LPG Fup'!D:D,'LPG Fup'!L:L,0,0),0)</f>
        <v>-6.998661347052329E-2</v>
      </c>
      <c r="H573">
        <f>IF(_xlfn.XLOOKUP(A573,'LPG Fup'!D:D,'LPG Fup'!M:M,0,0)="",0,_xlfn.XLOOKUP(A573,'LPG Fup'!D:D,'LPG Fup'!M:M,0,0))</f>
        <v>-2861.6440999999995</v>
      </c>
      <c r="I573" s="109">
        <f>_xlfn.XLOOKUP(A573,'Rafineri Fiyatları'!A:A,'Rafineri Fiyatları'!B:B,"",0)</f>
        <v>11585.97</v>
      </c>
      <c r="J573">
        <f t="shared" si="32"/>
        <v>2021</v>
      </c>
      <c r="K573">
        <f t="shared" si="33"/>
        <v>12</v>
      </c>
      <c r="L573">
        <f t="shared" si="34"/>
        <v>24</v>
      </c>
      <c r="M573">
        <f t="shared" si="35"/>
        <v>6</v>
      </c>
      <c r="N573">
        <f>_xlfn.XLOOKUP(A573,tatiller!H:H,tatiller!I:I,0,0)</f>
        <v>0</v>
      </c>
      <c r="O573" cm="1">
        <f t="array" ref="O573">_xlfn.IFNA(_xlfn.IFS(L573=1,"A0",A573=EOMONTH(A573,0),"A-1",L573=2,"A+1"),0)</f>
        <v>0</v>
      </c>
      <c r="P573" cm="1">
        <f t="array" ref="P573">_xlfn.IFNA(_xlfn.IFS(AND(_xlfn.XLOOKUP(A573,'LPG Fup'!D:D,'LPG Fup'!M:M,"",0)&lt;&gt;"",_xlfn.XLOOKUP(A573,'LPG Fup'!D:D,'LPG Fup'!M:M,"",0)&gt;0),"Z-1", AND(_xlfn.XLOOKUP(A573+1,'LPG Fup'!D:D,'LPG Fup'!M:M,"",0)&lt;&gt;"",_xlfn.XLOOKUP(A573+1,'LPG Fup'!D:D,'LPG Fup'!M:M,"",0)&gt;0),"Z-2", AND(_xlfn.XLOOKUP(A573-1,'LPG Fup'!D:D,'LPG Fup'!M:M,"",0)&lt;&gt;"",_xlfn.XLOOKUP(A573-1,'LPG Fup'!D:D,'LPG Fup'!M:M,"",0)&gt;0),"Z", AND(_xlfn.XLOOKUP(A573-2,'LPG Fup'!D:D,'LPG Fup'!M:M,"",0)&lt;&gt;"",_xlfn.XLOOKUP(A573-2,'LPG Fup'!D:D,'LPG Fup'!M:M,"",0)&gt;0),"Z+1"),0)</f>
        <v>0</v>
      </c>
      <c r="Q573" t="str" cm="1">
        <f t="array" ref="Q573">_xlfn.IFNA(_xlfn.IFS(AND(_xlfn.XLOOKUP(A573,'LPG Fup'!D:D,'LPG Fup'!M:M,"",0)&lt;&gt;"",_xlfn.XLOOKUP(A573,'LPG Fup'!D:D,'LPG Fup'!M:M,"",0)&lt;0),"I-1", AND(_xlfn.XLOOKUP(A573+1,'LPG Fup'!D:D,'LPG Fup'!M:M,"",0)&lt;&gt;"",_xlfn.XLOOKUP(A573+1,'LPG Fup'!D:D,'LPG Fup'!M:M,"",0)&lt;0),"I-2", AND(_xlfn.XLOOKUP(A573-1,'LPG Fup'!D:D,'LPG Fup'!M:M,"",0)&lt;&gt;"",_xlfn.XLOOKUP(A573-1,'LPG Fup'!D:D,'LPG Fup'!M:M,"",0)&lt;0),"I", AND(_xlfn.XLOOKUP(A573-2,'LPG Fup'!D:D,'LPG Fup'!M:M,"",0)&lt;&gt;"",_xlfn.XLOOKUP(A573-2,'LPG Fup'!D:D,'LPG Fup'!M:M,"",0)&lt;0),"I+1"),0)</f>
        <v>I-1</v>
      </c>
      <c r="R573">
        <f>_xlfn.XLOOKUP(A573,Covid!A:A,Covid!I:I,0,0)</f>
        <v>0</v>
      </c>
      <c r="S573">
        <f>_xlfn.XLOOKUP(A573,Covid!A:A,Covid!K:K,0,0)</f>
        <v>133</v>
      </c>
      <c r="T573" s="145">
        <f>_xlfn.XLOOKUP(A573,Covid!A:A,Covid!K:K,0,0)/_xlfn.XLOOKUP(A573,Covid!A:A,Covid!L:L,0,0)</f>
        <v>6.535305390398506E-3</v>
      </c>
    </row>
    <row r="574" spans="1:20" x14ac:dyDescent="0.55000000000000004">
      <c r="A574" s="157">
        <v>44555</v>
      </c>
      <c r="B574" s="13">
        <v>804220</v>
      </c>
      <c r="C574" s="13">
        <v>57603</v>
      </c>
      <c r="D574" s="13">
        <v>3841</v>
      </c>
      <c r="E574" s="13">
        <v>544170</v>
      </c>
      <c r="F574" s="13">
        <v>1409834</v>
      </c>
      <c r="G574">
        <f>IF(OR(_xlfn.XLOOKUP(A574,'LPG Fup'!D:D,'LPG Fup'!L:L,"",0)&gt;0.03,_xlfn.XLOOKUP(A574,'LPG Fup'!D:D,'LPG Fup'!L:L,"",0)&lt;-0.03),_xlfn.XLOOKUP(A574,'LPG Fup'!D:D,'LPG Fup'!L:L,0,0),0)</f>
        <v>0</v>
      </c>
      <c r="H574">
        <f>IF(_xlfn.XLOOKUP(A574,'LPG Fup'!D:D,'LPG Fup'!M:M,0,0)="",0,_xlfn.XLOOKUP(A574,'LPG Fup'!D:D,'LPG Fup'!M:M,0,0))</f>
        <v>0</v>
      </c>
      <c r="I574" s="109">
        <f>_xlfn.XLOOKUP(A574,'Rafineri Fiyatları'!A:A,'Rafineri Fiyatları'!B:B,"",0)</f>
        <v>10502.33</v>
      </c>
      <c r="J574">
        <f t="shared" si="32"/>
        <v>2021</v>
      </c>
      <c r="K574">
        <f t="shared" si="33"/>
        <v>12</v>
      </c>
      <c r="L574">
        <f t="shared" si="34"/>
        <v>25</v>
      </c>
      <c r="M574">
        <f t="shared" si="35"/>
        <v>7</v>
      </c>
      <c r="N574">
        <f>_xlfn.XLOOKUP(A574,tatiller!H:H,tatiller!I:I,0,0)</f>
        <v>0</v>
      </c>
      <c r="O574" cm="1">
        <f t="array" ref="O574">_xlfn.IFNA(_xlfn.IFS(L574=1,"A0",A574=EOMONTH(A574,0),"A-1",L574=2,"A+1"),0)</f>
        <v>0</v>
      </c>
      <c r="P574" cm="1">
        <f t="array" ref="P574">_xlfn.IFNA(_xlfn.IFS(AND(_xlfn.XLOOKUP(A574,'LPG Fup'!D:D,'LPG Fup'!M:M,"",0)&lt;&gt;"",_xlfn.XLOOKUP(A574,'LPG Fup'!D:D,'LPG Fup'!M:M,"",0)&gt;0),"Z-1", AND(_xlfn.XLOOKUP(A574+1,'LPG Fup'!D:D,'LPG Fup'!M:M,"",0)&lt;&gt;"",_xlfn.XLOOKUP(A574+1,'LPG Fup'!D:D,'LPG Fup'!M:M,"",0)&gt;0),"Z-2", AND(_xlfn.XLOOKUP(A574-1,'LPG Fup'!D:D,'LPG Fup'!M:M,"",0)&lt;&gt;"",_xlfn.XLOOKUP(A574-1,'LPG Fup'!D:D,'LPG Fup'!M:M,"",0)&gt;0),"Z", AND(_xlfn.XLOOKUP(A574-2,'LPG Fup'!D:D,'LPG Fup'!M:M,"",0)&lt;&gt;"",_xlfn.XLOOKUP(A574-2,'LPG Fup'!D:D,'LPG Fup'!M:M,"",0)&gt;0),"Z+1"),0)</f>
        <v>0</v>
      </c>
      <c r="Q574" t="str" cm="1">
        <f t="array" ref="Q574">_xlfn.IFNA(_xlfn.IFS(AND(_xlfn.XLOOKUP(A574,'LPG Fup'!D:D,'LPG Fup'!M:M,"",0)&lt;&gt;"",_xlfn.XLOOKUP(A574,'LPG Fup'!D:D,'LPG Fup'!M:M,"",0)&lt;0),"I-1", AND(_xlfn.XLOOKUP(A574+1,'LPG Fup'!D:D,'LPG Fup'!M:M,"",0)&lt;&gt;"",_xlfn.XLOOKUP(A574+1,'LPG Fup'!D:D,'LPG Fup'!M:M,"",0)&lt;0),"I-2", AND(_xlfn.XLOOKUP(A574-1,'LPG Fup'!D:D,'LPG Fup'!M:M,"",0)&lt;&gt;"",_xlfn.XLOOKUP(A574-1,'LPG Fup'!D:D,'LPG Fup'!M:M,"",0)&lt;0),"I", AND(_xlfn.XLOOKUP(A574-2,'LPG Fup'!D:D,'LPG Fup'!M:M,"",0)&lt;&gt;"",_xlfn.XLOOKUP(A574-2,'LPG Fup'!D:D,'LPG Fup'!M:M,"",0)&lt;0),"I+1"),0)</f>
        <v>I</v>
      </c>
      <c r="R574">
        <f>_xlfn.XLOOKUP(A574,Covid!A:A,Covid!I:I,0,0)</f>
        <v>0</v>
      </c>
      <c r="S574">
        <f>_xlfn.XLOOKUP(A574,Covid!A:A,Covid!K:K,0,0)</f>
        <v>145</v>
      </c>
      <c r="T574" s="145">
        <f>_xlfn.XLOOKUP(A574,Covid!A:A,Covid!K:K,0,0)/_xlfn.XLOOKUP(A574,Covid!A:A,Covid!L:L,0,0)</f>
        <v>6.5584151250621921E-3</v>
      </c>
    </row>
    <row r="575" spans="1:20" x14ac:dyDescent="0.55000000000000004">
      <c r="A575" s="157">
        <v>44556</v>
      </c>
      <c r="B575" s="13">
        <v>812520</v>
      </c>
      <c r="C575" s="13">
        <v>816</v>
      </c>
      <c r="D575" s="13">
        <v>1527</v>
      </c>
      <c r="E575" s="13">
        <v>155249</v>
      </c>
      <c r="F575" s="13">
        <v>970112</v>
      </c>
      <c r="G575">
        <f>IF(OR(_xlfn.XLOOKUP(A575,'LPG Fup'!D:D,'LPG Fup'!L:L,"",0)&gt;0.03,_xlfn.XLOOKUP(A575,'LPG Fup'!D:D,'LPG Fup'!L:L,"",0)&lt;-0.03),_xlfn.XLOOKUP(A575,'LPG Fup'!D:D,'LPG Fup'!L:L,0,0),0)</f>
        <v>0</v>
      </c>
      <c r="H575">
        <f>IF(_xlfn.XLOOKUP(A575,'LPG Fup'!D:D,'LPG Fup'!M:M,0,0)="",0,_xlfn.XLOOKUP(A575,'LPG Fup'!D:D,'LPG Fup'!M:M,0,0))</f>
        <v>0</v>
      </c>
      <c r="I575" s="109">
        <f>_xlfn.XLOOKUP(A575,'Rafineri Fiyatları'!A:A,'Rafineri Fiyatları'!B:B,"",0)</f>
        <v>10502.33</v>
      </c>
      <c r="J575">
        <f t="shared" si="32"/>
        <v>2021</v>
      </c>
      <c r="K575">
        <f t="shared" si="33"/>
        <v>12</v>
      </c>
      <c r="L575">
        <f t="shared" si="34"/>
        <v>26</v>
      </c>
      <c r="M575">
        <f t="shared" si="35"/>
        <v>1</v>
      </c>
      <c r="N575">
        <f>_xlfn.XLOOKUP(A575,tatiller!H:H,tatiller!I:I,0,0)</f>
        <v>0</v>
      </c>
      <c r="O575" cm="1">
        <f t="array" ref="O575">_xlfn.IFNA(_xlfn.IFS(L575=1,"A0",A575=EOMONTH(A575,0),"A-1",L575=2,"A+1"),0)</f>
        <v>0</v>
      </c>
      <c r="P575" cm="1">
        <f t="array" ref="P575">_xlfn.IFNA(_xlfn.IFS(AND(_xlfn.XLOOKUP(A575,'LPG Fup'!D:D,'LPG Fup'!M:M,"",0)&lt;&gt;"",_xlfn.XLOOKUP(A575,'LPG Fup'!D:D,'LPG Fup'!M:M,"",0)&gt;0),"Z-1", AND(_xlfn.XLOOKUP(A575+1,'LPG Fup'!D:D,'LPG Fup'!M:M,"",0)&lt;&gt;"",_xlfn.XLOOKUP(A575+1,'LPG Fup'!D:D,'LPG Fup'!M:M,"",0)&gt;0),"Z-2", AND(_xlfn.XLOOKUP(A575-1,'LPG Fup'!D:D,'LPG Fup'!M:M,"",0)&lt;&gt;"",_xlfn.XLOOKUP(A575-1,'LPG Fup'!D:D,'LPG Fup'!M:M,"",0)&gt;0),"Z", AND(_xlfn.XLOOKUP(A575-2,'LPG Fup'!D:D,'LPG Fup'!M:M,"",0)&lt;&gt;"",_xlfn.XLOOKUP(A575-2,'LPG Fup'!D:D,'LPG Fup'!M:M,"",0)&gt;0),"Z+1"),0)</f>
        <v>0</v>
      </c>
      <c r="Q575" t="str" cm="1">
        <f t="array" ref="Q575">_xlfn.IFNA(_xlfn.IFS(AND(_xlfn.XLOOKUP(A575,'LPG Fup'!D:D,'LPG Fup'!M:M,"",0)&lt;&gt;"",_xlfn.XLOOKUP(A575,'LPG Fup'!D:D,'LPG Fup'!M:M,"",0)&lt;0),"I-1", AND(_xlfn.XLOOKUP(A575+1,'LPG Fup'!D:D,'LPG Fup'!M:M,"",0)&lt;&gt;"",_xlfn.XLOOKUP(A575+1,'LPG Fup'!D:D,'LPG Fup'!M:M,"",0)&lt;0),"I-2", AND(_xlfn.XLOOKUP(A575-1,'LPG Fup'!D:D,'LPG Fup'!M:M,"",0)&lt;&gt;"",_xlfn.XLOOKUP(A575-1,'LPG Fup'!D:D,'LPG Fup'!M:M,"",0)&lt;0),"I", AND(_xlfn.XLOOKUP(A575-2,'LPG Fup'!D:D,'LPG Fup'!M:M,"",0)&lt;&gt;"",_xlfn.XLOOKUP(A575-2,'LPG Fup'!D:D,'LPG Fup'!M:M,"",0)&lt;0),"I+1"),0)</f>
        <v>I+1</v>
      </c>
      <c r="R575">
        <f>_xlfn.XLOOKUP(A575,Covid!A:A,Covid!I:I,0,0)</f>
        <v>0</v>
      </c>
      <c r="S575">
        <f>_xlfn.XLOOKUP(A575,Covid!A:A,Covid!K:K,0,0)</f>
        <v>173</v>
      </c>
      <c r="T575" s="145">
        <f>_xlfn.XLOOKUP(A575,Covid!A:A,Covid!K:K,0,0)/_xlfn.XLOOKUP(A575,Covid!A:A,Covid!L:L,0,0)</f>
        <v>8.1549919864240591E-3</v>
      </c>
    </row>
    <row r="576" spans="1:20" x14ac:dyDescent="0.55000000000000004">
      <c r="A576" s="157">
        <v>44557</v>
      </c>
      <c r="B576" s="13">
        <v>806320</v>
      </c>
      <c r="C576" s="13">
        <v>297584</v>
      </c>
      <c r="D576" s="13">
        <v>13248</v>
      </c>
      <c r="E576" s="13">
        <v>363974</v>
      </c>
      <c r="F576" s="13">
        <v>1481126</v>
      </c>
      <c r="G576">
        <f>IF(OR(_xlfn.XLOOKUP(A576,'LPG Fup'!D:D,'LPG Fup'!L:L,"",0)&gt;0.03,_xlfn.XLOOKUP(A576,'LPG Fup'!D:D,'LPG Fup'!L:L,"",0)&lt;-0.03),_xlfn.XLOOKUP(A576,'LPG Fup'!D:D,'LPG Fup'!L:L,0,0),0)</f>
        <v>0</v>
      </c>
      <c r="H576">
        <f>IF(_xlfn.XLOOKUP(A576,'LPG Fup'!D:D,'LPG Fup'!M:M,0,0)="",0,_xlfn.XLOOKUP(A576,'LPG Fup'!D:D,'LPG Fup'!M:M,0,0))</f>
        <v>0</v>
      </c>
      <c r="I576" s="109">
        <f>_xlfn.XLOOKUP(A576,'Rafineri Fiyatları'!A:A,'Rafineri Fiyatları'!B:B,"",0)</f>
        <v>10502.33</v>
      </c>
      <c r="J576">
        <f t="shared" si="32"/>
        <v>2021</v>
      </c>
      <c r="K576">
        <f t="shared" si="33"/>
        <v>12</v>
      </c>
      <c r="L576">
        <f t="shared" si="34"/>
        <v>27</v>
      </c>
      <c r="M576">
        <f t="shared" si="35"/>
        <v>2</v>
      </c>
      <c r="N576">
        <f>_xlfn.XLOOKUP(A576,tatiller!H:H,tatiller!I:I,0,0)</f>
        <v>0</v>
      </c>
      <c r="O576" cm="1">
        <f t="array" ref="O576">_xlfn.IFNA(_xlfn.IFS(L576=1,"A0",A576=EOMONTH(A576,0),"A-1",L576=2,"A+1"),0)</f>
        <v>0</v>
      </c>
      <c r="P576" cm="1">
        <f t="array" ref="P576">_xlfn.IFNA(_xlfn.IFS(AND(_xlfn.XLOOKUP(A576,'LPG Fup'!D:D,'LPG Fup'!M:M,"",0)&lt;&gt;"",_xlfn.XLOOKUP(A576,'LPG Fup'!D:D,'LPG Fup'!M:M,"",0)&gt;0),"Z-1", AND(_xlfn.XLOOKUP(A576+1,'LPG Fup'!D:D,'LPG Fup'!M:M,"",0)&lt;&gt;"",_xlfn.XLOOKUP(A576+1,'LPG Fup'!D:D,'LPG Fup'!M:M,"",0)&gt;0),"Z-2", AND(_xlfn.XLOOKUP(A576-1,'LPG Fup'!D:D,'LPG Fup'!M:M,"",0)&lt;&gt;"",_xlfn.XLOOKUP(A576-1,'LPG Fup'!D:D,'LPG Fup'!M:M,"",0)&gt;0),"Z", AND(_xlfn.XLOOKUP(A576-2,'LPG Fup'!D:D,'LPG Fup'!M:M,"",0)&lt;&gt;"",_xlfn.XLOOKUP(A576-2,'LPG Fup'!D:D,'LPG Fup'!M:M,"",0)&gt;0),"Z+1"),0)</f>
        <v>0</v>
      </c>
      <c r="Q576" cm="1">
        <f t="array" ref="Q576">_xlfn.IFNA(_xlfn.IFS(AND(_xlfn.XLOOKUP(A576,'LPG Fup'!D:D,'LPG Fup'!M:M,"",0)&lt;&gt;"",_xlfn.XLOOKUP(A576,'LPG Fup'!D:D,'LPG Fup'!M:M,"",0)&lt;0),"I-1", AND(_xlfn.XLOOKUP(A576+1,'LPG Fup'!D:D,'LPG Fup'!M:M,"",0)&lt;&gt;"",_xlfn.XLOOKUP(A576+1,'LPG Fup'!D:D,'LPG Fup'!M:M,"",0)&lt;0),"I-2", AND(_xlfn.XLOOKUP(A576-1,'LPG Fup'!D:D,'LPG Fup'!M:M,"",0)&lt;&gt;"",_xlfn.XLOOKUP(A576-1,'LPG Fup'!D:D,'LPG Fup'!M:M,"",0)&lt;0),"I", AND(_xlfn.XLOOKUP(A576-2,'LPG Fup'!D:D,'LPG Fup'!M:M,"",0)&lt;&gt;"",_xlfn.XLOOKUP(A576-2,'LPG Fup'!D:D,'LPG Fup'!M:M,"",0)&lt;0),"I+1"),0)</f>
        <v>0</v>
      </c>
      <c r="R576">
        <f>_xlfn.XLOOKUP(A576,Covid!A:A,Covid!I:I,0,0)</f>
        <v>0</v>
      </c>
      <c r="S576">
        <f>_xlfn.XLOOKUP(A576,Covid!A:A,Covid!K:K,0,0)</f>
        <v>157</v>
      </c>
      <c r="T576" s="145">
        <f>_xlfn.XLOOKUP(A576,Covid!A:A,Covid!K:K,0,0)/_xlfn.XLOOKUP(A576,Covid!A:A,Covid!L:L,0,0)</f>
        <v>7.128586996004359E-3</v>
      </c>
    </row>
    <row r="577" spans="1:20" x14ac:dyDescent="0.55000000000000004">
      <c r="A577" s="157">
        <v>44558</v>
      </c>
      <c r="B577" s="13">
        <v>696700</v>
      </c>
      <c r="C577" s="13">
        <v>284213</v>
      </c>
      <c r="D577" s="13">
        <v>17669</v>
      </c>
      <c r="E577" s="13">
        <v>326740</v>
      </c>
      <c r="F577" s="13">
        <v>1325322</v>
      </c>
      <c r="G577">
        <f>IF(OR(_xlfn.XLOOKUP(A577,'LPG Fup'!D:D,'LPG Fup'!L:L,"",0)&gt;0.03,_xlfn.XLOOKUP(A577,'LPG Fup'!D:D,'LPG Fup'!L:L,"",0)&lt;-0.03),_xlfn.XLOOKUP(A577,'LPG Fup'!D:D,'LPG Fup'!L:L,0,0),0)</f>
        <v>0</v>
      </c>
      <c r="H577">
        <f>IF(_xlfn.XLOOKUP(A577,'LPG Fup'!D:D,'LPG Fup'!M:M,0,0)="",0,_xlfn.XLOOKUP(A577,'LPG Fup'!D:D,'LPG Fup'!M:M,0,0))</f>
        <v>0</v>
      </c>
      <c r="I577" s="109">
        <f>_xlfn.XLOOKUP(A577,'Rafineri Fiyatları'!A:A,'Rafineri Fiyatları'!B:B,"",0)</f>
        <v>10502.33</v>
      </c>
      <c r="J577">
        <f t="shared" si="32"/>
        <v>2021</v>
      </c>
      <c r="K577">
        <f t="shared" si="33"/>
        <v>12</v>
      </c>
      <c r="L577">
        <f t="shared" si="34"/>
        <v>28</v>
      </c>
      <c r="M577">
        <f t="shared" si="35"/>
        <v>3</v>
      </c>
      <c r="N577">
        <f>_xlfn.XLOOKUP(A577,tatiller!H:H,tatiller!I:I,0,0)</f>
        <v>0</v>
      </c>
      <c r="O577" cm="1">
        <f t="array" ref="O577">_xlfn.IFNA(_xlfn.IFS(L577=1,"A0",A577=EOMONTH(A577,0),"A-1",L577=2,"A+1"),0)</f>
        <v>0</v>
      </c>
      <c r="P577" cm="1">
        <f t="array" ref="P577">_xlfn.IFNA(_xlfn.IFS(AND(_xlfn.XLOOKUP(A577,'LPG Fup'!D:D,'LPG Fup'!M:M,"",0)&lt;&gt;"",_xlfn.XLOOKUP(A577,'LPG Fup'!D:D,'LPG Fup'!M:M,"",0)&gt;0),"Z-1", AND(_xlfn.XLOOKUP(A577+1,'LPG Fup'!D:D,'LPG Fup'!M:M,"",0)&lt;&gt;"",_xlfn.XLOOKUP(A577+1,'LPG Fup'!D:D,'LPG Fup'!M:M,"",0)&gt;0),"Z-2", AND(_xlfn.XLOOKUP(A577-1,'LPG Fup'!D:D,'LPG Fup'!M:M,"",0)&lt;&gt;"",_xlfn.XLOOKUP(A577-1,'LPG Fup'!D:D,'LPG Fup'!M:M,"",0)&gt;0),"Z", AND(_xlfn.XLOOKUP(A577-2,'LPG Fup'!D:D,'LPG Fup'!M:M,"",0)&lt;&gt;"",_xlfn.XLOOKUP(A577-2,'LPG Fup'!D:D,'LPG Fup'!M:M,"",0)&gt;0),"Z+1"),0)</f>
        <v>0</v>
      </c>
      <c r="Q577" cm="1">
        <f t="array" ref="Q577">_xlfn.IFNA(_xlfn.IFS(AND(_xlfn.XLOOKUP(A577,'LPG Fup'!D:D,'LPG Fup'!M:M,"",0)&lt;&gt;"",_xlfn.XLOOKUP(A577,'LPG Fup'!D:D,'LPG Fup'!M:M,"",0)&lt;0),"I-1", AND(_xlfn.XLOOKUP(A577+1,'LPG Fup'!D:D,'LPG Fup'!M:M,"",0)&lt;&gt;"",_xlfn.XLOOKUP(A577+1,'LPG Fup'!D:D,'LPG Fup'!M:M,"",0)&lt;0),"I-2", AND(_xlfn.XLOOKUP(A577-1,'LPG Fup'!D:D,'LPG Fup'!M:M,"",0)&lt;&gt;"",_xlfn.XLOOKUP(A577-1,'LPG Fup'!D:D,'LPG Fup'!M:M,"",0)&lt;0),"I", AND(_xlfn.XLOOKUP(A577-2,'LPG Fup'!D:D,'LPG Fup'!M:M,"",0)&lt;&gt;"",_xlfn.XLOOKUP(A577-2,'LPG Fup'!D:D,'LPG Fup'!M:M,"",0)&lt;0),"I+1"),0)</f>
        <v>0</v>
      </c>
      <c r="R577">
        <f>_xlfn.XLOOKUP(A577,Covid!A:A,Covid!I:I,0,0)</f>
        <v>0</v>
      </c>
      <c r="S577">
        <f>_xlfn.XLOOKUP(A577,Covid!A:A,Covid!K:K,0,0)</f>
        <v>184</v>
      </c>
      <c r="T577" s="145">
        <f>_xlfn.XLOOKUP(A577,Covid!A:A,Covid!K:K,0,0)/_xlfn.XLOOKUP(A577,Covid!A:A,Covid!L:L,0,0)</f>
        <v>7.9639889196675903E-3</v>
      </c>
    </row>
    <row r="578" spans="1:20" x14ac:dyDescent="0.55000000000000004">
      <c r="A578" s="157">
        <v>44559</v>
      </c>
      <c r="B578" s="13">
        <v>723840</v>
      </c>
      <c r="C578" s="13">
        <v>281892</v>
      </c>
      <c r="D578" s="13">
        <v>7215</v>
      </c>
      <c r="E578" s="13">
        <v>404557</v>
      </c>
      <c r="F578" s="13">
        <v>1417504</v>
      </c>
      <c r="G578">
        <f>IF(OR(_xlfn.XLOOKUP(A578,'LPG Fup'!D:D,'LPG Fup'!L:L,"",0)&gt;0.03,_xlfn.XLOOKUP(A578,'LPG Fup'!D:D,'LPG Fup'!L:L,"",0)&lt;-0.03),_xlfn.XLOOKUP(A578,'LPG Fup'!D:D,'LPG Fup'!L:L,0,0),0)</f>
        <v>0</v>
      </c>
      <c r="H578">
        <f>IF(_xlfn.XLOOKUP(A578,'LPG Fup'!D:D,'LPG Fup'!M:M,0,0)="",0,_xlfn.XLOOKUP(A578,'LPG Fup'!D:D,'LPG Fup'!M:M,0,0))</f>
        <v>0</v>
      </c>
      <c r="I578" s="109">
        <f>_xlfn.XLOOKUP(A578,'Rafineri Fiyatları'!A:A,'Rafineri Fiyatları'!B:B,"",0)</f>
        <v>10502.33</v>
      </c>
      <c r="J578">
        <f t="shared" ref="J578:J586" si="36">YEAR(A578)</f>
        <v>2021</v>
      </c>
      <c r="K578">
        <f t="shared" ref="K578:K586" si="37">MONTH(A578)</f>
        <v>12</v>
      </c>
      <c r="L578">
        <f t="shared" ref="L578:L586" si="38">DAY(A578)</f>
        <v>29</v>
      </c>
      <c r="M578">
        <f t="shared" ref="M578:M586" si="39">WEEKDAY(A578)</f>
        <v>4</v>
      </c>
      <c r="N578">
        <f>_xlfn.XLOOKUP(A578,tatiller!H:H,tatiller!I:I,0,0)</f>
        <v>0</v>
      </c>
      <c r="O578" cm="1">
        <f t="array" ref="O578">_xlfn.IFNA(_xlfn.IFS(L578=1,"A0",A578=EOMONTH(A578,0),"A-1",L578=2,"A+1"),0)</f>
        <v>0</v>
      </c>
      <c r="P578" cm="1">
        <f t="array" ref="P578">_xlfn.IFNA(_xlfn.IFS(AND(_xlfn.XLOOKUP(A578,'LPG Fup'!D:D,'LPG Fup'!M:M,"",0)&lt;&gt;"",_xlfn.XLOOKUP(A578,'LPG Fup'!D:D,'LPG Fup'!M:M,"",0)&gt;0),"Z-1", AND(_xlfn.XLOOKUP(A578+1,'LPG Fup'!D:D,'LPG Fup'!M:M,"",0)&lt;&gt;"",_xlfn.XLOOKUP(A578+1,'LPG Fup'!D:D,'LPG Fup'!M:M,"",0)&gt;0),"Z-2", AND(_xlfn.XLOOKUP(A578-1,'LPG Fup'!D:D,'LPG Fup'!M:M,"",0)&lt;&gt;"",_xlfn.XLOOKUP(A578-1,'LPG Fup'!D:D,'LPG Fup'!M:M,"",0)&gt;0),"Z", AND(_xlfn.XLOOKUP(A578-2,'LPG Fup'!D:D,'LPG Fup'!M:M,"",0)&lt;&gt;"",_xlfn.XLOOKUP(A578-2,'LPG Fup'!D:D,'LPG Fup'!M:M,"",0)&gt;0),"Z+1"),0)</f>
        <v>0</v>
      </c>
      <c r="Q578" cm="1">
        <f t="array" ref="Q578">_xlfn.IFNA(_xlfn.IFS(AND(_xlfn.XLOOKUP(A578,'LPG Fup'!D:D,'LPG Fup'!M:M,"",0)&lt;&gt;"",_xlfn.XLOOKUP(A578,'LPG Fup'!D:D,'LPG Fup'!M:M,"",0)&lt;0),"I-1", AND(_xlfn.XLOOKUP(A578+1,'LPG Fup'!D:D,'LPG Fup'!M:M,"",0)&lt;&gt;"",_xlfn.XLOOKUP(A578+1,'LPG Fup'!D:D,'LPG Fup'!M:M,"",0)&lt;0),"I-2", AND(_xlfn.XLOOKUP(A578-1,'LPG Fup'!D:D,'LPG Fup'!M:M,"",0)&lt;&gt;"",_xlfn.XLOOKUP(A578-1,'LPG Fup'!D:D,'LPG Fup'!M:M,"",0)&lt;0),"I", AND(_xlfn.XLOOKUP(A578-2,'LPG Fup'!D:D,'LPG Fup'!M:M,"",0)&lt;&gt;"",_xlfn.XLOOKUP(A578-2,'LPG Fup'!D:D,'LPG Fup'!M:M,"",0)&lt;0),"I+1"),0)</f>
        <v>0</v>
      </c>
      <c r="R578">
        <f>_xlfn.XLOOKUP(A578,Covid!A:A,Covid!I:I,0,0)</f>
        <v>0</v>
      </c>
      <c r="S578">
        <f>_xlfn.XLOOKUP(A578,Covid!A:A,Covid!K:K,0,0)</f>
        <v>142</v>
      </c>
      <c r="T578" s="145">
        <f>_xlfn.XLOOKUP(A578,Covid!A:A,Covid!K:K,0,0)/_xlfn.XLOOKUP(A578,Covid!A:A,Covid!L:L,0,0)</f>
        <v>5.5386535611202121E-3</v>
      </c>
    </row>
    <row r="579" spans="1:20" x14ac:dyDescent="0.55000000000000004">
      <c r="A579" s="157">
        <v>44560</v>
      </c>
      <c r="B579" s="13">
        <v>730240</v>
      </c>
      <c r="C579" s="13">
        <v>305015</v>
      </c>
      <c r="D579" s="13">
        <v>19445</v>
      </c>
      <c r="E579" s="13">
        <v>473964</v>
      </c>
      <c r="F579" s="13">
        <v>1528664</v>
      </c>
      <c r="G579">
        <f>IF(OR(_xlfn.XLOOKUP(A579,'LPG Fup'!D:D,'LPG Fup'!L:L,"",0)&gt;0.03,_xlfn.XLOOKUP(A579,'LPG Fup'!D:D,'LPG Fup'!L:L,"",0)&lt;-0.03),_xlfn.XLOOKUP(A579,'LPG Fup'!D:D,'LPG Fup'!L:L,0,0),0)</f>
        <v>0</v>
      </c>
      <c r="H579">
        <f>IF(_xlfn.XLOOKUP(A579,'LPG Fup'!D:D,'LPG Fup'!M:M,0,0)="",0,_xlfn.XLOOKUP(A579,'LPG Fup'!D:D,'LPG Fup'!M:M,0,0))</f>
        <v>0</v>
      </c>
      <c r="I579" s="109">
        <f>_xlfn.XLOOKUP(A579,'Rafineri Fiyatları'!A:A,'Rafineri Fiyatları'!B:B,"",0)</f>
        <v>10502.33</v>
      </c>
      <c r="J579">
        <f t="shared" si="36"/>
        <v>2021</v>
      </c>
      <c r="K579">
        <f t="shared" si="37"/>
        <v>12</v>
      </c>
      <c r="L579">
        <f t="shared" si="38"/>
        <v>30</v>
      </c>
      <c r="M579">
        <f t="shared" si="39"/>
        <v>5</v>
      </c>
      <c r="N579">
        <f>_xlfn.XLOOKUP(A579,tatiller!H:H,tatiller!I:I,0,0)</f>
        <v>0</v>
      </c>
      <c r="O579" cm="1">
        <f t="array" ref="O579">_xlfn.IFNA(_xlfn.IFS(L579=1,"A0",A579=EOMONTH(A579,0),"A-1",L579=2,"A+1"),0)</f>
        <v>0</v>
      </c>
      <c r="P579" t="str" cm="1">
        <f t="array" ref="P579">_xlfn.IFNA(_xlfn.IFS(AND(_xlfn.XLOOKUP(A579,'LPG Fup'!D:D,'LPG Fup'!M:M,"",0)&lt;&gt;"",_xlfn.XLOOKUP(A579,'LPG Fup'!D:D,'LPG Fup'!M:M,"",0)&gt;0),"Z-1", AND(_xlfn.XLOOKUP(A579+1,'LPG Fup'!D:D,'LPG Fup'!M:M,"",0)&lt;&gt;"",_xlfn.XLOOKUP(A579+1,'LPG Fup'!D:D,'LPG Fup'!M:M,"",0)&gt;0),"Z-2", AND(_xlfn.XLOOKUP(A579-1,'LPG Fup'!D:D,'LPG Fup'!M:M,"",0)&lt;&gt;"",_xlfn.XLOOKUP(A579-1,'LPG Fup'!D:D,'LPG Fup'!M:M,"",0)&gt;0),"Z", AND(_xlfn.XLOOKUP(A579-2,'LPG Fup'!D:D,'LPG Fup'!M:M,"",0)&lt;&gt;"",_xlfn.XLOOKUP(A579-2,'LPG Fup'!D:D,'LPG Fup'!M:M,"",0)&gt;0),"Z+1"),0)</f>
        <v>Z-2</v>
      </c>
      <c r="Q579" cm="1">
        <f t="array" ref="Q579">_xlfn.IFNA(_xlfn.IFS(AND(_xlfn.XLOOKUP(A579,'LPG Fup'!D:D,'LPG Fup'!M:M,"",0)&lt;&gt;"",_xlfn.XLOOKUP(A579,'LPG Fup'!D:D,'LPG Fup'!M:M,"",0)&lt;0),"I-1", AND(_xlfn.XLOOKUP(A579+1,'LPG Fup'!D:D,'LPG Fup'!M:M,"",0)&lt;&gt;"",_xlfn.XLOOKUP(A579+1,'LPG Fup'!D:D,'LPG Fup'!M:M,"",0)&lt;0),"I-2", AND(_xlfn.XLOOKUP(A579-1,'LPG Fup'!D:D,'LPG Fup'!M:M,"",0)&lt;&gt;"",_xlfn.XLOOKUP(A579-1,'LPG Fup'!D:D,'LPG Fup'!M:M,"",0)&lt;0),"I", AND(_xlfn.XLOOKUP(A579-2,'LPG Fup'!D:D,'LPG Fup'!M:M,"",0)&lt;&gt;"",_xlfn.XLOOKUP(A579-2,'LPG Fup'!D:D,'LPG Fup'!M:M,"",0)&lt;0),"I+1"),0)</f>
        <v>0</v>
      </c>
      <c r="R579">
        <f>_xlfn.XLOOKUP(A579,Covid!A:A,Covid!I:I,0,0)</f>
        <v>0</v>
      </c>
      <c r="S579">
        <f>_xlfn.XLOOKUP(A579,Covid!A:A,Covid!K:K,0,0)</f>
        <v>139</v>
      </c>
      <c r="T579" s="145">
        <f>_xlfn.XLOOKUP(A579,Covid!A:A,Covid!K:K,0,0)/_xlfn.XLOOKUP(A579,Covid!A:A,Covid!L:L,0,0)</f>
        <v>5.592661141063813E-3</v>
      </c>
    </row>
    <row r="580" spans="1:20" x14ac:dyDescent="0.55000000000000004">
      <c r="A580" s="157">
        <v>44561</v>
      </c>
      <c r="B580" s="13">
        <v>939320</v>
      </c>
      <c r="C580" s="13">
        <v>766497</v>
      </c>
      <c r="D580" s="13">
        <v>256534</v>
      </c>
      <c r="E580" s="13">
        <v>770467</v>
      </c>
      <c r="F580" s="13">
        <v>4932970</v>
      </c>
      <c r="G580">
        <f>IF(OR(_xlfn.XLOOKUP(A580,'LPG Fup'!D:D,'LPG Fup'!L:L,"",0)&gt;0.03,_xlfn.XLOOKUP(A580,'LPG Fup'!D:D,'LPG Fup'!L:L,"",0)&lt;-0.03),_xlfn.XLOOKUP(A580,'LPG Fup'!D:D,'LPG Fup'!L:L,0,0),0)</f>
        <v>5.0836300870322627E-2</v>
      </c>
      <c r="H580">
        <f>IF(_xlfn.XLOOKUP(A580,'LPG Fup'!D:D,'LPG Fup'!M:M,0,0)="",0,_xlfn.XLOOKUP(A580,'LPG Fup'!D:D,'LPG Fup'!M:M,0,0))</f>
        <v>1174.6561500000007</v>
      </c>
      <c r="I580" s="109">
        <f>_xlfn.XLOOKUP(A580,'Rafineri Fiyatları'!A:A,'Rafineri Fiyatları'!B:B,"",0)</f>
        <v>10502.33</v>
      </c>
      <c r="J580">
        <f t="shared" si="36"/>
        <v>2021</v>
      </c>
      <c r="K580">
        <f t="shared" si="37"/>
        <v>12</v>
      </c>
      <c r="L580">
        <f t="shared" si="38"/>
        <v>31</v>
      </c>
      <c r="M580">
        <f t="shared" si="39"/>
        <v>6</v>
      </c>
      <c r="N580">
        <f>_xlfn.XLOOKUP(A580,tatiller!H:H,tatiller!I:I,0,0)</f>
        <v>0</v>
      </c>
      <c r="O580" t="str" cm="1">
        <f t="array" ref="O580">_xlfn.IFNA(_xlfn.IFS(L580=1,"A0",A580=EOMONTH(A580,0),"A-1",L580=2,"A+1"),0)</f>
        <v>A-1</v>
      </c>
      <c r="P580" t="str" cm="1">
        <f t="array" ref="P580">_xlfn.IFNA(_xlfn.IFS(AND(_xlfn.XLOOKUP(A580,'LPG Fup'!D:D,'LPG Fup'!M:M,"",0)&lt;&gt;"",_xlfn.XLOOKUP(A580,'LPG Fup'!D:D,'LPG Fup'!M:M,"",0)&gt;0),"Z-1", AND(_xlfn.XLOOKUP(A580+1,'LPG Fup'!D:D,'LPG Fup'!M:M,"",0)&lt;&gt;"",_xlfn.XLOOKUP(A580+1,'LPG Fup'!D:D,'LPG Fup'!M:M,"",0)&gt;0),"Z-2", AND(_xlfn.XLOOKUP(A580-1,'LPG Fup'!D:D,'LPG Fup'!M:M,"",0)&lt;&gt;"",_xlfn.XLOOKUP(A580-1,'LPG Fup'!D:D,'LPG Fup'!M:M,"",0)&gt;0),"Z", AND(_xlfn.XLOOKUP(A580-2,'LPG Fup'!D:D,'LPG Fup'!M:M,"",0)&lt;&gt;"",_xlfn.XLOOKUP(A580-2,'LPG Fup'!D:D,'LPG Fup'!M:M,"",0)&gt;0),"Z+1"),0)</f>
        <v>Z-1</v>
      </c>
      <c r="Q580" cm="1">
        <f t="array" ref="Q580">_xlfn.IFNA(_xlfn.IFS(AND(_xlfn.XLOOKUP(A580,'LPG Fup'!D:D,'LPG Fup'!M:M,"",0)&lt;&gt;"",_xlfn.XLOOKUP(A580,'LPG Fup'!D:D,'LPG Fup'!M:M,"",0)&lt;0),"I-1", AND(_xlfn.XLOOKUP(A580+1,'LPG Fup'!D:D,'LPG Fup'!M:M,"",0)&lt;&gt;"",_xlfn.XLOOKUP(A580+1,'LPG Fup'!D:D,'LPG Fup'!M:M,"",0)&lt;0),"I-2", AND(_xlfn.XLOOKUP(A580-1,'LPG Fup'!D:D,'LPG Fup'!M:M,"",0)&lt;&gt;"",_xlfn.XLOOKUP(A580-1,'LPG Fup'!D:D,'LPG Fup'!M:M,"",0)&lt;0),"I", AND(_xlfn.XLOOKUP(A580-2,'LPG Fup'!D:D,'LPG Fup'!M:M,"",0)&lt;&gt;"",_xlfn.XLOOKUP(A580-2,'LPG Fup'!D:D,'LPG Fup'!M:M,"",0)&lt;0),"I+1"),0)</f>
        <v>0</v>
      </c>
      <c r="R580">
        <f>_xlfn.XLOOKUP(A580,Covid!A:A,Covid!I:I,0,0)</f>
        <v>0</v>
      </c>
      <c r="S580">
        <f>_xlfn.XLOOKUP(A580,Covid!A:A,Covid!K:K,0,0)</f>
        <v>163</v>
      </c>
      <c r="T580" s="145">
        <f>_xlfn.XLOOKUP(A580,Covid!A:A,Covid!K:K,0,0)/_xlfn.XLOOKUP(A580,Covid!A:A,Covid!L:L,0,0)</f>
        <v>6.8007343124165554E-3</v>
      </c>
    </row>
    <row r="581" spans="1:20" x14ac:dyDescent="0.55000000000000004">
      <c r="A581" s="157">
        <v>44562</v>
      </c>
      <c r="B581" s="13">
        <v>761180</v>
      </c>
      <c r="C581" s="13">
        <v>3328</v>
      </c>
      <c r="D581" s="13">
        <v>2736</v>
      </c>
      <c r="E581" s="13">
        <v>162655</v>
      </c>
      <c r="F581" s="13">
        <v>929899</v>
      </c>
      <c r="G581">
        <f>IF(OR(_xlfn.XLOOKUP(A581,'LPG Fup'!D:D,'LPG Fup'!L:L,"",0)&gt;0.03,_xlfn.XLOOKUP(A581,'LPG Fup'!D:D,'LPG Fup'!L:L,"",0)&lt;-0.03),_xlfn.XLOOKUP(A581,'LPG Fup'!D:D,'LPG Fup'!L:L,0,0),0)</f>
        <v>0</v>
      </c>
      <c r="H581">
        <f>IF(_xlfn.XLOOKUP(A581,'LPG Fup'!D:D,'LPG Fup'!M:M,0,0)="",0,_xlfn.XLOOKUP(A581,'LPG Fup'!D:D,'LPG Fup'!M:M,0,0))</f>
        <v>0</v>
      </c>
      <c r="I581" s="109">
        <f>_xlfn.XLOOKUP(A581,'Rafineri Fiyatları'!A:A,'Rafineri Fiyatları'!B:B,"",0)</f>
        <v>11681.18</v>
      </c>
      <c r="J581">
        <f t="shared" si="36"/>
        <v>2022</v>
      </c>
      <c r="K581">
        <f t="shared" si="37"/>
        <v>1</v>
      </c>
      <c r="L581">
        <f t="shared" si="38"/>
        <v>1</v>
      </c>
      <c r="M581">
        <f t="shared" si="39"/>
        <v>7</v>
      </c>
      <c r="N581" t="str">
        <f>_xlfn.XLOOKUP(A581,tatiller!H:H,tatiller!I:I,0,0)</f>
        <v>Y</v>
      </c>
      <c r="O581" t="str" cm="1">
        <f t="array" ref="O581">_xlfn.IFNA(_xlfn.IFS(L581=1,"A0",A581=EOMONTH(A581,0),"A-1",L581=2,"A+1"),0)</f>
        <v>A0</v>
      </c>
      <c r="P581" t="str" cm="1">
        <f t="array" ref="P581">_xlfn.IFNA(_xlfn.IFS(AND(_xlfn.XLOOKUP(A581,'LPG Fup'!D:D,'LPG Fup'!M:M,"",0)&lt;&gt;"",_xlfn.XLOOKUP(A581,'LPG Fup'!D:D,'LPG Fup'!M:M,"",0)&gt;0),"Z-1", AND(_xlfn.XLOOKUP(A581+1,'LPG Fup'!D:D,'LPG Fup'!M:M,"",0)&lt;&gt;"",_xlfn.XLOOKUP(A581+1,'LPG Fup'!D:D,'LPG Fup'!M:M,"",0)&gt;0),"Z-2", AND(_xlfn.XLOOKUP(A581-1,'LPG Fup'!D:D,'LPG Fup'!M:M,"",0)&lt;&gt;"",_xlfn.XLOOKUP(A581-1,'LPG Fup'!D:D,'LPG Fup'!M:M,"",0)&gt;0),"Z", AND(_xlfn.XLOOKUP(A581-2,'LPG Fup'!D:D,'LPG Fup'!M:M,"",0)&lt;&gt;"",_xlfn.XLOOKUP(A581-2,'LPG Fup'!D:D,'LPG Fup'!M:M,"",0)&gt;0),"Z+1"),0)</f>
        <v>Z</v>
      </c>
      <c r="Q581" cm="1">
        <f t="array" ref="Q581">_xlfn.IFNA(_xlfn.IFS(AND(_xlfn.XLOOKUP(A581,'LPG Fup'!D:D,'LPG Fup'!M:M,"",0)&lt;&gt;"",_xlfn.XLOOKUP(A581,'LPG Fup'!D:D,'LPG Fup'!M:M,"",0)&lt;0),"I-1", AND(_xlfn.XLOOKUP(A581+1,'LPG Fup'!D:D,'LPG Fup'!M:M,"",0)&lt;&gt;"",_xlfn.XLOOKUP(A581+1,'LPG Fup'!D:D,'LPG Fup'!M:M,"",0)&lt;0),"I-2", AND(_xlfn.XLOOKUP(A581-1,'LPG Fup'!D:D,'LPG Fup'!M:M,"",0)&lt;&gt;"",_xlfn.XLOOKUP(A581-1,'LPG Fup'!D:D,'LPG Fup'!M:M,"",0)&lt;0),"I", AND(_xlfn.XLOOKUP(A581-2,'LPG Fup'!D:D,'LPG Fup'!M:M,"",0)&lt;&gt;"",_xlfn.XLOOKUP(A581-2,'LPG Fup'!D:D,'LPG Fup'!M:M,"",0)&lt;0),"I+1"),0)</f>
        <v>0</v>
      </c>
      <c r="R581">
        <f>_xlfn.XLOOKUP(A581,Covid!A:A,Covid!I:I,0,0)</f>
        <v>0</v>
      </c>
      <c r="S581">
        <f>_xlfn.XLOOKUP(A581,Covid!A:A,Covid!K:K,0,0)</f>
        <v>145</v>
      </c>
      <c r="T581" s="145">
        <f>_xlfn.XLOOKUP(A581,Covid!A:A,Covid!K:K,0,0)/_xlfn.XLOOKUP(A581,Covid!A:A,Covid!L:L,0,0)</f>
        <v>6.2165058949624867E-3</v>
      </c>
    </row>
    <row r="582" spans="1:20" x14ac:dyDescent="0.55000000000000004">
      <c r="A582" s="157">
        <v>44563</v>
      </c>
      <c r="B582" s="13">
        <v>698060</v>
      </c>
      <c r="C582" s="13">
        <v>3231</v>
      </c>
      <c r="D582" s="13">
        <v>0</v>
      </c>
      <c r="E582" s="13">
        <v>253093</v>
      </c>
      <c r="F582" s="13">
        <v>954384</v>
      </c>
      <c r="G582">
        <f>IF(OR(_xlfn.XLOOKUP(A582,'LPG Fup'!D:D,'LPG Fup'!L:L,"",0)&gt;0.03,_xlfn.XLOOKUP(A582,'LPG Fup'!D:D,'LPG Fup'!L:L,"",0)&lt;-0.03),_xlfn.XLOOKUP(A582,'LPG Fup'!D:D,'LPG Fup'!L:L,0,0),0)</f>
        <v>0</v>
      </c>
      <c r="H582">
        <f>IF(_xlfn.XLOOKUP(A582,'LPG Fup'!D:D,'LPG Fup'!M:M,0,0)="",0,_xlfn.XLOOKUP(A582,'LPG Fup'!D:D,'LPG Fup'!M:M,0,0))</f>
        <v>0</v>
      </c>
      <c r="I582" s="109">
        <f>_xlfn.XLOOKUP(A582,'Rafineri Fiyatları'!A:A,'Rafineri Fiyatları'!B:B,"",0)</f>
        <v>11681.18</v>
      </c>
      <c r="J582">
        <f t="shared" si="36"/>
        <v>2022</v>
      </c>
      <c r="K582">
        <f t="shared" si="37"/>
        <v>1</v>
      </c>
      <c r="L582">
        <f t="shared" si="38"/>
        <v>2</v>
      </c>
      <c r="M582">
        <f t="shared" si="39"/>
        <v>1</v>
      </c>
      <c r="N582">
        <f>_xlfn.XLOOKUP(A582,tatiller!H:H,tatiller!I:I,0,0)</f>
        <v>0</v>
      </c>
      <c r="O582" t="str" cm="1">
        <f t="array" ref="O582">_xlfn.IFNA(_xlfn.IFS(L582=1,"A0",A582=EOMONTH(A582,0),"A-1",L582=2,"A+1"),0)</f>
        <v>A+1</v>
      </c>
      <c r="P582" t="str" cm="1">
        <f t="array" ref="P582">_xlfn.IFNA(_xlfn.IFS(AND(_xlfn.XLOOKUP(A582,'LPG Fup'!D:D,'LPG Fup'!M:M,"",0)&lt;&gt;"",_xlfn.XLOOKUP(A582,'LPG Fup'!D:D,'LPG Fup'!M:M,"",0)&gt;0),"Z-1", AND(_xlfn.XLOOKUP(A582+1,'LPG Fup'!D:D,'LPG Fup'!M:M,"",0)&lt;&gt;"",_xlfn.XLOOKUP(A582+1,'LPG Fup'!D:D,'LPG Fup'!M:M,"",0)&gt;0),"Z-2", AND(_xlfn.XLOOKUP(A582-1,'LPG Fup'!D:D,'LPG Fup'!M:M,"",0)&lt;&gt;"",_xlfn.XLOOKUP(A582-1,'LPG Fup'!D:D,'LPG Fup'!M:M,"",0)&gt;0),"Z", AND(_xlfn.XLOOKUP(A582-2,'LPG Fup'!D:D,'LPG Fup'!M:M,"",0)&lt;&gt;"",_xlfn.XLOOKUP(A582-2,'LPG Fup'!D:D,'LPG Fup'!M:M,"",0)&gt;0),"Z+1"),0)</f>
        <v>Z+1</v>
      </c>
      <c r="Q582" cm="1">
        <f t="array" ref="Q582">_xlfn.IFNA(_xlfn.IFS(AND(_xlfn.XLOOKUP(A582,'LPG Fup'!D:D,'LPG Fup'!M:M,"",0)&lt;&gt;"",_xlfn.XLOOKUP(A582,'LPG Fup'!D:D,'LPG Fup'!M:M,"",0)&lt;0),"I-1", AND(_xlfn.XLOOKUP(A582+1,'LPG Fup'!D:D,'LPG Fup'!M:M,"",0)&lt;&gt;"",_xlfn.XLOOKUP(A582+1,'LPG Fup'!D:D,'LPG Fup'!M:M,"",0)&lt;0),"I-2", AND(_xlfn.XLOOKUP(A582-1,'LPG Fup'!D:D,'LPG Fup'!M:M,"",0)&lt;&gt;"",_xlfn.XLOOKUP(A582-1,'LPG Fup'!D:D,'LPG Fup'!M:M,"",0)&lt;0),"I", AND(_xlfn.XLOOKUP(A582-2,'LPG Fup'!D:D,'LPG Fup'!M:M,"",0)&lt;&gt;"",_xlfn.XLOOKUP(A582-2,'LPG Fup'!D:D,'LPG Fup'!M:M,"",0)&lt;0),"I+1"),0)</f>
        <v>0</v>
      </c>
      <c r="R582">
        <f>_xlfn.XLOOKUP(A582,Covid!A:A,Covid!I:I,0,0)</f>
        <v>0</v>
      </c>
      <c r="S582">
        <f>_xlfn.XLOOKUP(A582,Covid!A:A,Covid!K:K,0,0)</f>
        <v>129</v>
      </c>
      <c r="T582" s="145">
        <f>_xlfn.XLOOKUP(A582,Covid!A:A,Covid!K:K,0,0)/_xlfn.XLOOKUP(A582,Covid!A:A,Covid!L:L,0,0)</f>
        <v>5.8210369568160282E-3</v>
      </c>
    </row>
    <row r="583" spans="1:20" x14ac:dyDescent="0.55000000000000004">
      <c r="A583" s="157">
        <v>44564</v>
      </c>
      <c r="B583" s="13">
        <v>747080</v>
      </c>
      <c r="C583" s="13">
        <v>230438</v>
      </c>
      <c r="D583" s="13">
        <v>12601</v>
      </c>
      <c r="E583" s="13">
        <v>352115</v>
      </c>
      <c r="F583" s="13">
        <v>1342234</v>
      </c>
      <c r="G583">
        <f>IF(OR(_xlfn.XLOOKUP(A583,'LPG Fup'!D:D,'LPG Fup'!L:L,"",0)&gt;0.03,_xlfn.XLOOKUP(A583,'LPG Fup'!D:D,'LPG Fup'!L:L,"",0)&lt;-0.03),_xlfn.XLOOKUP(A583,'LPG Fup'!D:D,'LPG Fup'!L:L,0,0),0)</f>
        <v>0</v>
      </c>
      <c r="H583">
        <f>IF(_xlfn.XLOOKUP(A583,'LPG Fup'!D:D,'LPG Fup'!M:M,0,0)="",0,_xlfn.XLOOKUP(A583,'LPG Fup'!D:D,'LPG Fup'!M:M,0,0))</f>
        <v>0</v>
      </c>
      <c r="I583" s="109">
        <f>_xlfn.XLOOKUP(A583,'Rafineri Fiyatları'!A:A,'Rafineri Fiyatları'!B:B,"",0)</f>
        <v>11681.18</v>
      </c>
      <c r="J583">
        <f t="shared" si="36"/>
        <v>2022</v>
      </c>
      <c r="K583">
        <f t="shared" si="37"/>
        <v>1</v>
      </c>
      <c r="L583">
        <f t="shared" si="38"/>
        <v>3</v>
      </c>
      <c r="M583">
        <f t="shared" si="39"/>
        <v>2</v>
      </c>
      <c r="N583">
        <f>_xlfn.XLOOKUP(A583,tatiller!H:H,tatiller!I:I,0,0)</f>
        <v>0</v>
      </c>
      <c r="O583" cm="1">
        <f t="array" ref="O583">_xlfn.IFNA(_xlfn.IFS(L583=1,"A0",A583=EOMONTH(A583,0),"A-1",L583=2,"A+1"),0)</f>
        <v>0</v>
      </c>
      <c r="P583" cm="1">
        <f t="array" ref="P583">_xlfn.IFNA(_xlfn.IFS(AND(_xlfn.XLOOKUP(A583,'LPG Fup'!D:D,'LPG Fup'!M:M,"",0)&lt;&gt;"",_xlfn.XLOOKUP(A583,'LPG Fup'!D:D,'LPG Fup'!M:M,"",0)&gt;0),"Z-1", AND(_xlfn.XLOOKUP(A583+1,'LPG Fup'!D:D,'LPG Fup'!M:M,"",0)&lt;&gt;"",_xlfn.XLOOKUP(A583+1,'LPG Fup'!D:D,'LPG Fup'!M:M,"",0)&gt;0),"Z-2", AND(_xlfn.XLOOKUP(A583-1,'LPG Fup'!D:D,'LPG Fup'!M:M,"",0)&lt;&gt;"",_xlfn.XLOOKUP(A583-1,'LPG Fup'!D:D,'LPG Fup'!M:M,"",0)&gt;0),"Z", AND(_xlfn.XLOOKUP(A583-2,'LPG Fup'!D:D,'LPG Fup'!M:M,"",0)&lt;&gt;"",_xlfn.XLOOKUP(A583-2,'LPG Fup'!D:D,'LPG Fup'!M:M,"",0)&gt;0),"Z+1"),0)</f>
        <v>0</v>
      </c>
      <c r="Q583" cm="1">
        <f t="array" ref="Q583">_xlfn.IFNA(_xlfn.IFS(AND(_xlfn.XLOOKUP(A583,'LPG Fup'!D:D,'LPG Fup'!M:M,"",0)&lt;&gt;"",_xlfn.XLOOKUP(A583,'LPG Fup'!D:D,'LPG Fup'!M:M,"",0)&lt;0),"I-1", AND(_xlfn.XLOOKUP(A583+1,'LPG Fup'!D:D,'LPG Fup'!M:M,"",0)&lt;&gt;"",_xlfn.XLOOKUP(A583+1,'LPG Fup'!D:D,'LPG Fup'!M:M,"",0)&lt;0),"I-2", AND(_xlfn.XLOOKUP(A583-1,'LPG Fup'!D:D,'LPG Fup'!M:M,"",0)&lt;&gt;"",_xlfn.XLOOKUP(A583-1,'LPG Fup'!D:D,'LPG Fup'!M:M,"",0)&lt;0),"I", AND(_xlfn.XLOOKUP(A583-2,'LPG Fup'!D:D,'LPG Fup'!M:M,"",0)&lt;&gt;"",_xlfn.XLOOKUP(A583-2,'LPG Fup'!D:D,'LPG Fup'!M:M,"",0)&lt;0),"I+1"),0)</f>
        <v>0</v>
      </c>
      <c r="R583">
        <f>_xlfn.XLOOKUP(A583,Covid!A:A,Covid!I:I,0,0)</f>
        <v>0</v>
      </c>
      <c r="S583">
        <f>_xlfn.XLOOKUP(A583,Covid!A:A,Covid!K:K,0,0)</f>
        <v>160</v>
      </c>
      <c r="T583" s="145">
        <f>_xlfn.XLOOKUP(A583,Covid!A:A,Covid!K:K,0,0)/_xlfn.XLOOKUP(A583,Covid!A:A,Covid!L:L,0,0)</f>
        <v>5.819874872690237E-3</v>
      </c>
    </row>
    <row r="584" spans="1:20" x14ac:dyDescent="0.55000000000000004">
      <c r="A584" s="157">
        <v>44565</v>
      </c>
      <c r="B584" s="13">
        <v>675800</v>
      </c>
      <c r="C584" s="13">
        <v>255785</v>
      </c>
      <c r="D584" s="13">
        <v>19175</v>
      </c>
      <c r="E584" s="13">
        <v>358087</v>
      </c>
      <c r="F584" s="13">
        <v>1308847</v>
      </c>
      <c r="G584">
        <f>IF(OR(_xlfn.XLOOKUP(A584,'LPG Fup'!D:D,'LPG Fup'!L:L,"",0)&gt;0.03,_xlfn.XLOOKUP(A584,'LPG Fup'!D:D,'LPG Fup'!L:L,"",0)&lt;-0.03),_xlfn.XLOOKUP(A584,'LPG Fup'!D:D,'LPG Fup'!L:L,0,0),0)</f>
        <v>0</v>
      </c>
      <c r="H584">
        <f>IF(_xlfn.XLOOKUP(A584,'LPG Fup'!D:D,'LPG Fup'!M:M,0,0)="",0,_xlfn.XLOOKUP(A584,'LPG Fup'!D:D,'LPG Fup'!M:M,0,0))</f>
        <v>0</v>
      </c>
      <c r="I584" s="109">
        <f>_xlfn.XLOOKUP(A584,'Rafineri Fiyatları'!A:A,'Rafineri Fiyatları'!B:B,"",0)</f>
        <v>11681.18</v>
      </c>
      <c r="J584">
        <f t="shared" si="36"/>
        <v>2022</v>
      </c>
      <c r="K584">
        <f t="shared" si="37"/>
        <v>1</v>
      </c>
      <c r="L584">
        <f t="shared" si="38"/>
        <v>4</v>
      </c>
      <c r="M584">
        <f t="shared" si="39"/>
        <v>3</v>
      </c>
      <c r="N584">
        <f>_xlfn.XLOOKUP(A584,tatiller!H:H,tatiller!I:I,0,0)</f>
        <v>0</v>
      </c>
      <c r="O584" cm="1">
        <f t="array" ref="O584">_xlfn.IFNA(_xlfn.IFS(L584=1,"A0",A584=EOMONTH(A584,0),"A-1",L584=2,"A+1"),0)</f>
        <v>0</v>
      </c>
      <c r="P584" cm="1">
        <f t="array" ref="P584">_xlfn.IFNA(_xlfn.IFS(AND(_xlfn.XLOOKUP(A584,'LPG Fup'!D:D,'LPG Fup'!M:M,"",0)&lt;&gt;"",_xlfn.XLOOKUP(A584,'LPG Fup'!D:D,'LPG Fup'!M:M,"",0)&gt;0),"Z-1", AND(_xlfn.XLOOKUP(A584+1,'LPG Fup'!D:D,'LPG Fup'!M:M,"",0)&lt;&gt;"",_xlfn.XLOOKUP(A584+1,'LPG Fup'!D:D,'LPG Fup'!M:M,"",0)&gt;0),"Z-2", AND(_xlfn.XLOOKUP(A584-1,'LPG Fup'!D:D,'LPG Fup'!M:M,"",0)&lt;&gt;"",_xlfn.XLOOKUP(A584-1,'LPG Fup'!D:D,'LPG Fup'!M:M,"",0)&gt;0),"Z", AND(_xlfn.XLOOKUP(A584-2,'LPG Fup'!D:D,'LPG Fup'!M:M,"",0)&lt;&gt;"",_xlfn.XLOOKUP(A584-2,'LPG Fup'!D:D,'LPG Fup'!M:M,"",0)&gt;0),"Z+1"),0)</f>
        <v>0</v>
      </c>
      <c r="Q584" cm="1">
        <f t="array" ref="Q584">_xlfn.IFNA(_xlfn.IFS(AND(_xlfn.XLOOKUP(A584,'LPG Fup'!D:D,'LPG Fup'!M:M,"",0)&lt;&gt;"",_xlfn.XLOOKUP(A584,'LPG Fup'!D:D,'LPG Fup'!M:M,"",0)&lt;0),"I-1", AND(_xlfn.XLOOKUP(A584+1,'LPG Fup'!D:D,'LPG Fup'!M:M,"",0)&lt;&gt;"",_xlfn.XLOOKUP(A584+1,'LPG Fup'!D:D,'LPG Fup'!M:M,"",0)&lt;0),"I-2", AND(_xlfn.XLOOKUP(A584-1,'LPG Fup'!D:D,'LPG Fup'!M:M,"",0)&lt;&gt;"",_xlfn.XLOOKUP(A584-1,'LPG Fup'!D:D,'LPG Fup'!M:M,"",0)&lt;0),"I", AND(_xlfn.XLOOKUP(A584-2,'LPG Fup'!D:D,'LPG Fup'!M:M,"",0)&lt;&gt;"",_xlfn.XLOOKUP(A584-2,'LPG Fup'!D:D,'LPG Fup'!M:M,"",0)&lt;0),"I+1"),0)</f>
        <v>0</v>
      </c>
      <c r="R584">
        <f>_xlfn.XLOOKUP(A584,Covid!A:A,Covid!I:I,0,0)</f>
        <v>0</v>
      </c>
      <c r="S584">
        <f>_xlfn.XLOOKUP(A584,Covid!A:A,Covid!K:K,0,0)</f>
        <v>137</v>
      </c>
      <c r="T584" s="145">
        <f>_xlfn.XLOOKUP(A584,Covid!A:A,Covid!K:K,0,0)/_xlfn.XLOOKUP(A584,Covid!A:A,Covid!L:L,0,0)</f>
        <v>5.1579383306351416E-3</v>
      </c>
    </row>
    <row r="585" spans="1:20" x14ac:dyDescent="0.55000000000000004">
      <c r="A585" s="157">
        <v>44566</v>
      </c>
      <c r="B585" s="13">
        <v>821320</v>
      </c>
      <c r="C585" s="13">
        <v>234766</v>
      </c>
      <c r="D585" s="13">
        <v>9064</v>
      </c>
      <c r="E585" s="13">
        <v>239373</v>
      </c>
      <c r="F585" s="13">
        <v>1304523</v>
      </c>
      <c r="G585">
        <f>IF(OR(_xlfn.XLOOKUP(A585,'LPG Fup'!D:D,'LPG Fup'!L:L,"",0)&gt;0.03,_xlfn.XLOOKUP(A585,'LPG Fup'!D:D,'LPG Fup'!L:L,"",0)&lt;-0.03),_xlfn.XLOOKUP(A585,'LPG Fup'!D:D,'LPG Fup'!L:L,0,0),0)</f>
        <v>0</v>
      </c>
      <c r="H585">
        <f>IF(_xlfn.XLOOKUP(A585,'LPG Fup'!D:D,'LPG Fup'!M:M,0,0)="",0,_xlfn.XLOOKUP(A585,'LPG Fup'!D:D,'LPG Fup'!M:M,0,0))</f>
        <v>0</v>
      </c>
      <c r="I585" s="109">
        <f>_xlfn.XLOOKUP(A585,'Rafineri Fiyatları'!A:A,'Rafineri Fiyatları'!B:B,"",0)</f>
        <v>11681.18</v>
      </c>
      <c r="J585">
        <f t="shared" si="36"/>
        <v>2022</v>
      </c>
      <c r="K585">
        <f t="shared" si="37"/>
        <v>1</v>
      </c>
      <c r="L585">
        <f t="shared" si="38"/>
        <v>5</v>
      </c>
      <c r="M585">
        <f t="shared" si="39"/>
        <v>4</v>
      </c>
      <c r="N585">
        <f>_xlfn.XLOOKUP(A585,tatiller!H:H,tatiller!I:I,0,0)</f>
        <v>0</v>
      </c>
      <c r="O585" cm="1">
        <f t="array" ref="O585">_xlfn.IFNA(_xlfn.IFS(L585=1,"A0",A585=EOMONTH(A585,0),"A-1",L585=2,"A+1"),0)</f>
        <v>0</v>
      </c>
      <c r="P585" cm="1">
        <f t="array" ref="P585">_xlfn.IFNA(_xlfn.IFS(AND(_xlfn.XLOOKUP(A585,'LPG Fup'!D:D,'LPG Fup'!M:M,"",0)&lt;&gt;"",_xlfn.XLOOKUP(A585,'LPG Fup'!D:D,'LPG Fup'!M:M,"",0)&gt;0),"Z-1", AND(_xlfn.XLOOKUP(A585+1,'LPG Fup'!D:D,'LPG Fup'!M:M,"",0)&lt;&gt;"",_xlfn.XLOOKUP(A585+1,'LPG Fup'!D:D,'LPG Fup'!M:M,"",0)&gt;0),"Z-2", AND(_xlfn.XLOOKUP(A585-1,'LPG Fup'!D:D,'LPG Fup'!M:M,"",0)&lt;&gt;"",_xlfn.XLOOKUP(A585-1,'LPG Fup'!D:D,'LPG Fup'!M:M,"",0)&gt;0),"Z", AND(_xlfn.XLOOKUP(A585-2,'LPG Fup'!D:D,'LPG Fup'!M:M,"",0)&lt;&gt;"",_xlfn.XLOOKUP(A585-2,'LPG Fup'!D:D,'LPG Fup'!M:M,"",0)&gt;0),"Z+1"),0)</f>
        <v>0</v>
      </c>
      <c r="Q585" cm="1">
        <f t="array" ref="Q585">_xlfn.IFNA(_xlfn.IFS(AND(_xlfn.XLOOKUP(A585,'LPG Fup'!D:D,'LPG Fup'!M:M,"",0)&lt;&gt;"",_xlfn.XLOOKUP(A585,'LPG Fup'!D:D,'LPG Fup'!M:M,"",0)&lt;0),"I-1", AND(_xlfn.XLOOKUP(A585+1,'LPG Fup'!D:D,'LPG Fup'!M:M,"",0)&lt;&gt;"",_xlfn.XLOOKUP(A585+1,'LPG Fup'!D:D,'LPG Fup'!M:M,"",0)&lt;0),"I-2", AND(_xlfn.XLOOKUP(A585-1,'LPG Fup'!D:D,'LPG Fup'!M:M,"",0)&lt;&gt;"",_xlfn.XLOOKUP(A585-1,'LPG Fup'!D:D,'LPG Fup'!M:M,"",0)&lt;0),"I", AND(_xlfn.XLOOKUP(A585-2,'LPG Fup'!D:D,'LPG Fup'!M:M,"",0)&lt;&gt;"",_xlfn.XLOOKUP(A585-2,'LPG Fup'!D:D,'LPG Fup'!M:M,"",0)&lt;0),"I+1"),0)</f>
        <v>0</v>
      </c>
      <c r="R585">
        <f>_xlfn.XLOOKUP(A585,Covid!A:A,Covid!I:I,0,0)</f>
        <v>0</v>
      </c>
      <c r="S585">
        <f>_xlfn.XLOOKUP(A585,Covid!A:A,Covid!K:K,0,0)</f>
        <v>143</v>
      </c>
      <c r="T585" s="145">
        <f>_xlfn.XLOOKUP(A585,Covid!A:A,Covid!K:K,0,0)/_xlfn.XLOOKUP(A585,Covid!A:A,Covid!L:L,0,0)</f>
        <v>4.8778823850457089E-3</v>
      </c>
    </row>
    <row r="586" spans="1:20" x14ac:dyDescent="0.55000000000000004">
      <c r="A586" s="157">
        <v>44567</v>
      </c>
      <c r="B586" s="13">
        <v>704840</v>
      </c>
      <c r="C586" s="13">
        <v>268288</v>
      </c>
      <c r="D586" s="13">
        <v>13983</v>
      </c>
      <c r="E586" s="13">
        <v>365679</v>
      </c>
      <c r="F586" s="13">
        <v>1352790</v>
      </c>
      <c r="G586">
        <f>IF(OR(_xlfn.XLOOKUP(A586,'LPG Fup'!D:D,'LPG Fup'!L:L,"",0)&gt;0.03,_xlfn.XLOOKUP(A586,'LPG Fup'!D:D,'LPG Fup'!L:L,"",0)&lt;-0.03),_xlfn.XLOOKUP(A586,'LPG Fup'!D:D,'LPG Fup'!L:L,0,0),0)</f>
        <v>0</v>
      </c>
      <c r="H586">
        <f>IF(_xlfn.XLOOKUP(A586,'LPG Fup'!D:D,'LPG Fup'!M:M,0,0)="",0,_xlfn.XLOOKUP(A586,'LPG Fup'!D:D,'LPG Fup'!M:M,0,0))</f>
        <v>0</v>
      </c>
      <c r="I586" s="109">
        <f>_xlfn.XLOOKUP(A586,'Rafineri Fiyatları'!A:A,'Rafineri Fiyatları'!B:B,"",0)</f>
        <v>11681.18</v>
      </c>
      <c r="J586">
        <f t="shared" si="36"/>
        <v>2022</v>
      </c>
      <c r="K586">
        <f t="shared" si="37"/>
        <v>1</v>
      </c>
      <c r="L586">
        <f t="shared" si="38"/>
        <v>6</v>
      </c>
      <c r="M586">
        <f t="shared" si="39"/>
        <v>5</v>
      </c>
      <c r="N586">
        <f>_xlfn.XLOOKUP(A586,tatiller!H:H,tatiller!I:I,0,0)</f>
        <v>0</v>
      </c>
      <c r="O586" cm="1">
        <f t="array" ref="O586">_xlfn.IFNA(_xlfn.IFS(L586=1,"A0",A586=EOMONTH(A586,0),"A-1",L586=2,"A+1"),0)</f>
        <v>0</v>
      </c>
      <c r="P586" cm="1">
        <f t="array" ref="P586">_xlfn.IFNA(_xlfn.IFS(AND(_xlfn.XLOOKUP(A586,'LPG Fup'!D:D,'LPG Fup'!M:M,"",0)&lt;&gt;"",_xlfn.XLOOKUP(A586,'LPG Fup'!D:D,'LPG Fup'!M:M,"",0)&gt;0),"Z-1", AND(_xlfn.XLOOKUP(A586+1,'LPG Fup'!D:D,'LPG Fup'!M:M,"",0)&lt;&gt;"",_xlfn.XLOOKUP(A586+1,'LPG Fup'!D:D,'LPG Fup'!M:M,"",0)&gt;0),"Z-2", AND(_xlfn.XLOOKUP(A586-1,'LPG Fup'!D:D,'LPG Fup'!M:M,"",0)&lt;&gt;"",_xlfn.XLOOKUP(A586-1,'LPG Fup'!D:D,'LPG Fup'!M:M,"",0)&gt;0),"Z", AND(_xlfn.XLOOKUP(A586-2,'LPG Fup'!D:D,'LPG Fup'!M:M,"",0)&lt;&gt;"",_xlfn.XLOOKUP(A586-2,'LPG Fup'!D:D,'LPG Fup'!M:M,"",0)&gt;0),"Z+1"),0)</f>
        <v>0</v>
      </c>
      <c r="Q586" cm="1">
        <f t="array" ref="Q586">_xlfn.IFNA(_xlfn.IFS(AND(_xlfn.XLOOKUP(A586,'LPG Fup'!D:D,'LPG Fup'!M:M,"",0)&lt;&gt;"",_xlfn.XLOOKUP(A586,'LPG Fup'!D:D,'LPG Fup'!M:M,"",0)&lt;0),"I-1", AND(_xlfn.XLOOKUP(A586+1,'LPG Fup'!D:D,'LPG Fup'!M:M,"",0)&lt;&gt;"",_xlfn.XLOOKUP(A586+1,'LPG Fup'!D:D,'LPG Fup'!M:M,"",0)&lt;0),"I-2", AND(_xlfn.XLOOKUP(A586-1,'LPG Fup'!D:D,'LPG Fup'!M:M,"",0)&lt;&gt;"",_xlfn.XLOOKUP(A586-1,'LPG Fup'!D:D,'LPG Fup'!M:M,"",0)&lt;0),"I", AND(_xlfn.XLOOKUP(A586-2,'LPG Fup'!D:D,'LPG Fup'!M:M,"",0)&lt;&gt;"",_xlfn.XLOOKUP(A586-2,'LPG Fup'!D:D,'LPG Fup'!M:M,"",0)&lt;0),"I+1"),0)</f>
        <v>0</v>
      </c>
      <c r="R586">
        <f>_xlfn.XLOOKUP(A586,Covid!A:A,Covid!I:I,0,0)</f>
        <v>0</v>
      </c>
      <c r="S586">
        <f>_xlfn.XLOOKUP(A586,Covid!A:A,Covid!K:K,0,0)</f>
        <v>156</v>
      </c>
      <c r="T586" s="145">
        <f>_xlfn.XLOOKUP(A586,Covid!A:A,Covid!K:K,0,0)/_xlfn.XLOOKUP(A586,Covid!A:A,Covid!L:L,0,0)</f>
        <v>6.1171672809975687E-3</v>
      </c>
    </row>
    <row r="587" spans="1:20" x14ac:dyDescent="0.55000000000000004">
      <c r="A587" s="157">
        <v>44568</v>
      </c>
      <c r="B587" s="125">
        <f>_xlfn.XLOOKUP(A587,'Satış Verisi'!A:A,'Satış Verisi'!C:C,0,0)</f>
        <v>665540</v>
      </c>
      <c r="C587" s="125">
        <f>_xlfn.XLOOKUP(A587,'Satış Verisi'!A:A,'Satış Verisi'!E:E,0,0)</f>
        <v>517221</v>
      </c>
      <c r="D587" s="125">
        <f>_xlfn.XLOOKUP(A587,'Satış Verisi'!A:A,'Satış Verisi'!G:G,0,0)</f>
        <v>15865</v>
      </c>
      <c r="E587" s="125">
        <f>_xlfn.XLOOKUP(A587,'Satış Verisi'!A:A,'Satış Verisi'!I:I,0,0)</f>
        <v>436051</v>
      </c>
      <c r="F587" s="125">
        <f>_xlfn.XLOOKUP(A587,'Satış Verisi'!A:A,'Satış Verisi'!M:M,0,0)</f>
        <v>1634677</v>
      </c>
      <c r="G587">
        <f>IF(OR(_xlfn.XLOOKUP(A587,'LPG Fup'!D:D,'LPG Fup'!L:L,"",0)&gt;0.03,_xlfn.XLOOKUP(A587,'LPG Fup'!D:D,'LPG Fup'!L:L,"",0)&lt;-0.03),_xlfn.XLOOKUP(A587,'LPG Fup'!D:D,'LPG Fup'!L:L,0,0),0)</f>
        <v>0</v>
      </c>
      <c r="H587">
        <f>IF(_xlfn.XLOOKUP(A587,'LPG Fup'!D:D,'LPG Fup'!M:M,0,0)="",0,_xlfn.XLOOKUP(A587,'LPG Fup'!D:D,'LPG Fup'!M:M,0,0))</f>
        <v>0</v>
      </c>
      <c r="I587" s="109">
        <f>_xlfn.XLOOKUP(A587,'Rafineri Fiyatları'!A:A,'Rafineri Fiyatları'!B:B,"",0)</f>
        <v>11681.18</v>
      </c>
      <c r="J587">
        <f t="shared" ref="J587:J589" si="40">YEAR(A587)</f>
        <v>2022</v>
      </c>
      <c r="K587">
        <f t="shared" ref="K587:K589" si="41">MONTH(A587)</f>
        <v>1</v>
      </c>
      <c r="L587">
        <f t="shared" ref="L587:L589" si="42">DAY(A587)</f>
        <v>7</v>
      </c>
      <c r="M587">
        <f t="shared" ref="M587:M589" si="43">WEEKDAY(A587)</f>
        <v>6</v>
      </c>
      <c r="N587">
        <f>_xlfn.XLOOKUP(A587,tatiller!H:H,tatiller!I:I,0,0)</f>
        <v>0</v>
      </c>
      <c r="O587" cm="1">
        <f t="array" ref="O587">_xlfn.IFNA(_xlfn.IFS(L587=1,"A0",A587=EOMONTH(A587,0),"A-1",L587=2,"A+1"),0)</f>
        <v>0</v>
      </c>
      <c r="P587" cm="1">
        <f t="array" ref="P587">_xlfn.IFNA(_xlfn.IFS(AND(_xlfn.XLOOKUP(A587,'LPG Fup'!D:D,'LPG Fup'!M:M,"",0)&lt;&gt;"",_xlfn.XLOOKUP(A587,'LPG Fup'!D:D,'LPG Fup'!M:M,"",0)&gt;0),"Z-1", AND(_xlfn.XLOOKUP(A587+1,'LPG Fup'!D:D,'LPG Fup'!M:M,"",0)&lt;&gt;"",_xlfn.XLOOKUP(A587+1,'LPG Fup'!D:D,'LPG Fup'!M:M,"",0)&gt;0),"Z-2", AND(_xlfn.XLOOKUP(A587-1,'LPG Fup'!D:D,'LPG Fup'!M:M,"",0)&lt;&gt;"",_xlfn.XLOOKUP(A587-1,'LPG Fup'!D:D,'LPG Fup'!M:M,"",0)&gt;0),"Z", AND(_xlfn.XLOOKUP(A587-2,'LPG Fup'!D:D,'LPG Fup'!M:M,"",0)&lt;&gt;"",_xlfn.XLOOKUP(A587-2,'LPG Fup'!D:D,'LPG Fup'!M:M,"",0)&gt;0),"Z+1"),0)</f>
        <v>0</v>
      </c>
      <c r="Q587" cm="1">
        <f t="array" ref="Q587">_xlfn.IFNA(_xlfn.IFS(AND(_xlfn.XLOOKUP(A587,'LPG Fup'!D:D,'LPG Fup'!M:M,"",0)&lt;&gt;"",_xlfn.XLOOKUP(A587,'LPG Fup'!D:D,'LPG Fup'!M:M,"",0)&lt;0),"I-1", AND(_xlfn.XLOOKUP(A587+1,'LPG Fup'!D:D,'LPG Fup'!M:M,"",0)&lt;&gt;"",_xlfn.XLOOKUP(A587+1,'LPG Fup'!D:D,'LPG Fup'!M:M,"",0)&lt;0),"I-2", AND(_xlfn.XLOOKUP(A587-1,'LPG Fup'!D:D,'LPG Fup'!M:M,"",0)&lt;&gt;"",_xlfn.XLOOKUP(A587-1,'LPG Fup'!D:D,'LPG Fup'!M:M,"",0)&lt;0),"I", AND(_xlfn.XLOOKUP(A587-2,'LPG Fup'!D:D,'LPG Fup'!M:M,"",0)&lt;&gt;"",_xlfn.XLOOKUP(A587-2,'LPG Fup'!D:D,'LPG Fup'!M:M,"",0)&lt;0),"I+1"),0)</f>
        <v>0</v>
      </c>
      <c r="R587">
        <f>_xlfn.XLOOKUP(A587,Covid!A:A,Covid!I:I,0,0)</f>
        <v>0</v>
      </c>
      <c r="S587">
        <f>_xlfn.XLOOKUP(A587,Covid!A:A,Covid!K:K,0,0)</f>
        <v>157</v>
      </c>
      <c r="T587" s="145">
        <f>_xlfn.XLOOKUP(A587,Covid!A:A,Covid!K:K,0,0)/_xlfn.XLOOKUP(A587,Covid!A:A,Covid!L:L,0,0)</f>
        <v>5.3772647874781657E-3</v>
      </c>
    </row>
    <row r="588" spans="1:20" x14ac:dyDescent="0.55000000000000004">
      <c r="A588" s="157">
        <v>44569</v>
      </c>
      <c r="B588" s="125">
        <f>_xlfn.XLOOKUP(A588,'Satış Verisi'!A:A,'Satış Verisi'!C:C,0,0)</f>
        <v>974020</v>
      </c>
      <c r="C588" s="125">
        <f>_xlfn.XLOOKUP(A588,'Satış Verisi'!A:A,'Satış Verisi'!E:E,0,0)</f>
        <v>133840</v>
      </c>
      <c r="D588" s="125">
        <f>_xlfn.XLOOKUP(A588,'Satış Verisi'!A:A,'Satış Verisi'!G:G,0,0)</f>
        <v>13007</v>
      </c>
      <c r="E588" s="125">
        <f>_xlfn.XLOOKUP(A588,'Satış Verisi'!A:A,'Satış Verisi'!I:I,0,0)</f>
        <v>436684</v>
      </c>
      <c r="F588" s="125">
        <f>_xlfn.XLOOKUP(A588,'Satış Verisi'!A:A,'Satış Verisi'!M:M,0,0)</f>
        <v>1557551</v>
      </c>
      <c r="G588">
        <f>IF(OR(_xlfn.XLOOKUP(A588,'LPG Fup'!D:D,'LPG Fup'!L:L,"",0)&gt;0.03,_xlfn.XLOOKUP(A588,'LPG Fup'!D:D,'LPG Fup'!L:L,"",0)&lt;-0.03),_xlfn.XLOOKUP(A588,'LPG Fup'!D:D,'LPG Fup'!L:L,0,0),0)</f>
        <v>0</v>
      </c>
      <c r="H588">
        <f>IF(_xlfn.XLOOKUP(A588,'LPG Fup'!D:D,'LPG Fup'!M:M,0,0)="",0,_xlfn.XLOOKUP(A588,'LPG Fup'!D:D,'LPG Fup'!M:M,0,0))</f>
        <v>0</v>
      </c>
      <c r="I588" s="109">
        <f>_xlfn.XLOOKUP(A588,'Rafineri Fiyatları'!A:A,'Rafineri Fiyatları'!B:B,"",0)</f>
        <v>11681.18</v>
      </c>
      <c r="J588">
        <f t="shared" si="40"/>
        <v>2022</v>
      </c>
      <c r="K588">
        <f t="shared" si="41"/>
        <v>1</v>
      </c>
      <c r="L588">
        <f t="shared" si="42"/>
        <v>8</v>
      </c>
      <c r="M588">
        <f t="shared" si="43"/>
        <v>7</v>
      </c>
      <c r="N588">
        <f>_xlfn.XLOOKUP(A588,tatiller!H:H,tatiller!I:I,0,0)</f>
        <v>0</v>
      </c>
      <c r="O588" cm="1">
        <f t="array" ref="O588">_xlfn.IFNA(_xlfn.IFS(L588=1,"A0",A588=EOMONTH(A588,0),"A-1",L588=2,"A+1"),0)</f>
        <v>0</v>
      </c>
      <c r="P588" cm="1">
        <f t="array" ref="P588">_xlfn.IFNA(_xlfn.IFS(AND(_xlfn.XLOOKUP(A588,'LPG Fup'!D:D,'LPG Fup'!M:M,"",0)&lt;&gt;"",_xlfn.XLOOKUP(A588,'LPG Fup'!D:D,'LPG Fup'!M:M,"",0)&gt;0),"Z-1", AND(_xlfn.XLOOKUP(A588+1,'LPG Fup'!D:D,'LPG Fup'!M:M,"",0)&lt;&gt;"",_xlfn.XLOOKUP(A588+1,'LPG Fup'!D:D,'LPG Fup'!M:M,"",0)&gt;0),"Z-2", AND(_xlfn.XLOOKUP(A588-1,'LPG Fup'!D:D,'LPG Fup'!M:M,"",0)&lt;&gt;"",_xlfn.XLOOKUP(A588-1,'LPG Fup'!D:D,'LPG Fup'!M:M,"",0)&gt;0),"Z", AND(_xlfn.XLOOKUP(A588-2,'LPG Fup'!D:D,'LPG Fup'!M:M,"",0)&lt;&gt;"",_xlfn.XLOOKUP(A588-2,'LPG Fup'!D:D,'LPG Fup'!M:M,"",0)&gt;0),"Z+1"),0)</f>
        <v>0</v>
      </c>
      <c r="Q588" cm="1">
        <f t="array" ref="Q588">_xlfn.IFNA(_xlfn.IFS(AND(_xlfn.XLOOKUP(A588,'LPG Fup'!D:D,'LPG Fup'!M:M,"",0)&lt;&gt;"",_xlfn.XLOOKUP(A588,'LPG Fup'!D:D,'LPG Fup'!M:M,"",0)&lt;0),"I-1", AND(_xlfn.XLOOKUP(A588+1,'LPG Fup'!D:D,'LPG Fup'!M:M,"",0)&lt;&gt;"",_xlfn.XLOOKUP(A588+1,'LPG Fup'!D:D,'LPG Fup'!M:M,"",0)&lt;0),"I-2", AND(_xlfn.XLOOKUP(A588-1,'LPG Fup'!D:D,'LPG Fup'!M:M,"",0)&lt;&gt;"",_xlfn.XLOOKUP(A588-1,'LPG Fup'!D:D,'LPG Fup'!M:M,"",0)&lt;0),"I", AND(_xlfn.XLOOKUP(A588-2,'LPG Fup'!D:D,'LPG Fup'!M:M,"",0)&lt;&gt;"",_xlfn.XLOOKUP(A588-2,'LPG Fup'!D:D,'LPG Fup'!M:M,"",0)&lt;0),"I+1"),0)</f>
        <v>0</v>
      </c>
      <c r="R588">
        <f>_xlfn.XLOOKUP(A588,Covid!A:A,Covid!I:I,0,0)</f>
        <v>0</v>
      </c>
      <c r="S588">
        <f>_xlfn.XLOOKUP(A588,Covid!A:A,Covid!K:K,0,0)</f>
        <v>141</v>
      </c>
      <c r="T588" s="145">
        <f>_xlfn.XLOOKUP(A588,Covid!A:A,Covid!K:K,0,0)/_xlfn.XLOOKUP(A588,Covid!A:A,Covid!L:L,0,0)</f>
        <v>4.076086956521739E-3</v>
      </c>
    </row>
    <row r="589" spans="1:20" x14ac:dyDescent="0.55000000000000004">
      <c r="A589" s="157">
        <v>44570</v>
      </c>
      <c r="B589" s="125">
        <f>_xlfn.XLOOKUP(A589,'Satış Verisi'!A:A,'Satış Verisi'!C:C,0,0)</f>
        <v>722600</v>
      </c>
      <c r="C589" s="125">
        <f>_xlfn.XLOOKUP(A589,'Satış Verisi'!A:A,'Satış Verisi'!E:E,0,0)</f>
        <v>406</v>
      </c>
      <c r="D589" s="125">
        <f>_xlfn.XLOOKUP(A589,'Satış Verisi'!A:A,'Satış Verisi'!G:G,0,0)</f>
        <v>0</v>
      </c>
      <c r="E589" s="125">
        <f>_xlfn.XLOOKUP(A589,'Satış Verisi'!A:A,'Satış Verisi'!I:I,0,0)</f>
        <v>349366</v>
      </c>
      <c r="F589" s="125">
        <f>_xlfn.XLOOKUP(A589,'Satış Verisi'!A:A,'Satış Verisi'!M:M,0,0)</f>
        <v>3272554</v>
      </c>
      <c r="G589">
        <f>IF(OR(_xlfn.XLOOKUP(A589,'LPG Fup'!D:D,'LPG Fup'!L:L,"",0)&gt;0.03,_xlfn.XLOOKUP(A589,'LPG Fup'!D:D,'LPG Fup'!L:L,"",0)&lt;-0.03),_xlfn.XLOOKUP(A589,'LPG Fup'!D:D,'LPG Fup'!L:L,0,0),0)</f>
        <v>0</v>
      </c>
      <c r="H589">
        <f>IF(_xlfn.XLOOKUP(A589,'LPG Fup'!D:D,'LPG Fup'!M:M,0,0)="",0,_xlfn.XLOOKUP(A589,'LPG Fup'!D:D,'LPG Fup'!M:M,0,0))</f>
        <v>0</v>
      </c>
      <c r="I589" s="109">
        <f>_xlfn.XLOOKUP(A589,'Rafineri Fiyatları'!A:A,'Rafineri Fiyatları'!B:B,"",0)</f>
        <v>11681.18</v>
      </c>
      <c r="J589">
        <f t="shared" si="40"/>
        <v>2022</v>
      </c>
      <c r="K589">
        <f t="shared" si="41"/>
        <v>1</v>
      </c>
      <c r="L589">
        <f t="shared" si="42"/>
        <v>9</v>
      </c>
      <c r="M589">
        <f t="shared" si="43"/>
        <v>1</v>
      </c>
      <c r="N589">
        <f>_xlfn.XLOOKUP(A589,tatiller!H:H,tatiller!I:I,0,0)</f>
        <v>0</v>
      </c>
      <c r="O589" cm="1">
        <f t="array" ref="O589">_xlfn.IFNA(_xlfn.IFS(L589=1,"A0",A589=EOMONTH(A589,0),"A-1",L589=2,"A+1"),0)</f>
        <v>0</v>
      </c>
      <c r="P589" cm="1">
        <f t="array" ref="P589">_xlfn.IFNA(_xlfn.IFS(AND(_xlfn.XLOOKUP(A589,'LPG Fup'!D:D,'LPG Fup'!M:M,"",0)&lt;&gt;"",_xlfn.XLOOKUP(A589,'LPG Fup'!D:D,'LPG Fup'!M:M,"",0)&gt;0),"Z-1", AND(_xlfn.XLOOKUP(A589+1,'LPG Fup'!D:D,'LPG Fup'!M:M,"",0)&lt;&gt;"",_xlfn.XLOOKUP(A589+1,'LPG Fup'!D:D,'LPG Fup'!M:M,"",0)&gt;0),"Z-2", AND(_xlfn.XLOOKUP(A589-1,'LPG Fup'!D:D,'LPG Fup'!M:M,"",0)&lt;&gt;"",_xlfn.XLOOKUP(A589-1,'LPG Fup'!D:D,'LPG Fup'!M:M,"",0)&gt;0),"Z", AND(_xlfn.XLOOKUP(A589-2,'LPG Fup'!D:D,'LPG Fup'!M:M,"",0)&lt;&gt;"",_xlfn.XLOOKUP(A589-2,'LPG Fup'!D:D,'LPG Fup'!M:M,"",0)&gt;0),"Z+1"),0)</f>
        <v>0</v>
      </c>
      <c r="Q589" cm="1">
        <f t="array" ref="Q589">_xlfn.IFNA(_xlfn.IFS(AND(_xlfn.XLOOKUP(A589,'LPG Fup'!D:D,'LPG Fup'!M:M,"",0)&lt;&gt;"",_xlfn.XLOOKUP(A589,'LPG Fup'!D:D,'LPG Fup'!M:M,"",0)&lt;0),"I-1", AND(_xlfn.XLOOKUP(A589+1,'LPG Fup'!D:D,'LPG Fup'!M:M,"",0)&lt;&gt;"",_xlfn.XLOOKUP(A589+1,'LPG Fup'!D:D,'LPG Fup'!M:M,"",0)&lt;0),"I-2", AND(_xlfn.XLOOKUP(A589-1,'LPG Fup'!D:D,'LPG Fup'!M:M,"",0)&lt;&gt;"",_xlfn.XLOOKUP(A589-1,'LPG Fup'!D:D,'LPG Fup'!M:M,"",0)&lt;0),"I", AND(_xlfn.XLOOKUP(A589-2,'LPG Fup'!D:D,'LPG Fup'!M:M,"",0)&lt;&gt;"",_xlfn.XLOOKUP(A589-2,'LPG Fup'!D:D,'LPG Fup'!M:M,"",0)&lt;0),"I+1"),0)</f>
        <v>0</v>
      </c>
      <c r="R589">
        <f>_xlfn.XLOOKUP(A589,Covid!A:A,Covid!I:I,0,0)</f>
        <v>0</v>
      </c>
      <c r="S589">
        <f>_xlfn.XLOOKUP(A589,Covid!A:A,Covid!K:K,0,-1)</f>
        <v>173</v>
      </c>
      <c r="T589" s="145">
        <f>_xlfn.XLOOKUP(A589,Covid!A:A,Covid!K:K,0,-1)/_xlfn.XLOOKUP(A589,Covid!A:A,Covid!L:L,0,-1)</f>
        <v>4.9199442595910473E-3</v>
      </c>
    </row>
    <row r="590" spans="1:20" x14ac:dyDescent="0.55000000000000004">
      <c r="A590" s="157">
        <v>44571</v>
      </c>
      <c r="B590" s="125">
        <f>_xlfn.XLOOKUP(A590,'Satış Verisi'!A:A,'Satış Verisi'!C:C,0,0)</f>
        <v>1264300</v>
      </c>
      <c r="C590" s="125">
        <f>_xlfn.XLOOKUP(A590,'Satış Verisi'!A:A,'Satış Verisi'!E:E,0,0)</f>
        <v>527552</v>
      </c>
      <c r="D590" s="125">
        <f>_xlfn.XLOOKUP(A590,'Satış Verisi'!A:A,'Satış Verisi'!G:G,0,0)</f>
        <v>7835</v>
      </c>
      <c r="E590" s="125">
        <f>_xlfn.XLOOKUP(A590,'Satış Verisi'!A:A,'Satış Verisi'!I:I,0,0)</f>
        <v>644886</v>
      </c>
      <c r="F590" s="125">
        <f>_xlfn.XLOOKUP(A590,'Satış Verisi'!A:A,'Satış Verisi'!M:M,0,0)</f>
        <v>2444573</v>
      </c>
      <c r="G590">
        <f>IF(OR(_xlfn.XLOOKUP(A590,'LPG Fup'!D:D,'LPG Fup'!L:L,"",0)&gt;0.03,_xlfn.XLOOKUP(A590,'LPG Fup'!D:D,'LPG Fup'!L:L,"",0)&lt;-0.03),_xlfn.XLOOKUP(A590,'LPG Fup'!D:D,'LPG Fup'!L:L,0,0),0)</f>
        <v>0</v>
      </c>
      <c r="H590">
        <f>IF(_xlfn.XLOOKUP(A590,'LPG Fup'!D:D,'LPG Fup'!M:M,0,0)="",0,_xlfn.XLOOKUP(A590,'LPG Fup'!D:D,'LPG Fup'!M:M,0,0))</f>
        <v>0</v>
      </c>
      <c r="I590" s="109">
        <f>_xlfn.XLOOKUP(A590,'Rafineri Fiyatları'!A:A,'Rafineri Fiyatları'!B:B,"",0)</f>
        <v>11681.18</v>
      </c>
      <c r="J590">
        <f t="shared" ref="J590" si="44">YEAR(A590)</f>
        <v>2022</v>
      </c>
      <c r="K590">
        <f t="shared" ref="K590" si="45">MONTH(A590)</f>
        <v>1</v>
      </c>
      <c r="L590">
        <f t="shared" ref="L590" si="46">DAY(A590)</f>
        <v>10</v>
      </c>
      <c r="M590">
        <f t="shared" ref="M590" si="47">WEEKDAY(A590)</f>
        <v>2</v>
      </c>
      <c r="N590">
        <f>_xlfn.XLOOKUP(A590,tatiller!H:H,tatiller!I:I,0,0)</f>
        <v>0</v>
      </c>
      <c r="O590" cm="1">
        <f t="array" ref="O590">_xlfn.IFNA(_xlfn.IFS(L590=1,"A0",A590=EOMONTH(A590,0),"A-1",L590=2,"A+1"),0)</f>
        <v>0</v>
      </c>
      <c r="P590" t="str" cm="1">
        <f t="array" ref="P590">_xlfn.IFNA(_xlfn.IFS(AND(_xlfn.XLOOKUP(A590,'LPG Fup'!D:D,'LPG Fup'!M:M,"",0)&lt;&gt;"",_xlfn.XLOOKUP(A590,'LPG Fup'!D:D,'LPG Fup'!M:M,"",0)&gt;0),"Z-1", AND(_xlfn.XLOOKUP(A590+1,'LPG Fup'!D:D,'LPG Fup'!M:M,"",0)&lt;&gt;"",_xlfn.XLOOKUP(A590+1,'LPG Fup'!D:D,'LPG Fup'!M:M,"",0)&gt;0),"Z-2", AND(_xlfn.XLOOKUP(A590-1,'LPG Fup'!D:D,'LPG Fup'!M:M,"",0)&lt;&gt;"",_xlfn.XLOOKUP(A590-1,'LPG Fup'!D:D,'LPG Fup'!M:M,"",0)&gt;0),"Z", AND(_xlfn.XLOOKUP(A590-2,'LPG Fup'!D:D,'LPG Fup'!M:M,"",0)&lt;&gt;"",_xlfn.XLOOKUP(A590-2,'LPG Fup'!D:D,'LPG Fup'!M:M,"",0)&gt;0),"Z+1"),0)</f>
        <v>Z-2</v>
      </c>
      <c r="Q590" cm="1">
        <f t="array" ref="Q590">_xlfn.IFNA(_xlfn.IFS(AND(_xlfn.XLOOKUP(A590,'LPG Fup'!D:D,'LPG Fup'!M:M,"",0)&lt;&gt;"",_xlfn.XLOOKUP(A590,'LPG Fup'!D:D,'LPG Fup'!M:M,"",0)&lt;0),"I-1", AND(_xlfn.XLOOKUP(A590+1,'LPG Fup'!D:D,'LPG Fup'!M:M,"",0)&lt;&gt;"",_xlfn.XLOOKUP(A590+1,'LPG Fup'!D:D,'LPG Fup'!M:M,"",0)&lt;0),"I-2", AND(_xlfn.XLOOKUP(A590-1,'LPG Fup'!D:D,'LPG Fup'!M:M,"",0)&lt;&gt;"",_xlfn.XLOOKUP(A590-1,'LPG Fup'!D:D,'LPG Fup'!M:M,"",0)&lt;0),"I", AND(_xlfn.XLOOKUP(A590-2,'LPG Fup'!D:D,'LPG Fup'!M:M,"",0)&lt;&gt;"",_xlfn.XLOOKUP(A590-2,'LPG Fup'!D:D,'LPG Fup'!M:M,"",0)&lt;0),"I+1"),0)</f>
        <v>0</v>
      </c>
      <c r="R590">
        <f>_xlfn.XLOOKUP(A590,Covid!A:A,Covid!I:I,0,0)</f>
        <v>0</v>
      </c>
      <c r="S590">
        <f>_xlfn.XLOOKUP(A590,Covid!A:A,Covid!K:K,0,-1)</f>
        <v>173</v>
      </c>
      <c r="T590" s="145">
        <f>_xlfn.XLOOKUP(A590,Covid!A:A,Covid!K:K,0,-1)/_xlfn.XLOOKUP(A590,Covid!A:A,Covid!L:L,0,-1)</f>
        <v>4.9199442595910473E-3</v>
      </c>
    </row>
    <row r="591" spans="1:20" x14ac:dyDescent="0.55000000000000004">
      <c r="A591" s="157">
        <f>A590+1</f>
        <v>44572</v>
      </c>
      <c r="B591" s="125">
        <f>_xlfn.XLOOKUP(A591,'Satış Verisi'!A:A,'Satış Verisi'!C:C,0,0)</f>
        <v>856440</v>
      </c>
      <c r="C591" s="125">
        <f>_xlfn.XLOOKUP(A591,'Satış Verisi'!A:A,'Satış Verisi'!E:E,0,0)</f>
        <v>499957</v>
      </c>
      <c r="D591" s="125">
        <f>_xlfn.XLOOKUP(A591,'Satış Verisi'!A:A,'Satış Verisi'!G:G,0,0)</f>
        <v>7510</v>
      </c>
      <c r="E591" s="125">
        <f>_xlfn.XLOOKUP(A591,'Satış Verisi'!A:A,'Satış Verisi'!I:I,0,0)</f>
        <v>496066</v>
      </c>
      <c r="F591" s="125">
        <f>_xlfn.XLOOKUP(A591,'Satış Verisi'!A:A,'Satış Verisi'!M:M,0,0)</f>
        <v>1859973</v>
      </c>
      <c r="G591">
        <f>IF(OR(_xlfn.XLOOKUP(A591,'LPG Fup'!D:D,'LPG Fup'!L:L,"",0)&gt;0.03,_xlfn.XLOOKUP(A591,'LPG Fup'!D:D,'LPG Fup'!L:L,"",0)&lt;-0.03),_xlfn.XLOOKUP(A591,'LPG Fup'!D:D,'LPG Fup'!L:L,0,0),0)</f>
        <v>3.0676665488930027E-2</v>
      </c>
      <c r="H591">
        <f>IF(_xlfn.XLOOKUP(A591,'LPG Fup'!D:D,'LPG Fup'!M:M,0,0)="",0,_xlfn.XLOOKUP(A591,'LPG Fup'!D:D,'LPG Fup'!M:M,0,0))</f>
        <v>453.45554999999877</v>
      </c>
      <c r="I591" s="109">
        <f>_xlfn.XLOOKUP(A591,'Rafineri Fiyatları'!A:A,'Rafineri Fiyatları'!B:B,"",0)</f>
        <v>11681.18</v>
      </c>
      <c r="J591">
        <f t="shared" ref="J591:J594" si="48">YEAR(A591)</f>
        <v>2022</v>
      </c>
      <c r="K591">
        <f t="shared" ref="K591:K594" si="49">MONTH(A591)</f>
        <v>1</v>
      </c>
      <c r="L591">
        <f t="shared" ref="L591:L594" si="50">DAY(A591)</f>
        <v>11</v>
      </c>
      <c r="M591">
        <f t="shared" ref="M591:M594" si="51">WEEKDAY(A591)</f>
        <v>3</v>
      </c>
      <c r="N591">
        <f>_xlfn.XLOOKUP(A591,tatiller!H:H,tatiller!I:I,0,0)</f>
        <v>0</v>
      </c>
      <c r="O591" cm="1">
        <f t="array" ref="O591">_xlfn.IFNA(_xlfn.IFS(L591=1,"A0",A591=EOMONTH(A591,0),"A-1",L591=2,"A+1"),0)</f>
        <v>0</v>
      </c>
      <c r="P591" t="str" cm="1">
        <f t="array" ref="P591">_xlfn.IFNA(_xlfn.IFS(AND(_xlfn.XLOOKUP(A591,'LPG Fup'!D:D,'LPG Fup'!M:M,"",0)&lt;&gt;"",_xlfn.XLOOKUP(A591,'LPG Fup'!D:D,'LPG Fup'!M:M,"",0)&gt;0),"Z-1", AND(_xlfn.XLOOKUP(A591+1,'LPG Fup'!D:D,'LPG Fup'!M:M,"",0)&lt;&gt;"",_xlfn.XLOOKUP(A591+1,'LPG Fup'!D:D,'LPG Fup'!M:M,"",0)&gt;0),"Z-2", AND(_xlfn.XLOOKUP(A591-1,'LPG Fup'!D:D,'LPG Fup'!M:M,"",0)&lt;&gt;"",_xlfn.XLOOKUP(A591-1,'LPG Fup'!D:D,'LPG Fup'!M:M,"",0)&gt;0),"Z", AND(_xlfn.XLOOKUP(A591-2,'LPG Fup'!D:D,'LPG Fup'!M:M,"",0)&lt;&gt;"",_xlfn.XLOOKUP(A591-2,'LPG Fup'!D:D,'LPG Fup'!M:M,"",0)&gt;0),"Z+1"),0)</f>
        <v>Z-1</v>
      </c>
      <c r="Q591" cm="1">
        <f t="array" ref="Q591">_xlfn.IFNA(_xlfn.IFS(AND(_xlfn.XLOOKUP(A591,'LPG Fup'!D:D,'LPG Fup'!M:M,"",0)&lt;&gt;"",_xlfn.XLOOKUP(A591,'LPG Fup'!D:D,'LPG Fup'!M:M,"",0)&lt;0),"I-1", AND(_xlfn.XLOOKUP(A591+1,'LPG Fup'!D:D,'LPG Fup'!M:M,"",0)&lt;&gt;"",_xlfn.XLOOKUP(A591+1,'LPG Fup'!D:D,'LPG Fup'!M:M,"",0)&lt;0),"I-2", AND(_xlfn.XLOOKUP(A591-1,'LPG Fup'!D:D,'LPG Fup'!M:M,"",0)&lt;&gt;"",_xlfn.XLOOKUP(A591-1,'LPG Fup'!D:D,'LPG Fup'!M:M,"",0)&lt;0),"I", AND(_xlfn.XLOOKUP(A591-2,'LPG Fup'!D:D,'LPG Fup'!M:M,"",0)&lt;&gt;"",_xlfn.XLOOKUP(A591-2,'LPG Fup'!D:D,'LPG Fup'!M:M,"",0)&lt;0),"I+1"),0)</f>
        <v>0</v>
      </c>
      <c r="R591">
        <f>_xlfn.XLOOKUP(A591,Covid!A:A,Covid!I:I,0,0)</f>
        <v>0</v>
      </c>
      <c r="S591">
        <f>_xlfn.XLOOKUP(A591,Covid!A:A,Covid!K:K,0,-1)</f>
        <v>173</v>
      </c>
      <c r="T591" s="145">
        <f>_xlfn.XLOOKUP(A591,Covid!A:A,Covid!K:K,0,-1)/_xlfn.XLOOKUP(A591,Covid!A:A,Covid!L:L,0,-1)</f>
        <v>4.9199442595910473E-3</v>
      </c>
    </row>
    <row r="592" spans="1:20" x14ac:dyDescent="0.55000000000000004">
      <c r="A592" s="157">
        <f t="shared" ref="A592:A602" si="52">A591+1</f>
        <v>44573</v>
      </c>
      <c r="B592" s="125">
        <f>_xlfn.XLOOKUP(A592,'Satış Verisi'!A:A,'Satış Verisi'!C:C,0,0)</f>
        <v>686020</v>
      </c>
      <c r="C592" s="125">
        <f>_xlfn.XLOOKUP(A592,'Satış Verisi'!A:A,'Satış Verisi'!E:E,0,0)</f>
        <v>733539</v>
      </c>
      <c r="D592" s="125">
        <f>_xlfn.XLOOKUP(A592,'Satış Verisi'!A:A,'Satış Verisi'!G:G,0,0)</f>
        <v>3801</v>
      </c>
      <c r="E592" s="125">
        <f>_xlfn.XLOOKUP(A592,'Satış Verisi'!A:A,'Satış Verisi'!I:I,0,0)</f>
        <v>123632</v>
      </c>
      <c r="F592" s="125">
        <f>_xlfn.XLOOKUP(A592,'Satış Verisi'!A:A,'Satış Verisi'!M:M,0,0)</f>
        <v>7048142</v>
      </c>
      <c r="G592">
        <f>IF(OR(_xlfn.XLOOKUP(A592,'LPG Fup'!D:D,'LPG Fup'!L:L,"",0)&gt;0.03,_xlfn.XLOOKUP(A592,'LPG Fup'!D:D,'LPG Fup'!L:L,"",0)&lt;-0.03),_xlfn.XLOOKUP(A592,'LPG Fup'!D:D,'LPG Fup'!L:L,0,0),0)</f>
        <v>0</v>
      </c>
      <c r="H592">
        <f>IF(_xlfn.XLOOKUP(A592,'LPG Fup'!D:D,'LPG Fup'!M:M,0,0)="",0,_xlfn.XLOOKUP(A592,'LPG Fup'!D:D,'LPG Fup'!M:M,0,0))</f>
        <v>0</v>
      </c>
      <c r="I592" s="109">
        <f>_xlfn.XLOOKUP(A592,'Rafineri Fiyatları'!A:A,'Rafineri Fiyatları'!B:B,"",0)</f>
        <v>12135.18</v>
      </c>
      <c r="J592">
        <f t="shared" si="48"/>
        <v>2022</v>
      </c>
      <c r="K592">
        <f t="shared" si="49"/>
        <v>1</v>
      </c>
      <c r="L592">
        <f t="shared" si="50"/>
        <v>12</v>
      </c>
      <c r="M592">
        <f t="shared" si="51"/>
        <v>4</v>
      </c>
      <c r="N592">
        <f>_xlfn.XLOOKUP(A592,tatiller!H:H,tatiller!I:I,0,0)</f>
        <v>0</v>
      </c>
      <c r="O592" cm="1">
        <f t="array" ref="O592">_xlfn.IFNA(_xlfn.IFS(L592=1,"A0",A592=EOMONTH(A592,0),"A-1",L592=2,"A+1"),0)</f>
        <v>0</v>
      </c>
      <c r="P592" t="str" cm="1">
        <f t="array" ref="P592">_xlfn.IFNA(_xlfn.IFS(AND(_xlfn.XLOOKUP(A592,'LPG Fup'!D:D,'LPG Fup'!M:M,"",0)&lt;&gt;"",_xlfn.XLOOKUP(A592,'LPG Fup'!D:D,'LPG Fup'!M:M,"",0)&gt;0),"Z-1", AND(_xlfn.XLOOKUP(A592+1,'LPG Fup'!D:D,'LPG Fup'!M:M,"",0)&lt;&gt;"",_xlfn.XLOOKUP(A592+1,'LPG Fup'!D:D,'LPG Fup'!M:M,"",0)&gt;0),"Z-2", AND(_xlfn.XLOOKUP(A592-1,'LPG Fup'!D:D,'LPG Fup'!M:M,"",0)&lt;&gt;"",_xlfn.XLOOKUP(A592-1,'LPG Fup'!D:D,'LPG Fup'!M:M,"",0)&gt;0),"Z", AND(_xlfn.XLOOKUP(A592-2,'LPG Fup'!D:D,'LPG Fup'!M:M,"",0)&lt;&gt;"",_xlfn.XLOOKUP(A592-2,'LPG Fup'!D:D,'LPG Fup'!M:M,"",0)&gt;0),"Z+1"),0)</f>
        <v>Z</v>
      </c>
      <c r="Q592" cm="1">
        <f t="array" ref="Q592">_xlfn.IFNA(_xlfn.IFS(AND(_xlfn.XLOOKUP(A592,'LPG Fup'!D:D,'LPG Fup'!M:M,"",0)&lt;&gt;"",_xlfn.XLOOKUP(A592,'LPG Fup'!D:D,'LPG Fup'!M:M,"",0)&lt;0),"I-1", AND(_xlfn.XLOOKUP(A592+1,'LPG Fup'!D:D,'LPG Fup'!M:M,"",0)&lt;&gt;"",_xlfn.XLOOKUP(A592+1,'LPG Fup'!D:D,'LPG Fup'!M:M,"",0)&lt;0),"I-2", AND(_xlfn.XLOOKUP(A592-1,'LPG Fup'!D:D,'LPG Fup'!M:M,"",0)&lt;&gt;"",_xlfn.XLOOKUP(A592-1,'LPG Fup'!D:D,'LPG Fup'!M:M,"",0)&lt;0),"I", AND(_xlfn.XLOOKUP(A592-2,'LPG Fup'!D:D,'LPG Fup'!M:M,"",0)&lt;&gt;"",_xlfn.XLOOKUP(A592-2,'LPG Fup'!D:D,'LPG Fup'!M:M,"",0)&lt;0),"I+1"),0)</f>
        <v>0</v>
      </c>
      <c r="R592">
        <f>_xlfn.XLOOKUP(A592,Covid!A:A,Covid!I:I,0,0)</f>
        <v>0</v>
      </c>
      <c r="S592">
        <f>_xlfn.XLOOKUP(A592,Covid!A:A,Covid!K:K,0,-1)</f>
        <v>173</v>
      </c>
      <c r="T592" s="145">
        <f>_xlfn.XLOOKUP(A592,Covid!A:A,Covid!K:K,0,-1)/_xlfn.XLOOKUP(A592,Covid!A:A,Covid!L:L,0,-1)</f>
        <v>4.9199442595910473E-3</v>
      </c>
    </row>
    <row r="593" spans="1:20" x14ac:dyDescent="0.55000000000000004">
      <c r="A593" s="157">
        <f t="shared" si="52"/>
        <v>44574</v>
      </c>
      <c r="B593" s="125">
        <f>_xlfn.XLOOKUP(A593,'Satış Verisi'!A:A,'Satış Verisi'!C:C,0,0)</f>
        <v>592120</v>
      </c>
      <c r="C593" s="125">
        <f>_xlfn.XLOOKUP(A593,'Satış Verisi'!A:A,'Satış Verisi'!E:E,0,0)</f>
        <v>110981</v>
      </c>
      <c r="D593" s="125">
        <f>_xlfn.XLOOKUP(A593,'Satış Verisi'!A:A,'Satış Verisi'!G:G,0,0)</f>
        <v>18066</v>
      </c>
      <c r="E593" s="125">
        <f>_xlfn.XLOOKUP(A593,'Satış Verisi'!A:A,'Satış Verisi'!I:I,0,0)</f>
        <v>168102</v>
      </c>
      <c r="F593" s="125">
        <f>_xlfn.XLOOKUP(A593,'Satış Verisi'!A:A,'Satış Verisi'!M:M,0,0)</f>
        <v>889269</v>
      </c>
      <c r="G593">
        <f>IF(OR(_xlfn.XLOOKUP(A593,'LPG Fup'!D:D,'LPG Fup'!L:L,"",0)&gt;0.03,_xlfn.XLOOKUP(A593,'LPG Fup'!D:D,'LPG Fup'!L:L,"",0)&lt;-0.03),_xlfn.XLOOKUP(A593,'LPG Fup'!D:D,'LPG Fup'!L:L,0,0),0)</f>
        <v>0</v>
      </c>
      <c r="H593">
        <f>IF(_xlfn.XLOOKUP(A593,'LPG Fup'!D:D,'LPG Fup'!M:M,0,0)="",0,_xlfn.XLOOKUP(A593,'LPG Fup'!D:D,'LPG Fup'!M:M,0,0))</f>
        <v>0</v>
      </c>
      <c r="I593" s="109">
        <f>_xlfn.XLOOKUP(A593,'Rafineri Fiyatları'!A:A,'Rafineri Fiyatları'!B:B,"",0)</f>
        <v>12135.18</v>
      </c>
      <c r="J593">
        <f t="shared" si="48"/>
        <v>2022</v>
      </c>
      <c r="K593">
        <f t="shared" si="49"/>
        <v>1</v>
      </c>
      <c r="L593">
        <f t="shared" si="50"/>
        <v>13</v>
      </c>
      <c r="M593">
        <f t="shared" si="51"/>
        <v>5</v>
      </c>
      <c r="N593">
        <f>_xlfn.XLOOKUP(A593,tatiller!H:H,tatiller!I:I,0,0)</f>
        <v>0</v>
      </c>
      <c r="O593" cm="1">
        <f t="array" ref="O593">_xlfn.IFNA(_xlfn.IFS(L593=1,"A0",A593=EOMONTH(A593,0),"A-1",L593=2,"A+1"),0)</f>
        <v>0</v>
      </c>
      <c r="P593" t="str" cm="1">
        <f t="array" ref="P593">_xlfn.IFNA(_xlfn.IFS(AND(_xlfn.XLOOKUP(A593,'LPG Fup'!D:D,'LPG Fup'!M:M,"",0)&lt;&gt;"",_xlfn.XLOOKUP(A593,'LPG Fup'!D:D,'LPG Fup'!M:M,"",0)&gt;0),"Z-1", AND(_xlfn.XLOOKUP(A593+1,'LPG Fup'!D:D,'LPG Fup'!M:M,"",0)&lt;&gt;"",_xlfn.XLOOKUP(A593+1,'LPG Fup'!D:D,'LPG Fup'!M:M,"",0)&gt;0),"Z-2", AND(_xlfn.XLOOKUP(A593-1,'LPG Fup'!D:D,'LPG Fup'!M:M,"",0)&lt;&gt;"",_xlfn.XLOOKUP(A593-1,'LPG Fup'!D:D,'LPG Fup'!M:M,"",0)&gt;0),"Z", AND(_xlfn.XLOOKUP(A593-2,'LPG Fup'!D:D,'LPG Fup'!M:M,"",0)&lt;&gt;"",_xlfn.XLOOKUP(A593-2,'LPG Fup'!D:D,'LPG Fup'!M:M,"",0)&gt;0),"Z+1"),0)</f>
        <v>Z+1</v>
      </c>
      <c r="Q593" cm="1">
        <f t="array" ref="Q593">_xlfn.IFNA(_xlfn.IFS(AND(_xlfn.XLOOKUP(A593,'LPG Fup'!D:D,'LPG Fup'!M:M,"",0)&lt;&gt;"",_xlfn.XLOOKUP(A593,'LPG Fup'!D:D,'LPG Fup'!M:M,"",0)&lt;0),"I-1", AND(_xlfn.XLOOKUP(A593+1,'LPG Fup'!D:D,'LPG Fup'!M:M,"",0)&lt;&gt;"",_xlfn.XLOOKUP(A593+1,'LPG Fup'!D:D,'LPG Fup'!M:M,"",0)&lt;0),"I-2", AND(_xlfn.XLOOKUP(A593-1,'LPG Fup'!D:D,'LPG Fup'!M:M,"",0)&lt;&gt;"",_xlfn.XLOOKUP(A593-1,'LPG Fup'!D:D,'LPG Fup'!M:M,"",0)&lt;0),"I", AND(_xlfn.XLOOKUP(A593-2,'LPG Fup'!D:D,'LPG Fup'!M:M,"",0)&lt;&gt;"",_xlfn.XLOOKUP(A593-2,'LPG Fup'!D:D,'LPG Fup'!M:M,"",0)&lt;0),"I+1"),0)</f>
        <v>0</v>
      </c>
      <c r="R593">
        <f>_xlfn.XLOOKUP(A593,Covid!A:A,Covid!I:I,0,0)</f>
        <v>0</v>
      </c>
      <c r="S593">
        <f>_xlfn.XLOOKUP(A593,Covid!A:A,Covid!K:K,0,-1)</f>
        <v>173</v>
      </c>
      <c r="T593" s="145">
        <f>_xlfn.XLOOKUP(A593,Covid!A:A,Covid!K:K,0,-1)/_xlfn.XLOOKUP(A593,Covid!A:A,Covid!L:L,0,-1)</f>
        <v>4.9199442595910473E-3</v>
      </c>
    </row>
    <row r="594" spans="1:20" x14ac:dyDescent="0.55000000000000004">
      <c r="A594" s="157">
        <f t="shared" si="52"/>
        <v>44575</v>
      </c>
      <c r="B594" s="125">
        <f>_xlfn.XLOOKUP(A594,'Satış Verisi'!A:A,'Satış Verisi'!C:C,0,0)</f>
        <v>756080</v>
      </c>
      <c r="C594" s="125">
        <f>_xlfn.XLOOKUP(A594,'Satış Verisi'!A:A,'Satış Verisi'!E:E,0,0)</f>
        <v>166869</v>
      </c>
      <c r="D594" s="125">
        <f>_xlfn.XLOOKUP(A594,'Satış Verisi'!A:A,'Satış Verisi'!G:G,0,0)</f>
        <v>16786</v>
      </c>
      <c r="E594" s="125">
        <f>_xlfn.XLOOKUP(A594,'Satış Verisi'!A:A,'Satış Verisi'!I:I,0,0)</f>
        <v>357755</v>
      </c>
      <c r="F594" s="125">
        <f>_xlfn.XLOOKUP(A594,'Satış Verisi'!A:A,'Satış Verisi'!M:M,0,0)</f>
        <v>2998954</v>
      </c>
      <c r="G594">
        <f>IF(OR(_xlfn.XLOOKUP(A594,'LPG Fup'!D:D,'LPG Fup'!L:L,"",0)&gt;0.03,_xlfn.XLOOKUP(A594,'LPG Fup'!D:D,'LPG Fup'!L:L,"",0)&lt;-0.03),_xlfn.XLOOKUP(A594,'LPG Fup'!D:D,'LPG Fup'!L:L,0,0),0)</f>
        <v>0</v>
      </c>
      <c r="H594">
        <f>IF(_xlfn.XLOOKUP(A594,'LPG Fup'!D:D,'LPG Fup'!M:M,0,0)="",0,_xlfn.XLOOKUP(A594,'LPG Fup'!D:D,'LPG Fup'!M:M,0,0))</f>
        <v>0</v>
      </c>
      <c r="I594" s="109">
        <f>_xlfn.XLOOKUP(A594,'Rafineri Fiyatları'!A:A,'Rafineri Fiyatları'!B:B,"",0)</f>
        <v>12135.18</v>
      </c>
      <c r="J594">
        <f t="shared" si="48"/>
        <v>2022</v>
      </c>
      <c r="K594">
        <f t="shared" si="49"/>
        <v>1</v>
      </c>
      <c r="L594">
        <f t="shared" si="50"/>
        <v>14</v>
      </c>
      <c r="M594">
        <f t="shared" si="51"/>
        <v>6</v>
      </c>
      <c r="N594">
        <f>_xlfn.XLOOKUP(A594,tatiller!H:H,tatiller!I:I,0,0)</f>
        <v>0</v>
      </c>
      <c r="O594" cm="1">
        <f t="array" ref="O594">_xlfn.IFNA(_xlfn.IFS(L594=1,"A0",A594=EOMONTH(A594,0),"A-1",L594=2,"A+1"),0)</f>
        <v>0</v>
      </c>
      <c r="P594" cm="1">
        <f t="array" ref="P594">_xlfn.IFNA(_xlfn.IFS(AND(_xlfn.XLOOKUP(A594,'LPG Fup'!D:D,'LPG Fup'!M:M,"",0)&lt;&gt;"",_xlfn.XLOOKUP(A594,'LPG Fup'!D:D,'LPG Fup'!M:M,"",0)&gt;0),"Z-1", AND(_xlfn.XLOOKUP(A594+1,'LPG Fup'!D:D,'LPG Fup'!M:M,"",0)&lt;&gt;"",_xlfn.XLOOKUP(A594+1,'LPG Fup'!D:D,'LPG Fup'!M:M,"",0)&gt;0),"Z-2", AND(_xlfn.XLOOKUP(A594-1,'LPG Fup'!D:D,'LPG Fup'!M:M,"",0)&lt;&gt;"",_xlfn.XLOOKUP(A594-1,'LPG Fup'!D:D,'LPG Fup'!M:M,"",0)&gt;0),"Z", AND(_xlfn.XLOOKUP(A594-2,'LPG Fup'!D:D,'LPG Fup'!M:M,"",0)&lt;&gt;"",_xlfn.XLOOKUP(A594-2,'LPG Fup'!D:D,'LPG Fup'!M:M,"",0)&gt;0),"Z+1"),0)</f>
        <v>0</v>
      </c>
      <c r="Q594" cm="1">
        <f t="array" ref="Q594">_xlfn.IFNA(_xlfn.IFS(AND(_xlfn.XLOOKUP(A594,'LPG Fup'!D:D,'LPG Fup'!M:M,"",0)&lt;&gt;"",_xlfn.XLOOKUP(A594,'LPG Fup'!D:D,'LPG Fup'!M:M,"",0)&lt;0),"I-1", AND(_xlfn.XLOOKUP(A594+1,'LPG Fup'!D:D,'LPG Fup'!M:M,"",0)&lt;&gt;"",_xlfn.XLOOKUP(A594+1,'LPG Fup'!D:D,'LPG Fup'!M:M,"",0)&lt;0),"I-2", AND(_xlfn.XLOOKUP(A594-1,'LPG Fup'!D:D,'LPG Fup'!M:M,"",0)&lt;&gt;"",_xlfn.XLOOKUP(A594-1,'LPG Fup'!D:D,'LPG Fup'!M:M,"",0)&lt;0),"I", AND(_xlfn.XLOOKUP(A594-2,'LPG Fup'!D:D,'LPG Fup'!M:M,"",0)&lt;&gt;"",_xlfn.XLOOKUP(A594-2,'LPG Fup'!D:D,'LPG Fup'!M:M,"",0)&lt;0),"I+1"),0)</f>
        <v>0</v>
      </c>
      <c r="R594">
        <f>_xlfn.XLOOKUP(A594,Covid!A:A,Covid!I:I,0,0)</f>
        <v>0</v>
      </c>
      <c r="S594">
        <f>_xlfn.XLOOKUP(A594,Covid!A:A,Covid!K:K,0,-1)</f>
        <v>173</v>
      </c>
      <c r="T594" s="145">
        <f>_xlfn.XLOOKUP(A594,Covid!A:A,Covid!K:K,0,-1)/_xlfn.XLOOKUP(A594,Covid!A:A,Covid!L:L,0,-1)</f>
        <v>4.9199442595910473E-3</v>
      </c>
    </row>
    <row r="595" spans="1:20" x14ac:dyDescent="0.55000000000000004">
      <c r="A595" s="157">
        <f t="shared" si="52"/>
        <v>44576</v>
      </c>
      <c r="B595" s="125">
        <f>_xlfn.XLOOKUP(A595,'Satış Verisi'!A:A,'Satış Verisi'!C:C,0,0)</f>
        <v>1062000</v>
      </c>
      <c r="C595" s="125">
        <f>_xlfn.XLOOKUP(A595,'Satış Verisi'!A:A,'Satış Verisi'!E:E,0,0)</f>
        <v>80802</v>
      </c>
      <c r="D595" s="125">
        <f>_xlfn.XLOOKUP(A595,'Satış Verisi'!A:A,'Satış Verisi'!G:G,0,0)</f>
        <v>918</v>
      </c>
      <c r="E595" s="125">
        <f>_xlfn.XLOOKUP(A595,'Satış Verisi'!A:A,'Satış Verisi'!I:I,0,0)</f>
        <v>339958</v>
      </c>
      <c r="F595" s="125">
        <f>_xlfn.XLOOKUP(A595,'Satış Verisi'!A:A,'Satış Verisi'!M:M,0,0)</f>
        <v>1483678</v>
      </c>
      <c r="G595">
        <f>IF(OR(_xlfn.XLOOKUP(A595,'LPG Fup'!D:D,'LPG Fup'!L:L,"",0)&gt;0.03,_xlfn.XLOOKUP(A595,'LPG Fup'!D:D,'LPG Fup'!L:L,"",0)&lt;-0.03),_xlfn.XLOOKUP(A595,'LPG Fup'!D:D,'LPG Fup'!L:L,0,0),0)</f>
        <v>0</v>
      </c>
      <c r="H595">
        <f>IF(_xlfn.XLOOKUP(A595,'LPG Fup'!D:D,'LPG Fup'!M:M,0,0)="",0,_xlfn.XLOOKUP(A595,'LPG Fup'!D:D,'LPG Fup'!M:M,0,0))</f>
        <v>0</v>
      </c>
      <c r="I595" s="109">
        <f>_xlfn.XLOOKUP(A595,'Rafineri Fiyatları'!A:A,'Rafineri Fiyatları'!B:B,"",0)</f>
        <v>12135.18</v>
      </c>
      <c r="J595">
        <f t="shared" ref="J595:J601" si="53">YEAR(A595)</f>
        <v>2022</v>
      </c>
      <c r="K595">
        <f t="shared" ref="K595:K601" si="54">MONTH(A595)</f>
        <v>1</v>
      </c>
      <c r="L595">
        <f t="shared" ref="L595:L601" si="55">DAY(A595)</f>
        <v>15</v>
      </c>
      <c r="M595">
        <f t="shared" ref="M595:M601" si="56">WEEKDAY(A595)</f>
        <v>7</v>
      </c>
      <c r="N595">
        <f>_xlfn.XLOOKUP(A595,tatiller!H:H,tatiller!I:I,0,0)</f>
        <v>0</v>
      </c>
      <c r="O595" cm="1">
        <f t="array" ref="O595">_xlfn.IFNA(_xlfn.IFS(L595=1,"A0",A595=EOMONTH(A595,0),"A-1",L595=2,"A+1"),0)</f>
        <v>0</v>
      </c>
      <c r="P595" cm="1">
        <f t="array" ref="P595">_xlfn.IFNA(_xlfn.IFS(AND(_xlfn.XLOOKUP(A595,'LPG Fup'!D:D,'LPG Fup'!M:M,"",0)&lt;&gt;"",_xlfn.XLOOKUP(A595,'LPG Fup'!D:D,'LPG Fup'!M:M,"",0)&gt;0),"Z-1", AND(_xlfn.XLOOKUP(A595+1,'LPG Fup'!D:D,'LPG Fup'!M:M,"",0)&lt;&gt;"",_xlfn.XLOOKUP(A595+1,'LPG Fup'!D:D,'LPG Fup'!M:M,"",0)&gt;0),"Z-2", AND(_xlfn.XLOOKUP(A595-1,'LPG Fup'!D:D,'LPG Fup'!M:M,"",0)&lt;&gt;"",_xlfn.XLOOKUP(A595-1,'LPG Fup'!D:D,'LPG Fup'!M:M,"",0)&gt;0),"Z", AND(_xlfn.XLOOKUP(A595-2,'LPG Fup'!D:D,'LPG Fup'!M:M,"",0)&lt;&gt;"",_xlfn.XLOOKUP(A595-2,'LPG Fup'!D:D,'LPG Fup'!M:M,"",0)&gt;0),"Z+1"),0)</f>
        <v>0</v>
      </c>
      <c r="Q595" cm="1">
        <f t="array" ref="Q595">_xlfn.IFNA(_xlfn.IFS(AND(_xlfn.XLOOKUP(A595,'LPG Fup'!D:D,'LPG Fup'!M:M,"",0)&lt;&gt;"",_xlfn.XLOOKUP(A595,'LPG Fup'!D:D,'LPG Fup'!M:M,"",0)&lt;0),"I-1", AND(_xlfn.XLOOKUP(A595+1,'LPG Fup'!D:D,'LPG Fup'!M:M,"",0)&lt;&gt;"",_xlfn.XLOOKUP(A595+1,'LPG Fup'!D:D,'LPG Fup'!M:M,"",0)&lt;0),"I-2", AND(_xlfn.XLOOKUP(A595-1,'LPG Fup'!D:D,'LPG Fup'!M:M,"",0)&lt;&gt;"",_xlfn.XLOOKUP(A595-1,'LPG Fup'!D:D,'LPG Fup'!M:M,"",0)&lt;0),"I", AND(_xlfn.XLOOKUP(A595-2,'LPG Fup'!D:D,'LPG Fup'!M:M,"",0)&lt;&gt;"",_xlfn.XLOOKUP(A595-2,'LPG Fup'!D:D,'LPG Fup'!M:M,"",0)&lt;0),"I+1"),0)</f>
        <v>0</v>
      </c>
      <c r="R595">
        <f>_xlfn.XLOOKUP(A595,Covid!A:A,Covid!I:I,0,0)</f>
        <v>0</v>
      </c>
      <c r="S595">
        <f>_xlfn.XLOOKUP(A595,Covid!A:A,Covid!K:K,0,-1)</f>
        <v>173</v>
      </c>
      <c r="T595" s="145">
        <f>_xlfn.XLOOKUP(A595,Covid!A:A,Covid!K:K,0,-1)/_xlfn.XLOOKUP(A595,Covid!A:A,Covid!L:L,0,-1)</f>
        <v>4.9199442595910473E-3</v>
      </c>
    </row>
    <row r="596" spans="1:20" x14ac:dyDescent="0.55000000000000004">
      <c r="A596" s="157">
        <f t="shared" si="52"/>
        <v>44577</v>
      </c>
      <c r="B596" s="125">
        <f>_xlfn.XLOOKUP(A596,'Satış Verisi'!A:A,'Satış Verisi'!C:C,0,0)</f>
        <v>617640</v>
      </c>
      <c r="C596" s="125">
        <f>_xlfn.XLOOKUP(A596,'Satış Verisi'!A:A,'Satış Verisi'!E:E,0,0)</f>
        <v>0</v>
      </c>
      <c r="D596" s="125">
        <f>_xlfn.XLOOKUP(A596,'Satış Verisi'!A:A,'Satış Verisi'!G:G,0,0)</f>
        <v>4250</v>
      </c>
      <c r="E596" s="125">
        <f>_xlfn.XLOOKUP(A596,'Satış Verisi'!A:A,'Satış Verisi'!I:I,0,0)</f>
        <v>234936</v>
      </c>
      <c r="F596" s="125">
        <f>_xlfn.XLOOKUP(A596,'Satış Verisi'!A:A,'Satış Verisi'!M:M,0,0)</f>
        <v>856826</v>
      </c>
      <c r="G596">
        <f>IF(OR(_xlfn.XLOOKUP(A596,'LPG Fup'!D:D,'LPG Fup'!L:L,"",0)&gt;0.03,_xlfn.XLOOKUP(A596,'LPG Fup'!D:D,'LPG Fup'!L:L,"",0)&lt;-0.03),_xlfn.XLOOKUP(A596,'LPG Fup'!D:D,'LPG Fup'!L:L,0,0),0)</f>
        <v>0</v>
      </c>
      <c r="H596">
        <f>IF(_xlfn.XLOOKUP(A596,'LPG Fup'!D:D,'LPG Fup'!M:M,0,0)="",0,_xlfn.XLOOKUP(A596,'LPG Fup'!D:D,'LPG Fup'!M:M,0,0))</f>
        <v>0</v>
      </c>
      <c r="I596" s="109">
        <f>_xlfn.XLOOKUP(A596,'Rafineri Fiyatları'!A:A,'Rafineri Fiyatları'!B:B,"",0)</f>
        <v>12135.18</v>
      </c>
      <c r="J596">
        <f t="shared" si="53"/>
        <v>2022</v>
      </c>
      <c r="K596">
        <f t="shared" si="54"/>
        <v>1</v>
      </c>
      <c r="L596">
        <f t="shared" si="55"/>
        <v>16</v>
      </c>
      <c r="M596">
        <f t="shared" si="56"/>
        <v>1</v>
      </c>
      <c r="N596">
        <f>_xlfn.XLOOKUP(A596,tatiller!H:H,tatiller!I:I,0,0)</f>
        <v>0</v>
      </c>
      <c r="O596" cm="1">
        <f t="array" ref="O596">_xlfn.IFNA(_xlfn.IFS(L596=1,"A0",A596=EOMONTH(A596,0),"A-1",L596=2,"A+1"),0)</f>
        <v>0</v>
      </c>
      <c r="P596" cm="1">
        <f t="array" ref="P596">_xlfn.IFNA(_xlfn.IFS(AND(_xlfn.XLOOKUP(A596,'LPG Fup'!D:D,'LPG Fup'!M:M,"",0)&lt;&gt;"",_xlfn.XLOOKUP(A596,'LPG Fup'!D:D,'LPG Fup'!M:M,"",0)&gt;0),"Z-1", AND(_xlfn.XLOOKUP(A596+1,'LPG Fup'!D:D,'LPG Fup'!M:M,"",0)&lt;&gt;"",_xlfn.XLOOKUP(A596+1,'LPG Fup'!D:D,'LPG Fup'!M:M,"",0)&gt;0),"Z-2", AND(_xlfn.XLOOKUP(A596-1,'LPG Fup'!D:D,'LPG Fup'!M:M,"",0)&lt;&gt;"",_xlfn.XLOOKUP(A596-1,'LPG Fup'!D:D,'LPG Fup'!M:M,"",0)&gt;0),"Z", AND(_xlfn.XLOOKUP(A596-2,'LPG Fup'!D:D,'LPG Fup'!M:M,"",0)&lt;&gt;"",_xlfn.XLOOKUP(A596-2,'LPG Fup'!D:D,'LPG Fup'!M:M,"",0)&gt;0),"Z+1"),0)</f>
        <v>0</v>
      </c>
      <c r="Q596" cm="1">
        <f t="array" ref="Q596">_xlfn.IFNA(_xlfn.IFS(AND(_xlfn.XLOOKUP(A596,'LPG Fup'!D:D,'LPG Fup'!M:M,"",0)&lt;&gt;"",_xlfn.XLOOKUP(A596,'LPG Fup'!D:D,'LPG Fup'!M:M,"",0)&lt;0),"I-1", AND(_xlfn.XLOOKUP(A596+1,'LPG Fup'!D:D,'LPG Fup'!M:M,"",0)&lt;&gt;"",_xlfn.XLOOKUP(A596+1,'LPG Fup'!D:D,'LPG Fup'!M:M,"",0)&lt;0),"I-2", AND(_xlfn.XLOOKUP(A596-1,'LPG Fup'!D:D,'LPG Fup'!M:M,"",0)&lt;&gt;"",_xlfn.XLOOKUP(A596-1,'LPG Fup'!D:D,'LPG Fup'!M:M,"",0)&lt;0),"I", AND(_xlfn.XLOOKUP(A596-2,'LPG Fup'!D:D,'LPG Fup'!M:M,"",0)&lt;&gt;"",_xlfn.XLOOKUP(A596-2,'LPG Fup'!D:D,'LPG Fup'!M:M,"",0)&lt;0),"I+1"),0)</f>
        <v>0</v>
      </c>
      <c r="R596">
        <f>_xlfn.XLOOKUP(A596,Covid!A:A,Covid!I:I,0,0)</f>
        <v>0</v>
      </c>
      <c r="S596">
        <f>_xlfn.XLOOKUP(A596,Covid!A:A,Covid!K:K,0,-1)</f>
        <v>173</v>
      </c>
      <c r="T596" s="145">
        <f>_xlfn.XLOOKUP(A596,Covid!A:A,Covid!K:K,0,-1)/_xlfn.XLOOKUP(A596,Covid!A:A,Covid!L:L,0,-1)</f>
        <v>4.9199442595910473E-3</v>
      </c>
    </row>
    <row r="597" spans="1:20" x14ac:dyDescent="0.55000000000000004">
      <c r="A597" s="157">
        <f t="shared" si="52"/>
        <v>44578</v>
      </c>
      <c r="B597" s="125">
        <f>_xlfn.XLOOKUP(A597,'Satış Verisi'!A:A,'Satış Verisi'!C:C,0,0)</f>
        <v>623920</v>
      </c>
      <c r="C597" s="125">
        <f>_xlfn.XLOOKUP(A597,'Satış Verisi'!A:A,'Satış Verisi'!E:E,0,0)</f>
        <v>302288</v>
      </c>
      <c r="D597" s="125">
        <f>_xlfn.XLOOKUP(A597,'Satış Verisi'!A:A,'Satış Verisi'!G:G,0,0)</f>
        <v>20660</v>
      </c>
      <c r="E597" s="125">
        <f>_xlfn.XLOOKUP(A597,'Satış Verisi'!A:A,'Satış Verisi'!I:I,0,0)</f>
        <v>460740</v>
      </c>
      <c r="F597" s="125">
        <f>_xlfn.XLOOKUP(A597,'Satış Verisi'!A:A,'Satış Verisi'!M:M,0,0)</f>
        <v>1407608</v>
      </c>
      <c r="G597">
        <f>IF(OR(_xlfn.XLOOKUP(A597,'LPG Fup'!D:D,'LPG Fup'!L:L,"",0)&gt;0.03,_xlfn.XLOOKUP(A597,'LPG Fup'!D:D,'LPG Fup'!L:L,"",0)&lt;-0.03),_xlfn.XLOOKUP(A597,'LPG Fup'!D:D,'LPG Fup'!L:L,0,0),0)</f>
        <v>0</v>
      </c>
      <c r="H597">
        <f>IF(_xlfn.XLOOKUP(A597,'LPG Fup'!D:D,'LPG Fup'!M:M,0,0)="",0,_xlfn.XLOOKUP(A597,'LPG Fup'!D:D,'LPG Fup'!M:M,0,0))</f>
        <v>0</v>
      </c>
      <c r="I597" s="109">
        <f>_xlfn.XLOOKUP(A597,'Rafineri Fiyatları'!A:A,'Rafineri Fiyatları'!B:B,"",0)</f>
        <v>12135.18</v>
      </c>
      <c r="J597">
        <f t="shared" si="53"/>
        <v>2022</v>
      </c>
      <c r="K597">
        <f t="shared" si="54"/>
        <v>1</v>
      </c>
      <c r="L597">
        <f t="shared" si="55"/>
        <v>17</v>
      </c>
      <c r="M597">
        <f t="shared" si="56"/>
        <v>2</v>
      </c>
      <c r="N597">
        <f>_xlfn.XLOOKUP(A597,tatiller!H:H,tatiller!I:I,0,0)</f>
        <v>0</v>
      </c>
      <c r="O597" cm="1">
        <f t="array" ref="O597">_xlfn.IFNA(_xlfn.IFS(L597=1,"A0",A597=EOMONTH(A597,0),"A-1",L597=2,"A+1"),0)</f>
        <v>0</v>
      </c>
      <c r="P597" cm="1">
        <f t="array" ref="P597">_xlfn.IFNA(_xlfn.IFS(AND(_xlfn.XLOOKUP(A597,'LPG Fup'!D:D,'LPG Fup'!M:M,"",0)&lt;&gt;"",_xlfn.XLOOKUP(A597,'LPG Fup'!D:D,'LPG Fup'!M:M,"",0)&gt;0),"Z-1", AND(_xlfn.XLOOKUP(A597+1,'LPG Fup'!D:D,'LPG Fup'!M:M,"",0)&lt;&gt;"",_xlfn.XLOOKUP(A597+1,'LPG Fup'!D:D,'LPG Fup'!M:M,"",0)&gt;0),"Z-2", AND(_xlfn.XLOOKUP(A597-1,'LPG Fup'!D:D,'LPG Fup'!M:M,"",0)&lt;&gt;"",_xlfn.XLOOKUP(A597-1,'LPG Fup'!D:D,'LPG Fup'!M:M,"",0)&gt;0),"Z", AND(_xlfn.XLOOKUP(A597-2,'LPG Fup'!D:D,'LPG Fup'!M:M,"",0)&lt;&gt;"",_xlfn.XLOOKUP(A597-2,'LPG Fup'!D:D,'LPG Fup'!M:M,"",0)&gt;0),"Z+1"),0)</f>
        <v>0</v>
      </c>
      <c r="Q597" cm="1">
        <f t="array" ref="Q597">_xlfn.IFNA(_xlfn.IFS(AND(_xlfn.XLOOKUP(A597,'LPG Fup'!D:D,'LPG Fup'!M:M,"",0)&lt;&gt;"",_xlfn.XLOOKUP(A597,'LPG Fup'!D:D,'LPG Fup'!M:M,"",0)&lt;0),"I-1", AND(_xlfn.XLOOKUP(A597+1,'LPG Fup'!D:D,'LPG Fup'!M:M,"",0)&lt;&gt;"",_xlfn.XLOOKUP(A597+1,'LPG Fup'!D:D,'LPG Fup'!M:M,"",0)&lt;0),"I-2", AND(_xlfn.XLOOKUP(A597-1,'LPG Fup'!D:D,'LPG Fup'!M:M,"",0)&lt;&gt;"",_xlfn.XLOOKUP(A597-1,'LPG Fup'!D:D,'LPG Fup'!M:M,"",0)&lt;0),"I", AND(_xlfn.XLOOKUP(A597-2,'LPG Fup'!D:D,'LPG Fup'!M:M,"",0)&lt;&gt;"",_xlfn.XLOOKUP(A597-2,'LPG Fup'!D:D,'LPG Fup'!M:M,"",0)&lt;0),"I+1"),0)</f>
        <v>0</v>
      </c>
      <c r="R597">
        <f>_xlfn.XLOOKUP(A597,Covid!A:A,Covid!I:I,0,0)</f>
        <v>0</v>
      </c>
      <c r="S597">
        <f>_xlfn.XLOOKUP(A597,Covid!A:A,Covid!K:K,0,-1)</f>
        <v>173</v>
      </c>
      <c r="T597" s="145">
        <f>_xlfn.XLOOKUP(A597,Covid!A:A,Covid!K:K,0,-1)/_xlfn.XLOOKUP(A597,Covid!A:A,Covid!L:L,0,-1)</f>
        <v>4.9199442595910473E-3</v>
      </c>
    </row>
    <row r="598" spans="1:20" x14ac:dyDescent="0.55000000000000004">
      <c r="A598" s="157">
        <f t="shared" si="52"/>
        <v>44579</v>
      </c>
      <c r="B598" s="125">
        <f>_xlfn.XLOOKUP(A598,'Satış Verisi'!A:A,'Satış Verisi'!C:C,0,0)</f>
        <v>0</v>
      </c>
      <c r="C598" s="125">
        <f>_xlfn.XLOOKUP(A598,'Satış Verisi'!A:A,'Satış Verisi'!E:E,0,0)</f>
        <v>0</v>
      </c>
      <c r="D598" s="125">
        <f>_xlfn.XLOOKUP(A598,'Satış Verisi'!A:A,'Satış Verisi'!G:G,0,0)</f>
        <v>0</v>
      </c>
      <c r="E598" s="125">
        <f>_xlfn.XLOOKUP(A598,'Satış Verisi'!A:A,'Satış Verisi'!I:I,0,0)</f>
        <v>0</v>
      </c>
      <c r="F598" s="125">
        <f>_xlfn.XLOOKUP(A598,'Satış Verisi'!A:A,'Satış Verisi'!M:M,0,0)</f>
        <v>0</v>
      </c>
      <c r="G598">
        <f>IF(OR(_xlfn.XLOOKUP(A598,'LPG Fup'!D:D,'LPG Fup'!L:L,"",0)&gt;0.03,_xlfn.XLOOKUP(A598,'LPG Fup'!D:D,'LPG Fup'!L:L,"",0)&lt;-0.03),_xlfn.XLOOKUP(A598,'LPG Fup'!D:D,'LPG Fup'!L:L,0,0),0)</f>
        <v>0</v>
      </c>
      <c r="H598">
        <f>IF(_xlfn.XLOOKUP(A598,'LPG Fup'!D:D,'LPG Fup'!M:M,0,0)="",0,_xlfn.XLOOKUP(A598,'LPG Fup'!D:D,'LPG Fup'!M:M,0,0))</f>
        <v>0</v>
      </c>
      <c r="I598" s="109">
        <f>_xlfn.XLOOKUP(A598,'Rafineri Fiyatları'!A:A,'Rafineri Fiyatları'!B:B,"",0)</f>
        <v>12135.18</v>
      </c>
      <c r="J598">
        <f t="shared" si="53"/>
        <v>2022</v>
      </c>
      <c r="K598">
        <f t="shared" si="54"/>
        <v>1</v>
      </c>
      <c r="L598">
        <f t="shared" si="55"/>
        <v>18</v>
      </c>
      <c r="M598">
        <f t="shared" si="56"/>
        <v>3</v>
      </c>
      <c r="N598">
        <f>_xlfn.XLOOKUP(A598,tatiller!H:H,tatiller!I:I,0,0)</f>
        <v>0</v>
      </c>
      <c r="O598" cm="1">
        <f t="array" ref="O598">_xlfn.IFNA(_xlfn.IFS(L598=1,"A0",A598=EOMONTH(A598,0),"A-1",L598=2,"A+1"),0)</f>
        <v>0</v>
      </c>
      <c r="P598" cm="1">
        <f t="array" ref="P598">_xlfn.IFNA(_xlfn.IFS(AND(_xlfn.XLOOKUP(A598,'LPG Fup'!D:D,'LPG Fup'!M:M,"",0)&lt;&gt;"",_xlfn.XLOOKUP(A598,'LPG Fup'!D:D,'LPG Fup'!M:M,"",0)&gt;0),"Z-1", AND(_xlfn.XLOOKUP(A598+1,'LPG Fup'!D:D,'LPG Fup'!M:M,"",0)&lt;&gt;"",_xlfn.XLOOKUP(A598+1,'LPG Fup'!D:D,'LPG Fup'!M:M,"",0)&gt;0),"Z-2", AND(_xlfn.XLOOKUP(A598-1,'LPG Fup'!D:D,'LPG Fup'!M:M,"",0)&lt;&gt;"",_xlfn.XLOOKUP(A598-1,'LPG Fup'!D:D,'LPG Fup'!M:M,"",0)&gt;0),"Z", AND(_xlfn.XLOOKUP(A598-2,'LPG Fup'!D:D,'LPG Fup'!M:M,"",0)&lt;&gt;"",_xlfn.XLOOKUP(A598-2,'LPG Fup'!D:D,'LPG Fup'!M:M,"",0)&gt;0),"Z+1"),0)</f>
        <v>0</v>
      </c>
      <c r="Q598" cm="1">
        <f t="array" ref="Q598">_xlfn.IFNA(_xlfn.IFS(AND(_xlfn.XLOOKUP(A598,'LPG Fup'!D:D,'LPG Fup'!M:M,"",0)&lt;&gt;"",_xlfn.XLOOKUP(A598,'LPG Fup'!D:D,'LPG Fup'!M:M,"",0)&lt;0),"I-1", AND(_xlfn.XLOOKUP(A598+1,'LPG Fup'!D:D,'LPG Fup'!M:M,"",0)&lt;&gt;"",_xlfn.XLOOKUP(A598+1,'LPG Fup'!D:D,'LPG Fup'!M:M,"",0)&lt;0),"I-2", AND(_xlfn.XLOOKUP(A598-1,'LPG Fup'!D:D,'LPG Fup'!M:M,"",0)&lt;&gt;"",_xlfn.XLOOKUP(A598-1,'LPG Fup'!D:D,'LPG Fup'!M:M,"",0)&lt;0),"I", AND(_xlfn.XLOOKUP(A598-2,'LPG Fup'!D:D,'LPG Fup'!M:M,"",0)&lt;&gt;"",_xlfn.XLOOKUP(A598-2,'LPG Fup'!D:D,'LPG Fup'!M:M,"",0)&lt;0),"I+1"),0)</f>
        <v>0</v>
      </c>
      <c r="R598">
        <f>_xlfn.XLOOKUP(A598,Covid!A:A,Covid!I:I,0,0)</f>
        <v>0</v>
      </c>
      <c r="S598">
        <f>_xlfn.XLOOKUP(A598,Covid!A:A,Covid!K:K,0,-1)</f>
        <v>173</v>
      </c>
      <c r="T598" s="145">
        <f>_xlfn.XLOOKUP(A598,Covid!A:A,Covid!K:K,0,-1)/_xlfn.XLOOKUP(A598,Covid!A:A,Covid!L:L,0,-1)</f>
        <v>4.9199442595910473E-3</v>
      </c>
    </row>
    <row r="599" spans="1:20" x14ac:dyDescent="0.55000000000000004">
      <c r="A599" s="157">
        <f t="shared" si="52"/>
        <v>44580</v>
      </c>
      <c r="B599" s="125">
        <f>_xlfn.XLOOKUP(A599,'Satış Verisi'!A:A,'Satış Verisi'!C:C,0,0)</f>
        <v>0</v>
      </c>
      <c r="C599" s="125">
        <f>_xlfn.XLOOKUP(A599,'Satış Verisi'!A:A,'Satış Verisi'!E:E,0,0)</f>
        <v>0</v>
      </c>
      <c r="D599" s="125">
        <f>_xlfn.XLOOKUP(A599,'Satış Verisi'!A:A,'Satış Verisi'!G:G,0,0)</f>
        <v>0</v>
      </c>
      <c r="E599" s="125">
        <f>_xlfn.XLOOKUP(A599,'Satış Verisi'!A:A,'Satış Verisi'!I:I,0,0)</f>
        <v>0</v>
      </c>
      <c r="F599" s="125">
        <f>_xlfn.XLOOKUP(A599,'Satış Verisi'!A:A,'Satış Verisi'!M:M,0,0)</f>
        <v>0</v>
      </c>
      <c r="G599">
        <f>IF(OR(_xlfn.XLOOKUP(A599,'LPG Fup'!D:D,'LPG Fup'!L:L,"",0)&gt;0.03,_xlfn.XLOOKUP(A599,'LPG Fup'!D:D,'LPG Fup'!L:L,"",0)&lt;-0.03),_xlfn.XLOOKUP(A599,'LPG Fup'!D:D,'LPG Fup'!L:L,0,0),0)</f>
        <v>0</v>
      </c>
      <c r="H599">
        <f>IF(_xlfn.XLOOKUP(A599,'LPG Fup'!D:D,'LPG Fup'!M:M,0,0)="",0,_xlfn.XLOOKUP(A599,'LPG Fup'!D:D,'LPG Fup'!M:M,0,0))</f>
        <v>0</v>
      </c>
      <c r="I599" s="109">
        <f>_xlfn.XLOOKUP(A599,'Rafineri Fiyatları'!A:A,'Rafineri Fiyatları'!B:B,"",0)</f>
        <v>12135.18</v>
      </c>
      <c r="J599">
        <f t="shared" si="53"/>
        <v>2022</v>
      </c>
      <c r="K599">
        <f t="shared" si="54"/>
        <v>1</v>
      </c>
      <c r="L599">
        <f t="shared" si="55"/>
        <v>19</v>
      </c>
      <c r="M599">
        <f t="shared" si="56"/>
        <v>4</v>
      </c>
      <c r="N599">
        <f>_xlfn.XLOOKUP(A599,tatiller!H:H,tatiller!I:I,0,0)</f>
        <v>0</v>
      </c>
      <c r="O599" cm="1">
        <f t="array" ref="O599">_xlfn.IFNA(_xlfn.IFS(L599=1,"A0",A599=EOMONTH(A599,0),"A-1",L599=2,"A+1"),0)</f>
        <v>0</v>
      </c>
      <c r="P599" cm="1">
        <f t="array" ref="P599">_xlfn.IFNA(_xlfn.IFS(AND(_xlfn.XLOOKUP(A599,'LPG Fup'!D:D,'LPG Fup'!M:M,"",0)&lt;&gt;"",_xlfn.XLOOKUP(A599,'LPG Fup'!D:D,'LPG Fup'!M:M,"",0)&gt;0),"Z-1", AND(_xlfn.XLOOKUP(A599+1,'LPG Fup'!D:D,'LPG Fup'!M:M,"",0)&lt;&gt;"",_xlfn.XLOOKUP(A599+1,'LPG Fup'!D:D,'LPG Fup'!M:M,"",0)&gt;0),"Z-2", AND(_xlfn.XLOOKUP(A599-1,'LPG Fup'!D:D,'LPG Fup'!M:M,"",0)&lt;&gt;"",_xlfn.XLOOKUP(A599-1,'LPG Fup'!D:D,'LPG Fup'!M:M,"",0)&gt;0),"Z", AND(_xlfn.XLOOKUP(A599-2,'LPG Fup'!D:D,'LPG Fup'!M:M,"",0)&lt;&gt;"",_xlfn.XLOOKUP(A599-2,'LPG Fup'!D:D,'LPG Fup'!M:M,"",0)&gt;0),"Z+1"),0)</f>
        <v>0</v>
      </c>
      <c r="Q599" cm="1">
        <f t="array" ref="Q599">_xlfn.IFNA(_xlfn.IFS(AND(_xlfn.XLOOKUP(A599,'LPG Fup'!D:D,'LPG Fup'!M:M,"",0)&lt;&gt;"",_xlfn.XLOOKUP(A599,'LPG Fup'!D:D,'LPG Fup'!M:M,"",0)&lt;0),"I-1", AND(_xlfn.XLOOKUP(A599+1,'LPG Fup'!D:D,'LPG Fup'!M:M,"",0)&lt;&gt;"",_xlfn.XLOOKUP(A599+1,'LPG Fup'!D:D,'LPG Fup'!M:M,"",0)&lt;0),"I-2", AND(_xlfn.XLOOKUP(A599-1,'LPG Fup'!D:D,'LPG Fup'!M:M,"",0)&lt;&gt;"",_xlfn.XLOOKUP(A599-1,'LPG Fup'!D:D,'LPG Fup'!M:M,"",0)&lt;0),"I", AND(_xlfn.XLOOKUP(A599-2,'LPG Fup'!D:D,'LPG Fup'!M:M,"",0)&lt;&gt;"",_xlfn.XLOOKUP(A599-2,'LPG Fup'!D:D,'LPG Fup'!M:M,"",0)&lt;0),"I+1"),0)</f>
        <v>0</v>
      </c>
      <c r="R599">
        <f>_xlfn.XLOOKUP(A599,Covid!A:A,Covid!I:I,0,0)</f>
        <v>0</v>
      </c>
      <c r="S599">
        <f>_xlfn.XLOOKUP(A599,Covid!A:A,Covid!K:K,0,-1)</f>
        <v>173</v>
      </c>
      <c r="T599" s="145">
        <f>_xlfn.XLOOKUP(A599,Covid!A:A,Covid!K:K,0,-1)/_xlfn.XLOOKUP(A599,Covid!A:A,Covid!L:L,0,-1)</f>
        <v>4.9199442595910473E-3</v>
      </c>
    </row>
    <row r="600" spans="1:20" x14ac:dyDescent="0.55000000000000004">
      <c r="A600" s="157">
        <f t="shared" si="52"/>
        <v>44581</v>
      </c>
      <c r="B600" s="125">
        <f>_xlfn.XLOOKUP(A600,'Satış Verisi'!A:A,'Satış Verisi'!C:C,0,0)</f>
        <v>0</v>
      </c>
      <c r="C600" s="125">
        <f>_xlfn.XLOOKUP(A600,'Satış Verisi'!A:A,'Satış Verisi'!E:E,0,0)</f>
        <v>0</v>
      </c>
      <c r="D600" s="125">
        <f>_xlfn.XLOOKUP(A600,'Satış Verisi'!A:A,'Satış Verisi'!G:G,0,0)</f>
        <v>0</v>
      </c>
      <c r="E600" s="125">
        <f>_xlfn.XLOOKUP(A600,'Satış Verisi'!A:A,'Satış Verisi'!I:I,0,0)</f>
        <v>0</v>
      </c>
      <c r="F600" s="125">
        <f>_xlfn.XLOOKUP(A600,'Satış Verisi'!A:A,'Satış Verisi'!M:M,0,0)</f>
        <v>0</v>
      </c>
      <c r="G600">
        <f>IF(OR(_xlfn.XLOOKUP(A600,'LPG Fup'!D:D,'LPG Fup'!L:L,"",0)&gt;0.03,_xlfn.XLOOKUP(A600,'LPG Fup'!D:D,'LPG Fup'!L:L,"",0)&lt;-0.03),_xlfn.XLOOKUP(A600,'LPG Fup'!D:D,'LPG Fup'!L:L,0,0),0)</f>
        <v>0</v>
      </c>
      <c r="H600">
        <f>IF(_xlfn.XLOOKUP(A600,'LPG Fup'!D:D,'LPG Fup'!M:M,0,0)="",0,_xlfn.XLOOKUP(A600,'LPG Fup'!D:D,'LPG Fup'!M:M,0,0))</f>
        <v>0</v>
      </c>
      <c r="I600" s="109">
        <f>_xlfn.XLOOKUP(A600,'Rafineri Fiyatları'!A:A,'Rafineri Fiyatları'!B:B,"",0)</f>
        <v>12135.18</v>
      </c>
      <c r="J600">
        <f t="shared" si="53"/>
        <v>2022</v>
      </c>
      <c r="K600">
        <f t="shared" si="54"/>
        <v>1</v>
      </c>
      <c r="L600">
        <f t="shared" si="55"/>
        <v>20</v>
      </c>
      <c r="M600">
        <f t="shared" si="56"/>
        <v>5</v>
      </c>
      <c r="N600">
        <f>_xlfn.XLOOKUP(A600,tatiller!H:H,tatiller!I:I,0,0)</f>
        <v>0</v>
      </c>
      <c r="O600" cm="1">
        <f t="array" ref="O600">_xlfn.IFNA(_xlfn.IFS(L600=1,"A0",A600=EOMONTH(A600,0),"A-1",L600=2,"A+1"),0)</f>
        <v>0</v>
      </c>
      <c r="P600" cm="1">
        <f t="array" ref="P600">_xlfn.IFNA(_xlfn.IFS(AND(_xlfn.XLOOKUP(A600,'LPG Fup'!D:D,'LPG Fup'!M:M,"",0)&lt;&gt;"",_xlfn.XLOOKUP(A600,'LPG Fup'!D:D,'LPG Fup'!M:M,"",0)&gt;0),"Z-1", AND(_xlfn.XLOOKUP(A600+1,'LPG Fup'!D:D,'LPG Fup'!M:M,"",0)&lt;&gt;"",_xlfn.XLOOKUP(A600+1,'LPG Fup'!D:D,'LPG Fup'!M:M,"",0)&gt;0),"Z-2", AND(_xlfn.XLOOKUP(A600-1,'LPG Fup'!D:D,'LPG Fup'!M:M,"",0)&lt;&gt;"",_xlfn.XLOOKUP(A600-1,'LPG Fup'!D:D,'LPG Fup'!M:M,"",0)&gt;0),"Z", AND(_xlfn.XLOOKUP(A600-2,'LPG Fup'!D:D,'LPG Fup'!M:M,"",0)&lt;&gt;"",_xlfn.XLOOKUP(A600-2,'LPG Fup'!D:D,'LPG Fup'!M:M,"",0)&gt;0),"Z+1"),0)</f>
        <v>0</v>
      </c>
      <c r="Q600" cm="1">
        <f t="array" ref="Q600">_xlfn.IFNA(_xlfn.IFS(AND(_xlfn.XLOOKUP(A600,'LPG Fup'!D:D,'LPG Fup'!M:M,"",0)&lt;&gt;"",_xlfn.XLOOKUP(A600,'LPG Fup'!D:D,'LPG Fup'!M:M,"",0)&lt;0),"I-1", AND(_xlfn.XLOOKUP(A600+1,'LPG Fup'!D:D,'LPG Fup'!M:M,"",0)&lt;&gt;"",_xlfn.XLOOKUP(A600+1,'LPG Fup'!D:D,'LPG Fup'!M:M,"",0)&lt;0),"I-2", AND(_xlfn.XLOOKUP(A600-1,'LPG Fup'!D:D,'LPG Fup'!M:M,"",0)&lt;&gt;"",_xlfn.XLOOKUP(A600-1,'LPG Fup'!D:D,'LPG Fup'!M:M,"",0)&lt;0),"I", AND(_xlfn.XLOOKUP(A600-2,'LPG Fup'!D:D,'LPG Fup'!M:M,"",0)&lt;&gt;"",_xlfn.XLOOKUP(A600-2,'LPG Fup'!D:D,'LPG Fup'!M:M,"",0)&lt;0),"I+1"),0)</f>
        <v>0</v>
      </c>
      <c r="R600">
        <f>_xlfn.XLOOKUP(A600,Covid!A:A,Covid!I:I,0,0)</f>
        <v>0</v>
      </c>
      <c r="S600">
        <f>_xlfn.XLOOKUP(A600,Covid!A:A,Covid!K:K,0,-1)</f>
        <v>173</v>
      </c>
      <c r="T600" s="145">
        <f>_xlfn.XLOOKUP(A600,Covid!A:A,Covid!K:K,0,-1)/_xlfn.XLOOKUP(A600,Covid!A:A,Covid!L:L,0,-1)</f>
        <v>4.9199442595910473E-3</v>
      </c>
    </row>
    <row r="601" spans="1:20" x14ac:dyDescent="0.55000000000000004">
      <c r="A601" s="157">
        <f t="shared" si="52"/>
        <v>44582</v>
      </c>
      <c r="B601" s="125">
        <f>_xlfn.XLOOKUP(A601,'Satış Verisi'!A:A,'Satış Verisi'!C:C,0,0)</f>
        <v>0</v>
      </c>
      <c r="C601" s="125">
        <f>_xlfn.XLOOKUP(A601,'Satış Verisi'!A:A,'Satış Verisi'!E:E,0,0)</f>
        <v>0</v>
      </c>
      <c r="D601" s="125">
        <f>_xlfn.XLOOKUP(A601,'Satış Verisi'!A:A,'Satış Verisi'!G:G,0,0)</f>
        <v>0</v>
      </c>
      <c r="E601" s="125">
        <f>_xlfn.XLOOKUP(A601,'Satış Verisi'!A:A,'Satış Verisi'!I:I,0,0)</f>
        <v>0</v>
      </c>
      <c r="F601" s="125">
        <f>_xlfn.XLOOKUP(A601,'Satış Verisi'!A:A,'Satış Verisi'!M:M,0,0)</f>
        <v>0</v>
      </c>
      <c r="G601">
        <f>IF(OR(_xlfn.XLOOKUP(A601,'LPG Fup'!D:D,'LPG Fup'!L:L,"",0)&gt;0.03,_xlfn.XLOOKUP(A601,'LPG Fup'!D:D,'LPG Fup'!L:L,"",0)&lt;-0.03),_xlfn.XLOOKUP(A601,'LPG Fup'!D:D,'LPG Fup'!L:L,0,0),0)</f>
        <v>0</v>
      </c>
      <c r="H601">
        <f>IF(_xlfn.XLOOKUP(A601,'LPG Fup'!D:D,'LPG Fup'!M:M,0,0)="",0,_xlfn.XLOOKUP(A601,'LPG Fup'!D:D,'LPG Fup'!M:M,0,0))</f>
        <v>0</v>
      </c>
      <c r="I601" s="109">
        <f>_xlfn.XLOOKUP(A601,'Rafineri Fiyatları'!A:A,'Rafineri Fiyatları'!B:B,"",0)</f>
        <v>12135.18</v>
      </c>
      <c r="J601">
        <f t="shared" si="53"/>
        <v>2022</v>
      </c>
      <c r="K601">
        <f t="shared" si="54"/>
        <v>1</v>
      </c>
      <c r="L601">
        <f t="shared" si="55"/>
        <v>21</v>
      </c>
      <c r="M601">
        <f t="shared" si="56"/>
        <v>6</v>
      </c>
      <c r="N601">
        <f>_xlfn.XLOOKUP(A601,tatiller!H:H,tatiller!I:I,0,0)</f>
        <v>0</v>
      </c>
      <c r="O601" cm="1">
        <f t="array" ref="O601">_xlfn.IFNA(_xlfn.IFS(L601=1,"A0",A601=EOMONTH(A601,0),"A-1",L601=2,"A+1"),0)</f>
        <v>0</v>
      </c>
      <c r="P601" cm="1">
        <f t="array" ref="P601">_xlfn.IFNA(_xlfn.IFS(AND(_xlfn.XLOOKUP(A601,'LPG Fup'!D:D,'LPG Fup'!M:M,"",0)&lt;&gt;"",_xlfn.XLOOKUP(A601,'LPG Fup'!D:D,'LPG Fup'!M:M,"",0)&gt;0),"Z-1", AND(_xlfn.XLOOKUP(A601+1,'LPG Fup'!D:D,'LPG Fup'!M:M,"",0)&lt;&gt;"",_xlfn.XLOOKUP(A601+1,'LPG Fup'!D:D,'LPG Fup'!M:M,"",0)&gt;0),"Z-2", AND(_xlfn.XLOOKUP(A601-1,'LPG Fup'!D:D,'LPG Fup'!M:M,"",0)&lt;&gt;"",_xlfn.XLOOKUP(A601-1,'LPG Fup'!D:D,'LPG Fup'!M:M,"",0)&gt;0),"Z", AND(_xlfn.XLOOKUP(A601-2,'LPG Fup'!D:D,'LPG Fup'!M:M,"",0)&lt;&gt;"",_xlfn.XLOOKUP(A601-2,'LPG Fup'!D:D,'LPG Fup'!M:M,"",0)&gt;0),"Z+1"),0)</f>
        <v>0</v>
      </c>
      <c r="Q601" cm="1">
        <f t="array" ref="Q601">_xlfn.IFNA(_xlfn.IFS(AND(_xlfn.XLOOKUP(A601,'LPG Fup'!D:D,'LPG Fup'!M:M,"",0)&lt;&gt;"",_xlfn.XLOOKUP(A601,'LPG Fup'!D:D,'LPG Fup'!M:M,"",0)&lt;0),"I-1", AND(_xlfn.XLOOKUP(A601+1,'LPG Fup'!D:D,'LPG Fup'!M:M,"",0)&lt;&gt;"",_xlfn.XLOOKUP(A601+1,'LPG Fup'!D:D,'LPG Fup'!M:M,"",0)&lt;0),"I-2", AND(_xlfn.XLOOKUP(A601-1,'LPG Fup'!D:D,'LPG Fup'!M:M,"",0)&lt;&gt;"",_xlfn.XLOOKUP(A601-1,'LPG Fup'!D:D,'LPG Fup'!M:M,"",0)&lt;0),"I", AND(_xlfn.XLOOKUP(A601-2,'LPG Fup'!D:D,'LPG Fup'!M:M,"",0)&lt;&gt;"",_xlfn.XLOOKUP(A601-2,'LPG Fup'!D:D,'LPG Fup'!M:M,"",0)&lt;0),"I+1"),0)</f>
        <v>0</v>
      </c>
      <c r="R601">
        <f>_xlfn.XLOOKUP(A601,Covid!A:A,Covid!I:I,0,0)</f>
        <v>0</v>
      </c>
      <c r="S601">
        <f>_xlfn.XLOOKUP(A601,Covid!A:A,Covid!K:K,0,-1)</f>
        <v>173</v>
      </c>
      <c r="T601" s="145">
        <f>_xlfn.XLOOKUP(A601,Covid!A:A,Covid!K:K,0,-1)/_xlfn.XLOOKUP(A601,Covid!A:A,Covid!L:L,0,-1)</f>
        <v>4.9199442595910473E-3</v>
      </c>
    </row>
    <row r="602" spans="1:20" x14ac:dyDescent="0.55000000000000004">
      <c r="A602" s="157">
        <f t="shared" si="52"/>
        <v>44583</v>
      </c>
      <c r="B602" s="125">
        <f>_xlfn.XLOOKUP(A602,'Satış Verisi'!A:A,'Satış Verisi'!C:C,0,0)</f>
        <v>0</v>
      </c>
      <c r="C602" s="125">
        <f>_xlfn.XLOOKUP(A602,'Satış Verisi'!A:A,'Satış Verisi'!E:E,0,0)</f>
        <v>0</v>
      </c>
      <c r="D602" s="125">
        <f>_xlfn.XLOOKUP(A602,'Satış Verisi'!A:A,'Satış Verisi'!G:G,0,0)</f>
        <v>0</v>
      </c>
      <c r="E602" s="125">
        <f>_xlfn.XLOOKUP(A602,'Satış Verisi'!A:A,'Satış Verisi'!I:I,0,0)</f>
        <v>0</v>
      </c>
      <c r="F602" s="125">
        <f>_xlfn.XLOOKUP(A602,'Satış Verisi'!A:A,'Satış Verisi'!M:M,0,0)</f>
        <v>0</v>
      </c>
      <c r="G602">
        <f>IF(OR(_xlfn.XLOOKUP(A602,'LPG Fup'!D:D,'LPG Fup'!L:L,"",0)&gt;0.03,_xlfn.XLOOKUP(A602,'LPG Fup'!D:D,'LPG Fup'!L:L,"",0)&lt;-0.03),_xlfn.XLOOKUP(A602,'LPG Fup'!D:D,'LPG Fup'!L:L,0,0),0)</f>
        <v>0</v>
      </c>
      <c r="H602">
        <f>IF(_xlfn.XLOOKUP(A602,'LPG Fup'!D:D,'LPG Fup'!M:M,0,0)="",0,_xlfn.XLOOKUP(A602,'LPG Fup'!D:D,'LPG Fup'!M:M,0,0))</f>
        <v>0</v>
      </c>
      <c r="I602" s="109">
        <f>_xlfn.XLOOKUP(A602,'Rafineri Fiyatları'!A:A,'Rafineri Fiyatları'!B:B,"",0)</f>
        <v>12135.18</v>
      </c>
      <c r="J602">
        <f t="shared" ref="J602" si="57">YEAR(A602)</f>
        <v>2022</v>
      </c>
      <c r="K602">
        <f t="shared" ref="K602" si="58">MONTH(A602)</f>
        <v>1</v>
      </c>
      <c r="L602">
        <f t="shared" ref="L602" si="59">DAY(A602)</f>
        <v>22</v>
      </c>
      <c r="M602">
        <f t="shared" ref="M602" si="60">WEEKDAY(A602)</f>
        <v>7</v>
      </c>
      <c r="N602">
        <f>_xlfn.XLOOKUP(A602,tatiller!H:H,tatiller!I:I,0,0)</f>
        <v>0</v>
      </c>
      <c r="O602" cm="1">
        <f t="array" ref="O602">_xlfn.IFNA(_xlfn.IFS(L602=1,"A0",A602=EOMONTH(A602,0),"A-1",L602=2,"A+1"),0)</f>
        <v>0</v>
      </c>
      <c r="P602" cm="1">
        <f t="array" ref="P602">_xlfn.IFNA(_xlfn.IFS(AND(_xlfn.XLOOKUP(A602,'LPG Fup'!D:D,'LPG Fup'!M:M,"",0)&lt;&gt;"",_xlfn.XLOOKUP(A602,'LPG Fup'!D:D,'LPG Fup'!M:M,"",0)&gt;0),"Z-1", AND(_xlfn.XLOOKUP(A602+1,'LPG Fup'!D:D,'LPG Fup'!M:M,"",0)&lt;&gt;"",_xlfn.XLOOKUP(A602+1,'LPG Fup'!D:D,'LPG Fup'!M:M,"",0)&gt;0),"Z-2", AND(_xlfn.XLOOKUP(A602-1,'LPG Fup'!D:D,'LPG Fup'!M:M,"",0)&lt;&gt;"",_xlfn.XLOOKUP(A602-1,'LPG Fup'!D:D,'LPG Fup'!M:M,"",0)&gt;0),"Z", AND(_xlfn.XLOOKUP(A602-2,'LPG Fup'!D:D,'LPG Fup'!M:M,"",0)&lt;&gt;"",_xlfn.XLOOKUP(A602-2,'LPG Fup'!D:D,'LPG Fup'!M:M,"",0)&gt;0),"Z+1"),0)</f>
        <v>0</v>
      </c>
      <c r="Q602" cm="1">
        <f t="array" ref="Q602">_xlfn.IFNA(_xlfn.IFS(AND(_xlfn.XLOOKUP(A602,'LPG Fup'!D:D,'LPG Fup'!M:M,"",0)&lt;&gt;"",_xlfn.XLOOKUP(A602,'LPG Fup'!D:D,'LPG Fup'!M:M,"",0)&lt;0),"I-1", AND(_xlfn.XLOOKUP(A602+1,'LPG Fup'!D:D,'LPG Fup'!M:M,"",0)&lt;&gt;"",_xlfn.XLOOKUP(A602+1,'LPG Fup'!D:D,'LPG Fup'!M:M,"",0)&lt;0),"I-2", AND(_xlfn.XLOOKUP(A602-1,'LPG Fup'!D:D,'LPG Fup'!M:M,"",0)&lt;&gt;"",_xlfn.XLOOKUP(A602-1,'LPG Fup'!D:D,'LPG Fup'!M:M,"",0)&lt;0),"I", AND(_xlfn.XLOOKUP(A602-2,'LPG Fup'!D:D,'LPG Fup'!M:M,"",0)&lt;&gt;"",_xlfn.XLOOKUP(A602-2,'LPG Fup'!D:D,'LPG Fup'!M:M,"",0)&lt;0),"I+1"),0)</f>
        <v>0</v>
      </c>
      <c r="R602">
        <f>_xlfn.XLOOKUP(A602,Covid!A:A,Covid!I:I,0,0)</f>
        <v>0</v>
      </c>
      <c r="S602">
        <f>_xlfn.XLOOKUP(A602,Covid!A:A,Covid!K:K,0,-1)</f>
        <v>173</v>
      </c>
      <c r="T602" s="145">
        <f>_xlfn.XLOOKUP(A602,Covid!A:A,Covid!K:K,0,-1)/_xlfn.XLOOKUP(A602,Covid!A:A,Covid!L:L,0,-1)</f>
        <v>4.9199442595910473E-3</v>
      </c>
    </row>
  </sheetData>
  <autoFilter ref="A1:T595" xr:uid="{C177BB49-A9C5-4837-9D56-0E6EE17A31E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4FC5-D2A1-4D54-8CE7-13307C4E7A13}">
  <dimension ref="A1:N671"/>
  <sheetViews>
    <sheetView workbookViewId="0">
      <selection activeCell="C11" sqref="C11"/>
    </sheetView>
  </sheetViews>
  <sheetFormatPr defaultRowHeight="14.4" x14ac:dyDescent="0.55000000000000004"/>
  <cols>
    <col min="1" max="1" width="13.62890625" style="138" customWidth="1"/>
    <col min="2" max="12" width="13.62890625" style="126" customWidth="1"/>
  </cols>
  <sheetData>
    <row r="1" spans="1:14" ht="43.5" thickBot="1" x14ac:dyDescent="0.6">
      <c r="A1" s="135" t="s">
        <v>23</v>
      </c>
      <c r="B1" s="127" t="s">
        <v>160</v>
      </c>
      <c r="C1" s="127" t="s">
        <v>161</v>
      </c>
      <c r="D1" s="127" t="s">
        <v>162</v>
      </c>
      <c r="E1" s="127" t="s">
        <v>163</v>
      </c>
      <c r="F1" s="127" t="s">
        <v>164</v>
      </c>
      <c r="G1" s="127" t="s">
        <v>165</v>
      </c>
      <c r="H1" s="127" t="s">
        <v>166</v>
      </c>
      <c r="I1" s="127" t="s">
        <v>167</v>
      </c>
      <c r="J1" s="127" t="s">
        <v>168</v>
      </c>
      <c r="K1" s="127" t="s">
        <v>169</v>
      </c>
      <c r="L1" s="128" t="s">
        <v>170</v>
      </c>
    </row>
    <row r="2" spans="1:14" ht="14.7" thickBot="1" x14ac:dyDescent="0.6">
      <c r="A2" s="136">
        <v>43901</v>
      </c>
      <c r="B2" s="129"/>
      <c r="C2" s="129">
        <v>1</v>
      </c>
      <c r="D2" s="129"/>
      <c r="E2" s="129"/>
      <c r="F2" s="129"/>
      <c r="G2" s="129"/>
      <c r="H2" s="129"/>
      <c r="I2" s="129"/>
      <c r="J2" s="129"/>
      <c r="K2" s="129"/>
      <c r="L2" s="143"/>
      <c r="N2" s="140"/>
    </row>
    <row r="3" spans="1:14" ht="14.7" thickBot="1" x14ac:dyDescent="0.6">
      <c r="A3" s="136">
        <v>43902</v>
      </c>
      <c r="B3" s="129"/>
      <c r="C3" s="129">
        <v>1</v>
      </c>
      <c r="D3" s="129"/>
      <c r="E3" s="129"/>
      <c r="F3" s="129"/>
      <c r="G3" s="129"/>
      <c r="H3" s="129"/>
      <c r="I3" s="129"/>
      <c r="J3" s="129"/>
      <c r="K3" s="129"/>
      <c r="L3" s="133"/>
    </row>
    <row r="4" spans="1:14" ht="14.7" thickBot="1" x14ac:dyDescent="0.6">
      <c r="A4" s="136">
        <v>43903</v>
      </c>
      <c r="B4" s="129"/>
      <c r="C4" s="129">
        <v>5</v>
      </c>
      <c r="D4" s="129"/>
      <c r="E4" s="129"/>
      <c r="F4" s="129"/>
      <c r="G4" s="129"/>
      <c r="H4" s="129"/>
      <c r="I4" s="129"/>
      <c r="J4" s="129"/>
      <c r="K4" s="129"/>
      <c r="L4" s="133"/>
    </row>
    <row r="5" spans="1:14" ht="14.7" thickBot="1" x14ac:dyDescent="0.6">
      <c r="A5" s="136">
        <v>43904</v>
      </c>
      <c r="B5" s="129"/>
      <c r="C5" s="129">
        <v>6</v>
      </c>
      <c r="D5" s="129"/>
      <c r="E5" s="129"/>
      <c r="F5" s="129"/>
      <c r="G5" s="129"/>
      <c r="H5" s="129"/>
      <c r="I5" s="129"/>
      <c r="J5" s="129"/>
      <c r="K5" s="129"/>
      <c r="L5" s="133"/>
    </row>
    <row r="6" spans="1:14" ht="14.7" thickBot="1" x14ac:dyDescent="0.6">
      <c r="A6" s="136">
        <v>43905</v>
      </c>
      <c r="B6" s="129"/>
      <c r="C6" s="129">
        <v>18</v>
      </c>
      <c r="D6" s="129"/>
      <c r="E6" s="129"/>
      <c r="F6" s="129"/>
      <c r="G6" s="129"/>
      <c r="H6" s="129"/>
      <c r="I6" s="129"/>
      <c r="J6" s="129"/>
      <c r="K6" s="129"/>
      <c r="L6" s="133"/>
    </row>
    <row r="7" spans="1:14" ht="14.7" thickBot="1" x14ac:dyDescent="0.6">
      <c r="A7" s="136">
        <v>43906</v>
      </c>
      <c r="B7" s="129"/>
      <c r="C7" s="129">
        <v>47</v>
      </c>
      <c r="D7" s="129"/>
      <c r="E7" s="129"/>
      <c r="F7" s="129"/>
      <c r="G7" s="129"/>
      <c r="H7" s="129"/>
      <c r="I7" s="129"/>
      <c r="J7" s="129"/>
      <c r="K7" s="129"/>
      <c r="L7" s="133"/>
    </row>
    <row r="8" spans="1:14" ht="14.7" thickBot="1" x14ac:dyDescent="0.6">
      <c r="A8" s="136">
        <v>43907</v>
      </c>
      <c r="B8" s="129"/>
      <c r="C8" s="129">
        <v>98</v>
      </c>
      <c r="D8" s="129">
        <v>1</v>
      </c>
      <c r="E8" s="129"/>
      <c r="F8" s="129"/>
      <c r="G8" s="129"/>
      <c r="H8" s="129"/>
      <c r="I8" s="129"/>
      <c r="J8" s="129"/>
      <c r="K8" s="129"/>
      <c r="L8" s="133"/>
    </row>
    <row r="9" spans="1:14" ht="14.7" thickBot="1" x14ac:dyDescent="0.6">
      <c r="A9" s="136">
        <v>43908</v>
      </c>
      <c r="B9" s="129"/>
      <c r="C9" s="129">
        <v>191</v>
      </c>
      <c r="D9" s="129">
        <v>2</v>
      </c>
      <c r="E9" s="129"/>
      <c r="F9" s="129"/>
      <c r="G9" s="129"/>
      <c r="H9" s="129"/>
      <c r="I9" s="129"/>
      <c r="J9" s="129"/>
      <c r="K9" s="129"/>
      <c r="L9" s="133"/>
    </row>
    <row r="10" spans="1:14" ht="14.7" thickBot="1" x14ac:dyDescent="0.6">
      <c r="A10" s="136">
        <v>43909</v>
      </c>
      <c r="B10" s="129"/>
      <c r="C10" s="129">
        <v>359</v>
      </c>
      <c r="D10" s="129">
        <v>4</v>
      </c>
      <c r="E10" s="129"/>
      <c r="F10" s="129"/>
      <c r="G10" s="129"/>
      <c r="H10" s="129"/>
      <c r="I10" s="129"/>
      <c r="J10" s="129"/>
      <c r="K10" s="129"/>
      <c r="L10" s="133"/>
    </row>
    <row r="11" spans="1:14" ht="14.7" thickBot="1" x14ac:dyDescent="0.6">
      <c r="A11" s="136">
        <v>43910</v>
      </c>
      <c r="B11" s="129"/>
      <c r="C11" s="129">
        <v>670</v>
      </c>
      <c r="D11" s="129">
        <v>9</v>
      </c>
      <c r="E11" s="129"/>
      <c r="F11" s="129"/>
      <c r="G11" s="129"/>
      <c r="H11" s="129"/>
      <c r="I11" s="129"/>
      <c r="J11" s="129"/>
      <c r="K11" s="129"/>
      <c r="L11" s="133"/>
    </row>
    <row r="12" spans="1:14" ht="14.7" thickBot="1" x14ac:dyDescent="0.6">
      <c r="A12" s="136">
        <v>43911</v>
      </c>
      <c r="B12" s="129"/>
      <c r="C12" s="129">
        <v>947</v>
      </c>
      <c r="D12" s="129">
        <v>21</v>
      </c>
      <c r="E12" s="129"/>
      <c r="F12" s="129"/>
      <c r="G12" s="129"/>
      <c r="H12" s="129"/>
      <c r="I12" s="129"/>
      <c r="J12" s="129"/>
      <c r="K12" s="129"/>
      <c r="L12" s="133"/>
    </row>
    <row r="13" spans="1:14" ht="14.7" thickBot="1" x14ac:dyDescent="0.6">
      <c r="A13" s="136">
        <v>43912</v>
      </c>
      <c r="B13" s="129"/>
      <c r="C13" s="129">
        <v>1236</v>
      </c>
      <c r="D13" s="129">
        <v>30</v>
      </c>
      <c r="E13" s="129"/>
      <c r="F13" s="129"/>
      <c r="G13" s="129"/>
      <c r="H13" s="129"/>
      <c r="I13" s="129"/>
      <c r="J13" s="129"/>
      <c r="K13" s="129"/>
      <c r="L13" s="133"/>
    </row>
    <row r="14" spans="1:14" ht="14.7" thickBot="1" x14ac:dyDescent="0.6">
      <c r="A14" s="136">
        <v>43913</v>
      </c>
      <c r="B14" s="129"/>
      <c r="C14" s="129">
        <v>1529</v>
      </c>
      <c r="D14" s="129">
        <v>37</v>
      </c>
      <c r="E14" s="129"/>
      <c r="F14" s="129"/>
      <c r="G14" s="129"/>
      <c r="H14" s="129"/>
      <c r="I14" s="129"/>
      <c r="J14" s="129"/>
      <c r="K14" s="129"/>
      <c r="L14" s="133"/>
    </row>
    <row r="15" spans="1:14" ht="14.7" thickBot="1" x14ac:dyDescent="0.6">
      <c r="A15" s="136">
        <v>43914</v>
      </c>
      <c r="B15" s="129"/>
      <c r="C15" s="129">
        <v>1872</v>
      </c>
      <c r="D15" s="129">
        <v>44</v>
      </c>
      <c r="E15" s="129"/>
      <c r="F15" s="129"/>
      <c r="G15" s="129"/>
      <c r="H15" s="129"/>
      <c r="I15" s="129"/>
      <c r="J15" s="129"/>
      <c r="K15" s="129"/>
      <c r="L15" s="133"/>
    </row>
    <row r="16" spans="1:14" ht="14.7" thickBot="1" x14ac:dyDescent="0.6">
      <c r="A16" s="136">
        <v>43915</v>
      </c>
      <c r="B16" s="129"/>
      <c r="C16" s="129">
        <v>2433</v>
      </c>
      <c r="D16" s="129">
        <v>59</v>
      </c>
      <c r="E16" s="129"/>
      <c r="F16" s="129"/>
      <c r="G16" s="129"/>
      <c r="H16" s="129"/>
      <c r="I16" s="129"/>
      <c r="J16" s="129"/>
      <c r="K16" s="129"/>
      <c r="L16" s="133"/>
    </row>
    <row r="17" spans="1:12" ht="14.7" thickBot="1" x14ac:dyDescent="0.6">
      <c r="A17" s="136">
        <v>43916</v>
      </c>
      <c r="B17" s="129"/>
      <c r="C17" s="129">
        <v>3629</v>
      </c>
      <c r="D17" s="129">
        <v>75</v>
      </c>
      <c r="E17" s="129"/>
      <c r="F17" s="129"/>
      <c r="G17" s="129"/>
      <c r="H17" s="129"/>
      <c r="I17" s="129"/>
      <c r="J17" s="129"/>
      <c r="K17" s="129"/>
      <c r="L17" s="133"/>
    </row>
    <row r="18" spans="1:12" ht="14.7" thickBot="1" x14ac:dyDescent="0.6">
      <c r="A18" s="136">
        <v>43917</v>
      </c>
      <c r="B18" s="130">
        <v>47823</v>
      </c>
      <c r="C18" s="130">
        <v>5698</v>
      </c>
      <c r="D18" s="129">
        <v>92</v>
      </c>
      <c r="E18" s="129"/>
      <c r="F18" s="129"/>
      <c r="G18" s="129">
        <v>42</v>
      </c>
      <c r="H18" s="129"/>
      <c r="I18" s="130">
        <v>2069</v>
      </c>
      <c r="J18" s="130">
        <v>7533</v>
      </c>
      <c r="K18" s="129">
        <v>17</v>
      </c>
      <c r="L18" s="133"/>
    </row>
    <row r="19" spans="1:12" ht="14.7" thickBot="1" x14ac:dyDescent="0.6">
      <c r="A19" s="136">
        <v>43918</v>
      </c>
      <c r="B19" s="130">
        <v>55464</v>
      </c>
      <c r="C19" s="130">
        <v>7402</v>
      </c>
      <c r="D19" s="129">
        <v>108</v>
      </c>
      <c r="E19" s="129"/>
      <c r="F19" s="129"/>
      <c r="G19" s="129">
        <v>70</v>
      </c>
      <c r="H19" s="129"/>
      <c r="I19" s="130">
        <v>1704</v>
      </c>
      <c r="J19" s="130">
        <v>7641</v>
      </c>
      <c r="K19" s="129">
        <v>16</v>
      </c>
      <c r="L19" s="133"/>
    </row>
    <row r="20" spans="1:12" ht="14.7" thickBot="1" x14ac:dyDescent="0.6">
      <c r="A20" s="136">
        <v>43919</v>
      </c>
      <c r="B20" s="130">
        <v>65446</v>
      </c>
      <c r="C20" s="130">
        <v>9217</v>
      </c>
      <c r="D20" s="129">
        <v>131</v>
      </c>
      <c r="E20" s="129"/>
      <c r="F20" s="129"/>
      <c r="G20" s="129">
        <v>105</v>
      </c>
      <c r="H20" s="129"/>
      <c r="I20" s="130">
        <v>1815</v>
      </c>
      <c r="J20" s="130">
        <v>9982</v>
      </c>
      <c r="K20" s="129">
        <v>23</v>
      </c>
      <c r="L20" s="133"/>
    </row>
    <row r="21" spans="1:12" ht="14.7" thickBot="1" x14ac:dyDescent="0.6">
      <c r="A21" s="136">
        <v>43920</v>
      </c>
      <c r="B21" s="130">
        <v>76981</v>
      </c>
      <c r="C21" s="130">
        <v>10827</v>
      </c>
      <c r="D21" s="129">
        <v>168</v>
      </c>
      <c r="E21" s="129"/>
      <c r="F21" s="129"/>
      <c r="G21" s="129">
        <v>162</v>
      </c>
      <c r="H21" s="129"/>
      <c r="I21" s="130">
        <v>1610</v>
      </c>
      <c r="J21" s="130">
        <v>11535</v>
      </c>
      <c r="K21" s="129">
        <v>37</v>
      </c>
      <c r="L21" s="133"/>
    </row>
    <row r="22" spans="1:12" ht="14.7" thickBot="1" x14ac:dyDescent="0.6">
      <c r="A22" s="136">
        <v>43921</v>
      </c>
      <c r="B22" s="130">
        <v>92403</v>
      </c>
      <c r="C22" s="130">
        <v>13531</v>
      </c>
      <c r="D22" s="129">
        <v>214</v>
      </c>
      <c r="E22" s="129"/>
      <c r="F22" s="129"/>
      <c r="G22" s="129">
        <v>243</v>
      </c>
      <c r="H22" s="129"/>
      <c r="I22" s="130">
        <v>2704</v>
      </c>
      <c r="J22" s="130">
        <v>15422</v>
      </c>
      <c r="K22" s="129">
        <v>46</v>
      </c>
      <c r="L22" s="133"/>
    </row>
    <row r="23" spans="1:12" ht="14.7" thickBot="1" x14ac:dyDescent="0.6">
      <c r="A23" s="136">
        <v>43922</v>
      </c>
      <c r="B23" s="130">
        <v>106799</v>
      </c>
      <c r="C23" s="130">
        <v>15679</v>
      </c>
      <c r="D23" s="129">
        <v>277</v>
      </c>
      <c r="E23" s="129"/>
      <c r="F23" s="129"/>
      <c r="G23" s="129">
        <v>333</v>
      </c>
      <c r="H23" s="129"/>
      <c r="I23" s="130">
        <v>2148</v>
      </c>
      <c r="J23" s="130">
        <v>14396</v>
      </c>
      <c r="K23" s="129">
        <v>63</v>
      </c>
      <c r="L23" s="133"/>
    </row>
    <row r="24" spans="1:12" ht="14.7" thickBot="1" x14ac:dyDescent="0.6">
      <c r="A24" s="136">
        <v>43923</v>
      </c>
      <c r="B24" s="130">
        <v>125556</v>
      </c>
      <c r="C24" s="130">
        <v>18135</v>
      </c>
      <c r="D24" s="129">
        <v>356</v>
      </c>
      <c r="E24" s="129"/>
      <c r="F24" s="129"/>
      <c r="G24" s="129">
        <v>415</v>
      </c>
      <c r="H24" s="129"/>
      <c r="I24" s="130">
        <v>2456</v>
      </c>
      <c r="J24" s="130">
        <v>18757</v>
      </c>
      <c r="K24" s="129">
        <v>79</v>
      </c>
      <c r="L24" s="133"/>
    </row>
    <row r="25" spans="1:12" ht="14.7" thickBot="1" x14ac:dyDescent="0.6">
      <c r="A25" s="136">
        <v>43924</v>
      </c>
      <c r="B25" s="130">
        <v>141716</v>
      </c>
      <c r="C25" s="130">
        <v>20921</v>
      </c>
      <c r="D25" s="129">
        <v>425</v>
      </c>
      <c r="E25" s="129"/>
      <c r="F25" s="129"/>
      <c r="G25" s="129">
        <v>484</v>
      </c>
      <c r="H25" s="129"/>
      <c r="I25" s="130">
        <v>2786</v>
      </c>
      <c r="J25" s="130">
        <v>16160</v>
      </c>
      <c r="K25" s="129">
        <v>69</v>
      </c>
      <c r="L25" s="133"/>
    </row>
    <row r="26" spans="1:12" ht="14.7" thickBot="1" x14ac:dyDescent="0.6">
      <c r="A26" s="136">
        <v>43925</v>
      </c>
      <c r="B26" s="130">
        <v>161380</v>
      </c>
      <c r="C26" s="130">
        <v>23934</v>
      </c>
      <c r="D26" s="129">
        <v>501</v>
      </c>
      <c r="E26" s="129"/>
      <c r="F26" s="129"/>
      <c r="G26" s="129">
        <v>786</v>
      </c>
      <c r="H26" s="129"/>
      <c r="I26" s="130">
        <v>3013</v>
      </c>
      <c r="J26" s="130">
        <v>19664</v>
      </c>
      <c r="K26" s="129">
        <v>76</v>
      </c>
      <c r="L26" s="133">
        <v>302</v>
      </c>
    </row>
    <row r="27" spans="1:12" ht="14.7" thickBot="1" x14ac:dyDescent="0.6">
      <c r="A27" s="136">
        <v>43926</v>
      </c>
      <c r="B27" s="130">
        <v>181445</v>
      </c>
      <c r="C27" s="130">
        <v>27069</v>
      </c>
      <c r="D27" s="129">
        <v>574</v>
      </c>
      <c r="E27" s="129"/>
      <c r="F27" s="129"/>
      <c r="G27" s="130">
        <v>1042</v>
      </c>
      <c r="H27" s="129"/>
      <c r="I27" s="130">
        <v>3135</v>
      </c>
      <c r="J27" s="130">
        <v>20065</v>
      </c>
      <c r="K27" s="129">
        <v>73</v>
      </c>
      <c r="L27" s="133">
        <v>256</v>
      </c>
    </row>
    <row r="28" spans="1:12" ht="14.7" thickBot="1" x14ac:dyDescent="0.6">
      <c r="A28" s="136">
        <v>43927</v>
      </c>
      <c r="B28" s="130">
        <v>202845</v>
      </c>
      <c r="C28" s="130">
        <v>30217</v>
      </c>
      <c r="D28" s="129">
        <v>649</v>
      </c>
      <c r="E28" s="129"/>
      <c r="F28" s="129"/>
      <c r="G28" s="130">
        <v>1326</v>
      </c>
      <c r="H28" s="129"/>
      <c r="I28" s="130">
        <v>3148</v>
      </c>
      <c r="J28" s="130">
        <v>21400</v>
      </c>
      <c r="K28" s="129">
        <v>75</v>
      </c>
      <c r="L28" s="133">
        <v>284</v>
      </c>
    </row>
    <row r="29" spans="1:12" ht="14.7" thickBot="1" x14ac:dyDescent="0.6">
      <c r="A29" s="136">
        <v>43928</v>
      </c>
      <c r="B29" s="130">
        <v>222868</v>
      </c>
      <c r="C29" s="130">
        <v>34109</v>
      </c>
      <c r="D29" s="129">
        <v>725</v>
      </c>
      <c r="E29" s="129"/>
      <c r="F29" s="129"/>
      <c r="G29" s="130">
        <v>1582</v>
      </c>
      <c r="H29" s="129"/>
      <c r="I29" s="130">
        <v>3892</v>
      </c>
      <c r="J29" s="130">
        <v>20023</v>
      </c>
      <c r="K29" s="129">
        <v>76</v>
      </c>
      <c r="L29" s="133">
        <v>256</v>
      </c>
    </row>
    <row r="30" spans="1:12" ht="14.7" thickBot="1" x14ac:dyDescent="0.6">
      <c r="A30" s="136">
        <v>43929</v>
      </c>
      <c r="B30" s="130">
        <v>247768</v>
      </c>
      <c r="C30" s="130">
        <v>38226</v>
      </c>
      <c r="D30" s="129">
        <v>812</v>
      </c>
      <c r="E30" s="129"/>
      <c r="F30" s="129"/>
      <c r="G30" s="130">
        <v>1846</v>
      </c>
      <c r="H30" s="129"/>
      <c r="I30" s="130">
        <v>4117</v>
      </c>
      <c r="J30" s="130">
        <v>24900</v>
      </c>
      <c r="K30" s="129">
        <v>87</v>
      </c>
      <c r="L30" s="133">
        <v>264</v>
      </c>
    </row>
    <row r="31" spans="1:12" ht="14.7" thickBot="1" x14ac:dyDescent="0.6">
      <c r="A31" s="136">
        <v>43930</v>
      </c>
      <c r="B31" s="130">
        <v>276346</v>
      </c>
      <c r="C31" s="130">
        <v>42282</v>
      </c>
      <c r="D31" s="129">
        <v>908</v>
      </c>
      <c r="E31" s="129"/>
      <c r="F31" s="129"/>
      <c r="G31" s="130">
        <v>2142</v>
      </c>
      <c r="H31" s="129"/>
      <c r="I31" s="130">
        <v>4056</v>
      </c>
      <c r="J31" s="130">
        <v>28578</v>
      </c>
      <c r="K31" s="129">
        <v>96</v>
      </c>
      <c r="L31" s="133">
        <v>296</v>
      </c>
    </row>
    <row r="32" spans="1:12" ht="14.7" thickBot="1" x14ac:dyDescent="0.6">
      <c r="A32" s="136">
        <v>43931</v>
      </c>
      <c r="B32" s="130">
        <v>307210</v>
      </c>
      <c r="C32" s="130">
        <v>47029</v>
      </c>
      <c r="D32" s="130">
        <v>1006</v>
      </c>
      <c r="E32" s="129"/>
      <c r="F32" s="129"/>
      <c r="G32" s="130">
        <v>2423</v>
      </c>
      <c r="H32" s="129"/>
      <c r="I32" s="130">
        <v>4747</v>
      </c>
      <c r="J32" s="130">
        <v>30864</v>
      </c>
      <c r="K32" s="129">
        <v>98</v>
      </c>
      <c r="L32" s="133">
        <v>281</v>
      </c>
    </row>
    <row r="33" spans="1:12" ht="14.7" thickBot="1" x14ac:dyDescent="0.6">
      <c r="A33" s="136">
        <v>43932</v>
      </c>
      <c r="B33" s="130">
        <v>340380</v>
      </c>
      <c r="C33" s="130">
        <v>52167</v>
      </c>
      <c r="D33" s="130">
        <v>1101</v>
      </c>
      <c r="E33" s="129"/>
      <c r="F33" s="129"/>
      <c r="G33" s="130">
        <v>2965</v>
      </c>
      <c r="H33" s="129"/>
      <c r="I33" s="130">
        <v>5138</v>
      </c>
      <c r="J33" s="130">
        <v>33170</v>
      </c>
      <c r="K33" s="129">
        <v>95</v>
      </c>
      <c r="L33" s="133">
        <v>542</v>
      </c>
    </row>
    <row r="34" spans="1:12" ht="14.7" thickBot="1" x14ac:dyDescent="0.6">
      <c r="A34" s="136">
        <v>43933</v>
      </c>
      <c r="B34" s="130">
        <v>376100</v>
      </c>
      <c r="C34" s="130">
        <v>56956</v>
      </c>
      <c r="D34" s="130">
        <v>1198</v>
      </c>
      <c r="E34" s="129"/>
      <c r="F34" s="129"/>
      <c r="G34" s="130">
        <v>3446</v>
      </c>
      <c r="H34" s="129"/>
      <c r="I34" s="130">
        <v>4789</v>
      </c>
      <c r="J34" s="130">
        <v>35720</v>
      </c>
      <c r="K34" s="129">
        <v>97</v>
      </c>
      <c r="L34" s="133">
        <v>481</v>
      </c>
    </row>
    <row r="35" spans="1:12" ht="14.7" thickBot="1" x14ac:dyDescent="0.6">
      <c r="A35" s="136">
        <v>43934</v>
      </c>
      <c r="B35" s="130">
        <v>410556</v>
      </c>
      <c r="C35" s="130">
        <v>61049</v>
      </c>
      <c r="D35" s="130">
        <v>1296</v>
      </c>
      <c r="E35" s="129"/>
      <c r="F35" s="129"/>
      <c r="G35" s="130">
        <v>3957</v>
      </c>
      <c r="H35" s="129"/>
      <c r="I35" s="130">
        <v>4093</v>
      </c>
      <c r="J35" s="130">
        <v>34456</v>
      </c>
      <c r="K35" s="129">
        <v>98</v>
      </c>
      <c r="L35" s="133">
        <v>511</v>
      </c>
    </row>
    <row r="36" spans="1:12" ht="14.7" thickBot="1" x14ac:dyDescent="0.6">
      <c r="A36" s="136">
        <v>43935</v>
      </c>
      <c r="B36" s="130">
        <v>443626</v>
      </c>
      <c r="C36" s="130">
        <v>65111</v>
      </c>
      <c r="D36" s="130">
        <v>1403</v>
      </c>
      <c r="E36" s="129"/>
      <c r="F36" s="129"/>
      <c r="G36" s="130">
        <v>4799</v>
      </c>
      <c r="H36" s="129"/>
      <c r="I36" s="130">
        <v>4062</v>
      </c>
      <c r="J36" s="130">
        <v>33070</v>
      </c>
      <c r="K36" s="129">
        <v>107</v>
      </c>
      <c r="L36" s="133">
        <v>842</v>
      </c>
    </row>
    <row r="37" spans="1:12" ht="14.7" thickBot="1" x14ac:dyDescent="0.6">
      <c r="A37" s="136">
        <v>43936</v>
      </c>
      <c r="B37" s="130">
        <v>477716</v>
      </c>
      <c r="C37" s="130">
        <v>69392</v>
      </c>
      <c r="D37" s="130">
        <v>1518</v>
      </c>
      <c r="E37" s="129"/>
      <c r="F37" s="129"/>
      <c r="G37" s="130">
        <v>5674</v>
      </c>
      <c r="H37" s="129"/>
      <c r="I37" s="130">
        <v>4281</v>
      </c>
      <c r="J37" s="130">
        <v>34090</v>
      </c>
      <c r="K37" s="129">
        <v>115</v>
      </c>
      <c r="L37" s="133">
        <v>875</v>
      </c>
    </row>
    <row r="38" spans="1:12" ht="14.7" thickBot="1" x14ac:dyDescent="0.6">
      <c r="A38" s="136">
        <v>43937</v>
      </c>
      <c r="B38" s="130">
        <v>518143</v>
      </c>
      <c r="C38" s="130">
        <v>74193</v>
      </c>
      <c r="D38" s="130">
        <v>1643</v>
      </c>
      <c r="E38" s="129"/>
      <c r="F38" s="129"/>
      <c r="G38" s="130">
        <v>7089</v>
      </c>
      <c r="H38" s="129"/>
      <c r="I38" s="130">
        <v>4801</v>
      </c>
      <c r="J38" s="130">
        <v>40427</v>
      </c>
      <c r="K38" s="129">
        <v>125</v>
      </c>
      <c r="L38" s="131">
        <v>1415</v>
      </c>
    </row>
    <row r="39" spans="1:12" ht="14.7" thickBot="1" x14ac:dyDescent="0.6">
      <c r="A39" s="136">
        <v>43938</v>
      </c>
      <c r="B39" s="130">
        <v>558413</v>
      </c>
      <c r="C39" s="130">
        <v>78546</v>
      </c>
      <c r="D39" s="130">
        <v>1769</v>
      </c>
      <c r="E39" s="129"/>
      <c r="F39" s="129"/>
      <c r="G39" s="130">
        <v>8631</v>
      </c>
      <c r="H39" s="129"/>
      <c r="I39" s="130">
        <v>4353</v>
      </c>
      <c r="J39" s="130">
        <v>40270</v>
      </c>
      <c r="K39" s="129">
        <v>126</v>
      </c>
      <c r="L39" s="131">
        <v>1542</v>
      </c>
    </row>
    <row r="40" spans="1:12" ht="14.7" thickBot="1" x14ac:dyDescent="0.6">
      <c r="A40" s="136">
        <v>43939</v>
      </c>
      <c r="B40" s="130">
        <v>598933</v>
      </c>
      <c r="C40" s="130">
        <v>82329</v>
      </c>
      <c r="D40" s="130">
        <v>1890</v>
      </c>
      <c r="E40" s="129"/>
      <c r="F40" s="129"/>
      <c r="G40" s="130">
        <v>10453</v>
      </c>
      <c r="H40" s="129"/>
      <c r="I40" s="130">
        <v>3783</v>
      </c>
      <c r="J40" s="130">
        <v>40520</v>
      </c>
      <c r="K40" s="129">
        <v>121</v>
      </c>
      <c r="L40" s="131">
        <v>1822</v>
      </c>
    </row>
    <row r="41" spans="1:12" ht="14.7" thickBot="1" x14ac:dyDescent="0.6">
      <c r="A41" s="136">
        <v>43940</v>
      </c>
      <c r="B41" s="130">
        <v>634277</v>
      </c>
      <c r="C41" s="130">
        <v>86306</v>
      </c>
      <c r="D41" s="130">
        <v>2017</v>
      </c>
      <c r="E41" s="129"/>
      <c r="F41" s="129"/>
      <c r="G41" s="130">
        <v>11976</v>
      </c>
      <c r="H41" s="129"/>
      <c r="I41" s="130">
        <v>3977</v>
      </c>
      <c r="J41" s="130">
        <v>35344</v>
      </c>
      <c r="K41" s="129">
        <v>127</v>
      </c>
      <c r="L41" s="131">
        <v>1523</v>
      </c>
    </row>
    <row r="42" spans="1:12" ht="14.7" thickBot="1" x14ac:dyDescent="0.6">
      <c r="A42" s="136">
        <v>43941</v>
      </c>
      <c r="B42" s="130">
        <v>673980</v>
      </c>
      <c r="C42" s="130">
        <v>90980</v>
      </c>
      <c r="D42" s="130">
        <v>2140</v>
      </c>
      <c r="E42" s="129"/>
      <c r="F42" s="129"/>
      <c r="G42" s="130">
        <v>13430</v>
      </c>
      <c r="H42" s="129"/>
      <c r="I42" s="130">
        <v>4674</v>
      </c>
      <c r="J42" s="130">
        <v>39703</v>
      </c>
      <c r="K42" s="129">
        <v>123</v>
      </c>
      <c r="L42" s="131">
        <v>1454</v>
      </c>
    </row>
    <row r="43" spans="1:12" ht="14.7" thickBot="1" x14ac:dyDescent="0.6">
      <c r="A43" s="136">
        <v>43942</v>
      </c>
      <c r="B43" s="130">
        <v>713409</v>
      </c>
      <c r="C43" s="130">
        <v>95591</v>
      </c>
      <c r="D43" s="130">
        <v>2259</v>
      </c>
      <c r="E43" s="129"/>
      <c r="F43" s="129"/>
      <c r="G43" s="130">
        <v>14918</v>
      </c>
      <c r="H43" s="129"/>
      <c r="I43" s="130">
        <v>4611</v>
      </c>
      <c r="J43" s="130">
        <v>39429</v>
      </c>
      <c r="K43" s="129">
        <v>119</v>
      </c>
      <c r="L43" s="131">
        <v>1488</v>
      </c>
    </row>
    <row r="44" spans="1:12" ht="14.7" thickBot="1" x14ac:dyDescent="0.6">
      <c r="A44" s="136">
        <v>43943</v>
      </c>
      <c r="B44" s="130">
        <v>750944</v>
      </c>
      <c r="C44" s="130">
        <v>98674</v>
      </c>
      <c r="D44" s="130">
        <v>2376</v>
      </c>
      <c r="E44" s="129"/>
      <c r="F44" s="129"/>
      <c r="G44" s="130">
        <v>16477</v>
      </c>
      <c r="H44" s="129"/>
      <c r="I44" s="130">
        <v>3083</v>
      </c>
      <c r="J44" s="130">
        <v>37535</v>
      </c>
      <c r="K44" s="129">
        <v>117</v>
      </c>
      <c r="L44" s="131">
        <v>1559</v>
      </c>
    </row>
    <row r="45" spans="1:12" ht="14.7" thickBot="1" x14ac:dyDescent="0.6">
      <c r="A45" s="136">
        <v>43944</v>
      </c>
      <c r="B45" s="130">
        <v>791906</v>
      </c>
      <c r="C45" s="130">
        <v>101790</v>
      </c>
      <c r="D45" s="130">
        <v>2491</v>
      </c>
      <c r="E45" s="129"/>
      <c r="F45" s="129"/>
      <c r="G45" s="130">
        <v>18491</v>
      </c>
      <c r="H45" s="129"/>
      <c r="I45" s="130">
        <v>3116</v>
      </c>
      <c r="J45" s="130">
        <v>40962</v>
      </c>
      <c r="K45" s="129">
        <v>115</v>
      </c>
      <c r="L45" s="131">
        <v>2014</v>
      </c>
    </row>
    <row r="46" spans="1:12" ht="14.7" thickBot="1" x14ac:dyDescent="0.6">
      <c r="A46" s="136">
        <v>43945</v>
      </c>
      <c r="B46" s="130">
        <v>830257</v>
      </c>
      <c r="C46" s="130">
        <v>104912</v>
      </c>
      <c r="D46" s="130">
        <v>2600</v>
      </c>
      <c r="E46" s="129"/>
      <c r="F46" s="129"/>
      <c r="G46" s="130">
        <v>21737</v>
      </c>
      <c r="H46" s="129"/>
      <c r="I46" s="130">
        <v>3122</v>
      </c>
      <c r="J46" s="130">
        <v>38351</v>
      </c>
      <c r="K46" s="129">
        <v>109</v>
      </c>
      <c r="L46" s="131">
        <v>3246</v>
      </c>
    </row>
    <row r="47" spans="1:12" ht="14.7" thickBot="1" x14ac:dyDescent="0.6">
      <c r="A47" s="136">
        <v>43946</v>
      </c>
      <c r="B47" s="130">
        <v>868565</v>
      </c>
      <c r="C47" s="130">
        <v>107773</v>
      </c>
      <c r="D47" s="130">
        <v>2706</v>
      </c>
      <c r="E47" s="129"/>
      <c r="F47" s="129"/>
      <c r="G47" s="130">
        <v>25582</v>
      </c>
      <c r="H47" s="129"/>
      <c r="I47" s="130">
        <v>2861</v>
      </c>
      <c r="J47" s="130">
        <v>38308</v>
      </c>
      <c r="K47" s="129">
        <v>106</v>
      </c>
      <c r="L47" s="131">
        <v>3845</v>
      </c>
    </row>
    <row r="48" spans="1:12" ht="14.7" thickBot="1" x14ac:dyDescent="0.6">
      <c r="A48" s="136">
        <v>43947</v>
      </c>
      <c r="B48" s="130">
        <v>898742</v>
      </c>
      <c r="C48" s="130">
        <v>110130</v>
      </c>
      <c r="D48" s="130">
        <v>2805</v>
      </c>
      <c r="E48" s="129"/>
      <c r="F48" s="129"/>
      <c r="G48" s="130">
        <v>29140</v>
      </c>
      <c r="H48" s="129"/>
      <c r="I48" s="130">
        <v>2357</v>
      </c>
      <c r="J48" s="130">
        <v>30177</v>
      </c>
      <c r="K48" s="129">
        <v>99</v>
      </c>
      <c r="L48" s="131">
        <v>3558</v>
      </c>
    </row>
    <row r="49" spans="1:12" ht="14.7" thickBot="1" x14ac:dyDescent="0.6">
      <c r="A49" s="136">
        <v>43948</v>
      </c>
      <c r="B49" s="130">
        <v>918885</v>
      </c>
      <c r="C49" s="130">
        <v>112261</v>
      </c>
      <c r="D49" s="130">
        <v>2900</v>
      </c>
      <c r="E49" s="129"/>
      <c r="F49" s="129"/>
      <c r="G49" s="130">
        <v>33791</v>
      </c>
      <c r="H49" s="129"/>
      <c r="I49" s="130">
        <v>2131</v>
      </c>
      <c r="J49" s="130">
        <v>20143</v>
      </c>
      <c r="K49" s="129">
        <v>95</v>
      </c>
      <c r="L49" s="131">
        <v>4651</v>
      </c>
    </row>
    <row r="50" spans="1:12" ht="14.7" thickBot="1" x14ac:dyDescent="0.6">
      <c r="A50" s="136">
        <v>43949</v>
      </c>
      <c r="B50" s="130">
        <v>948115</v>
      </c>
      <c r="C50" s="130">
        <v>114653</v>
      </c>
      <c r="D50" s="130">
        <v>2992</v>
      </c>
      <c r="E50" s="129"/>
      <c r="F50" s="129"/>
      <c r="G50" s="130">
        <v>38809</v>
      </c>
      <c r="H50" s="129"/>
      <c r="I50" s="130">
        <v>2392</v>
      </c>
      <c r="J50" s="130">
        <v>29230</v>
      </c>
      <c r="K50" s="129">
        <v>92</v>
      </c>
      <c r="L50" s="131">
        <v>5018</v>
      </c>
    </row>
    <row r="51" spans="1:12" ht="14.7" thickBot="1" x14ac:dyDescent="0.6">
      <c r="A51" s="136">
        <v>43950</v>
      </c>
      <c r="B51" s="130">
        <v>991613</v>
      </c>
      <c r="C51" s="130">
        <v>117589</v>
      </c>
      <c r="D51" s="130">
        <v>3081</v>
      </c>
      <c r="E51" s="129"/>
      <c r="F51" s="129"/>
      <c r="G51" s="130">
        <v>44040</v>
      </c>
      <c r="H51" s="129"/>
      <c r="I51" s="130">
        <v>2936</v>
      </c>
      <c r="J51" s="130">
        <v>43498</v>
      </c>
      <c r="K51" s="129">
        <v>89</v>
      </c>
      <c r="L51" s="131">
        <v>5231</v>
      </c>
    </row>
    <row r="52" spans="1:12" ht="14.7" thickBot="1" x14ac:dyDescent="0.6">
      <c r="A52" s="136">
        <v>43951</v>
      </c>
      <c r="B52" s="130">
        <v>1033617</v>
      </c>
      <c r="C52" s="130">
        <v>120204</v>
      </c>
      <c r="D52" s="130">
        <v>3174</v>
      </c>
      <c r="E52" s="129"/>
      <c r="F52" s="129"/>
      <c r="G52" s="130">
        <v>48886</v>
      </c>
      <c r="H52" s="129"/>
      <c r="I52" s="130">
        <v>2615</v>
      </c>
      <c r="J52" s="130">
        <v>42004</v>
      </c>
      <c r="K52" s="129">
        <v>93</v>
      </c>
      <c r="L52" s="131">
        <v>4846</v>
      </c>
    </row>
    <row r="53" spans="1:12" ht="14.7" thickBot="1" x14ac:dyDescent="0.6">
      <c r="A53" s="136">
        <v>43952</v>
      </c>
      <c r="B53" s="130">
        <v>1075048</v>
      </c>
      <c r="C53" s="130">
        <v>122392</v>
      </c>
      <c r="D53" s="130">
        <v>3258</v>
      </c>
      <c r="E53" s="129"/>
      <c r="F53" s="129"/>
      <c r="G53" s="130">
        <v>53808</v>
      </c>
      <c r="H53" s="129"/>
      <c r="I53" s="130">
        <v>2188</v>
      </c>
      <c r="J53" s="130">
        <v>41431</v>
      </c>
      <c r="K53" s="129">
        <v>84</v>
      </c>
      <c r="L53" s="131">
        <v>4922</v>
      </c>
    </row>
    <row r="54" spans="1:12" ht="14.7" thickBot="1" x14ac:dyDescent="0.6">
      <c r="A54" s="136">
        <v>43953</v>
      </c>
      <c r="B54" s="130">
        <v>1111366</v>
      </c>
      <c r="C54" s="130">
        <v>124375</v>
      </c>
      <c r="D54" s="130">
        <v>3336</v>
      </c>
      <c r="E54" s="129"/>
      <c r="F54" s="129"/>
      <c r="G54" s="130">
        <v>58259</v>
      </c>
      <c r="H54" s="129"/>
      <c r="I54" s="130">
        <v>1983</v>
      </c>
      <c r="J54" s="130">
        <v>36318</v>
      </c>
      <c r="K54" s="129">
        <v>78</v>
      </c>
      <c r="L54" s="131">
        <v>4451</v>
      </c>
    </row>
    <row r="55" spans="1:12" ht="14.7" thickBot="1" x14ac:dyDescent="0.6">
      <c r="A55" s="136">
        <v>43954</v>
      </c>
      <c r="B55" s="130">
        <v>1135367</v>
      </c>
      <c r="C55" s="130">
        <v>126045</v>
      </c>
      <c r="D55" s="130">
        <v>3397</v>
      </c>
      <c r="E55" s="129"/>
      <c r="F55" s="129"/>
      <c r="G55" s="130">
        <v>63151</v>
      </c>
      <c r="H55" s="129"/>
      <c r="I55" s="130">
        <v>1670</v>
      </c>
      <c r="J55" s="130">
        <v>24001</v>
      </c>
      <c r="K55" s="129">
        <v>61</v>
      </c>
      <c r="L55" s="131">
        <v>4892</v>
      </c>
    </row>
    <row r="56" spans="1:12" ht="14.7" thickBot="1" x14ac:dyDescent="0.6">
      <c r="A56" s="136">
        <v>43955</v>
      </c>
      <c r="B56" s="130">
        <v>1171138</v>
      </c>
      <c r="C56" s="130">
        <v>127659</v>
      </c>
      <c r="D56" s="130">
        <v>3461</v>
      </c>
      <c r="E56" s="129"/>
      <c r="F56" s="129"/>
      <c r="G56" s="130">
        <v>68166</v>
      </c>
      <c r="H56" s="129"/>
      <c r="I56" s="130">
        <v>1614</v>
      </c>
      <c r="J56" s="130">
        <v>35771</v>
      </c>
      <c r="K56" s="129">
        <v>64</v>
      </c>
      <c r="L56" s="131">
        <v>5015</v>
      </c>
    </row>
    <row r="57" spans="1:12" ht="14.7" thickBot="1" x14ac:dyDescent="0.6">
      <c r="A57" s="136">
        <v>43956</v>
      </c>
      <c r="B57" s="130">
        <v>1204421</v>
      </c>
      <c r="C57" s="130">
        <v>129491</v>
      </c>
      <c r="D57" s="130">
        <v>3520</v>
      </c>
      <c r="E57" s="129"/>
      <c r="F57" s="129"/>
      <c r="G57" s="130">
        <v>73285</v>
      </c>
      <c r="H57" s="129"/>
      <c r="I57" s="130">
        <v>1832</v>
      </c>
      <c r="J57" s="130">
        <v>33283</v>
      </c>
      <c r="K57" s="129">
        <v>59</v>
      </c>
      <c r="L57" s="131">
        <v>5119</v>
      </c>
    </row>
    <row r="58" spans="1:12" ht="14.7" thickBot="1" x14ac:dyDescent="0.6">
      <c r="A58" s="136">
        <v>43957</v>
      </c>
      <c r="B58" s="130">
        <v>1234724</v>
      </c>
      <c r="C58" s="130">
        <v>131744</v>
      </c>
      <c r="D58" s="130">
        <v>3584</v>
      </c>
      <c r="E58" s="129"/>
      <c r="F58" s="129"/>
      <c r="G58" s="130">
        <v>78202</v>
      </c>
      <c r="H58" s="129"/>
      <c r="I58" s="130">
        <v>2253</v>
      </c>
      <c r="J58" s="130">
        <v>30303</v>
      </c>
      <c r="K58" s="129">
        <v>64</v>
      </c>
      <c r="L58" s="131">
        <v>4917</v>
      </c>
    </row>
    <row r="59" spans="1:12" ht="14.7" thickBot="1" x14ac:dyDescent="0.6">
      <c r="A59" s="136">
        <v>43958</v>
      </c>
      <c r="B59" s="130">
        <v>1265119</v>
      </c>
      <c r="C59" s="130">
        <v>133721</v>
      </c>
      <c r="D59" s="130">
        <v>3641</v>
      </c>
      <c r="E59" s="129"/>
      <c r="F59" s="129"/>
      <c r="G59" s="130">
        <v>82984</v>
      </c>
      <c r="H59" s="129"/>
      <c r="I59" s="130">
        <v>1977</v>
      </c>
      <c r="J59" s="130">
        <v>30395</v>
      </c>
      <c r="K59" s="129">
        <v>57</v>
      </c>
      <c r="L59" s="131">
        <v>4782</v>
      </c>
    </row>
    <row r="60" spans="1:12" ht="14.7" thickBot="1" x14ac:dyDescent="0.6">
      <c r="A60" s="136">
        <v>43959</v>
      </c>
      <c r="B60" s="130">
        <v>1298806</v>
      </c>
      <c r="C60" s="130">
        <v>135569</v>
      </c>
      <c r="D60" s="130">
        <v>3689</v>
      </c>
      <c r="E60" s="129"/>
      <c r="F60" s="129"/>
      <c r="G60" s="130">
        <v>86396</v>
      </c>
      <c r="H60" s="129"/>
      <c r="I60" s="130">
        <v>1848</v>
      </c>
      <c r="J60" s="130">
        <v>33687</v>
      </c>
      <c r="K60" s="129">
        <v>48</v>
      </c>
      <c r="L60" s="131">
        <v>3412</v>
      </c>
    </row>
    <row r="61" spans="1:12" ht="14.7" thickBot="1" x14ac:dyDescent="0.6">
      <c r="A61" s="136">
        <v>43960</v>
      </c>
      <c r="B61" s="130">
        <v>1334411</v>
      </c>
      <c r="C61" s="130">
        <v>137115</v>
      </c>
      <c r="D61" s="130">
        <v>3739</v>
      </c>
      <c r="E61" s="129"/>
      <c r="F61" s="129"/>
      <c r="G61" s="130">
        <v>89480</v>
      </c>
      <c r="H61" s="129"/>
      <c r="I61" s="130">
        <v>1546</v>
      </c>
      <c r="J61" s="130">
        <v>35605</v>
      </c>
      <c r="K61" s="129">
        <v>50</v>
      </c>
      <c r="L61" s="131">
        <v>3084</v>
      </c>
    </row>
    <row r="62" spans="1:12" ht="14.7" thickBot="1" x14ac:dyDescent="0.6">
      <c r="A62" s="136">
        <v>43961</v>
      </c>
      <c r="B62" s="130">
        <v>1370598</v>
      </c>
      <c r="C62" s="130">
        <v>138657</v>
      </c>
      <c r="D62" s="130">
        <v>3786</v>
      </c>
      <c r="E62" s="129"/>
      <c r="F62" s="129"/>
      <c r="G62" s="130">
        <v>92691</v>
      </c>
      <c r="H62" s="129"/>
      <c r="I62" s="130">
        <v>1542</v>
      </c>
      <c r="J62" s="130">
        <v>36187</v>
      </c>
      <c r="K62" s="129">
        <v>47</v>
      </c>
      <c r="L62" s="131">
        <v>3211</v>
      </c>
    </row>
    <row r="63" spans="1:12" ht="14.7" thickBot="1" x14ac:dyDescent="0.6">
      <c r="A63" s="136">
        <v>43962</v>
      </c>
      <c r="B63" s="130">
        <v>1403320</v>
      </c>
      <c r="C63" s="130">
        <v>139771</v>
      </c>
      <c r="D63" s="130">
        <v>3841</v>
      </c>
      <c r="E63" s="129"/>
      <c r="F63" s="129"/>
      <c r="G63" s="130">
        <v>95780</v>
      </c>
      <c r="H63" s="129"/>
      <c r="I63" s="130">
        <v>1114</v>
      </c>
      <c r="J63" s="130">
        <v>32722</v>
      </c>
      <c r="K63" s="129">
        <v>55</v>
      </c>
      <c r="L63" s="131">
        <v>3089</v>
      </c>
    </row>
    <row r="64" spans="1:12" ht="14.7" thickBot="1" x14ac:dyDescent="0.6">
      <c r="A64" s="136">
        <v>43963</v>
      </c>
      <c r="B64" s="130">
        <v>1440671</v>
      </c>
      <c r="C64" s="130">
        <v>141475</v>
      </c>
      <c r="D64" s="130">
        <v>3894</v>
      </c>
      <c r="E64" s="129"/>
      <c r="F64" s="129"/>
      <c r="G64" s="130">
        <v>98889</v>
      </c>
      <c r="H64" s="129"/>
      <c r="I64" s="130">
        <v>1704</v>
      </c>
      <c r="J64" s="130">
        <v>37351</v>
      </c>
      <c r="K64" s="129">
        <v>53</v>
      </c>
      <c r="L64" s="131">
        <v>3109</v>
      </c>
    </row>
    <row r="65" spans="1:12" ht="14.7" thickBot="1" x14ac:dyDescent="0.6">
      <c r="A65" s="136">
        <v>43964</v>
      </c>
      <c r="B65" s="130">
        <v>1474003</v>
      </c>
      <c r="C65" s="130">
        <v>143114</v>
      </c>
      <c r="D65" s="130">
        <v>3952</v>
      </c>
      <c r="E65" s="129"/>
      <c r="F65" s="129"/>
      <c r="G65" s="130">
        <v>101715</v>
      </c>
      <c r="H65" s="129"/>
      <c r="I65" s="130">
        <v>1639</v>
      </c>
      <c r="J65" s="130">
        <v>33332</v>
      </c>
      <c r="K65" s="129">
        <v>58</v>
      </c>
      <c r="L65" s="131">
        <v>2826</v>
      </c>
    </row>
    <row r="66" spans="1:12" ht="14.7" thickBot="1" x14ac:dyDescent="0.6">
      <c r="A66" s="136">
        <v>43965</v>
      </c>
      <c r="B66" s="130">
        <v>1508824</v>
      </c>
      <c r="C66" s="130">
        <v>144749</v>
      </c>
      <c r="D66" s="130">
        <v>4007</v>
      </c>
      <c r="E66" s="129"/>
      <c r="F66" s="129"/>
      <c r="G66" s="130">
        <v>104030</v>
      </c>
      <c r="H66" s="129"/>
      <c r="I66" s="130">
        <v>1635</v>
      </c>
      <c r="J66" s="130">
        <v>34821</v>
      </c>
      <c r="K66" s="129">
        <v>55</v>
      </c>
      <c r="L66" s="131">
        <v>2315</v>
      </c>
    </row>
    <row r="67" spans="1:12" ht="14.7" thickBot="1" x14ac:dyDescent="0.6">
      <c r="A67" s="136">
        <v>43966</v>
      </c>
      <c r="B67" s="130">
        <v>1547389</v>
      </c>
      <c r="C67" s="130">
        <v>146457</v>
      </c>
      <c r="D67" s="130">
        <v>4055</v>
      </c>
      <c r="E67" s="129"/>
      <c r="F67" s="129"/>
      <c r="G67" s="130">
        <v>106133</v>
      </c>
      <c r="H67" s="129"/>
      <c r="I67" s="130">
        <v>1708</v>
      </c>
      <c r="J67" s="130">
        <v>38565</v>
      </c>
      <c r="K67" s="129">
        <v>48</v>
      </c>
      <c r="L67" s="131">
        <v>2103</v>
      </c>
    </row>
    <row r="68" spans="1:12" ht="14.7" thickBot="1" x14ac:dyDescent="0.6">
      <c r="A68" s="136">
        <v>43967</v>
      </c>
      <c r="B68" s="130">
        <v>1589625</v>
      </c>
      <c r="C68" s="130">
        <v>148067</v>
      </c>
      <c r="D68" s="130">
        <v>4096</v>
      </c>
      <c r="E68" s="129"/>
      <c r="F68" s="129"/>
      <c r="G68" s="130">
        <v>108137</v>
      </c>
      <c r="H68" s="129"/>
      <c r="I68" s="130">
        <v>1610</v>
      </c>
      <c r="J68" s="130">
        <v>42236</v>
      </c>
      <c r="K68" s="129">
        <v>41</v>
      </c>
      <c r="L68" s="131">
        <v>2004</v>
      </c>
    </row>
    <row r="69" spans="1:12" ht="14.7" thickBot="1" x14ac:dyDescent="0.6">
      <c r="A69" s="136">
        <v>43968</v>
      </c>
      <c r="B69" s="130">
        <v>1624994</v>
      </c>
      <c r="C69" s="130">
        <v>149435</v>
      </c>
      <c r="D69" s="130">
        <v>4140</v>
      </c>
      <c r="E69" s="129"/>
      <c r="F69" s="129"/>
      <c r="G69" s="130">
        <v>109962</v>
      </c>
      <c r="H69" s="129"/>
      <c r="I69" s="130">
        <v>1368</v>
      </c>
      <c r="J69" s="130">
        <v>35369</v>
      </c>
      <c r="K69" s="129">
        <v>44</v>
      </c>
      <c r="L69" s="131">
        <v>1825</v>
      </c>
    </row>
    <row r="70" spans="1:12" ht="14.7" thickBot="1" x14ac:dyDescent="0.6">
      <c r="A70" s="136">
        <v>43969</v>
      </c>
      <c r="B70" s="130">
        <v>1650135</v>
      </c>
      <c r="C70" s="130">
        <v>150593</v>
      </c>
      <c r="D70" s="130">
        <v>4171</v>
      </c>
      <c r="E70" s="129"/>
      <c r="F70" s="129"/>
      <c r="G70" s="130">
        <v>111577</v>
      </c>
      <c r="H70" s="129"/>
      <c r="I70" s="130">
        <v>1158</v>
      </c>
      <c r="J70" s="130">
        <v>25141</v>
      </c>
      <c r="K70" s="129">
        <v>31</v>
      </c>
      <c r="L70" s="131">
        <v>1615</v>
      </c>
    </row>
    <row r="71" spans="1:12" ht="14.7" thickBot="1" x14ac:dyDescent="0.6">
      <c r="A71" s="136">
        <v>43970</v>
      </c>
      <c r="B71" s="130">
        <v>1675517</v>
      </c>
      <c r="C71" s="130">
        <v>151615</v>
      </c>
      <c r="D71" s="130">
        <v>4199</v>
      </c>
      <c r="E71" s="129"/>
      <c r="F71" s="129"/>
      <c r="G71" s="130">
        <v>112895</v>
      </c>
      <c r="H71" s="129"/>
      <c r="I71" s="130">
        <v>1022</v>
      </c>
      <c r="J71" s="130">
        <v>25382</v>
      </c>
      <c r="K71" s="129">
        <v>28</v>
      </c>
      <c r="L71" s="131">
        <v>1318</v>
      </c>
    </row>
    <row r="72" spans="1:12" ht="14.7" thickBot="1" x14ac:dyDescent="0.6">
      <c r="A72" s="136">
        <v>43971</v>
      </c>
      <c r="B72" s="130">
        <v>1696355</v>
      </c>
      <c r="C72" s="130">
        <v>152587</v>
      </c>
      <c r="D72" s="130">
        <v>4222</v>
      </c>
      <c r="E72" s="129"/>
      <c r="F72" s="129"/>
      <c r="G72" s="130">
        <v>113987</v>
      </c>
      <c r="H72" s="129"/>
      <c r="I72" s="129">
        <v>972</v>
      </c>
      <c r="J72" s="130">
        <v>20838</v>
      </c>
      <c r="K72" s="129">
        <v>23</v>
      </c>
      <c r="L72" s="131">
        <v>1092</v>
      </c>
    </row>
    <row r="73" spans="1:12" ht="14.7" thickBot="1" x14ac:dyDescent="0.6">
      <c r="A73" s="136">
        <v>43972</v>
      </c>
      <c r="B73" s="130">
        <v>1729988</v>
      </c>
      <c r="C73" s="130">
        <v>153548</v>
      </c>
      <c r="D73" s="130">
        <v>4249</v>
      </c>
      <c r="E73" s="129"/>
      <c r="F73" s="129"/>
      <c r="G73" s="130">
        <v>114990</v>
      </c>
      <c r="H73" s="129"/>
      <c r="I73" s="129">
        <v>961</v>
      </c>
      <c r="J73" s="130">
        <v>33633</v>
      </c>
      <c r="K73" s="129">
        <v>27</v>
      </c>
      <c r="L73" s="131">
        <v>1003</v>
      </c>
    </row>
    <row r="74" spans="1:12" ht="14.7" thickBot="1" x14ac:dyDescent="0.6">
      <c r="A74" s="136">
        <v>43973</v>
      </c>
      <c r="B74" s="130">
        <v>1767495</v>
      </c>
      <c r="C74" s="130">
        <v>154500</v>
      </c>
      <c r="D74" s="130">
        <v>4276</v>
      </c>
      <c r="E74" s="129"/>
      <c r="F74" s="129"/>
      <c r="G74" s="130">
        <v>116111</v>
      </c>
      <c r="H74" s="129"/>
      <c r="I74" s="129">
        <v>952</v>
      </c>
      <c r="J74" s="130">
        <v>37507</v>
      </c>
      <c r="K74" s="129">
        <v>27</v>
      </c>
      <c r="L74" s="131">
        <v>1121</v>
      </c>
    </row>
    <row r="75" spans="1:12" ht="14.7" thickBot="1" x14ac:dyDescent="0.6">
      <c r="A75" s="136">
        <v>43974</v>
      </c>
      <c r="B75" s="130">
        <v>1807673</v>
      </c>
      <c r="C75" s="130">
        <v>155686</v>
      </c>
      <c r="D75" s="130">
        <v>4308</v>
      </c>
      <c r="E75" s="129"/>
      <c r="F75" s="129"/>
      <c r="G75" s="130">
        <v>117602</v>
      </c>
      <c r="H75" s="129"/>
      <c r="I75" s="130">
        <v>1186</v>
      </c>
      <c r="J75" s="130">
        <v>40178</v>
      </c>
      <c r="K75" s="129">
        <v>32</v>
      </c>
      <c r="L75" s="131">
        <v>1491</v>
      </c>
    </row>
    <row r="76" spans="1:12" ht="14.7" thickBot="1" x14ac:dyDescent="0.6">
      <c r="A76" s="136">
        <v>43975</v>
      </c>
      <c r="B76" s="130">
        <v>1832262</v>
      </c>
      <c r="C76" s="130">
        <v>156827</v>
      </c>
      <c r="D76" s="130">
        <v>4340</v>
      </c>
      <c r="E76" s="129"/>
      <c r="F76" s="129"/>
      <c r="G76" s="130">
        <v>118694</v>
      </c>
      <c r="H76" s="129"/>
      <c r="I76" s="130">
        <v>1141</v>
      </c>
      <c r="J76" s="130">
        <v>24589</v>
      </c>
      <c r="K76" s="129">
        <v>32</v>
      </c>
      <c r="L76" s="131">
        <v>1092</v>
      </c>
    </row>
    <row r="77" spans="1:12" ht="14.7" thickBot="1" x14ac:dyDescent="0.6">
      <c r="A77" s="136">
        <v>43976</v>
      </c>
      <c r="B77" s="130">
        <v>1853754</v>
      </c>
      <c r="C77" s="130">
        <v>157814</v>
      </c>
      <c r="D77" s="130">
        <v>4369</v>
      </c>
      <c r="E77" s="129"/>
      <c r="F77" s="129"/>
      <c r="G77" s="130">
        <v>120015</v>
      </c>
      <c r="H77" s="129"/>
      <c r="I77" s="129">
        <v>987</v>
      </c>
      <c r="J77" s="130">
        <v>21492</v>
      </c>
      <c r="K77" s="129">
        <v>29</v>
      </c>
      <c r="L77" s="131">
        <v>1321</v>
      </c>
    </row>
    <row r="78" spans="1:12" ht="14.7" thickBot="1" x14ac:dyDescent="0.6">
      <c r="A78" s="136">
        <v>43977</v>
      </c>
      <c r="B78" s="130">
        <v>1873607</v>
      </c>
      <c r="C78" s="130">
        <v>158762</v>
      </c>
      <c r="D78" s="130">
        <v>4397</v>
      </c>
      <c r="E78" s="129"/>
      <c r="F78" s="129"/>
      <c r="G78" s="130">
        <v>121507</v>
      </c>
      <c r="H78" s="129"/>
      <c r="I78" s="129">
        <v>948</v>
      </c>
      <c r="J78" s="130">
        <v>19853</v>
      </c>
      <c r="K78" s="129">
        <v>28</v>
      </c>
      <c r="L78" s="131">
        <v>1492</v>
      </c>
    </row>
    <row r="79" spans="1:12" ht="14.7" thickBot="1" x14ac:dyDescent="0.6">
      <c r="A79" s="136">
        <v>43978</v>
      </c>
      <c r="B79" s="130">
        <v>1894650</v>
      </c>
      <c r="C79" s="130">
        <v>159797</v>
      </c>
      <c r="D79" s="130">
        <v>4431</v>
      </c>
      <c r="E79" s="129"/>
      <c r="F79" s="129"/>
      <c r="G79" s="130">
        <v>122793</v>
      </c>
      <c r="H79" s="129"/>
      <c r="I79" s="130">
        <v>1035</v>
      </c>
      <c r="J79" s="130">
        <v>21043</v>
      </c>
      <c r="K79" s="129">
        <v>34</v>
      </c>
      <c r="L79" s="131">
        <v>1286</v>
      </c>
    </row>
    <row r="80" spans="1:12" ht="14.7" thickBot="1" x14ac:dyDescent="0.6">
      <c r="A80" s="136">
        <v>43979</v>
      </c>
      <c r="B80" s="130">
        <v>1928209</v>
      </c>
      <c r="C80" s="130">
        <v>160979</v>
      </c>
      <c r="D80" s="130">
        <v>4461</v>
      </c>
      <c r="E80" s="129"/>
      <c r="F80" s="129"/>
      <c r="G80" s="130">
        <v>124369</v>
      </c>
      <c r="H80" s="129"/>
      <c r="I80" s="130">
        <v>1182</v>
      </c>
      <c r="J80" s="130">
        <v>33559</v>
      </c>
      <c r="K80" s="129">
        <v>30</v>
      </c>
      <c r="L80" s="131">
        <v>1576</v>
      </c>
    </row>
    <row r="81" spans="1:12" ht="14.7" thickBot="1" x14ac:dyDescent="0.6">
      <c r="A81" s="136">
        <v>43980</v>
      </c>
      <c r="B81" s="130">
        <v>1964364</v>
      </c>
      <c r="C81" s="130">
        <v>162120</v>
      </c>
      <c r="D81" s="130">
        <v>4489</v>
      </c>
      <c r="E81" s="129"/>
      <c r="F81" s="129"/>
      <c r="G81" s="130">
        <v>125963</v>
      </c>
      <c r="H81" s="129"/>
      <c r="I81" s="130">
        <v>1141</v>
      </c>
      <c r="J81" s="130">
        <v>36155</v>
      </c>
      <c r="K81" s="129">
        <v>28</v>
      </c>
      <c r="L81" s="131">
        <v>1594</v>
      </c>
    </row>
    <row r="82" spans="1:12" ht="14.7" thickBot="1" x14ac:dyDescent="0.6">
      <c r="A82" s="136">
        <v>43981</v>
      </c>
      <c r="B82" s="130">
        <v>2003594</v>
      </c>
      <c r="C82" s="130">
        <v>163103</v>
      </c>
      <c r="D82" s="129">
        <v>4515</v>
      </c>
      <c r="E82" s="129"/>
      <c r="F82" s="129"/>
      <c r="G82" s="130">
        <v>126984</v>
      </c>
      <c r="H82" s="129"/>
      <c r="I82" s="129">
        <v>983</v>
      </c>
      <c r="J82" s="130">
        <v>39230</v>
      </c>
      <c r="K82" s="129">
        <v>26</v>
      </c>
      <c r="L82" s="131">
        <v>1021</v>
      </c>
    </row>
    <row r="83" spans="1:12" ht="14.7" thickBot="1" x14ac:dyDescent="0.6">
      <c r="A83" s="136">
        <v>43982</v>
      </c>
      <c r="B83" s="130">
        <v>2039194</v>
      </c>
      <c r="C83" s="130">
        <v>163942</v>
      </c>
      <c r="D83" s="129">
        <v>4540</v>
      </c>
      <c r="E83" s="129"/>
      <c r="F83" s="129"/>
      <c r="G83" s="130">
        <v>127973</v>
      </c>
      <c r="H83" s="129"/>
      <c r="I83" s="129">
        <v>839</v>
      </c>
      <c r="J83" s="130">
        <v>35600</v>
      </c>
      <c r="K83" s="129">
        <v>25</v>
      </c>
      <c r="L83" s="133">
        <v>989</v>
      </c>
    </row>
    <row r="84" spans="1:12" ht="14.7" thickBot="1" x14ac:dyDescent="0.6">
      <c r="A84" s="136">
        <v>43983</v>
      </c>
      <c r="B84" s="130">
        <v>2070719</v>
      </c>
      <c r="C84" s="130">
        <v>164769</v>
      </c>
      <c r="D84" s="130">
        <v>4563</v>
      </c>
      <c r="E84" s="129"/>
      <c r="F84" s="129"/>
      <c r="G84" s="130">
        <v>128947</v>
      </c>
      <c r="H84" s="129"/>
      <c r="I84" s="129">
        <v>827</v>
      </c>
      <c r="J84" s="130">
        <v>31525</v>
      </c>
      <c r="K84" s="129">
        <v>23</v>
      </c>
      <c r="L84" s="133">
        <v>974</v>
      </c>
    </row>
    <row r="85" spans="1:12" ht="14.7" thickBot="1" x14ac:dyDescent="0.6">
      <c r="A85" s="136">
        <v>43984</v>
      </c>
      <c r="B85" s="130">
        <v>2103044</v>
      </c>
      <c r="C85" s="130">
        <v>165555</v>
      </c>
      <c r="D85" s="130">
        <v>4585</v>
      </c>
      <c r="E85" s="129"/>
      <c r="F85" s="129"/>
      <c r="G85" s="130">
        <v>129921</v>
      </c>
      <c r="H85" s="129"/>
      <c r="I85" s="129">
        <v>786</v>
      </c>
      <c r="J85" s="130">
        <v>32325</v>
      </c>
      <c r="K85" s="129">
        <v>22</v>
      </c>
      <c r="L85" s="133">
        <v>974</v>
      </c>
    </row>
    <row r="86" spans="1:12" ht="14.7" thickBot="1" x14ac:dyDescent="0.6">
      <c r="A86" s="136">
        <v>43985</v>
      </c>
      <c r="B86" s="130">
        <v>2155349</v>
      </c>
      <c r="C86" s="130">
        <v>166422</v>
      </c>
      <c r="D86" s="130">
        <v>4609</v>
      </c>
      <c r="E86" s="129"/>
      <c r="F86" s="129"/>
      <c r="G86" s="130">
        <v>130852</v>
      </c>
      <c r="H86" s="129"/>
      <c r="I86" s="129">
        <v>867</v>
      </c>
      <c r="J86" s="130">
        <v>52305</v>
      </c>
      <c r="K86" s="129">
        <v>24</v>
      </c>
      <c r="L86" s="133">
        <v>931</v>
      </c>
    </row>
    <row r="87" spans="1:12" ht="14.7" thickBot="1" x14ac:dyDescent="0.6">
      <c r="A87" s="136">
        <v>43986</v>
      </c>
      <c r="B87" s="130">
        <v>2209583</v>
      </c>
      <c r="C87" s="130">
        <v>167410</v>
      </c>
      <c r="D87" s="130">
        <v>4630</v>
      </c>
      <c r="E87" s="129"/>
      <c r="F87" s="129"/>
      <c r="G87" s="130">
        <v>131778</v>
      </c>
      <c r="H87" s="129"/>
      <c r="I87" s="129">
        <v>988</v>
      </c>
      <c r="J87" s="130">
        <v>54234</v>
      </c>
      <c r="K87" s="129">
        <v>21</v>
      </c>
      <c r="L87" s="133">
        <v>926</v>
      </c>
    </row>
    <row r="88" spans="1:12" ht="14.7" thickBot="1" x14ac:dyDescent="0.6">
      <c r="A88" s="136">
        <v>43987</v>
      </c>
      <c r="B88" s="130">
        <v>2267412</v>
      </c>
      <c r="C88" s="130">
        <v>168340</v>
      </c>
      <c r="D88" s="130">
        <v>4648</v>
      </c>
      <c r="E88" s="129"/>
      <c r="F88" s="129"/>
      <c r="G88" s="130">
        <v>133400</v>
      </c>
      <c r="H88" s="129"/>
      <c r="I88" s="129">
        <v>930</v>
      </c>
      <c r="J88" s="130">
        <v>57829</v>
      </c>
      <c r="K88" s="129">
        <v>18</v>
      </c>
      <c r="L88" s="131">
        <v>1622</v>
      </c>
    </row>
    <row r="89" spans="1:12" ht="14.7" thickBot="1" x14ac:dyDescent="0.6">
      <c r="A89" s="136">
        <v>43988</v>
      </c>
      <c r="B89" s="130">
        <v>2303258</v>
      </c>
      <c r="C89" s="130">
        <v>169218</v>
      </c>
      <c r="D89" s="130">
        <v>4669</v>
      </c>
      <c r="E89" s="129"/>
      <c r="F89" s="129"/>
      <c r="G89" s="130">
        <v>135322</v>
      </c>
      <c r="H89" s="129"/>
      <c r="I89" s="129">
        <v>878</v>
      </c>
      <c r="J89" s="130">
        <v>35846</v>
      </c>
      <c r="K89" s="129">
        <v>21</v>
      </c>
      <c r="L89" s="131">
        <v>1922</v>
      </c>
    </row>
    <row r="90" spans="1:12" ht="14.7" thickBot="1" x14ac:dyDescent="0.6">
      <c r="A90" s="136">
        <v>43989</v>
      </c>
      <c r="B90" s="130">
        <v>2338593</v>
      </c>
      <c r="C90" s="130">
        <v>170132</v>
      </c>
      <c r="D90" s="130">
        <v>4692</v>
      </c>
      <c r="E90" s="129"/>
      <c r="F90" s="129"/>
      <c r="G90" s="130">
        <v>137969</v>
      </c>
      <c r="H90" s="129"/>
      <c r="I90" s="129">
        <v>914</v>
      </c>
      <c r="J90" s="130">
        <v>35335</v>
      </c>
      <c r="K90" s="129">
        <v>23</v>
      </c>
      <c r="L90" s="131">
        <v>2647</v>
      </c>
    </row>
    <row r="91" spans="1:12" ht="14.7" thickBot="1" x14ac:dyDescent="0.6">
      <c r="A91" s="136">
        <v>43990</v>
      </c>
      <c r="B91" s="130">
        <v>2377954</v>
      </c>
      <c r="C91" s="130">
        <v>171121</v>
      </c>
      <c r="D91" s="130">
        <v>4711</v>
      </c>
      <c r="E91" s="129"/>
      <c r="F91" s="129"/>
      <c r="G91" s="130">
        <v>141380</v>
      </c>
      <c r="H91" s="129"/>
      <c r="I91" s="129">
        <v>989</v>
      </c>
      <c r="J91" s="130">
        <v>39361</v>
      </c>
      <c r="K91" s="129">
        <v>19</v>
      </c>
      <c r="L91" s="131">
        <v>3411</v>
      </c>
    </row>
    <row r="92" spans="1:12" ht="14.7" thickBot="1" x14ac:dyDescent="0.6">
      <c r="A92" s="136">
        <v>43991</v>
      </c>
      <c r="B92" s="130">
        <v>2415179</v>
      </c>
      <c r="C92" s="130">
        <v>172114</v>
      </c>
      <c r="D92" s="130">
        <v>4729</v>
      </c>
      <c r="E92" s="129"/>
      <c r="F92" s="129"/>
      <c r="G92" s="130">
        <v>144598</v>
      </c>
      <c r="H92" s="129"/>
      <c r="I92" s="129">
        <v>993</v>
      </c>
      <c r="J92" s="130">
        <v>37225</v>
      </c>
      <c r="K92" s="129">
        <v>18</v>
      </c>
      <c r="L92" s="131">
        <v>3218</v>
      </c>
    </row>
    <row r="93" spans="1:12" ht="14.7" thickBot="1" x14ac:dyDescent="0.6">
      <c r="A93" s="136">
        <v>43992</v>
      </c>
      <c r="B93" s="130">
        <v>2451700</v>
      </c>
      <c r="C93" s="130">
        <v>173036</v>
      </c>
      <c r="D93" s="130">
        <v>4746</v>
      </c>
      <c r="E93" s="129"/>
      <c r="F93" s="129"/>
      <c r="G93" s="130">
        <v>146839</v>
      </c>
      <c r="H93" s="129"/>
      <c r="I93" s="129">
        <v>922</v>
      </c>
      <c r="J93" s="130">
        <v>36521</v>
      </c>
      <c r="K93" s="129">
        <v>17</v>
      </c>
      <c r="L93" s="131">
        <v>2241</v>
      </c>
    </row>
    <row r="94" spans="1:12" ht="14.7" thickBot="1" x14ac:dyDescent="0.6">
      <c r="A94" s="136">
        <v>43993</v>
      </c>
      <c r="B94" s="130">
        <v>2500890</v>
      </c>
      <c r="C94" s="130">
        <v>174023</v>
      </c>
      <c r="D94" s="130">
        <v>4763</v>
      </c>
      <c r="E94" s="129"/>
      <c r="F94" s="129"/>
      <c r="G94" s="130">
        <v>147860</v>
      </c>
      <c r="H94" s="129"/>
      <c r="I94" s="129">
        <v>987</v>
      </c>
      <c r="J94" s="130">
        <v>49190</v>
      </c>
      <c r="K94" s="129">
        <v>17</v>
      </c>
      <c r="L94" s="131">
        <v>1021</v>
      </c>
    </row>
    <row r="95" spans="1:12" ht="14.7" thickBot="1" x14ac:dyDescent="0.6">
      <c r="A95" s="136">
        <v>43994</v>
      </c>
      <c r="B95" s="130">
        <v>2541903</v>
      </c>
      <c r="C95" s="130">
        <v>175218</v>
      </c>
      <c r="D95" s="130">
        <v>4778</v>
      </c>
      <c r="E95" s="129"/>
      <c r="F95" s="129"/>
      <c r="G95" s="130">
        <v>149102</v>
      </c>
      <c r="H95" s="129"/>
      <c r="I95" s="130">
        <v>1195</v>
      </c>
      <c r="J95" s="130">
        <v>41013</v>
      </c>
      <c r="K95" s="129">
        <v>15</v>
      </c>
      <c r="L95" s="131">
        <v>1242</v>
      </c>
    </row>
    <row r="96" spans="1:12" ht="14.7" thickBot="1" x14ac:dyDescent="0.6">
      <c r="A96" s="136">
        <v>43995</v>
      </c>
      <c r="B96" s="130">
        <v>2586995</v>
      </c>
      <c r="C96" s="130">
        <v>176677</v>
      </c>
      <c r="D96" s="130">
        <v>4792</v>
      </c>
      <c r="E96" s="129"/>
      <c r="F96" s="129"/>
      <c r="G96" s="130">
        <v>150087</v>
      </c>
      <c r="H96" s="129"/>
      <c r="I96" s="130">
        <v>1459</v>
      </c>
      <c r="J96" s="130">
        <v>45092</v>
      </c>
      <c r="K96" s="129">
        <v>14</v>
      </c>
      <c r="L96" s="133">
        <v>985</v>
      </c>
    </row>
    <row r="97" spans="1:12" ht="14.7" thickBot="1" x14ac:dyDescent="0.6">
      <c r="A97" s="136">
        <v>43996</v>
      </c>
      <c r="B97" s="130">
        <v>2632171</v>
      </c>
      <c r="C97" s="130">
        <v>178239</v>
      </c>
      <c r="D97" s="130">
        <v>4807</v>
      </c>
      <c r="E97" s="129"/>
      <c r="F97" s="129"/>
      <c r="G97" s="130">
        <v>151417</v>
      </c>
      <c r="H97" s="129"/>
      <c r="I97" s="130">
        <v>1562</v>
      </c>
      <c r="J97" s="130">
        <v>45176</v>
      </c>
      <c r="K97" s="129">
        <v>15</v>
      </c>
      <c r="L97" s="131">
        <v>1330</v>
      </c>
    </row>
    <row r="98" spans="1:12" ht="14.7" thickBot="1" x14ac:dyDescent="0.6">
      <c r="A98" s="136">
        <v>43997</v>
      </c>
      <c r="B98" s="130">
        <v>2674203</v>
      </c>
      <c r="C98" s="130">
        <v>179831</v>
      </c>
      <c r="D98" s="130">
        <v>4825</v>
      </c>
      <c r="E98" s="129"/>
      <c r="F98" s="129"/>
      <c r="G98" s="130">
        <v>152364</v>
      </c>
      <c r="H98" s="129"/>
      <c r="I98" s="130">
        <v>1592</v>
      </c>
      <c r="J98" s="130">
        <v>42032</v>
      </c>
      <c r="K98" s="129">
        <v>18</v>
      </c>
      <c r="L98" s="133">
        <v>947</v>
      </c>
    </row>
    <row r="99" spans="1:12" ht="14.7" thickBot="1" x14ac:dyDescent="0.6">
      <c r="A99" s="136">
        <v>43998</v>
      </c>
      <c r="B99" s="130">
        <v>2721003</v>
      </c>
      <c r="C99" s="130">
        <v>181298</v>
      </c>
      <c r="D99" s="130">
        <v>4842</v>
      </c>
      <c r="E99" s="129"/>
      <c r="F99" s="129"/>
      <c r="G99" s="130">
        <v>153379</v>
      </c>
      <c r="H99" s="129"/>
      <c r="I99" s="130">
        <v>1467</v>
      </c>
      <c r="J99" s="130">
        <v>46800</v>
      </c>
      <c r="K99" s="129">
        <v>17</v>
      </c>
      <c r="L99" s="131">
        <v>1015</v>
      </c>
    </row>
    <row r="100" spans="1:12" ht="14.7" thickBot="1" x14ac:dyDescent="0.6">
      <c r="A100" s="136">
        <v>43999</v>
      </c>
      <c r="B100" s="130">
        <v>2773904</v>
      </c>
      <c r="C100" s="130">
        <v>182727</v>
      </c>
      <c r="D100" s="130">
        <v>4861</v>
      </c>
      <c r="E100" s="129"/>
      <c r="F100" s="129"/>
      <c r="G100" s="130">
        <v>154640</v>
      </c>
      <c r="H100" s="129"/>
      <c r="I100" s="130">
        <v>1429</v>
      </c>
      <c r="J100" s="130">
        <v>52901</v>
      </c>
      <c r="K100" s="129">
        <v>19</v>
      </c>
      <c r="L100" s="131">
        <v>1261</v>
      </c>
    </row>
    <row r="101" spans="1:12" ht="14.7" thickBot="1" x14ac:dyDescent="0.6">
      <c r="A101" s="136">
        <v>44000</v>
      </c>
      <c r="B101" s="130">
        <v>2822316</v>
      </c>
      <c r="C101" s="130">
        <v>184031</v>
      </c>
      <c r="D101" s="130">
        <v>4882</v>
      </c>
      <c r="E101" s="129"/>
      <c r="F101" s="129"/>
      <c r="G101" s="130">
        <v>156022</v>
      </c>
      <c r="H101" s="129"/>
      <c r="I101" s="130">
        <v>1304</v>
      </c>
      <c r="J101" s="130">
        <v>48412</v>
      </c>
      <c r="K101" s="129">
        <v>21</v>
      </c>
      <c r="L101" s="133">
        <v>1382</v>
      </c>
    </row>
    <row r="102" spans="1:12" ht="14.7" thickBot="1" x14ac:dyDescent="0.6">
      <c r="A102" s="136">
        <v>44001</v>
      </c>
      <c r="B102" s="130">
        <v>2863632</v>
      </c>
      <c r="C102" s="130">
        <v>185245</v>
      </c>
      <c r="D102" s="130">
        <v>4905</v>
      </c>
      <c r="E102" s="129"/>
      <c r="F102" s="129"/>
      <c r="G102" s="130">
        <v>157516</v>
      </c>
      <c r="H102" s="129"/>
      <c r="I102" s="130">
        <v>1214</v>
      </c>
      <c r="J102" s="130">
        <v>41316</v>
      </c>
      <c r="K102" s="129">
        <v>23</v>
      </c>
      <c r="L102" s="131">
        <v>1494</v>
      </c>
    </row>
    <row r="103" spans="1:12" ht="14.7" thickBot="1" x14ac:dyDescent="0.6">
      <c r="A103" s="136">
        <v>44002</v>
      </c>
      <c r="B103" s="130">
        <v>2904744</v>
      </c>
      <c r="C103" s="130">
        <v>186493</v>
      </c>
      <c r="D103" s="130">
        <v>4927</v>
      </c>
      <c r="E103" s="129"/>
      <c r="F103" s="129"/>
      <c r="G103" s="130">
        <v>158828</v>
      </c>
      <c r="H103" s="129"/>
      <c r="I103" s="130">
        <v>1248</v>
      </c>
      <c r="J103" s="130">
        <v>41112</v>
      </c>
      <c r="K103" s="129">
        <v>22</v>
      </c>
      <c r="L103" s="131">
        <v>1312</v>
      </c>
    </row>
    <row r="104" spans="1:12" ht="14.7" thickBot="1" x14ac:dyDescent="0.6">
      <c r="A104" s="136">
        <v>44003</v>
      </c>
      <c r="B104" s="130">
        <v>2945240</v>
      </c>
      <c r="C104" s="130">
        <v>187685</v>
      </c>
      <c r="D104" s="130">
        <v>4950</v>
      </c>
      <c r="E104" s="129"/>
      <c r="F104" s="129"/>
      <c r="G104" s="130">
        <v>160240</v>
      </c>
      <c r="H104" s="129"/>
      <c r="I104" s="130">
        <v>1192</v>
      </c>
      <c r="J104" s="130">
        <v>40496</v>
      </c>
      <c r="K104" s="129">
        <v>23</v>
      </c>
      <c r="L104" s="131">
        <v>1412</v>
      </c>
    </row>
    <row r="105" spans="1:12" ht="14.7" thickBot="1" x14ac:dyDescent="0.6">
      <c r="A105" s="136">
        <v>44004</v>
      </c>
      <c r="B105" s="130">
        <v>2986653</v>
      </c>
      <c r="C105" s="130">
        <v>188897</v>
      </c>
      <c r="D105" s="130">
        <v>4974</v>
      </c>
      <c r="E105" s="129"/>
      <c r="F105" s="129"/>
      <c r="G105" s="130">
        <v>161533</v>
      </c>
      <c r="H105" s="129"/>
      <c r="I105" s="130">
        <v>1212</v>
      </c>
      <c r="J105" s="130">
        <v>41413</v>
      </c>
      <c r="K105" s="129">
        <v>24</v>
      </c>
      <c r="L105" s="131">
        <v>1293</v>
      </c>
    </row>
    <row r="106" spans="1:12" ht="14.7" thickBot="1" x14ac:dyDescent="0.6">
      <c r="A106" s="136">
        <v>44005</v>
      </c>
      <c r="B106" s="130">
        <v>3029635</v>
      </c>
      <c r="C106" s="130">
        <v>190165</v>
      </c>
      <c r="D106" s="130">
        <v>5001</v>
      </c>
      <c r="E106" s="129"/>
      <c r="F106" s="129"/>
      <c r="G106" s="130">
        <v>162848</v>
      </c>
      <c r="H106" s="129"/>
      <c r="I106" s="130">
        <v>1268</v>
      </c>
      <c r="J106" s="130">
        <v>42982</v>
      </c>
      <c r="K106" s="129">
        <v>27</v>
      </c>
      <c r="L106" s="131">
        <v>1315</v>
      </c>
    </row>
    <row r="107" spans="1:12" ht="14.7" thickBot="1" x14ac:dyDescent="0.6">
      <c r="A107" s="136">
        <v>44006</v>
      </c>
      <c r="B107" s="130">
        <v>3083121</v>
      </c>
      <c r="C107" s="130">
        <v>191657</v>
      </c>
      <c r="D107" s="130">
        <v>5025</v>
      </c>
      <c r="E107" s="129"/>
      <c r="F107" s="129"/>
      <c r="G107" s="130">
        <v>164234</v>
      </c>
      <c r="H107" s="129"/>
      <c r="I107" s="130">
        <v>1492</v>
      </c>
      <c r="J107" s="130">
        <v>53486</v>
      </c>
      <c r="K107" s="129">
        <v>24</v>
      </c>
      <c r="L107" s="131">
        <v>1386</v>
      </c>
    </row>
    <row r="108" spans="1:12" ht="14.7" thickBot="1" x14ac:dyDescent="0.6">
      <c r="A108" s="136">
        <v>44007</v>
      </c>
      <c r="B108" s="130">
        <v>3135424</v>
      </c>
      <c r="C108" s="130">
        <v>193115</v>
      </c>
      <c r="D108" s="130">
        <v>5046</v>
      </c>
      <c r="E108" s="129"/>
      <c r="F108" s="129"/>
      <c r="G108" s="130">
        <v>165706</v>
      </c>
      <c r="H108" s="129"/>
      <c r="I108" s="130">
        <v>1458</v>
      </c>
      <c r="J108" s="130">
        <v>52303</v>
      </c>
      <c r="K108" s="129">
        <v>21</v>
      </c>
      <c r="L108" s="131">
        <v>1472</v>
      </c>
    </row>
    <row r="109" spans="1:12" ht="14.7" thickBot="1" x14ac:dyDescent="0.6">
      <c r="A109" s="136">
        <v>44008</v>
      </c>
      <c r="B109" s="130">
        <v>3186622</v>
      </c>
      <c r="C109" s="130">
        <v>194511</v>
      </c>
      <c r="D109" s="130">
        <v>5065</v>
      </c>
      <c r="E109" s="129"/>
      <c r="F109" s="129"/>
      <c r="G109" s="130">
        <v>167198</v>
      </c>
      <c r="H109" s="129"/>
      <c r="I109" s="130">
        <v>1396</v>
      </c>
      <c r="J109" s="130">
        <v>51198</v>
      </c>
      <c r="K109" s="129">
        <v>19</v>
      </c>
      <c r="L109" s="131">
        <v>1492</v>
      </c>
    </row>
    <row r="110" spans="1:12" ht="14.7" thickBot="1" x14ac:dyDescent="0.6">
      <c r="A110" s="136">
        <v>44009</v>
      </c>
      <c r="B110" s="130">
        <v>3231835</v>
      </c>
      <c r="C110" s="130">
        <v>195883</v>
      </c>
      <c r="D110" s="130">
        <v>5082</v>
      </c>
      <c r="E110" s="129"/>
      <c r="F110" s="129"/>
      <c r="G110" s="130">
        <v>169182</v>
      </c>
      <c r="H110" s="129"/>
      <c r="I110" s="130">
        <v>1372</v>
      </c>
      <c r="J110" s="130">
        <v>45213</v>
      </c>
      <c r="K110" s="129">
        <v>17</v>
      </c>
      <c r="L110" s="131">
        <v>1984</v>
      </c>
    </row>
    <row r="111" spans="1:12" ht="14.7" thickBot="1" x14ac:dyDescent="0.6">
      <c r="A111" s="136">
        <v>44010</v>
      </c>
      <c r="B111" s="130">
        <v>3280144</v>
      </c>
      <c r="C111" s="130">
        <v>197239</v>
      </c>
      <c r="D111" s="130">
        <v>5097</v>
      </c>
      <c r="E111" s="129"/>
      <c r="F111" s="129"/>
      <c r="G111" s="130">
        <v>170595</v>
      </c>
      <c r="H111" s="129"/>
      <c r="I111" s="130">
        <v>1356</v>
      </c>
      <c r="J111" s="130">
        <v>48309</v>
      </c>
      <c r="K111" s="129">
        <v>15</v>
      </c>
      <c r="L111" s="131">
        <v>1413</v>
      </c>
    </row>
    <row r="112" spans="1:12" ht="14.7" thickBot="1" x14ac:dyDescent="0.6">
      <c r="A112" s="136">
        <v>44011</v>
      </c>
      <c r="B112" s="130">
        <v>3331158</v>
      </c>
      <c r="C112" s="130">
        <v>198613</v>
      </c>
      <c r="D112" s="130">
        <v>5115</v>
      </c>
      <c r="E112" s="129"/>
      <c r="F112" s="129"/>
      <c r="G112" s="130">
        <v>171809</v>
      </c>
      <c r="H112" s="129"/>
      <c r="I112" s="130">
        <v>1374</v>
      </c>
      <c r="J112" s="130">
        <v>51014</v>
      </c>
      <c r="K112" s="129">
        <v>18</v>
      </c>
      <c r="L112" s="131">
        <v>1214</v>
      </c>
    </row>
    <row r="113" spans="1:12" ht="14.7" thickBot="1" x14ac:dyDescent="0.6">
      <c r="A113" s="136">
        <v>44012</v>
      </c>
      <c r="B113" s="130">
        <v>3381650</v>
      </c>
      <c r="C113" s="130">
        <v>199906</v>
      </c>
      <c r="D113" s="130">
        <v>5131</v>
      </c>
      <c r="E113" s="129"/>
      <c r="F113" s="129"/>
      <c r="G113" s="130">
        <v>173111</v>
      </c>
      <c r="H113" s="129"/>
      <c r="I113" s="130">
        <v>1293</v>
      </c>
      <c r="J113" s="130">
        <v>50492</v>
      </c>
      <c r="K113" s="129">
        <v>16</v>
      </c>
      <c r="L113" s="131">
        <v>1302</v>
      </c>
    </row>
    <row r="114" spans="1:12" ht="14.7" thickBot="1" x14ac:dyDescent="0.6">
      <c r="A114" s="136">
        <v>44013</v>
      </c>
      <c r="B114" s="130">
        <v>3433963</v>
      </c>
      <c r="C114" s="130">
        <v>201098</v>
      </c>
      <c r="D114" s="130">
        <v>5150</v>
      </c>
      <c r="E114" s="129"/>
      <c r="F114" s="129"/>
      <c r="G114" s="130">
        <v>175422</v>
      </c>
      <c r="H114" s="129"/>
      <c r="I114" s="130">
        <v>1192</v>
      </c>
      <c r="J114" s="130">
        <v>52313</v>
      </c>
      <c r="K114" s="129">
        <v>19</v>
      </c>
      <c r="L114" s="131">
        <v>2311</v>
      </c>
    </row>
    <row r="115" spans="1:12" ht="14.7" thickBot="1" x14ac:dyDescent="0.6">
      <c r="A115" s="136">
        <v>44014</v>
      </c>
      <c r="B115" s="130">
        <v>3483677</v>
      </c>
      <c r="C115" s="130">
        <v>202284</v>
      </c>
      <c r="D115" s="130">
        <v>5167</v>
      </c>
      <c r="E115" s="129"/>
      <c r="F115" s="129"/>
      <c r="G115" s="130">
        <v>176965</v>
      </c>
      <c r="H115" s="129"/>
      <c r="I115" s="130">
        <v>1186</v>
      </c>
      <c r="J115" s="130">
        <v>49714</v>
      </c>
      <c r="K115" s="129">
        <v>17</v>
      </c>
      <c r="L115" s="131">
        <v>1543</v>
      </c>
    </row>
    <row r="116" spans="1:12" ht="14.7" thickBot="1" x14ac:dyDescent="0.6">
      <c r="A116" s="136">
        <v>44015</v>
      </c>
      <c r="B116" s="130">
        <v>3535818</v>
      </c>
      <c r="C116" s="130">
        <v>203456</v>
      </c>
      <c r="D116" s="130">
        <v>5186</v>
      </c>
      <c r="E116" s="129"/>
      <c r="F116" s="129"/>
      <c r="G116" s="130">
        <v>178278</v>
      </c>
      <c r="H116" s="129"/>
      <c r="I116" s="130">
        <v>1172</v>
      </c>
      <c r="J116" s="130">
        <v>52141</v>
      </c>
      <c r="K116" s="129">
        <v>19</v>
      </c>
      <c r="L116" s="131">
        <v>1313</v>
      </c>
    </row>
    <row r="117" spans="1:12" ht="14.7" thickBot="1" x14ac:dyDescent="0.6">
      <c r="A117" s="136">
        <v>44016</v>
      </c>
      <c r="B117" s="130">
        <v>3584066</v>
      </c>
      <c r="C117" s="130">
        <v>204610</v>
      </c>
      <c r="D117" s="129">
        <v>5206</v>
      </c>
      <c r="E117" s="129"/>
      <c r="F117" s="129"/>
      <c r="G117" s="130">
        <v>179492</v>
      </c>
      <c r="H117" s="129"/>
      <c r="I117" s="130">
        <v>1154</v>
      </c>
      <c r="J117" s="130">
        <v>48248</v>
      </c>
      <c r="K117" s="129">
        <v>20</v>
      </c>
      <c r="L117" s="131">
        <v>1214</v>
      </c>
    </row>
    <row r="118" spans="1:12" ht="14.7" thickBot="1" x14ac:dyDescent="0.6">
      <c r="A118" s="136">
        <v>44017</v>
      </c>
      <c r="B118" s="130">
        <v>3630480</v>
      </c>
      <c r="C118" s="130">
        <v>205758</v>
      </c>
      <c r="D118" s="130">
        <v>5225</v>
      </c>
      <c r="E118" s="129"/>
      <c r="F118" s="129"/>
      <c r="G118" s="130">
        <v>180680</v>
      </c>
      <c r="H118" s="129"/>
      <c r="I118" s="130">
        <v>1148</v>
      </c>
      <c r="J118" s="130">
        <v>46414</v>
      </c>
      <c r="K118" s="129">
        <v>19</v>
      </c>
      <c r="L118" s="131">
        <v>1188</v>
      </c>
    </row>
    <row r="119" spans="1:12" ht="14.7" thickBot="1" x14ac:dyDescent="0.6">
      <c r="A119" s="136">
        <v>44018</v>
      </c>
      <c r="B119" s="130">
        <v>3682673</v>
      </c>
      <c r="C119" s="130">
        <v>206844</v>
      </c>
      <c r="D119" s="130">
        <v>5241</v>
      </c>
      <c r="E119" s="129"/>
      <c r="F119" s="129"/>
      <c r="G119" s="130">
        <v>182995</v>
      </c>
      <c r="H119" s="129"/>
      <c r="I119" s="130">
        <v>1086</v>
      </c>
      <c r="J119" s="130">
        <v>52193</v>
      </c>
      <c r="K119" s="129">
        <v>16</v>
      </c>
      <c r="L119" s="131">
        <v>2315</v>
      </c>
    </row>
    <row r="120" spans="1:12" ht="14.7" thickBot="1" x14ac:dyDescent="0.6">
      <c r="A120" s="136">
        <v>44019</v>
      </c>
      <c r="B120" s="130">
        <v>3733218</v>
      </c>
      <c r="C120" s="130">
        <v>207897</v>
      </c>
      <c r="D120" s="130">
        <v>5260</v>
      </c>
      <c r="E120" s="129"/>
      <c r="F120" s="129"/>
      <c r="G120" s="130">
        <v>185292</v>
      </c>
      <c r="H120" s="129"/>
      <c r="I120" s="130">
        <v>1053</v>
      </c>
      <c r="J120" s="130">
        <v>50545</v>
      </c>
      <c r="K120" s="129">
        <v>19</v>
      </c>
      <c r="L120" s="131">
        <v>2297</v>
      </c>
    </row>
    <row r="121" spans="1:12" ht="14.7" thickBot="1" x14ac:dyDescent="0.6">
      <c r="A121" s="136">
        <v>44020</v>
      </c>
      <c r="B121" s="130">
        <v>3782520</v>
      </c>
      <c r="C121" s="130">
        <v>208938</v>
      </c>
      <c r="D121" s="130">
        <v>5282</v>
      </c>
      <c r="E121" s="129"/>
      <c r="F121" s="129"/>
      <c r="G121" s="130">
        <v>187511</v>
      </c>
      <c r="H121" s="129"/>
      <c r="I121" s="130">
        <v>1041</v>
      </c>
      <c r="J121" s="130">
        <v>49302</v>
      </c>
      <c r="K121" s="129">
        <v>22</v>
      </c>
      <c r="L121" s="131">
        <v>2219</v>
      </c>
    </row>
    <row r="122" spans="1:12" ht="14.7" thickBot="1" x14ac:dyDescent="0.6">
      <c r="A122" s="136">
        <v>44021</v>
      </c>
      <c r="B122" s="130">
        <v>3832623</v>
      </c>
      <c r="C122" s="130">
        <v>209962</v>
      </c>
      <c r="D122" s="130">
        <v>5300</v>
      </c>
      <c r="E122" s="129"/>
      <c r="F122" s="129"/>
      <c r="G122" s="130">
        <v>190390</v>
      </c>
      <c r="H122" s="129"/>
      <c r="I122" s="130">
        <v>1024</v>
      </c>
      <c r="J122" s="130">
        <v>50103</v>
      </c>
      <c r="K122" s="129">
        <v>18</v>
      </c>
      <c r="L122" s="131">
        <v>2879</v>
      </c>
    </row>
    <row r="123" spans="1:12" ht="14.7" thickBot="1" x14ac:dyDescent="0.6">
      <c r="A123" s="136">
        <v>44022</v>
      </c>
      <c r="B123" s="130">
        <v>3881410</v>
      </c>
      <c r="C123" s="130">
        <v>210965</v>
      </c>
      <c r="D123" s="130">
        <v>5323</v>
      </c>
      <c r="E123" s="129"/>
      <c r="F123" s="129"/>
      <c r="G123" s="130">
        <v>191883</v>
      </c>
      <c r="H123" s="129"/>
      <c r="I123" s="130">
        <v>1003</v>
      </c>
      <c r="J123" s="130">
        <v>48787</v>
      </c>
      <c r="K123" s="129">
        <v>23</v>
      </c>
      <c r="L123" s="131">
        <v>1493</v>
      </c>
    </row>
    <row r="124" spans="1:12" ht="14.7" thickBot="1" x14ac:dyDescent="0.6">
      <c r="A124" s="136">
        <v>44023</v>
      </c>
      <c r="B124" s="130">
        <v>3930223</v>
      </c>
      <c r="C124" s="130">
        <v>211981</v>
      </c>
      <c r="D124" s="130">
        <v>5344</v>
      </c>
      <c r="E124" s="129"/>
      <c r="F124" s="129"/>
      <c r="G124" s="130">
        <v>193217</v>
      </c>
      <c r="H124" s="129"/>
      <c r="I124" s="130">
        <v>1016</v>
      </c>
      <c r="J124" s="130">
        <v>48813</v>
      </c>
      <c r="K124" s="129">
        <v>21</v>
      </c>
      <c r="L124" s="131">
        <v>1334</v>
      </c>
    </row>
    <row r="125" spans="1:12" ht="14.7" thickBot="1" x14ac:dyDescent="0.6">
      <c r="A125" s="136">
        <v>44024</v>
      </c>
      <c r="B125" s="130">
        <v>3975455</v>
      </c>
      <c r="C125" s="130">
        <v>212993</v>
      </c>
      <c r="D125" s="130">
        <v>5363</v>
      </c>
      <c r="E125" s="129"/>
      <c r="F125" s="129"/>
      <c r="G125" s="130">
        <v>194515</v>
      </c>
      <c r="H125" s="129"/>
      <c r="I125" s="130">
        <v>1012</v>
      </c>
      <c r="J125" s="130">
        <v>45232</v>
      </c>
      <c r="K125" s="129">
        <v>19</v>
      </c>
      <c r="L125" s="131">
        <v>1298</v>
      </c>
    </row>
    <row r="126" spans="1:12" ht="14.7" thickBot="1" x14ac:dyDescent="0.6">
      <c r="A126" s="136">
        <v>44025</v>
      </c>
      <c r="B126" s="130">
        <v>4021947</v>
      </c>
      <c r="C126" s="130">
        <v>214001</v>
      </c>
      <c r="D126" s="130">
        <v>5382</v>
      </c>
      <c r="E126" s="129"/>
      <c r="F126" s="129"/>
      <c r="G126" s="130">
        <v>195671</v>
      </c>
      <c r="H126" s="129"/>
      <c r="I126" s="130">
        <v>1008</v>
      </c>
      <c r="J126" s="130">
        <v>46492</v>
      </c>
      <c r="K126" s="129">
        <v>19</v>
      </c>
      <c r="L126" s="131">
        <v>1156</v>
      </c>
    </row>
    <row r="127" spans="1:12" ht="14.7" thickBot="1" x14ac:dyDescent="0.6">
      <c r="A127" s="136">
        <v>44026</v>
      </c>
      <c r="B127" s="130">
        <v>4065178</v>
      </c>
      <c r="C127" s="130">
        <v>214993</v>
      </c>
      <c r="D127" s="130">
        <v>5402</v>
      </c>
      <c r="E127" s="129"/>
      <c r="F127" s="129"/>
      <c r="G127" s="130">
        <v>196720</v>
      </c>
      <c r="H127" s="129"/>
      <c r="I127" s="129">
        <v>992</v>
      </c>
      <c r="J127" s="130">
        <v>43231</v>
      </c>
      <c r="K127" s="129">
        <v>20</v>
      </c>
      <c r="L127" s="131">
        <v>1049</v>
      </c>
    </row>
    <row r="128" spans="1:12" ht="14.7" thickBot="1" x14ac:dyDescent="0.6">
      <c r="A128" s="136">
        <v>44027</v>
      </c>
      <c r="B128" s="130">
        <v>4107498</v>
      </c>
      <c r="C128" s="130">
        <v>215940</v>
      </c>
      <c r="D128" s="130">
        <v>5419</v>
      </c>
      <c r="E128" s="129"/>
      <c r="F128" s="129"/>
      <c r="G128" s="130">
        <v>197733</v>
      </c>
      <c r="H128" s="129"/>
      <c r="I128" s="129">
        <v>947</v>
      </c>
      <c r="J128" s="130">
        <v>42320</v>
      </c>
      <c r="K128" s="129">
        <v>17</v>
      </c>
      <c r="L128" s="131">
        <v>1013</v>
      </c>
    </row>
    <row r="129" spans="1:12" ht="14.7" thickBot="1" x14ac:dyDescent="0.6">
      <c r="A129" s="136">
        <v>44028</v>
      </c>
      <c r="B129" s="130">
        <v>4149909</v>
      </c>
      <c r="C129" s="130">
        <v>216873</v>
      </c>
      <c r="D129" s="130">
        <v>5440</v>
      </c>
      <c r="E129" s="129"/>
      <c r="F129" s="129"/>
      <c r="G129" s="130">
        <v>198820</v>
      </c>
      <c r="H129" s="129"/>
      <c r="I129" s="129">
        <v>933</v>
      </c>
      <c r="J129" s="130">
        <v>42411</v>
      </c>
      <c r="K129" s="129">
        <v>21</v>
      </c>
      <c r="L129" s="131">
        <v>1087</v>
      </c>
    </row>
    <row r="130" spans="1:12" ht="14.7" thickBot="1" x14ac:dyDescent="0.6">
      <c r="A130" s="136">
        <v>44029</v>
      </c>
      <c r="B130" s="130">
        <v>4191124</v>
      </c>
      <c r="C130" s="130">
        <v>217799</v>
      </c>
      <c r="D130" s="130">
        <v>5458</v>
      </c>
      <c r="E130" s="129"/>
      <c r="F130" s="129"/>
      <c r="G130" s="130">
        <v>199834</v>
      </c>
      <c r="H130" s="129"/>
      <c r="I130" s="129">
        <v>926</v>
      </c>
      <c r="J130" s="130">
        <v>41215</v>
      </c>
      <c r="K130" s="129">
        <v>18</v>
      </c>
      <c r="L130" s="131">
        <v>1014</v>
      </c>
    </row>
    <row r="131" spans="1:12" ht="14.7" thickBot="1" x14ac:dyDescent="0.6">
      <c r="A131" s="136">
        <v>44030</v>
      </c>
      <c r="B131" s="130">
        <v>4232067</v>
      </c>
      <c r="C131" s="130">
        <v>218717</v>
      </c>
      <c r="D131" s="130">
        <v>5475</v>
      </c>
      <c r="E131" s="129"/>
      <c r="F131" s="129"/>
      <c r="G131" s="130">
        <v>201013</v>
      </c>
      <c r="H131" s="129"/>
      <c r="I131" s="129">
        <v>918</v>
      </c>
      <c r="J131" s="130">
        <v>40943</v>
      </c>
      <c r="K131" s="129">
        <v>17</v>
      </c>
      <c r="L131" s="131">
        <v>1179</v>
      </c>
    </row>
    <row r="132" spans="1:12" ht="14.7" thickBot="1" x14ac:dyDescent="0.6">
      <c r="A132" s="136">
        <v>44031</v>
      </c>
      <c r="B132" s="130">
        <v>4273377</v>
      </c>
      <c r="C132" s="130">
        <v>219641</v>
      </c>
      <c r="D132" s="130">
        <v>5491</v>
      </c>
      <c r="E132" s="129"/>
      <c r="F132" s="129"/>
      <c r="G132" s="130">
        <v>202010</v>
      </c>
      <c r="H132" s="129"/>
      <c r="I132" s="129">
        <v>924</v>
      </c>
      <c r="J132" s="130">
        <v>41310</v>
      </c>
      <c r="K132" s="129">
        <v>16</v>
      </c>
      <c r="L132" s="133">
        <v>997</v>
      </c>
    </row>
    <row r="133" spans="1:12" ht="14.7" thickBot="1" x14ac:dyDescent="0.6">
      <c r="A133" s="136">
        <v>44032</v>
      </c>
      <c r="B133" s="130">
        <v>4316781</v>
      </c>
      <c r="C133" s="130">
        <v>220572</v>
      </c>
      <c r="D133" s="130">
        <v>5508</v>
      </c>
      <c r="E133" s="129"/>
      <c r="F133" s="129"/>
      <c r="G133" s="130">
        <v>203002</v>
      </c>
      <c r="H133" s="129"/>
      <c r="I133" s="129">
        <v>931</v>
      </c>
      <c r="J133" s="130">
        <v>43404</v>
      </c>
      <c r="K133" s="129">
        <v>17</v>
      </c>
      <c r="L133" s="133">
        <v>992</v>
      </c>
    </row>
    <row r="134" spans="1:12" ht="14.7" thickBot="1" x14ac:dyDescent="0.6">
      <c r="A134" s="136">
        <v>44033</v>
      </c>
      <c r="B134" s="130">
        <v>4359627</v>
      </c>
      <c r="C134" s="130">
        <v>221500</v>
      </c>
      <c r="D134" s="130">
        <v>5526</v>
      </c>
      <c r="E134" s="129"/>
      <c r="F134" s="129"/>
      <c r="G134" s="130">
        <v>204011</v>
      </c>
      <c r="H134" s="129"/>
      <c r="I134" s="129">
        <v>928</v>
      </c>
      <c r="J134" s="130">
        <v>42846</v>
      </c>
      <c r="K134" s="129">
        <v>18</v>
      </c>
      <c r="L134" s="131">
        <v>1009</v>
      </c>
    </row>
    <row r="135" spans="1:12" ht="14.7" thickBot="1" x14ac:dyDescent="0.6">
      <c r="A135" s="136">
        <v>44034</v>
      </c>
      <c r="B135" s="130">
        <v>4403031</v>
      </c>
      <c r="C135" s="130">
        <v>222402</v>
      </c>
      <c r="D135" s="130">
        <v>5545</v>
      </c>
      <c r="E135" s="129"/>
      <c r="F135" s="129"/>
      <c r="G135" s="130">
        <v>205214</v>
      </c>
      <c r="H135" s="129"/>
      <c r="I135" s="129">
        <v>902</v>
      </c>
      <c r="J135" s="130">
        <v>43404</v>
      </c>
      <c r="K135" s="129">
        <v>19</v>
      </c>
      <c r="L135" s="131">
        <v>1203</v>
      </c>
    </row>
    <row r="136" spans="1:12" ht="14.7" thickBot="1" x14ac:dyDescent="0.6">
      <c r="A136" s="136">
        <v>44035</v>
      </c>
      <c r="B136" s="130">
        <v>4446374</v>
      </c>
      <c r="C136" s="130">
        <v>223315</v>
      </c>
      <c r="D136" s="130">
        <v>5563</v>
      </c>
      <c r="E136" s="129"/>
      <c r="F136" s="129"/>
      <c r="G136" s="130">
        <v>206365</v>
      </c>
      <c r="H136" s="129"/>
      <c r="I136" s="129">
        <v>913</v>
      </c>
      <c r="J136" s="130">
        <v>43343</v>
      </c>
      <c r="K136" s="129">
        <v>18</v>
      </c>
      <c r="L136" s="131">
        <v>1151</v>
      </c>
    </row>
    <row r="137" spans="1:12" ht="14.7" thickBot="1" x14ac:dyDescent="0.6">
      <c r="A137" s="136">
        <v>44036</v>
      </c>
      <c r="B137" s="130">
        <v>4489360</v>
      </c>
      <c r="C137" s="130">
        <v>224252</v>
      </c>
      <c r="D137" s="130">
        <v>5580</v>
      </c>
      <c r="E137" s="129"/>
      <c r="F137" s="129"/>
      <c r="G137" s="130">
        <v>207374</v>
      </c>
      <c r="H137" s="129"/>
      <c r="I137" s="129">
        <v>937</v>
      </c>
      <c r="J137" s="130">
        <v>42986</v>
      </c>
      <c r="K137" s="129">
        <v>17</v>
      </c>
      <c r="L137" s="131">
        <v>1009</v>
      </c>
    </row>
    <row r="138" spans="1:12" ht="14.7" thickBot="1" x14ac:dyDescent="0.6">
      <c r="A138" s="136">
        <v>44037</v>
      </c>
      <c r="B138" s="130">
        <v>4532672</v>
      </c>
      <c r="C138" s="130">
        <v>225173</v>
      </c>
      <c r="D138" s="130">
        <v>5596</v>
      </c>
      <c r="E138" s="129"/>
      <c r="F138" s="129"/>
      <c r="G138" s="130">
        <v>208477</v>
      </c>
      <c r="H138" s="129"/>
      <c r="I138" s="129">
        <v>921</v>
      </c>
      <c r="J138" s="130">
        <v>43312</v>
      </c>
      <c r="K138" s="129">
        <v>16</v>
      </c>
      <c r="L138" s="131">
        <v>1103</v>
      </c>
    </row>
    <row r="139" spans="1:12" ht="14.7" thickBot="1" x14ac:dyDescent="0.6">
      <c r="A139" s="136">
        <v>44038</v>
      </c>
      <c r="B139" s="130">
        <v>4572688</v>
      </c>
      <c r="C139" s="130">
        <v>226100</v>
      </c>
      <c r="D139" s="130">
        <v>5613</v>
      </c>
      <c r="E139" s="129"/>
      <c r="F139" s="129"/>
      <c r="G139" s="130">
        <v>209487</v>
      </c>
      <c r="H139" s="129"/>
      <c r="I139" s="129">
        <v>927</v>
      </c>
      <c r="J139" s="130">
        <v>40016</v>
      </c>
      <c r="K139" s="129">
        <v>17</v>
      </c>
      <c r="L139" s="131">
        <v>1010</v>
      </c>
    </row>
    <row r="140" spans="1:12" ht="14.7" thickBot="1" x14ac:dyDescent="0.6">
      <c r="A140" s="136">
        <v>44039</v>
      </c>
      <c r="B140" s="130">
        <v>4617971</v>
      </c>
      <c r="C140" s="130">
        <v>227019</v>
      </c>
      <c r="D140" s="130">
        <v>5630</v>
      </c>
      <c r="E140" s="129"/>
      <c r="F140" s="129"/>
      <c r="G140" s="130">
        <v>210469</v>
      </c>
      <c r="H140" s="129"/>
      <c r="I140" s="129">
        <v>919</v>
      </c>
      <c r="J140" s="130">
        <v>45283</v>
      </c>
      <c r="K140" s="129">
        <v>17</v>
      </c>
      <c r="L140" s="133">
        <v>982</v>
      </c>
    </row>
    <row r="141" spans="1:12" ht="14.7" thickBot="1" x14ac:dyDescent="0.6">
      <c r="A141" s="136">
        <v>44040</v>
      </c>
      <c r="B141" s="130">
        <v>4665383</v>
      </c>
      <c r="C141" s="130">
        <v>227982</v>
      </c>
      <c r="D141" s="130">
        <v>5645</v>
      </c>
      <c r="E141" s="129"/>
      <c r="F141" s="129"/>
      <c r="G141" s="130">
        <v>211561</v>
      </c>
      <c r="H141" s="129"/>
      <c r="I141" s="129">
        <v>963</v>
      </c>
      <c r="J141" s="130">
        <v>47412</v>
      </c>
      <c r="K141" s="129">
        <v>15</v>
      </c>
      <c r="L141" s="131">
        <v>1092</v>
      </c>
    </row>
    <row r="142" spans="1:12" ht="14.7" thickBot="1" x14ac:dyDescent="0.6">
      <c r="A142" s="136">
        <v>44041</v>
      </c>
      <c r="B142" s="130">
        <v>4711095</v>
      </c>
      <c r="C142" s="130">
        <v>228924</v>
      </c>
      <c r="D142" s="130">
        <v>5659</v>
      </c>
      <c r="E142" s="132">
        <v>44660</v>
      </c>
      <c r="F142" s="129">
        <v>542</v>
      </c>
      <c r="G142" s="130">
        <v>212557</v>
      </c>
      <c r="H142" s="129"/>
      <c r="I142" s="129">
        <v>942</v>
      </c>
      <c r="J142" s="130">
        <v>45712</v>
      </c>
      <c r="K142" s="129">
        <v>14</v>
      </c>
      <c r="L142" s="133">
        <v>996</v>
      </c>
    </row>
    <row r="143" spans="1:12" ht="14.7" thickBot="1" x14ac:dyDescent="0.6">
      <c r="A143" s="136">
        <v>44042</v>
      </c>
      <c r="B143" s="130">
        <v>4754331</v>
      </c>
      <c r="C143" s="130">
        <v>229891</v>
      </c>
      <c r="D143" s="130">
        <v>5674</v>
      </c>
      <c r="E143" s="132">
        <v>44629</v>
      </c>
      <c r="F143" s="129">
        <v>561</v>
      </c>
      <c r="G143" s="130">
        <v>213539</v>
      </c>
      <c r="H143" s="129"/>
      <c r="I143" s="129">
        <v>967</v>
      </c>
      <c r="J143" s="130">
        <v>43236</v>
      </c>
      <c r="K143" s="129">
        <v>15</v>
      </c>
      <c r="L143" s="133">
        <v>982</v>
      </c>
    </row>
    <row r="144" spans="1:12" ht="14.7" thickBot="1" x14ac:dyDescent="0.6">
      <c r="A144" s="136">
        <v>44043</v>
      </c>
      <c r="B144" s="130">
        <v>4800823</v>
      </c>
      <c r="C144" s="130">
        <v>230873</v>
      </c>
      <c r="D144" s="130">
        <v>5691</v>
      </c>
      <c r="E144" s="132">
        <v>44781</v>
      </c>
      <c r="F144" s="129">
        <v>582</v>
      </c>
      <c r="G144" s="130">
        <v>214535</v>
      </c>
      <c r="H144" s="129"/>
      <c r="I144" s="129">
        <v>982</v>
      </c>
      <c r="J144" s="130">
        <v>46492</v>
      </c>
      <c r="K144" s="129">
        <v>17</v>
      </c>
      <c r="L144" s="133">
        <v>996</v>
      </c>
    </row>
    <row r="145" spans="1:12" ht="14.7" thickBot="1" x14ac:dyDescent="0.6">
      <c r="A145" s="136">
        <v>44044</v>
      </c>
      <c r="B145" s="130">
        <v>4845669</v>
      </c>
      <c r="C145" s="130">
        <v>231869</v>
      </c>
      <c r="D145" s="130">
        <v>5710</v>
      </c>
      <c r="E145" s="132">
        <v>44750</v>
      </c>
      <c r="F145" s="129">
        <v>586</v>
      </c>
      <c r="G145" s="130">
        <v>215516</v>
      </c>
      <c r="H145" s="129"/>
      <c r="I145" s="129">
        <v>996</v>
      </c>
      <c r="J145" s="130">
        <v>44846</v>
      </c>
      <c r="K145" s="129">
        <v>19</v>
      </c>
      <c r="L145" s="133">
        <v>981</v>
      </c>
    </row>
    <row r="146" spans="1:12" ht="14.7" thickBot="1" x14ac:dyDescent="0.6">
      <c r="A146" s="136">
        <v>44045</v>
      </c>
      <c r="B146" s="130">
        <v>4885916</v>
      </c>
      <c r="C146" s="130">
        <v>232856</v>
      </c>
      <c r="D146" s="130">
        <v>5728</v>
      </c>
      <c r="E146" s="132">
        <v>44689</v>
      </c>
      <c r="F146" s="129">
        <v>582</v>
      </c>
      <c r="G146" s="130">
        <v>216494</v>
      </c>
      <c r="H146" s="129"/>
      <c r="I146" s="129">
        <v>987</v>
      </c>
      <c r="J146" s="130">
        <v>40247</v>
      </c>
      <c r="K146" s="129">
        <v>18</v>
      </c>
      <c r="L146" s="133">
        <v>978</v>
      </c>
    </row>
    <row r="147" spans="1:12" ht="14.7" thickBot="1" x14ac:dyDescent="0.6">
      <c r="A147" s="136">
        <v>44046</v>
      </c>
      <c r="B147" s="130">
        <v>4927217</v>
      </c>
      <c r="C147" s="130">
        <v>233851</v>
      </c>
      <c r="D147" s="130">
        <v>5747</v>
      </c>
      <c r="E147" s="132">
        <v>44659</v>
      </c>
      <c r="F147" s="129">
        <v>580</v>
      </c>
      <c r="G147" s="130">
        <v>217497</v>
      </c>
      <c r="H147" s="129"/>
      <c r="I147" s="129">
        <v>995</v>
      </c>
      <c r="J147" s="130">
        <v>41301</v>
      </c>
      <c r="K147" s="129">
        <v>19</v>
      </c>
      <c r="L147" s="131">
        <v>1003</v>
      </c>
    </row>
    <row r="148" spans="1:12" ht="14.7" thickBot="1" x14ac:dyDescent="0.6">
      <c r="A148" s="136">
        <v>44047</v>
      </c>
      <c r="B148" s="130">
        <v>4973466</v>
      </c>
      <c r="C148" s="130">
        <v>234934</v>
      </c>
      <c r="D148" s="130">
        <v>5765</v>
      </c>
      <c r="E148" s="129">
        <v>8.5</v>
      </c>
      <c r="F148" s="129">
        <v>583</v>
      </c>
      <c r="G148" s="130">
        <v>218491</v>
      </c>
      <c r="H148" s="129"/>
      <c r="I148" s="130">
        <v>1083</v>
      </c>
      <c r="J148" s="130">
        <v>46249</v>
      </c>
      <c r="K148" s="129">
        <v>18</v>
      </c>
      <c r="L148" s="133">
        <v>994</v>
      </c>
    </row>
    <row r="149" spans="1:12" ht="14.7" thickBot="1" x14ac:dyDescent="0.6">
      <c r="A149" s="136">
        <v>44048</v>
      </c>
      <c r="B149" s="130">
        <v>5027308</v>
      </c>
      <c r="C149" s="130">
        <v>236112</v>
      </c>
      <c r="D149" s="130">
        <v>5784</v>
      </c>
      <c r="E149" s="129">
        <v>8.4</v>
      </c>
      <c r="F149" s="129">
        <v>582</v>
      </c>
      <c r="G149" s="130">
        <v>219506</v>
      </c>
      <c r="H149" s="129"/>
      <c r="I149" s="130">
        <v>1178</v>
      </c>
      <c r="J149" s="130">
        <v>53842</v>
      </c>
      <c r="K149" s="129">
        <v>19</v>
      </c>
      <c r="L149" s="131">
        <v>1015</v>
      </c>
    </row>
    <row r="150" spans="1:12" ht="14.7" thickBot="1" x14ac:dyDescent="0.6">
      <c r="A150" s="136">
        <v>44049</v>
      </c>
      <c r="B150" s="130">
        <v>5081802</v>
      </c>
      <c r="C150" s="130">
        <v>237265</v>
      </c>
      <c r="D150" s="130">
        <v>5798</v>
      </c>
      <c r="E150" s="129">
        <v>8.3000000000000007</v>
      </c>
      <c r="F150" s="129">
        <v>580</v>
      </c>
      <c r="G150" s="130">
        <v>220546</v>
      </c>
      <c r="H150" s="129"/>
      <c r="I150" s="130">
        <v>1153</v>
      </c>
      <c r="J150" s="130">
        <v>54494</v>
      </c>
      <c r="K150" s="129">
        <v>14</v>
      </c>
      <c r="L150" s="131">
        <v>1040</v>
      </c>
    </row>
    <row r="151" spans="1:12" ht="14.7" thickBot="1" x14ac:dyDescent="0.6">
      <c r="A151" s="136">
        <v>44050</v>
      </c>
      <c r="B151" s="130">
        <v>5138528</v>
      </c>
      <c r="C151" s="130">
        <v>238450</v>
      </c>
      <c r="D151" s="130">
        <v>5813</v>
      </c>
      <c r="E151" s="129">
        <v>8.3000000000000007</v>
      </c>
      <c r="F151" s="129">
        <v>586</v>
      </c>
      <c r="G151" s="130">
        <v>221574</v>
      </c>
      <c r="H151" s="129"/>
      <c r="I151" s="130">
        <v>1185</v>
      </c>
      <c r="J151" s="130">
        <v>56726</v>
      </c>
      <c r="K151" s="129">
        <v>15</v>
      </c>
      <c r="L151" s="131">
        <v>1028</v>
      </c>
    </row>
    <row r="152" spans="1:12" ht="14.7" thickBot="1" x14ac:dyDescent="0.6">
      <c r="A152" s="136">
        <v>44051</v>
      </c>
      <c r="B152" s="130">
        <v>5202370</v>
      </c>
      <c r="C152" s="130">
        <v>239622</v>
      </c>
      <c r="D152" s="130">
        <v>5829</v>
      </c>
      <c r="E152" s="129">
        <v>8.1</v>
      </c>
      <c r="F152" s="129">
        <v>587</v>
      </c>
      <c r="G152" s="130">
        <v>222656</v>
      </c>
      <c r="H152" s="129"/>
      <c r="I152" s="130">
        <v>1172</v>
      </c>
      <c r="J152" s="130">
        <v>63842</v>
      </c>
      <c r="K152" s="129">
        <v>16</v>
      </c>
      <c r="L152" s="131">
        <v>1082</v>
      </c>
    </row>
    <row r="153" spans="1:12" ht="14.7" thickBot="1" x14ac:dyDescent="0.6">
      <c r="A153" s="136">
        <v>44052</v>
      </c>
      <c r="B153" s="130">
        <v>5263816</v>
      </c>
      <c r="C153" s="130">
        <v>240804</v>
      </c>
      <c r="D153" s="130">
        <v>5844</v>
      </c>
      <c r="E153" s="129">
        <v>8.1</v>
      </c>
      <c r="F153" s="129">
        <v>596</v>
      </c>
      <c r="G153" s="130">
        <v>223759</v>
      </c>
      <c r="H153" s="129"/>
      <c r="I153" s="130">
        <v>1182</v>
      </c>
      <c r="J153" s="130">
        <v>61446</v>
      </c>
      <c r="K153" s="129">
        <v>15</v>
      </c>
      <c r="L153" s="131">
        <v>1103</v>
      </c>
    </row>
    <row r="154" spans="1:12" ht="14.7" thickBot="1" x14ac:dyDescent="0.6">
      <c r="A154" s="136">
        <v>44053</v>
      </c>
      <c r="B154" s="130">
        <v>5326035</v>
      </c>
      <c r="C154" s="130">
        <v>241997</v>
      </c>
      <c r="D154" s="130">
        <v>5858</v>
      </c>
      <c r="E154" s="129">
        <v>8.1999999999999993</v>
      </c>
      <c r="F154" s="129">
        <v>603</v>
      </c>
      <c r="G154" s="130">
        <v>224970</v>
      </c>
      <c r="H154" s="129"/>
      <c r="I154" s="130">
        <v>1193</v>
      </c>
      <c r="J154" s="130">
        <v>62219</v>
      </c>
      <c r="K154" s="129">
        <v>14</v>
      </c>
      <c r="L154" s="131">
        <v>1211</v>
      </c>
    </row>
    <row r="155" spans="1:12" ht="14.7" thickBot="1" x14ac:dyDescent="0.6">
      <c r="A155" s="136">
        <v>44054</v>
      </c>
      <c r="B155" s="130">
        <v>5387751</v>
      </c>
      <c r="C155" s="130">
        <v>243180</v>
      </c>
      <c r="D155" s="130">
        <v>5873</v>
      </c>
      <c r="E155" s="129">
        <v>8.1999999999999993</v>
      </c>
      <c r="F155" s="129">
        <v>617</v>
      </c>
      <c r="G155" s="130">
        <v>226155</v>
      </c>
      <c r="H155" s="129"/>
      <c r="I155" s="130">
        <v>1183</v>
      </c>
      <c r="J155" s="130">
        <v>61716</v>
      </c>
      <c r="K155" s="129">
        <v>15</v>
      </c>
      <c r="L155" s="131">
        <v>1185</v>
      </c>
    </row>
    <row r="156" spans="1:12" ht="14.7" thickBot="1" x14ac:dyDescent="0.6">
      <c r="A156" s="136">
        <v>44055</v>
      </c>
      <c r="B156" s="130">
        <v>5454988</v>
      </c>
      <c r="C156" s="130">
        <v>244392</v>
      </c>
      <c r="D156" s="130">
        <v>5891</v>
      </c>
      <c r="E156" s="129">
        <v>8.1999999999999993</v>
      </c>
      <c r="F156" s="129">
        <v>632</v>
      </c>
      <c r="G156" s="130">
        <v>227089</v>
      </c>
      <c r="H156" s="129"/>
      <c r="I156" s="130">
        <v>1212</v>
      </c>
      <c r="J156" s="130">
        <v>67237</v>
      </c>
      <c r="K156" s="129">
        <v>18</v>
      </c>
      <c r="L156" s="133">
        <v>934</v>
      </c>
    </row>
    <row r="157" spans="1:12" ht="14.7" thickBot="1" x14ac:dyDescent="0.6">
      <c r="A157" s="136">
        <v>44056</v>
      </c>
      <c r="B157" s="130">
        <v>5521880</v>
      </c>
      <c r="C157" s="130">
        <v>245635</v>
      </c>
      <c r="D157" s="130">
        <v>5912</v>
      </c>
      <c r="E157" s="129">
        <v>7.9</v>
      </c>
      <c r="F157" s="129">
        <v>647</v>
      </c>
      <c r="G157" s="130">
        <v>228057</v>
      </c>
      <c r="H157" s="129"/>
      <c r="I157" s="130">
        <v>1243</v>
      </c>
      <c r="J157" s="130">
        <v>66892</v>
      </c>
      <c r="K157" s="129">
        <v>21</v>
      </c>
      <c r="L157" s="133">
        <v>968</v>
      </c>
    </row>
    <row r="158" spans="1:12" ht="14.7" thickBot="1" x14ac:dyDescent="0.6">
      <c r="A158" s="136">
        <v>44057</v>
      </c>
      <c r="B158" s="130">
        <v>5592072</v>
      </c>
      <c r="C158" s="130">
        <v>246861</v>
      </c>
      <c r="D158" s="130">
        <v>5934</v>
      </c>
      <c r="E158" s="129">
        <v>7.8</v>
      </c>
      <c r="F158" s="129">
        <v>656</v>
      </c>
      <c r="G158" s="130">
        <v>228980</v>
      </c>
      <c r="H158" s="129"/>
      <c r="I158" s="130">
        <v>1226</v>
      </c>
      <c r="J158" s="130">
        <v>70192</v>
      </c>
      <c r="K158" s="129">
        <v>22</v>
      </c>
      <c r="L158" s="133">
        <v>923</v>
      </c>
    </row>
    <row r="159" spans="1:12" ht="14.7" thickBot="1" x14ac:dyDescent="0.6">
      <c r="A159" s="136">
        <v>44058</v>
      </c>
      <c r="B159" s="130">
        <v>5659286</v>
      </c>
      <c r="C159" s="130">
        <v>248117</v>
      </c>
      <c r="D159" s="130">
        <v>5955</v>
      </c>
      <c r="E159" s="129">
        <v>7.6</v>
      </c>
      <c r="F159" s="129">
        <v>668</v>
      </c>
      <c r="G159" s="130">
        <v>229972</v>
      </c>
      <c r="H159" s="129"/>
      <c r="I159" s="130">
        <v>1256</v>
      </c>
      <c r="J159" s="130">
        <v>67214</v>
      </c>
      <c r="K159" s="129">
        <v>21</v>
      </c>
      <c r="L159" s="133">
        <v>992</v>
      </c>
    </row>
    <row r="160" spans="1:12" ht="14.7" thickBot="1" x14ac:dyDescent="0.6">
      <c r="A160" s="136">
        <v>44059</v>
      </c>
      <c r="B160" s="130">
        <v>5725242</v>
      </c>
      <c r="C160" s="130">
        <v>249309</v>
      </c>
      <c r="D160" s="130">
        <v>5974</v>
      </c>
      <c r="E160" s="129">
        <v>7.6</v>
      </c>
      <c r="F160" s="129">
        <v>679</v>
      </c>
      <c r="G160" s="130">
        <v>230969</v>
      </c>
      <c r="H160" s="129"/>
      <c r="I160" s="130">
        <v>1192</v>
      </c>
      <c r="J160" s="130">
        <v>65956</v>
      </c>
      <c r="K160" s="129">
        <v>19</v>
      </c>
      <c r="L160" s="133">
        <v>997</v>
      </c>
    </row>
    <row r="161" spans="1:12" ht="14.7" thickBot="1" x14ac:dyDescent="0.6">
      <c r="A161" s="136">
        <v>44060</v>
      </c>
      <c r="B161" s="130">
        <v>5800088</v>
      </c>
      <c r="C161" s="130">
        <v>250542</v>
      </c>
      <c r="D161" s="130">
        <v>5996</v>
      </c>
      <c r="E161" s="129">
        <v>7.5</v>
      </c>
      <c r="F161" s="129">
        <v>686</v>
      </c>
      <c r="G161" s="130">
        <v>231971</v>
      </c>
      <c r="H161" s="129"/>
      <c r="I161" s="130">
        <v>1233</v>
      </c>
      <c r="J161" s="130">
        <v>74846</v>
      </c>
      <c r="K161" s="129">
        <v>22</v>
      </c>
      <c r="L161" s="131">
        <v>1002</v>
      </c>
    </row>
    <row r="162" spans="1:12" ht="14.7" thickBot="1" x14ac:dyDescent="0.6">
      <c r="A162" s="136">
        <v>44061</v>
      </c>
      <c r="B162" s="130">
        <v>5882406</v>
      </c>
      <c r="C162" s="130">
        <v>251805</v>
      </c>
      <c r="D162" s="130">
        <v>6016</v>
      </c>
      <c r="E162" s="129">
        <v>7.5</v>
      </c>
      <c r="F162" s="129">
        <v>703</v>
      </c>
      <c r="G162" s="130">
        <v>232913</v>
      </c>
      <c r="H162" s="129"/>
      <c r="I162" s="130">
        <v>1263</v>
      </c>
      <c r="J162" s="130">
        <v>82318</v>
      </c>
      <c r="K162" s="129">
        <v>20</v>
      </c>
      <c r="L162" s="133">
        <v>942</v>
      </c>
    </row>
    <row r="163" spans="1:12" ht="14.7" thickBot="1" x14ac:dyDescent="0.6">
      <c r="A163" s="136">
        <v>44062</v>
      </c>
      <c r="B163" s="130">
        <v>5969629</v>
      </c>
      <c r="C163" s="130">
        <v>253108</v>
      </c>
      <c r="D163" s="130">
        <v>6039</v>
      </c>
      <c r="E163" s="129">
        <v>7.4</v>
      </c>
      <c r="F163" s="129">
        <v>719</v>
      </c>
      <c r="G163" s="130">
        <v>233915</v>
      </c>
      <c r="H163" s="129"/>
      <c r="I163" s="130">
        <v>1303</v>
      </c>
      <c r="J163" s="130">
        <v>87223</v>
      </c>
      <c r="K163" s="129">
        <v>23</v>
      </c>
      <c r="L163" s="131">
        <v>1002</v>
      </c>
    </row>
    <row r="164" spans="1:12" ht="14.7" thickBot="1" x14ac:dyDescent="0.6">
      <c r="A164" s="136">
        <v>44063</v>
      </c>
      <c r="B164" s="130">
        <v>6061930</v>
      </c>
      <c r="C164" s="130">
        <v>254520</v>
      </c>
      <c r="D164" s="130">
        <v>6058</v>
      </c>
      <c r="E164" s="129">
        <v>7.3</v>
      </c>
      <c r="F164" s="129">
        <v>735</v>
      </c>
      <c r="G164" s="130">
        <v>234797</v>
      </c>
      <c r="H164" s="129"/>
      <c r="I164" s="130">
        <v>1412</v>
      </c>
      <c r="J164" s="130">
        <v>92301</v>
      </c>
      <c r="K164" s="129">
        <v>19</v>
      </c>
      <c r="L164" s="133">
        <v>882</v>
      </c>
    </row>
    <row r="165" spans="1:12" ht="14.7" thickBot="1" x14ac:dyDescent="0.6">
      <c r="A165" s="136">
        <v>44064</v>
      </c>
      <c r="B165" s="130">
        <v>6154157</v>
      </c>
      <c r="C165" s="130">
        <v>255723</v>
      </c>
      <c r="D165" s="130">
        <v>6080</v>
      </c>
      <c r="E165" s="129">
        <v>7.3</v>
      </c>
      <c r="F165" s="129">
        <v>749</v>
      </c>
      <c r="G165" s="130">
        <v>235569</v>
      </c>
      <c r="H165" s="129"/>
      <c r="I165" s="130">
        <v>1203</v>
      </c>
      <c r="J165" s="130">
        <v>92227</v>
      </c>
      <c r="K165" s="129">
        <v>22</v>
      </c>
      <c r="L165" s="133">
        <v>772</v>
      </c>
    </row>
    <row r="166" spans="1:12" ht="14.7" thickBot="1" x14ac:dyDescent="0.6">
      <c r="A166" s="136">
        <v>44065</v>
      </c>
      <c r="B166" s="130">
        <v>6247164</v>
      </c>
      <c r="C166" s="130">
        <v>257032</v>
      </c>
      <c r="D166" s="130">
        <v>6102</v>
      </c>
      <c r="E166" s="129">
        <v>7.4</v>
      </c>
      <c r="F166" s="129">
        <v>762</v>
      </c>
      <c r="G166" s="130">
        <v>236370</v>
      </c>
      <c r="H166" s="129"/>
      <c r="I166" s="130">
        <v>1309</v>
      </c>
      <c r="J166" s="130">
        <v>93007</v>
      </c>
      <c r="K166" s="129">
        <v>22</v>
      </c>
      <c r="L166" s="133">
        <v>801</v>
      </c>
    </row>
    <row r="167" spans="1:12" ht="14.7" thickBot="1" x14ac:dyDescent="0.6">
      <c r="A167" s="136">
        <v>44066</v>
      </c>
      <c r="B167" s="130">
        <v>6327466</v>
      </c>
      <c r="C167" s="130">
        <v>258249</v>
      </c>
      <c r="D167" s="130">
        <v>6121</v>
      </c>
      <c r="E167" s="129">
        <v>7.5</v>
      </c>
      <c r="F167" s="129">
        <v>783</v>
      </c>
      <c r="G167" s="130">
        <v>237165</v>
      </c>
      <c r="H167" s="129"/>
      <c r="I167" s="130">
        <v>1217</v>
      </c>
      <c r="J167" s="130">
        <v>80302</v>
      </c>
      <c r="K167" s="129">
        <v>19</v>
      </c>
      <c r="L167" s="133">
        <v>795</v>
      </c>
    </row>
    <row r="168" spans="1:12" ht="14.7" thickBot="1" x14ac:dyDescent="0.6">
      <c r="A168" s="136">
        <v>44067</v>
      </c>
      <c r="B168" s="130">
        <v>6423409</v>
      </c>
      <c r="C168" s="130">
        <v>259692</v>
      </c>
      <c r="D168" s="130">
        <v>6139</v>
      </c>
      <c r="E168" s="129">
        <v>7.4</v>
      </c>
      <c r="F168" s="129">
        <v>796</v>
      </c>
      <c r="G168" s="130">
        <v>237908</v>
      </c>
      <c r="H168" s="129"/>
      <c r="I168" s="130">
        <v>1443</v>
      </c>
      <c r="J168" s="130">
        <v>95943</v>
      </c>
      <c r="K168" s="129">
        <v>18</v>
      </c>
      <c r="L168" s="133">
        <v>743</v>
      </c>
    </row>
    <row r="169" spans="1:12" ht="14.7" thickBot="1" x14ac:dyDescent="0.6">
      <c r="A169" s="136">
        <v>44068</v>
      </c>
      <c r="B169" s="130">
        <v>6521640</v>
      </c>
      <c r="C169" s="130">
        <v>261194</v>
      </c>
      <c r="D169" s="130">
        <v>6163</v>
      </c>
      <c r="E169" s="129">
        <v>7.4</v>
      </c>
      <c r="F169" s="129">
        <v>811</v>
      </c>
      <c r="G169" s="130">
        <v>238795</v>
      </c>
      <c r="H169" s="129"/>
      <c r="I169" s="130">
        <v>1502</v>
      </c>
      <c r="J169" s="130">
        <v>98231</v>
      </c>
      <c r="K169" s="129">
        <v>24</v>
      </c>
      <c r="L169" s="133">
        <v>887</v>
      </c>
    </row>
    <row r="170" spans="1:12" ht="14.7" thickBot="1" x14ac:dyDescent="0.6">
      <c r="A170" s="136">
        <v>44069</v>
      </c>
      <c r="B170" s="130">
        <v>6621749</v>
      </c>
      <c r="C170" s="130">
        <v>262507</v>
      </c>
      <c r="D170" s="130">
        <v>6183</v>
      </c>
      <c r="E170" s="129">
        <v>7.4</v>
      </c>
      <c r="F170" s="129">
        <v>841</v>
      </c>
      <c r="G170" s="130">
        <v>239797</v>
      </c>
      <c r="H170" s="129"/>
      <c r="I170" s="130">
        <v>1313</v>
      </c>
      <c r="J170" s="130">
        <v>100109</v>
      </c>
      <c r="K170" s="129">
        <v>20</v>
      </c>
      <c r="L170" s="131">
        <v>1002</v>
      </c>
    </row>
    <row r="171" spans="1:12" ht="14.7" thickBot="1" x14ac:dyDescent="0.6">
      <c r="A171" s="136">
        <v>44070</v>
      </c>
      <c r="B171" s="130">
        <v>6727860</v>
      </c>
      <c r="C171" s="130">
        <v>263998</v>
      </c>
      <c r="D171" s="130">
        <v>6209</v>
      </c>
      <c r="E171" s="129">
        <v>7.3</v>
      </c>
      <c r="F171" s="129">
        <v>862</v>
      </c>
      <c r="G171" s="130">
        <v>240792</v>
      </c>
      <c r="H171" s="129"/>
      <c r="I171" s="130">
        <v>1491</v>
      </c>
      <c r="J171" s="130">
        <v>106111</v>
      </c>
      <c r="K171" s="129">
        <v>26</v>
      </c>
      <c r="L171" s="133">
        <v>995</v>
      </c>
    </row>
    <row r="172" spans="1:12" ht="14.7" thickBot="1" x14ac:dyDescent="0.6">
      <c r="A172" s="136">
        <v>44071</v>
      </c>
      <c r="B172" s="130">
        <v>6835674</v>
      </c>
      <c r="C172" s="130">
        <v>265515</v>
      </c>
      <c r="D172" s="130">
        <v>6245</v>
      </c>
      <c r="E172" s="129">
        <v>7.4</v>
      </c>
      <c r="F172" s="129">
        <v>896</v>
      </c>
      <c r="G172" s="130">
        <v>241809</v>
      </c>
      <c r="H172" s="129"/>
      <c r="I172" s="130">
        <v>1517</v>
      </c>
      <c r="J172" s="130">
        <v>107814</v>
      </c>
      <c r="K172" s="129">
        <v>36</v>
      </c>
      <c r="L172" s="131">
        <v>1017</v>
      </c>
    </row>
    <row r="173" spans="1:12" ht="14.7" thickBot="1" x14ac:dyDescent="0.6">
      <c r="A173" s="136">
        <v>44072</v>
      </c>
      <c r="B173" s="130">
        <v>6937088</v>
      </c>
      <c r="C173" s="130">
        <v>267064</v>
      </c>
      <c r="D173" s="130">
        <v>6284</v>
      </c>
      <c r="E173" s="129">
        <v>7.4</v>
      </c>
      <c r="F173" s="129">
        <v>917</v>
      </c>
      <c r="G173" s="130">
        <v>242812</v>
      </c>
      <c r="H173" s="129"/>
      <c r="I173" s="130">
        <v>1549</v>
      </c>
      <c r="J173" s="130">
        <v>101414</v>
      </c>
      <c r="K173" s="129">
        <v>39</v>
      </c>
      <c r="L173" s="131">
        <v>1003</v>
      </c>
    </row>
    <row r="174" spans="1:12" ht="14.7" thickBot="1" x14ac:dyDescent="0.6">
      <c r="A174" s="136">
        <v>44073</v>
      </c>
      <c r="B174" s="130">
        <v>7028390</v>
      </c>
      <c r="C174" s="130">
        <v>268546</v>
      </c>
      <c r="D174" s="130">
        <v>6326</v>
      </c>
      <c r="E174" s="129">
        <v>7.5</v>
      </c>
      <c r="F174" s="129">
        <v>945</v>
      </c>
      <c r="G174" s="130">
        <v>243839</v>
      </c>
      <c r="H174" s="129"/>
      <c r="I174" s="130">
        <v>1482</v>
      </c>
      <c r="J174" s="130">
        <v>91302</v>
      </c>
      <c r="K174" s="129">
        <v>42</v>
      </c>
      <c r="L174" s="131">
        <v>1027</v>
      </c>
    </row>
    <row r="175" spans="1:12" ht="14.7" thickBot="1" x14ac:dyDescent="0.6">
      <c r="A175" s="136">
        <v>44074</v>
      </c>
      <c r="B175" s="130">
        <v>7138492</v>
      </c>
      <c r="C175" s="130">
        <v>270133</v>
      </c>
      <c r="D175" s="130">
        <v>6370</v>
      </c>
      <c r="E175" s="129">
        <v>7.5</v>
      </c>
      <c r="F175" s="129">
        <v>961</v>
      </c>
      <c r="G175" s="130">
        <v>244926</v>
      </c>
      <c r="H175" s="129"/>
      <c r="I175" s="130">
        <v>1587</v>
      </c>
      <c r="J175" s="130">
        <v>110102</v>
      </c>
      <c r="K175" s="129">
        <v>44</v>
      </c>
      <c r="L175" s="131">
        <v>1087</v>
      </c>
    </row>
    <row r="176" spans="1:12" ht="14.7" thickBot="1" x14ac:dyDescent="0.6">
      <c r="A176" s="136">
        <v>44075</v>
      </c>
      <c r="B176" s="130">
        <v>7247935</v>
      </c>
      <c r="C176" s="130">
        <v>271705</v>
      </c>
      <c r="D176" s="130">
        <v>6417</v>
      </c>
      <c r="E176" s="129">
        <v>7.6</v>
      </c>
      <c r="F176" s="129">
        <v>991</v>
      </c>
      <c r="G176" s="130">
        <v>245929</v>
      </c>
      <c r="H176" s="129"/>
      <c r="I176" s="130">
        <v>1572</v>
      </c>
      <c r="J176" s="130">
        <v>109443</v>
      </c>
      <c r="K176" s="129">
        <v>47</v>
      </c>
      <c r="L176" s="131">
        <v>1003</v>
      </c>
    </row>
    <row r="177" spans="1:12" ht="14.7" thickBot="1" x14ac:dyDescent="0.6">
      <c r="A177" s="136">
        <v>44076</v>
      </c>
      <c r="B177" s="130">
        <v>7355862</v>
      </c>
      <c r="C177" s="130">
        <v>273301</v>
      </c>
      <c r="D177" s="130">
        <v>6462</v>
      </c>
      <c r="E177" s="132">
        <v>44719</v>
      </c>
      <c r="F177" s="130">
        <v>1017</v>
      </c>
      <c r="G177" s="130">
        <v>246876</v>
      </c>
      <c r="H177" s="129"/>
      <c r="I177" s="130">
        <v>1596</v>
      </c>
      <c r="J177" s="130">
        <v>107927</v>
      </c>
      <c r="K177" s="129">
        <v>45</v>
      </c>
      <c r="L177" s="133">
        <v>947</v>
      </c>
    </row>
    <row r="178" spans="1:12" ht="14.7" thickBot="1" x14ac:dyDescent="0.6">
      <c r="A178" s="136">
        <v>44077</v>
      </c>
      <c r="B178" s="130">
        <v>7466087</v>
      </c>
      <c r="C178" s="130">
        <v>274943</v>
      </c>
      <c r="D178" s="130">
        <v>6511</v>
      </c>
      <c r="E178" s="132">
        <v>44719</v>
      </c>
      <c r="F178" s="130">
        <v>1041</v>
      </c>
      <c r="G178" s="130">
        <v>248087</v>
      </c>
      <c r="H178" s="129"/>
      <c r="I178" s="130">
        <v>1642</v>
      </c>
      <c r="J178" s="130">
        <v>110225</v>
      </c>
      <c r="K178" s="129">
        <v>49</v>
      </c>
      <c r="L178" s="131">
        <v>1211</v>
      </c>
    </row>
    <row r="179" spans="1:12" ht="14.7" thickBot="1" x14ac:dyDescent="0.6">
      <c r="A179" s="136">
        <v>44078</v>
      </c>
      <c r="B179" s="130">
        <v>7583200</v>
      </c>
      <c r="C179" s="130">
        <v>276555</v>
      </c>
      <c r="D179" s="130">
        <v>6564</v>
      </c>
      <c r="E179" s="132">
        <v>44688</v>
      </c>
      <c r="F179" s="130">
        <v>1076</v>
      </c>
      <c r="G179" s="130">
        <v>249108</v>
      </c>
      <c r="H179" s="129"/>
      <c r="I179" s="130">
        <v>1612</v>
      </c>
      <c r="J179" s="130">
        <v>117113</v>
      </c>
      <c r="K179" s="129">
        <v>53</v>
      </c>
      <c r="L179" s="131">
        <v>1021</v>
      </c>
    </row>
    <row r="180" spans="1:12" ht="14.7" thickBot="1" x14ac:dyDescent="0.6">
      <c r="A180" s="136">
        <v>44079</v>
      </c>
      <c r="B180" s="130">
        <v>7682697</v>
      </c>
      <c r="C180" s="130">
        <v>278228</v>
      </c>
      <c r="D180" s="130">
        <v>6620</v>
      </c>
      <c r="E180" s="132">
        <v>44688</v>
      </c>
      <c r="F180" s="130">
        <v>1091</v>
      </c>
      <c r="G180" s="130">
        <v>250092</v>
      </c>
      <c r="H180" s="129"/>
      <c r="I180" s="130">
        <v>1673</v>
      </c>
      <c r="J180" s="130">
        <v>99497</v>
      </c>
      <c r="K180" s="129">
        <v>56</v>
      </c>
      <c r="L180" s="133">
        <v>984</v>
      </c>
    </row>
    <row r="181" spans="1:12" ht="14.7" thickBot="1" x14ac:dyDescent="0.6">
      <c r="A181" s="136">
        <v>44080</v>
      </c>
      <c r="B181" s="130">
        <v>7779539</v>
      </c>
      <c r="C181" s="130">
        <v>279806</v>
      </c>
      <c r="D181" s="130">
        <v>6673</v>
      </c>
      <c r="E181" s="132">
        <v>44719</v>
      </c>
      <c r="F181" s="130">
        <v>1102</v>
      </c>
      <c r="G181" s="130">
        <v>251105</v>
      </c>
      <c r="H181" s="129"/>
      <c r="I181" s="130">
        <v>1578</v>
      </c>
      <c r="J181" s="130">
        <v>96842</v>
      </c>
      <c r="K181" s="129">
        <v>53</v>
      </c>
      <c r="L181" s="131">
        <v>1013</v>
      </c>
    </row>
    <row r="182" spans="1:12" ht="14.7" thickBot="1" x14ac:dyDescent="0.6">
      <c r="A182" s="136">
        <v>44081</v>
      </c>
      <c r="B182" s="130">
        <v>7883464</v>
      </c>
      <c r="C182" s="130">
        <v>281509</v>
      </c>
      <c r="D182" s="130">
        <v>6730</v>
      </c>
      <c r="E182" s="132">
        <v>44719</v>
      </c>
      <c r="F182" s="130">
        <v>1118</v>
      </c>
      <c r="G182" s="130">
        <v>252152</v>
      </c>
      <c r="H182" s="129"/>
      <c r="I182" s="130">
        <v>1703</v>
      </c>
      <c r="J182" s="130">
        <v>103925</v>
      </c>
      <c r="K182" s="129">
        <v>57</v>
      </c>
      <c r="L182" s="131">
        <v>1047</v>
      </c>
    </row>
    <row r="183" spans="1:12" ht="14.7" thickBot="1" x14ac:dyDescent="0.6">
      <c r="A183" s="136">
        <v>44082</v>
      </c>
      <c r="B183" s="130">
        <v>7994029</v>
      </c>
      <c r="C183" s="130">
        <v>283270</v>
      </c>
      <c r="D183" s="130">
        <v>6782</v>
      </c>
      <c r="E183" s="132">
        <v>44688</v>
      </c>
      <c r="F183" s="130">
        <v>1159</v>
      </c>
      <c r="G183" s="130">
        <v>253245</v>
      </c>
      <c r="H183" s="129"/>
      <c r="I183" s="130">
        <v>1761</v>
      </c>
      <c r="J183" s="130">
        <v>110565</v>
      </c>
      <c r="K183" s="129">
        <v>52</v>
      </c>
      <c r="L183" s="131">
        <v>1093</v>
      </c>
    </row>
    <row r="184" spans="1:12" ht="14.7" thickBot="1" x14ac:dyDescent="0.6">
      <c r="A184" s="136">
        <v>44083</v>
      </c>
      <c r="B184" s="130">
        <v>8105222</v>
      </c>
      <c r="C184" s="130">
        <v>284943</v>
      </c>
      <c r="D184" s="130">
        <v>6837</v>
      </c>
      <c r="E184" s="132">
        <v>44658</v>
      </c>
      <c r="F184" s="130">
        <v>1181</v>
      </c>
      <c r="G184" s="130">
        <v>254188</v>
      </c>
      <c r="H184" s="129"/>
      <c r="I184" s="130">
        <v>1673</v>
      </c>
      <c r="J184" s="130">
        <v>111193</v>
      </c>
      <c r="K184" s="129">
        <v>55</v>
      </c>
      <c r="L184" s="133">
        <v>943</v>
      </c>
    </row>
    <row r="185" spans="1:12" ht="14.7" thickBot="1" x14ac:dyDescent="0.6">
      <c r="A185" s="136">
        <v>44084</v>
      </c>
      <c r="B185" s="130">
        <v>8212924</v>
      </c>
      <c r="C185" s="130">
        <v>286455</v>
      </c>
      <c r="D185" s="130">
        <v>6895</v>
      </c>
      <c r="E185" s="132">
        <v>44627</v>
      </c>
      <c r="F185" s="130">
        <v>1209</v>
      </c>
      <c r="G185" s="130">
        <v>255407</v>
      </c>
      <c r="H185" s="129"/>
      <c r="I185" s="130">
        <v>1512</v>
      </c>
      <c r="J185" s="130">
        <v>107702</v>
      </c>
      <c r="K185" s="129">
        <v>58</v>
      </c>
      <c r="L185" s="131">
        <v>1219</v>
      </c>
    </row>
    <row r="186" spans="1:12" ht="14.7" thickBot="1" x14ac:dyDescent="0.6">
      <c r="A186" s="136">
        <v>44085</v>
      </c>
      <c r="B186" s="130">
        <v>8325137</v>
      </c>
      <c r="C186" s="130">
        <v>288126</v>
      </c>
      <c r="D186" s="130">
        <v>6951</v>
      </c>
      <c r="E186" s="132">
        <v>44627</v>
      </c>
      <c r="F186" s="130">
        <v>1223</v>
      </c>
      <c r="G186" s="130">
        <v>256524</v>
      </c>
      <c r="H186" s="129"/>
      <c r="I186" s="130">
        <v>1671</v>
      </c>
      <c r="J186" s="130">
        <v>112213</v>
      </c>
      <c r="K186" s="129">
        <v>56</v>
      </c>
      <c r="L186" s="131">
        <v>1117</v>
      </c>
    </row>
    <row r="187" spans="1:12" ht="14.7" thickBot="1" x14ac:dyDescent="0.6">
      <c r="A187" s="136">
        <v>44086</v>
      </c>
      <c r="B187" s="130">
        <v>8423463</v>
      </c>
      <c r="C187" s="130">
        <v>289635</v>
      </c>
      <c r="D187" s="130">
        <v>6999</v>
      </c>
      <c r="E187" s="132">
        <v>44599</v>
      </c>
      <c r="F187" s="130">
        <v>1241</v>
      </c>
      <c r="G187" s="130">
        <v>257731</v>
      </c>
      <c r="H187" s="129"/>
      <c r="I187" s="130">
        <v>1509</v>
      </c>
      <c r="J187" s="130">
        <v>98326</v>
      </c>
      <c r="K187" s="129">
        <v>48</v>
      </c>
      <c r="L187" s="131">
        <v>1207</v>
      </c>
    </row>
    <row r="188" spans="1:12" ht="14.7" thickBot="1" x14ac:dyDescent="0.6">
      <c r="A188" s="136">
        <v>44087</v>
      </c>
      <c r="B188" s="130">
        <v>8519560</v>
      </c>
      <c r="C188" s="130">
        <v>291162</v>
      </c>
      <c r="D188" s="130">
        <v>7056</v>
      </c>
      <c r="E188" s="132">
        <v>44599</v>
      </c>
      <c r="F188" s="130">
        <v>1267</v>
      </c>
      <c r="G188" s="130">
        <v>258833</v>
      </c>
      <c r="H188" s="129"/>
      <c r="I188" s="130">
        <v>1527</v>
      </c>
      <c r="J188" s="130">
        <v>96097</v>
      </c>
      <c r="K188" s="129">
        <v>57</v>
      </c>
      <c r="L188" s="131">
        <v>1102</v>
      </c>
    </row>
    <row r="189" spans="1:12" ht="14.7" thickBot="1" x14ac:dyDescent="0.6">
      <c r="A189" s="136">
        <v>44088</v>
      </c>
      <c r="B189" s="130">
        <v>8632123</v>
      </c>
      <c r="C189" s="130">
        <v>292878</v>
      </c>
      <c r="D189" s="130">
        <v>7119</v>
      </c>
      <c r="E189" s="132">
        <v>44568</v>
      </c>
      <c r="F189" s="130">
        <v>1301</v>
      </c>
      <c r="G189" s="130">
        <v>260058</v>
      </c>
      <c r="H189" s="129"/>
      <c r="I189" s="130">
        <v>1716</v>
      </c>
      <c r="J189" s="130">
        <v>112563</v>
      </c>
      <c r="K189" s="129">
        <v>63</v>
      </c>
      <c r="L189" s="131">
        <v>1225</v>
      </c>
    </row>
    <row r="190" spans="1:12" ht="14.7" thickBot="1" x14ac:dyDescent="0.6">
      <c r="A190" s="136">
        <v>44089</v>
      </c>
      <c r="B190" s="130">
        <v>8742535</v>
      </c>
      <c r="C190" s="130">
        <v>294620</v>
      </c>
      <c r="D190" s="130">
        <v>7186</v>
      </c>
      <c r="E190" s="132">
        <v>44568</v>
      </c>
      <c r="F190" s="130">
        <v>1327</v>
      </c>
      <c r="G190" s="130">
        <v>261260</v>
      </c>
      <c r="H190" s="129"/>
      <c r="I190" s="130">
        <v>1742</v>
      </c>
      <c r="J190" s="130">
        <v>110412</v>
      </c>
      <c r="K190" s="129">
        <v>67</v>
      </c>
      <c r="L190" s="131">
        <v>1202</v>
      </c>
    </row>
    <row r="191" spans="1:12" ht="14.7" thickBot="1" x14ac:dyDescent="0.6">
      <c r="A191" s="136">
        <v>44090</v>
      </c>
      <c r="B191" s="130">
        <v>8855180</v>
      </c>
      <c r="C191" s="130">
        <v>296391</v>
      </c>
      <c r="D191" s="130">
        <v>7249</v>
      </c>
      <c r="E191" s="132">
        <v>44568</v>
      </c>
      <c r="F191" s="130">
        <v>1351</v>
      </c>
      <c r="G191" s="130">
        <v>262602</v>
      </c>
      <c r="H191" s="129"/>
      <c r="I191" s="130">
        <v>1771</v>
      </c>
      <c r="J191" s="130">
        <v>112645</v>
      </c>
      <c r="K191" s="129">
        <v>63</v>
      </c>
      <c r="L191" s="131">
        <v>1342</v>
      </c>
    </row>
    <row r="192" spans="1:12" ht="14.7" thickBot="1" x14ac:dyDescent="0.6">
      <c r="A192" s="136">
        <v>44091</v>
      </c>
      <c r="B192" s="130">
        <v>8965165</v>
      </c>
      <c r="C192" s="130">
        <v>298039</v>
      </c>
      <c r="D192" s="130">
        <v>7315</v>
      </c>
      <c r="E192" s="132">
        <v>44568</v>
      </c>
      <c r="F192" s="130">
        <v>1372</v>
      </c>
      <c r="G192" s="130">
        <v>263745</v>
      </c>
      <c r="H192" s="129"/>
      <c r="I192" s="130">
        <v>1648</v>
      </c>
      <c r="J192" s="130">
        <v>109985</v>
      </c>
      <c r="K192" s="129">
        <v>66</v>
      </c>
      <c r="L192" s="131">
        <v>1143</v>
      </c>
    </row>
    <row r="193" spans="1:12" ht="14.7" thickBot="1" x14ac:dyDescent="0.6">
      <c r="A193" s="136">
        <v>44092</v>
      </c>
      <c r="B193" s="130">
        <v>9076278</v>
      </c>
      <c r="C193" s="130">
        <v>299810</v>
      </c>
      <c r="D193" s="130">
        <v>7377</v>
      </c>
      <c r="E193" s="132">
        <v>44568</v>
      </c>
      <c r="F193" s="130">
        <v>1402</v>
      </c>
      <c r="G193" s="130">
        <v>264805</v>
      </c>
      <c r="H193" s="129"/>
      <c r="I193" s="130">
        <v>1771</v>
      </c>
      <c r="J193" s="130">
        <v>111113</v>
      </c>
      <c r="K193" s="129">
        <v>62</v>
      </c>
      <c r="L193" s="131">
        <v>1060</v>
      </c>
    </row>
    <row r="194" spans="1:12" ht="14.7" thickBot="1" x14ac:dyDescent="0.6">
      <c r="A194" s="136">
        <v>44093</v>
      </c>
      <c r="B194" s="130">
        <v>9173694</v>
      </c>
      <c r="C194" s="130">
        <v>301348</v>
      </c>
      <c r="D194" s="130">
        <v>7445</v>
      </c>
      <c r="E194" s="129" t="s">
        <v>172</v>
      </c>
      <c r="F194" s="130">
        <v>1432</v>
      </c>
      <c r="G194" s="130">
        <v>266117</v>
      </c>
      <c r="H194" s="129"/>
      <c r="I194" s="130">
        <v>1538</v>
      </c>
      <c r="J194" s="130">
        <v>97416</v>
      </c>
      <c r="K194" s="129">
        <v>68</v>
      </c>
      <c r="L194" s="131">
        <v>1312</v>
      </c>
    </row>
    <row r="195" spans="1:12" ht="14.7" thickBot="1" x14ac:dyDescent="0.6">
      <c r="A195" s="136">
        <v>44094</v>
      </c>
      <c r="B195" s="130">
        <v>9269015</v>
      </c>
      <c r="C195" s="130">
        <v>302867</v>
      </c>
      <c r="D195" s="130">
        <v>7506</v>
      </c>
      <c r="E195" s="129" t="s">
        <v>172</v>
      </c>
      <c r="F195" s="130">
        <v>1456</v>
      </c>
      <c r="G195" s="130">
        <v>267233</v>
      </c>
      <c r="H195" s="129"/>
      <c r="I195" s="130">
        <v>1519</v>
      </c>
      <c r="J195" s="130">
        <v>95321</v>
      </c>
      <c r="K195" s="129">
        <v>61</v>
      </c>
      <c r="L195" s="131">
        <v>1116</v>
      </c>
    </row>
    <row r="196" spans="1:12" ht="14.7" thickBot="1" x14ac:dyDescent="0.6">
      <c r="A196" s="136">
        <v>44095</v>
      </c>
      <c r="B196" s="130">
        <v>9381957</v>
      </c>
      <c r="C196" s="130">
        <v>304610</v>
      </c>
      <c r="D196" s="130">
        <v>7574</v>
      </c>
      <c r="E196" s="132">
        <v>44779</v>
      </c>
      <c r="F196" s="130">
        <v>1491</v>
      </c>
      <c r="G196" s="130">
        <v>268435</v>
      </c>
      <c r="H196" s="129"/>
      <c r="I196" s="130">
        <v>1743</v>
      </c>
      <c r="J196" s="130">
        <v>112942</v>
      </c>
      <c r="K196" s="129">
        <v>68</v>
      </c>
      <c r="L196" s="131">
        <v>1202</v>
      </c>
    </row>
    <row r="197" spans="1:12" ht="14.7" thickBot="1" x14ac:dyDescent="0.6">
      <c r="A197" s="136">
        <v>44096</v>
      </c>
      <c r="B197" s="130">
        <v>9496268</v>
      </c>
      <c r="C197" s="130">
        <v>306302</v>
      </c>
      <c r="D197" s="130">
        <v>7639</v>
      </c>
      <c r="E197" s="132">
        <v>44748</v>
      </c>
      <c r="F197" s="130">
        <v>1522</v>
      </c>
      <c r="G197" s="130">
        <v>269696</v>
      </c>
      <c r="H197" s="129"/>
      <c r="I197" s="130">
        <v>1692</v>
      </c>
      <c r="J197" s="130">
        <v>114311</v>
      </c>
      <c r="K197" s="129">
        <v>65</v>
      </c>
      <c r="L197" s="131">
        <v>1261</v>
      </c>
    </row>
    <row r="198" spans="1:12" ht="14.7" thickBot="1" x14ac:dyDescent="0.6">
      <c r="A198" s="136">
        <v>44097</v>
      </c>
      <c r="B198" s="130">
        <v>9608370</v>
      </c>
      <c r="C198" s="130">
        <v>308069</v>
      </c>
      <c r="D198" s="130">
        <v>7711</v>
      </c>
      <c r="E198" s="132">
        <v>44748</v>
      </c>
      <c r="F198" s="130">
        <v>1561</v>
      </c>
      <c r="G198" s="130">
        <v>270723</v>
      </c>
      <c r="H198" s="129"/>
      <c r="I198" s="130">
        <v>1767</v>
      </c>
      <c r="J198" s="130">
        <v>112102</v>
      </c>
      <c r="K198" s="129">
        <v>72</v>
      </c>
      <c r="L198" s="131">
        <v>1027</v>
      </c>
    </row>
    <row r="199" spans="1:12" ht="14.7" thickBot="1" x14ac:dyDescent="0.6">
      <c r="A199" s="136">
        <v>44098</v>
      </c>
      <c r="B199" s="130">
        <v>9721687</v>
      </c>
      <c r="C199" s="130">
        <v>309790</v>
      </c>
      <c r="D199" s="130">
        <v>7785</v>
      </c>
      <c r="E199" s="132">
        <v>44718</v>
      </c>
      <c r="F199" s="130">
        <v>1573</v>
      </c>
      <c r="G199" s="130">
        <v>271964</v>
      </c>
      <c r="H199" s="129"/>
      <c r="I199" s="130">
        <v>1721</v>
      </c>
      <c r="J199" s="130">
        <v>113317</v>
      </c>
      <c r="K199" s="129">
        <v>74</v>
      </c>
      <c r="L199" s="131">
        <v>1241</v>
      </c>
    </row>
    <row r="200" spans="1:12" ht="14.7" thickBot="1" x14ac:dyDescent="0.6">
      <c r="A200" s="136">
        <v>44099</v>
      </c>
      <c r="B200" s="130">
        <v>9834572</v>
      </c>
      <c r="C200" s="130">
        <v>311455</v>
      </c>
      <c r="D200" s="130">
        <v>7858</v>
      </c>
      <c r="E200" s="132">
        <v>44718</v>
      </c>
      <c r="F200" s="130">
        <v>1601</v>
      </c>
      <c r="G200" s="130">
        <v>273282</v>
      </c>
      <c r="H200" s="129"/>
      <c r="I200" s="130">
        <v>1665</v>
      </c>
      <c r="J200" s="130">
        <v>112885</v>
      </c>
      <c r="K200" s="129">
        <v>73</v>
      </c>
      <c r="L200" s="131">
        <v>1318</v>
      </c>
    </row>
    <row r="201" spans="1:12" ht="14.7" thickBot="1" x14ac:dyDescent="0.6">
      <c r="A201" s="136">
        <v>44100</v>
      </c>
      <c r="B201" s="130">
        <v>9936581</v>
      </c>
      <c r="C201" s="130">
        <v>312966</v>
      </c>
      <c r="D201" s="130">
        <v>7929</v>
      </c>
      <c r="E201" s="132">
        <v>44718</v>
      </c>
      <c r="F201" s="130">
        <v>1615</v>
      </c>
      <c r="G201" s="130">
        <v>274514</v>
      </c>
      <c r="H201" s="129"/>
      <c r="I201" s="130">
        <v>1511</v>
      </c>
      <c r="J201" s="130">
        <v>102009</v>
      </c>
      <c r="K201" s="129">
        <v>71</v>
      </c>
      <c r="L201" s="131">
        <v>1232</v>
      </c>
    </row>
    <row r="202" spans="1:12" ht="14.7" thickBot="1" x14ac:dyDescent="0.6">
      <c r="A202" s="136">
        <v>44101</v>
      </c>
      <c r="B202" s="130">
        <v>10037700</v>
      </c>
      <c r="C202" s="130">
        <v>314433</v>
      </c>
      <c r="D202" s="130">
        <v>7997</v>
      </c>
      <c r="E202" s="132">
        <v>44687</v>
      </c>
      <c r="F202" s="130">
        <v>1583</v>
      </c>
      <c r="G202" s="130">
        <v>275630</v>
      </c>
      <c r="H202" s="129"/>
      <c r="I202" s="130">
        <v>1467</v>
      </c>
      <c r="J202" s="130">
        <v>101119</v>
      </c>
      <c r="K202" s="129">
        <v>68</v>
      </c>
      <c r="L202" s="131">
        <v>1116</v>
      </c>
    </row>
    <row r="203" spans="1:12" ht="14.7" thickBot="1" x14ac:dyDescent="0.6">
      <c r="A203" s="136">
        <v>44102</v>
      </c>
      <c r="B203" s="130">
        <v>10153223</v>
      </c>
      <c r="C203" s="130">
        <v>315845</v>
      </c>
      <c r="D203" s="130">
        <v>8062</v>
      </c>
      <c r="E203" s="132">
        <v>44687</v>
      </c>
      <c r="F203" s="130">
        <v>1596</v>
      </c>
      <c r="G203" s="130">
        <v>277052</v>
      </c>
      <c r="H203" s="129"/>
      <c r="I203" s="130">
        <v>1412</v>
      </c>
      <c r="J203" s="130">
        <v>115523</v>
      </c>
      <c r="K203" s="129">
        <v>65</v>
      </c>
      <c r="L203" s="131">
        <v>1422</v>
      </c>
    </row>
    <row r="204" spans="1:12" ht="14.7" thickBot="1" x14ac:dyDescent="0.6">
      <c r="A204" s="136">
        <v>44103</v>
      </c>
      <c r="B204" s="130">
        <v>10268163</v>
      </c>
      <c r="C204" s="130">
        <v>317272</v>
      </c>
      <c r="D204" s="130">
        <v>8130</v>
      </c>
      <c r="E204" s="132">
        <v>44687</v>
      </c>
      <c r="F204" s="130">
        <v>1583</v>
      </c>
      <c r="G204" s="130">
        <v>278504</v>
      </c>
      <c r="H204" s="129"/>
      <c r="I204" s="130">
        <v>1427</v>
      </c>
      <c r="J204" s="130">
        <v>114940</v>
      </c>
      <c r="K204" s="129">
        <v>68</v>
      </c>
      <c r="L204" s="131">
        <v>1452</v>
      </c>
    </row>
    <row r="205" spans="1:12" ht="14.7" thickBot="1" x14ac:dyDescent="0.6">
      <c r="A205" s="136">
        <v>44104</v>
      </c>
      <c r="B205" s="130">
        <v>10380261</v>
      </c>
      <c r="C205" s="130">
        <v>318663</v>
      </c>
      <c r="D205" s="130">
        <v>8195</v>
      </c>
      <c r="E205" s="132">
        <v>44657</v>
      </c>
      <c r="F205" s="130">
        <v>1516</v>
      </c>
      <c r="G205" s="130">
        <v>279749</v>
      </c>
      <c r="H205" s="129"/>
      <c r="I205" s="130">
        <v>1391</v>
      </c>
      <c r="J205" s="130">
        <v>112098</v>
      </c>
      <c r="K205" s="129">
        <v>65</v>
      </c>
      <c r="L205" s="131">
        <v>1245</v>
      </c>
    </row>
    <row r="206" spans="1:12" ht="14.7" thickBot="1" x14ac:dyDescent="0.6">
      <c r="A206" s="136">
        <v>44105</v>
      </c>
      <c r="B206" s="130">
        <v>10493807</v>
      </c>
      <c r="C206" s="130">
        <v>320070</v>
      </c>
      <c r="D206" s="130">
        <v>8262</v>
      </c>
      <c r="E206" s="132">
        <v>44657</v>
      </c>
      <c r="F206" s="130">
        <v>1507</v>
      </c>
      <c r="G206" s="130">
        <v>281151</v>
      </c>
      <c r="H206" s="129"/>
      <c r="I206" s="130">
        <v>1407</v>
      </c>
      <c r="J206" s="130">
        <v>113546</v>
      </c>
      <c r="K206" s="129">
        <v>67</v>
      </c>
      <c r="L206" s="131">
        <v>1402</v>
      </c>
    </row>
    <row r="207" spans="1:12" ht="14.7" thickBot="1" x14ac:dyDescent="0.6">
      <c r="A207" s="136">
        <v>44106</v>
      </c>
      <c r="B207" s="130">
        <v>10608664</v>
      </c>
      <c r="C207" s="130">
        <v>321512</v>
      </c>
      <c r="D207" s="130">
        <v>8325</v>
      </c>
      <c r="E207" s="132">
        <v>44657</v>
      </c>
      <c r="F207" s="130">
        <v>1455</v>
      </c>
      <c r="G207" s="130">
        <v>282657</v>
      </c>
      <c r="H207" s="129"/>
      <c r="I207" s="130">
        <v>1442</v>
      </c>
      <c r="J207" s="130">
        <v>114857</v>
      </c>
      <c r="K207" s="129">
        <v>63</v>
      </c>
      <c r="L207" s="131">
        <v>1506</v>
      </c>
    </row>
    <row r="208" spans="1:12" ht="14.7" thickBot="1" x14ac:dyDescent="0.6">
      <c r="A208" s="136">
        <v>44107</v>
      </c>
      <c r="B208" s="130">
        <v>10711883</v>
      </c>
      <c r="C208" s="130">
        <v>323014</v>
      </c>
      <c r="D208" s="130">
        <v>8384</v>
      </c>
      <c r="E208" s="132">
        <v>44657</v>
      </c>
      <c r="F208" s="130">
        <v>1470</v>
      </c>
      <c r="G208" s="130">
        <v>283868</v>
      </c>
      <c r="H208" s="129"/>
      <c r="I208" s="130">
        <v>1502</v>
      </c>
      <c r="J208" s="130">
        <v>103219</v>
      </c>
      <c r="K208" s="129">
        <v>59</v>
      </c>
      <c r="L208" s="131">
        <v>1211</v>
      </c>
    </row>
    <row r="209" spans="1:12" ht="14.7" thickBot="1" x14ac:dyDescent="0.6">
      <c r="A209" s="136">
        <v>44108</v>
      </c>
      <c r="B209" s="130">
        <v>10816285</v>
      </c>
      <c r="C209" s="130">
        <v>324443</v>
      </c>
      <c r="D209" s="130">
        <v>8441</v>
      </c>
      <c r="E209" s="132">
        <v>44657</v>
      </c>
      <c r="F209" s="130">
        <v>1475</v>
      </c>
      <c r="G209" s="130">
        <v>285050</v>
      </c>
      <c r="H209" s="129"/>
      <c r="I209" s="130">
        <v>1429</v>
      </c>
      <c r="J209" s="130">
        <v>104402</v>
      </c>
      <c r="K209" s="129">
        <v>57</v>
      </c>
      <c r="L209" s="131">
        <v>1182</v>
      </c>
    </row>
    <row r="210" spans="1:12" ht="14.7" thickBot="1" x14ac:dyDescent="0.6">
      <c r="A210" s="136">
        <v>44109</v>
      </c>
      <c r="B210" s="130">
        <v>10931917</v>
      </c>
      <c r="C210" s="130">
        <v>326046</v>
      </c>
      <c r="D210" s="130">
        <v>8498</v>
      </c>
      <c r="E210" s="132">
        <v>44598</v>
      </c>
      <c r="F210" s="130">
        <v>1412</v>
      </c>
      <c r="G210" s="130">
        <v>286370</v>
      </c>
      <c r="H210" s="129"/>
      <c r="I210" s="130">
        <v>1603</v>
      </c>
      <c r="J210" s="130">
        <v>115632</v>
      </c>
      <c r="K210" s="129">
        <v>57</v>
      </c>
      <c r="L210" s="131">
        <v>1320</v>
      </c>
    </row>
    <row r="211" spans="1:12" ht="14.7" thickBot="1" x14ac:dyDescent="0.6">
      <c r="A211" s="136">
        <v>44110</v>
      </c>
      <c r="B211" s="130">
        <v>11044338</v>
      </c>
      <c r="C211" s="130">
        <v>327557</v>
      </c>
      <c r="D211" s="130">
        <v>8553</v>
      </c>
      <c r="E211" s="132">
        <v>44598</v>
      </c>
      <c r="F211" s="130">
        <v>1414</v>
      </c>
      <c r="G211" s="130">
        <v>287599</v>
      </c>
      <c r="H211" s="129"/>
      <c r="I211" s="130">
        <v>1511</v>
      </c>
      <c r="J211" s="130">
        <v>112421</v>
      </c>
      <c r="K211" s="129">
        <v>55</v>
      </c>
      <c r="L211" s="131">
        <v>1229</v>
      </c>
    </row>
    <row r="212" spans="1:12" ht="14.7" thickBot="1" x14ac:dyDescent="0.6">
      <c r="A212" s="136">
        <v>44111</v>
      </c>
      <c r="B212" s="130">
        <v>11160946</v>
      </c>
      <c r="C212" s="130">
        <v>329138</v>
      </c>
      <c r="D212" s="130">
        <v>8609</v>
      </c>
      <c r="E212" s="132">
        <v>44598</v>
      </c>
      <c r="F212" s="130">
        <v>1411</v>
      </c>
      <c r="G212" s="130">
        <v>288954</v>
      </c>
      <c r="H212" s="129"/>
      <c r="I212" s="130">
        <v>1581</v>
      </c>
      <c r="J212" s="130">
        <v>116608</v>
      </c>
      <c r="K212" s="129">
        <v>56</v>
      </c>
      <c r="L212" s="131">
        <v>1355</v>
      </c>
    </row>
    <row r="213" spans="1:12" ht="14.7" thickBot="1" x14ac:dyDescent="0.6">
      <c r="A213" s="136">
        <v>44112</v>
      </c>
      <c r="B213" s="130">
        <v>11278047</v>
      </c>
      <c r="C213" s="130">
        <v>330753</v>
      </c>
      <c r="D213" s="130">
        <v>8667</v>
      </c>
      <c r="E213" s="132">
        <v>44598</v>
      </c>
      <c r="F213" s="130">
        <v>1403</v>
      </c>
      <c r="G213" s="130">
        <v>290352</v>
      </c>
      <c r="H213" s="129"/>
      <c r="I213" s="130">
        <v>1615</v>
      </c>
      <c r="J213" s="130">
        <v>117101</v>
      </c>
      <c r="K213" s="129">
        <v>58</v>
      </c>
      <c r="L213" s="131">
        <v>1398</v>
      </c>
    </row>
    <row r="214" spans="1:12" ht="14.7" thickBot="1" x14ac:dyDescent="0.6">
      <c r="A214" s="136">
        <v>44113</v>
      </c>
      <c r="B214" s="130">
        <v>11393342</v>
      </c>
      <c r="C214" s="130">
        <v>332382</v>
      </c>
      <c r="D214" s="130">
        <v>8722</v>
      </c>
      <c r="E214" s="132">
        <v>44598</v>
      </c>
      <c r="F214" s="130">
        <v>1398</v>
      </c>
      <c r="G214" s="130">
        <v>291754</v>
      </c>
      <c r="H214" s="129"/>
      <c r="I214" s="130">
        <v>1629</v>
      </c>
      <c r="J214" s="130">
        <v>115295</v>
      </c>
      <c r="K214" s="129">
        <v>55</v>
      </c>
      <c r="L214" s="131">
        <v>1402</v>
      </c>
    </row>
    <row r="215" spans="1:12" ht="14.7" thickBot="1" x14ac:dyDescent="0.6">
      <c r="A215" s="136">
        <v>44114</v>
      </c>
      <c r="B215" s="130">
        <v>11506444</v>
      </c>
      <c r="C215" s="130">
        <v>334031</v>
      </c>
      <c r="D215" s="130">
        <v>8778</v>
      </c>
      <c r="E215" s="132">
        <v>44598</v>
      </c>
      <c r="F215" s="130">
        <v>1414</v>
      </c>
      <c r="G215" s="130">
        <v>293145</v>
      </c>
      <c r="H215" s="129"/>
      <c r="I215" s="130">
        <v>1649</v>
      </c>
      <c r="J215" s="130">
        <v>113102</v>
      </c>
      <c r="K215" s="129">
        <v>56</v>
      </c>
      <c r="L215" s="131">
        <v>1391</v>
      </c>
    </row>
    <row r="216" spans="1:12" ht="14.7" thickBot="1" x14ac:dyDescent="0.6">
      <c r="A216" s="136">
        <v>44115</v>
      </c>
      <c r="B216" s="130">
        <v>11615745</v>
      </c>
      <c r="C216" s="130">
        <v>335533</v>
      </c>
      <c r="D216" s="130">
        <v>8837</v>
      </c>
      <c r="E216" s="132">
        <v>44598</v>
      </c>
      <c r="F216" s="130">
        <v>1411</v>
      </c>
      <c r="G216" s="130">
        <v>294357</v>
      </c>
      <c r="H216" s="129"/>
      <c r="I216" s="130">
        <v>1502</v>
      </c>
      <c r="J216" s="130">
        <v>109301</v>
      </c>
      <c r="K216" s="129">
        <v>59</v>
      </c>
      <c r="L216" s="131">
        <v>1212</v>
      </c>
    </row>
    <row r="217" spans="1:12" ht="14.7" thickBot="1" x14ac:dyDescent="0.6">
      <c r="A217" s="136">
        <v>44116</v>
      </c>
      <c r="B217" s="130">
        <v>11731350</v>
      </c>
      <c r="C217" s="130">
        <v>337147</v>
      </c>
      <c r="D217" s="130">
        <v>8895</v>
      </c>
      <c r="E217" s="132">
        <v>44809</v>
      </c>
      <c r="F217" s="130">
        <v>1417</v>
      </c>
      <c r="G217" s="130">
        <v>295658</v>
      </c>
      <c r="H217" s="129"/>
      <c r="I217" s="130">
        <v>1614</v>
      </c>
      <c r="J217" s="130">
        <v>115605</v>
      </c>
      <c r="K217" s="129">
        <v>58</v>
      </c>
      <c r="L217" s="131">
        <v>1301</v>
      </c>
    </row>
    <row r="218" spans="1:12" ht="14.7" thickBot="1" x14ac:dyDescent="0.6">
      <c r="A218" s="136">
        <v>44117</v>
      </c>
      <c r="B218" s="130">
        <v>11846342</v>
      </c>
      <c r="C218" s="130">
        <v>338779</v>
      </c>
      <c r="D218" s="130">
        <v>8957</v>
      </c>
      <c r="E218" s="132">
        <v>44809</v>
      </c>
      <c r="F218" s="130">
        <v>1416</v>
      </c>
      <c r="G218" s="130">
        <v>296972</v>
      </c>
      <c r="H218" s="129"/>
      <c r="I218" s="130">
        <v>1632</v>
      </c>
      <c r="J218" s="130">
        <v>114992</v>
      </c>
      <c r="K218" s="129">
        <v>62</v>
      </c>
      <c r="L218" s="131">
        <v>1314</v>
      </c>
    </row>
    <row r="219" spans="1:12" ht="14.7" thickBot="1" x14ac:dyDescent="0.6">
      <c r="A219" s="136">
        <v>44118</v>
      </c>
      <c r="B219" s="130">
        <v>11961670</v>
      </c>
      <c r="C219" s="130">
        <v>340450</v>
      </c>
      <c r="D219" s="130">
        <v>9014</v>
      </c>
      <c r="E219" s="132">
        <v>44809</v>
      </c>
      <c r="F219" s="130">
        <v>1418</v>
      </c>
      <c r="G219" s="130">
        <v>298368</v>
      </c>
      <c r="H219" s="129"/>
      <c r="I219" s="130">
        <v>1671</v>
      </c>
      <c r="J219" s="130">
        <v>115328</v>
      </c>
      <c r="K219" s="129">
        <v>57</v>
      </c>
      <c r="L219" s="131">
        <v>1396</v>
      </c>
    </row>
    <row r="220" spans="1:12" ht="14.7" thickBot="1" x14ac:dyDescent="0.6">
      <c r="A220" s="136">
        <v>44119</v>
      </c>
      <c r="B220" s="130">
        <v>12077773</v>
      </c>
      <c r="C220" s="130">
        <v>342143</v>
      </c>
      <c r="D220" s="130">
        <v>9080</v>
      </c>
      <c r="E220" s="132">
        <v>44809</v>
      </c>
      <c r="F220" s="130">
        <v>1408</v>
      </c>
      <c r="G220" s="130">
        <v>299679</v>
      </c>
      <c r="H220" s="129"/>
      <c r="I220" s="130">
        <v>1693</v>
      </c>
      <c r="J220" s="130">
        <v>116103</v>
      </c>
      <c r="K220" s="129">
        <v>66</v>
      </c>
      <c r="L220" s="131">
        <v>1311</v>
      </c>
    </row>
    <row r="221" spans="1:12" ht="14.7" thickBot="1" x14ac:dyDescent="0.6">
      <c r="A221" s="136">
        <v>44120</v>
      </c>
      <c r="B221" s="130">
        <v>12194778</v>
      </c>
      <c r="C221" s="130">
        <v>343955</v>
      </c>
      <c r="D221" s="130">
        <v>9153</v>
      </c>
      <c r="E221" s="132">
        <v>44809</v>
      </c>
      <c r="F221" s="130">
        <v>1445</v>
      </c>
      <c r="G221" s="130">
        <v>301098</v>
      </c>
      <c r="H221" s="129"/>
      <c r="I221" s="130">
        <v>1812</v>
      </c>
      <c r="J221" s="130">
        <v>117005</v>
      </c>
      <c r="K221" s="129">
        <v>73</v>
      </c>
      <c r="L221" s="131">
        <v>1419</v>
      </c>
    </row>
    <row r="222" spans="1:12" ht="14.7" thickBot="1" x14ac:dyDescent="0.6">
      <c r="A222" s="136">
        <v>44121</v>
      </c>
      <c r="B222" s="130">
        <v>12306909</v>
      </c>
      <c r="C222" s="130">
        <v>345678</v>
      </c>
      <c r="D222" s="130">
        <v>9224</v>
      </c>
      <c r="E222" s="132">
        <v>44809</v>
      </c>
      <c r="F222" s="130">
        <v>1428</v>
      </c>
      <c r="G222" s="130">
        <v>302499</v>
      </c>
      <c r="H222" s="129"/>
      <c r="I222" s="130">
        <v>1723</v>
      </c>
      <c r="J222" s="130">
        <v>112131</v>
      </c>
      <c r="K222" s="129">
        <v>71</v>
      </c>
      <c r="L222" s="131">
        <v>1401</v>
      </c>
    </row>
    <row r="223" spans="1:12" ht="14.7" thickBot="1" x14ac:dyDescent="0.6">
      <c r="A223" s="136">
        <v>44122</v>
      </c>
      <c r="B223" s="130">
        <v>12408312</v>
      </c>
      <c r="C223" s="130">
        <v>347493</v>
      </c>
      <c r="D223" s="130">
        <v>9296</v>
      </c>
      <c r="E223" s="132">
        <v>44809</v>
      </c>
      <c r="F223" s="130">
        <v>1427</v>
      </c>
      <c r="G223" s="130">
        <v>304003</v>
      </c>
      <c r="H223" s="129"/>
      <c r="I223" s="130">
        <v>1815</v>
      </c>
      <c r="J223" s="130">
        <v>101403</v>
      </c>
      <c r="K223" s="129">
        <v>72</v>
      </c>
      <c r="L223" s="131">
        <v>1504</v>
      </c>
    </row>
    <row r="224" spans="1:12" ht="14.7" thickBot="1" x14ac:dyDescent="0.6">
      <c r="A224" s="136">
        <v>44123</v>
      </c>
      <c r="B224" s="130">
        <v>12524561</v>
      </c>
      <c r="C224" s="130">
        <v>349519</v>
      </c>
      <c r="D224" s="130">
        <v>9371</v>
      </c>
      <c r="E224" s="132">
        <v>44717</v>
      </c>
      <c r="F224" s="130">
        <v>1447</v>
      </c>
      <c r="G224" s="130">
        <v>305427</v>
      </c>
      <c r="H224" s="129"/>
      <c r="I224" s="129">
        <v>2026</v>
      </c>
      <c r="J224" s="130">
        <v>116249</v>
      </c>
      <c r="K224" s="129">
        <v>75</v>
      </c>
      <c r="L224" s="131">
        <v>1424</v>
      </c>
    </row>
    <row r="225" spans="1:12" ht="14.7" thickBot="1" x14ac:dyDescent="0.6">
      <c r="A225" s="136">
        <v>44124</v>
      </c>
      <c r="B225" s="130">
        <v>12641126</v>
      </c>
      <c r="C225" s="130">
        <v>351413</v>
      </c>
      <c r="D225" s="130">
        <v>9445</v>
      </c>
      <c r="E225" s="132">
        <v>44717</v>
      </c>
      <c r="F225" s="130">
        <v>1545</v>
      </c>
      <c r="G225" s="130">
        <v>306939</v>
      </c>
      <c r="H225" s="129"/>
      <c r="I225" s="130">
        <v>1894</v>
      </c>
      <c r="J225" s="130">
        <v>116565</v>
      </c>
      <c r="K225" s="129">
        <v>74</v>
      </c>
      <c r="L225" s="131">
        <v>1512</v>
      </c>
    </row>
    <row r="226" spans="1:12" ht="14.7" thickBot="1" x14ac:dyDescent="0.6">
      <c r="A226" s="136">
        <v>44125</v>
      </c>
      <c r="B226" s="130">
        <v>12759069</v>
      </c>
      <c r="C226" s="130">
        <v>353426</v>
      </c>
      <c r="D226" s="130">
        <v>9513</v>
      </c>
      <c r="E226" s="132">
        <v>44717</v>
      </c>
      <c r="F226" s="130">
        <v>1504</v>
      </c>
      <c r="G226" s="130">
        <v>308446</v>
      </c>
      <c r="H226" s="129"/>
      <c r="I226" s="130">
        <v>2013</v>
      </c>
      <c r="J226" s="130">
        <v>117943</v>
      </c>
      <c r="K226" s="129">
        <v>68</v>
      </c>
      <c r="L226" s="131">
        <v>1507</v>
      </c>
    </row>
    <row r="227" spans="1:12" ht="14.7" thickBot="1" x14ac:dyDescent="0.6">
      <c r="A227" s="136">
        <v>44126</v>
      </c>
      <c r="B227" s="130">
        <v>12876267</v>
      </c>
      <c r="C227" s="130">
        <v>355528</v>
      </c>
      <c r="D227" s="130">
        <v>9584</v>
      </c>
      <c r="E227" s="132">
        <v>44717</v>
      </c>
      <c r="F227" s="130">
        <v>1599</v>
      </c>
      <c r="G227" s="130">
        <v>310027</v>
      </c>
      <c r="H227" s="129"/>
      <c r="I227" s="130">
        <v>2102</v>
      </c>
      <c r="J227" s="130">
        <v>117198</v>
      </c>
      <c r="K227" s="129">
        <v>71</v>
      </c>
      <c r="L227" s="131">
        <v>1581</v>
      </c>
    </row>
    <row r="228" spans="1:12" ht="14.7" thickBot="1" x14ac:dyDescent="0.6">
      <c r="A228" s="136">
        <v>44127</v>
      </c>
      <c r="B228" s="130">
        <v>12992246</v>
      </c>
      <c r="C228" s="130">
        <v>357693</v>
      </c>
      <c r="D228" s="130">
        <v>9658</v>
      </c>
      <c r="E228" s="132">
        <v>44717</v>
      </c>
      <c r="F228" s="130">
        <v>1648</v>
      </c>
      <c r="G228" s="130">
        <v>311520</v>
      </c>
      <c r="H228" s="129"/>
      <c r="I228" s="130">
        <v>2165</v>
      </c>
      <c r="J228" s="130">
        <v>115979</v>
      </c>
      <c r="K228" s="129">
        <v>74</v>
      </c>
      <c r="L228" s="131">
        <v>1493</v>
      </c>
    </row>
    <row r="229" spans="1:12" ht="14.7" thickBot="1" x14ac:dyDescent="0.6">
      <c r="A229" s="136">
        <v>44128</v>
      </c>
      <c r="B229" s="130">
        <v>13105673</v>
      </c>
      <c r="C229" s="130">
        <v>359784</v>
      </c>
      <c r="D229" s="130">
        <v>9727</v>
      </c>
      <c r="E229" s="132">
        <v>44717</v>
      </c>
      <c r="F229" s="130">
        <v>1699</v>
      </c>
      <c r="G229" s="130">
        <v>313093</v>
      </c>
      <c r="H229" s="129"/>
      <c r="I229" s="130">
        <v>2091</v>
      </c>
      <c r="J229" s="130">
        <v>113427</v>
      </c>
      <c r="K229" s="129">
        <v>69</v>
      </c>
      <c r="L229" s="131">
        <v>1573</v>
      </c>
    </row>
    <row r="230" spans="1:12" ht="14.7" thickBot="1" x14ac:dyDescent="0.6">
      <c r="A230" s="136">
        <v>44129</v>
      </c>
      <c r="B230" s="130">
        <v>13217888</v>
      </c>
      <c r="C230" s="130">
        <v>361801</v>
      </c>
      <c r="D230" s="130">
        <v>9799</v>
      </c>
      <c r="E230" s="132">
        <v>44717</v>
      </c>
      <c r="F230" s="130">
        <v>1744</v>
      </c>
      <c r="G230" s="130">
        <v>314390</v>
      </c>
      <c r="H230" s="129"/>
      <c r="I230" s="130">
        <v>2017</v>
      </c>
      <c r="J230" s="130">
        <v>112215</v>
      </c>
      <c r="K230" s="129">
        <v>72</v>
      </c>
      <c r="L230" s="131">
        <v>1297</v>
      </c>
    </row>
    <row r="231" spans="1:12" ht="14.7" thickBot="1" x14ac:dyDescent="0.6">
      <c r="A231" s="136">
        <v>44130</v>
      </c>
      <c r="B231" s="130">
        <v>13350801</v>
      </c>
      <c r="C231" s="130">
        <v>363999</v>
      </c>
      <c r="D231" s="130">
        <v>9874</v>
      </c>
      <c r="E231" s="129" t="s">
        <v>171</v>
      </c>
      <c r="F231" s="130">
        <v>1780</v>
      </c>
      <c r="G231" s="130">
        <v>316008</v>
      </c>
      <c r="H231" s="129"/>
      <c r="I231" s="130">
        <v>2198</v>
      </c>
      <c r="J231" s="130">
        <v>132913</v>
      </c>
      <c r="K231" s="129">
        <v>75</v>
      </c>
      <c r="L231" s="131">
        <v>1618</v>
      </c>
    </row>
    <row r="232" spans="1:12" ht="14.7" thickBot="1" x14ac:dyDescent="0.6">
      <c r="A232" s="136">
        <v>44131</v>
      </c>
      <c r="B232" s="130">
        <v>13478452</v>
      </c>
      <c r="C232" s="130">
        <v>366208</v>
      </c>
      <c r="D232" s="130">
        <v>9950</v>
      </c>
      <c r="E232" s="129" t="s">
        <v>171</v>
      </c>
      <c r="F232" s="130">
        <v>1827</v>
      </c>
      <c r="G232" s="130">
        <v>317519</v>
      </c>
      <c r="H232" s="129"/>
      <c r="I232" s="130">
        <v>2209</v>
      </c>
      <c r="J232" s="130">
        <v>127651</v>
      </c>
      <c r="K232" s="129">
        <v>76</v>
      </c>
      <c r="L232" s="131">
        <v>1511</v>
      </c>
    </row>
    <row r="233" spans="1:12" ht="14.7" thickBot="1" x14ac:dyDescent="0.6">
      <c r="A233" s="136">
        <v>44132</v>
      </c>
      <c r="B233" s="130">
        <v>13606764</v>
      </c>
      <c r="C233" s="130">
        <v>368513</v>
      </c>
      <c r="D233" s="130">
        <v>10027</v>
      </c>
      <c r="E233" s="129" t="s">
        <v>171</v>
      </c>
      <c r="F233" s="130">
        <v>1836</v>
      </c>
      <c r="G233" s="130">
        <v>319181</v>
      </c>
      <c r="H233" s="129"/>
      <c r="I233" s="130">
        <v>2305</v>
      </c>
      <c r="J233" s="130">
        <v>128312</v>
      </c>
      <c r="K233" s="129">
        <v>77</v>
      </c>
      <c r="L233" s="131">
        <v>1662</v>
      </c>
    </row>
    <row r="234" spans="1:12" ht="14.7" thickBot="1" x14ac:dyDescent="0.6">
      <c r="A234" s="136">
        <v>44133</v>
      </c>
      <c r="B234" s="130">
        <v>13741180</v>
      </c>
      <c r="C234" s="130">
        <v>370832</v>
      </c>
      <c r="D234" s="130">
        <v>10099</v>
      </c>
      <c r="E234" s="129" t="s">
        <v>171</v>
      </c>
      <c r="F234" s="130">
        <v>1916</v>
      </c>
      <c r="G234" s="130">
        <v>320762</v>
      </c>
      <c r="H234" s="129"/>
      <c r="I234" s="130">
        <v>2319</v>
      </c>
      <c r="J234" s="130">
        <v>134416</v>
      </c>
      <c r="K234" s="129">
        <v>72</v>
      </c>
      <c r="L234" s="131">
        <v>1581</v>
      </c>
    </row>
    <row r="235" spans="1:12" ht="14.7" thickBot="1" x14ac:dyDescent="0.6">
      <c r="A235" s="136">
        <v>44134</v>
      </c>
      <c r="B235" s="130">
        <v>13877705</v>
      </c>
      <c r="C235" s="130">
        <v>373154</v>
      </c>
      <c r="D235" s="130">
        <v>10177</v>
      </c>
      <c r="E235" s="129" t="s">
        <v>171</v>
      </c>
      <c r="F235" s="130">
        <v>1966</v>
      </c>
      <c r="G235" s="130">
        <v>322465</v>
      </c>
      <c r="H235" s="129"/>
      <c r="I235" s="130">
        <v>2322</v>
      </c>
      <c r="J235" s="130">
        <v>136525</v>
      </c>
      <c r="K235" s="129">
        <v>78</v>
      </c>
      <c r="L235" s="131">
        <v>1703</v>
      </c>
    </row>
    <row r="236" spans="1:12" ht="14.7" thickBot="1" x14ac:dyDescent="0.6">
      <c r="A236" s="136">
        <v>44135</v>
      </c>
      <c r="B236" s="130">
        <v>14001814</v>
      </c>
      <c r="C236" s="130">
        <v>375367</v>
      </c>
      <c r="D236" s="130">
        <v>10252</v>
      </c>
      <c r="E236" s="129" t="s">
        <v>171</v>
      </c>
      <c r="F236" s="130">
        <v>2075</v>
      </c>
      <c r="G236" s="130">
        <v>323971</v>
      </c>
      <c r="H236" s="129"/>
      <c r="I236" s="130">
        <v>2213</v>
      </c>
      <c r="J236" s="130">
        <v>124109</v>
      </c>
      <c r="K236" s="129">
        <v>75</v>
      </c>
      <c r="L236" s="131">
        <v>1506</v>
      </c>
    </row>
    <row r="237" spans="1:12" ht="14.7" thickBot="1" x14ac:dyDescent="0.6">
      <c r="A237" s="136">
        <v>44136</v>
      </c>
      <c r="B237" s="130">
        <v>14125157</v>
      </c>
      <c r="C237" s="130">
        <v>377473</v>
      </c>
      <c r="D237" s="130">
        <v>10326</v>
      </c>
      <c r="E237" s="129" t="s">
        <v>171</v>
      </c>
      <c r="F237" s="130">
        <v>2177</v>
      </c>
      <c r="G237" s="130">
        <v>325486</v>
      </c>
      <c r="H237" s="129"/>
      <c r="I237" s="130">
        <v>2106</v>
      </c>
      <c r="J237" s="130">
        <v>123343</v>
      </c>
      <c r="K237" s="129">
        <v>74</v>
      </c>
      <c r="L237" s="131">
        <v>1515</v>
      </c>
    </row>
    <row r="238" spans="1:12" ht="14.7" thickBot="1" x14ac:dyDescent="0.6">
      <c r="A238" s="136">
        <v>44137</v>
      </c>
      <c r="B238" s="130">
        <v>14264260</v>
      </c>
      <c r="C238" s="130">
        <v>379775</v>
      </c>
      <c r="D238" s="130">
        <v>10402</v>
      </c>
      <c r="E238" s="132">
        <v>44746</v>
      </c>
      <c r="F238" s="130">
        <v>2341</v>
      </c>
      <c r="G238" s="130">
        <v>327007</v>
      </c>
      <c r="H238" s="129"/>
      <c r="I238" s="130">
        <v>2302</v>
      </c>
      <c r="J238" s="130">
        <v>139103</v>
      </c>
      <c r="K238" s="129">
        <v>76</v>
      </c>
      <c r="L238" s="131">
        <v>1521</v>
      </c>
    </row>
    <row r="239" spans="1:12" ht="14.7" thickBot="1" x14ac:dyDescent="0.6">
      <c r="A239" s="136">
        <v>44138</v>
      </c>
      <c r="B239" s="130">
        <v>14410507</v>
      </c>
      <c r="C239" s="130">
        <v>382118</v>
      </c>
      <c r="D239" s="130">
        <v>10481</v>
      </c>
      <c r="E239" s="132">
        <v>44746</v>
      </c>
      <c r="F239" s="130">
        <v>2386</v>
      </c>
      <c r="G239" s="130">
        <v>328824</v>
      </c>
      <c r="H239" s="129"/>
      <c r="I239" s="130">
        <v>2343</v>
      </c>
      <c r="J239" s="130">
        <v>146247</v>
      </c>
      <c r="K239" s="129">
        <v>79</v>
      </c>
      <c r="L239" s="131">
        <v>1817</v>
      </c>
    </row>
    <row r="240" spans="1:12" ht="14.7" thickBot="1" x14ac:dyDescent="0.6">
      <c r="A240" s="136">
        <v>44139</v>
      </c>
      <c r="B240" s="130">
        <v>14554923</v>
      </c>
      <c r="C240" s="130">
        <v>384509</v>
      </c>
      <c r="D240" s="130">
        <v>10558</v>
      </c>
      <c r="E240" s="132">
        <v>44746</v>
      </c>
      <c r="F240" s="130">
        <v>2464</v>
      </c>
      <c r="G240" s="130">
        <v>330665</v>
      </c>
      <c r="H240" s="129"/>
      <c r="I240" s="130">
        <v>2391</v>
      </c>
      <c r="J240" s="130">
        <v>144416</v>
      </c>
      <c r="K240" s="129">
        <v>77</v>
      </c>
      <c r="L240" s="131">
        <v>1841</v>
      </c>
    </row>
    <row r="241" spans="1:12" ht="14.7" thickBot="1" x14ac:dyDescent="0.6">
      <c r="A241" s="136">
        <v>44140</v>
      </c>
      <c r="B241" s="130">
        <v>14700951</v>
      </c>
      <c r="C241" s="130">
        <v>386820</v>
      </c>
      <c r="D241" s="130">
        <v>10639</v>
      </c>
      <c r="E241" s="132">
        <v>44746</v>
      </c>
      <c r="F241" s="130">
        <v>2564</v>
      </c>
      <c r="G241" s="130">
        <v>332379</v>
      </c>
      <c r="H241" s="129"/>
      <c r="I241" s="130">
        <v>2311</v>
      </c>
      <c r="J241" s="130">
        <v>146028</v>
      </c>
      <c r="K241" s="129">
        <v>81</v>
      </c>
      <c r="L241" s="131">
        <v>1714</v>
      </c>
    </row>
    <row r="242" spans="1:12" ht="14.7" thickBot="1" x14ac:dyDescent="0.6">
      <c r="A242" s="136">
        <v>44141</v>
      </c>
      <c r="B242" s="130">
        <v>14846192</v>
      </c>
      <c r="C242" s="130">
        <v>389256</v>
      </c>
      <c r="D242" s="130">
        <v>10722</v>
      </c>
      <c r="E242" s="132">
        <v>44746</v>
      </c>
      <c r="F242" s="130">
        <v>2654</v>
      </c>
      <c r="G242" s="130">
        <v>334293</v>
      </c>
      <c r="H242" s="129"/>
      <c r="I242" s="130">
        <v>2436</v>
      </c>
      <c r="J242" s="130">
        <v>145241</v>
      </c>
      <c r="K242" s="129">
        <v>83</v>
      </c>
      <c r="L242" s="131">
        <v>1914</v>
      </c>
    </row>
    <row r="243" spans="1:12" ht="14.7" thickBot="1" x14ac:dyDescent="0.6">
      <c r="A243" s="136">
        <v>44142</v>
      </c>
      <c r="B243" s="130">
        <v>14985867</v>
      </c>
      <c r="C243" s="130">
        <v>391739</v>
      </c>
      <c r="D243" s="130">
        <v>10803</v>
      </c>
      <c r="E243" s="132">
        <v>44746</v>
      </c>
      <c r="F243" s="130">
        <v>2730</v>
      </c>
      <c r="G243" s="130">
        <v>336221</v>
      </c>
      <c r="H243" s="129"/>
      <c r="I243" s="130">
        <v>2483</v>
      </c>
      <c r="J243" s="130">
        <v>139675</v>
      </c>
      <c r="K243" s="129">
        <v>81</v>
      </c>
      <c r="L243" s="131">
        <v>1928</v>
      </c>
    </row>
    <row r="244" spans="1:12" ht="14.7" thickBot="1" x14ac:dyDescent="0.6">
      <c r="A244" s="136">
        <v>44143</v>
      </c>
      <c r="B244" s="130">
        <v>15127811</v>
      </c>
      <c r="C244" s="130">
        <v>394255</v>
      </c>
      <c r="D244" s="130">
        <v>10887</v>
      </c>
      <c r="E244" s="132">
        <v>44746</v>
      </c>
      <c r="F244" s="130">
        <v>2740</v>
      </c>
      <c r="G244" s="130">
        <v>338239</v>
      </c>
      <c r="H244" s="129"/>
      <c r="I244" s="130">
        <v>2516</v>
      </c>
      <c r="J244" s="130">
        <v>141944</v>
      </c>
      <c r="K244" s="129">
        <v>84</v>
      </c>
      <c r="L244" s="131">
        <v>2018</v>
      </c>
    </row>
    <row r="245" spans="1:12" ht="14.7" thickBot="1" x14ac:dyDescent="0.6">
      <c r="A245" s="136">
        <v>44144</v>
      </c>
      <c r="B245" s="130">
        <v>15273222</v>
      </c>
      <c r="C245" s="130">
        <v>396831</v>
      </c>
      <c r="D245" s="130">
        <v>10972</v>
      </c>
      <c r="E245" s="132">
        <v>44596</v>
      </c>
      <c r="F245" s="130">
        <v>2867</v>
      </c>
      <c r="G245" s="130">
        <v>340286</v>
      </c>
      <c r="H245" s="129"/>
      <c r="I245" s="130">
        <v>2576</v>
      </c>
      <c r="J245" s="130">
        <v>145411</v>
      </c>
      <c r="K245" s="129">
        <v>85</v>
      </c>
      <c r="L245" s="131">
        <v>2047</v>
      </c>
    </row>
    <row r="246" spans="1:12" ht="14.7" thickBot="1" x14ac:dyDescent="0.6">
      <c r="A246" s="136">
        <v>44145</v>
      </c>
      <c r="B246" s="130">
        <v>15419420</v>
      </c>
      <c r="C246" s="130">
        <v>399360</v>
      </c>
      <c r="D246" s="130">
        <v>11059</v>
      </c>
      <c r="E246" s="129">
        <v>4.2</v>
      </c>
      <c r="F246" s="130">
        <v>3001</v>
      </c>
      <c r="G246" s="130">
        <v>342501</v>
      </c>
      <c r="H246" s="129"/>
      <c r="I246" s="130">
        <v>2529</v>
      </c>
      <c r="J246" s="130">
        <v>146198</v>
      </c>
      <c r="K246" s="129">
        <v>87</v>
      </c>
      <c r="L246" s="131">
        <v>2215</v>
      </c>
    </row>
    <row r="247" spans="1:12" ht="14.7" thickBot="1" x14ac:dyDescent="0.6">
      <c r="A247" s="136">
        <v>44146</v>
      </c>
      <c r="B247" s="130">
        <v>15565409</v>
      </c>
      <c r="C247" s="130">
        <v>402053</v>
      </c>
      <c r="D247" s="130">
        <v>11145</v>
      </c>
      <c r="E247" s="129">
        <v>4.2</v>
      </c>
      <c r="F247" s="130">
        <v>3095</v>
      </c>
      <c r="G247" s="130">
        <v>344613</v>
      </c>
      <c r="H247" s="129"/>
      <c r="I247" s="130">
        <v>2693</v>
      </c>
      <c r="J247" s="130">
        <v>145989</v>
      </c>
      <c r="K247" s="129">
        <v>86</v>
      </c>
      <c r="L247" s="131">
        <v>2112</v>
      </c>
    </row>
    <row r="248" spans="1:12" ht="14.7" thickBot="1" x14ac:dyDescent="0.6">
      <c r="A248" s="136">
        <v>44147</v>
      </c>
      <c r="B248" s="130">
        <v>15713891</v>
      </c>
      <c r="C248" s="130">
        <v>404894</v>
      </c>
      <c r="D248" s="130">
        <v>11233</v>
      </c>
      <c r="E248" s="129">
        <v>4.2</v>
      </c>
      <c r="F248" s="130">
        <v>3230</v>
      </c>
      <c r="G248" s="130">
        <v>346794</v>
      </c>
      <c r="H248" s="129"/>
      <c r="I248" s="130">
        <v>2841</v>
      </c>
      <c r="J248" s="130">
        <v>148482</v>
      </c>
      <c r="K248" s="129">
        <v>88</v>
      </c>
      <c r="L248" s="131">
        <v>2181</v>
      </c>
    </row>
    <row r="249" spans="1:12" ht="14.7" thickBot="1" x14ac:dyDescent="0.6">
      <c r="A249" s="136">
        <v>44148</v>
      </c>
      <c r="B249" s="130">
        <v>15863833</v>
      </c>
      <c r="C249" s="130">
        <v>407939</v>
      </c>
      <c r="D249" s="130">
        <v>11326</v>
      </c>
      <c r="E249" s="129">
        <v>4.2</v>
      </c>
      <c r="F249" s="130">
        <v>3356</v>
      </c>
      <c r="G249" s="130">
        <v>348804</v>
      </c>
      <c r="H249" s="129"/>
      <c r="I249" s="130">
        <v>3045</v>
      </c>
      <c r="J249" s="130">
        <v>149942</v>
      </c>
      <c r="K249" s="129">
        <v>93</v>
      </c>
      <c r="L249" s="131">
        <v>2010</v>
      </c>
    </row>
    <row r="250" spans="1:12" ht="14.7" thickBot="1" x14ac:dyDescent="0.6">
      <c r="A250" s="136">
        <v>44149</v>
      </c>
      <c r="B250" s="130">
        <v>16013974</v>
      </c>
      <c r="C250" s="130">
        <v>411055</v>
      </c>
      <c r="D250" s="130">
        <v>11418</v>
      </c>
      <c r="E250" s="129">
        <v>4.2</v>
      </c>
      <c r="F250" s="130">
        <v>3423</v>
      </c>
      <c r="G250" s="130">
        <v>351102</v>
      </c>
      <c r="H250" s="129"/>
      <c r="I250" s="130">
        <v>3116</v>
      </c>
      <c r="J250" s="130">
        <v>150141</v>
      </c>
      <c r="K250" s="129">
        <v>92</v>
      </c>
      <c r="L250" s="131">
        <v>2298</v>
      </c>
    </row>
    <row r="251" spans="1:12" ht="14.7" thickBot="1" x14ac:dyDescent="0.6">
      <c r="A251" s="136">
        <v>44150</v>
      </c>
      <c r="B251" s="130">
        <v>16156470</v>
      </c>
      <c r="C251" s="130">
        <v>414278</v>
      </c>
      <c r="D251" s="130">
        <v>11507</v>
      </c>
      <c r="E251" s="129">
        <v>4.2</v>
      </c>
      <c r="F251" s="130">
        <v>3439</v>
      </c>
      <c r="G251" s="130">
        <v>353663</v>
      </c>
      <c r="H251" s="129"/>
      <c r="I251" s="130">
        <v>3223</v>
      </c>
      <c r="J251" s="130">
        <v>142496</v>
      </c>
      <c r="K251" s="129">
        <v>89</v>
      </c>
      <c r="L251" s="131">
        <v>2561</v>
      </c>
    </row>
    <row r="252" spans="1:12" ht="14.7" thickBot="1" x14ac:dyDescent="0.6">
      <c r="A252" s="136">
        <v>44151</v>
      </c>
      <c r="B252" s="130">
        <v>16307986</v>
      </c>
      <c r="C252" s="130">
        <v>417594</v>
      </c>
      <c r="D252" s="130">
        <v>11601</v>
      </c>
      <c r="E252" s="129">
        <v>3.8</v>
      </c>
      <c r="F252" s="130">
        <v>3610</v>
      </c>
      <c r="G252" s="130">
        <v>356375</v>
      </c>
      <c r="H252" s="129"/>
      <c r="I252" s="130">
        <v>3316</v>
      </c>
      <c r="J252" s="130">
        <v>151516</v>
      </c>
      <c r="K252" s="129">
        <v>94</v>
      </c>
      <c r="L252" s="131">
        <v>2712</v>
      </c>
    </row>
    <row r="253" spans="1:12" ht="14.7" thickBot="1" x14ac:dyDescent="0.6">
      <c r="A253" s="136">
        <v>44152</v>
      </c>
      <c r="B253" s="130">
        <v>16464678</v>
      </c>
      <c r="C253" s="130">
        <v>421413</v>
      </c>
      <c r="D253" s="130">
        <v>11704</v>
      </c>
      <c r="E253" s="129">
        <v>3.8</v>
      </c>
      <c r="F253" s="130">
        <v>3657</v>
      </c>
      <c r="G253" s="130">
        <v>359063</v>
      </c>
      <c r="H253" s="129"/>
      <c r="I253" s="130">
        <v>3819</v>
      </c>
      <c r="J253" s="130">
        <v>156692</v>
      </c>
      <c r="K253" s="129">
        <v>103</v>
      </c>
      <c r="L253" s="131">
        <v>2688</v>
      </c>
    </row>
    <row r="254" spans="1:12" ht="14.7" thickBot="1" x14ac:dyDescent="0.6">
      <c r="A254" s="136">
        <v>44153</v>
      </c>
      <c r="B254" s="130">
        <v>16623489</v>
      </c>
      <c r="C254" s="130">
        <v>425628</v>
      </c>
      <c r="D254" s="130">
        <v>11820</v>
      </c>
      <c r="E254" s="129">
        <v>3.8</v>
      </c>
      <c r="F254" s="130">
        <v>3742</v>
      </c>
      <c r="G254" s="130">
        <v>361655</v>
      </c>
      <c r="H254" s="129"/>
      <c r="I254" s="130">
        <v>4215</v>
      </c>
      <c r="J254" s="130">
        <v>158811</v>
      </c>
      <c r="K254" s="129">
        <v>116</v>
      </c>
      <c r="L254" s="131">
        <v>2592</v>
      </c>
    </row>
    <row r="255" spans="1:12" ht="14.7" thickBot="1" x14ac:dyDescent="0.6">
      <c r="A255" s="136">
        <v>44154</v>
      </c>
      <c r="B255" s="130">
        <v>16781245</v>
      </c>
      <c r="C255" s="130">
        <v>430170</v>
      </c>
      <c r="D255" s="130">
        <v>11943</v>
      </c>
      <c r="E255" s="129">
        <v>3.8</v>
      </c>
      <c r="F255" s="130">
        <v>3850</v>
      </c>
      <c r="G255" s="130">
        <v>364573</v>
      </c>
      <c r="H255" s="129"/>
      <c r="I255" s="130">
        <v>4542</v>
      </c>
      <c r="J255" s="130">
        <v>157756</v>
      </c>
      <c r="K255" s="129">
        <v>123</v>
      </c>
      <c r="L255" s="131">
        <v>2918</v>
      </c>
    </row>
    <row r="256" spans="1:12" ht="14.7" thickBot="1" x14ac:dyDescent="0.6">
      <c r="A256" s="136">
        <v>44155</v>
      </c>
      <c r="B256" s="130">
        <v>16937887</v>
      </c>
      <c r="C256" s="130">
        <v>435273</v>
      </c>
      <c r="D256" s="130">
        <v>12084</v>
      </c>
      <c r="E256" s="129">
        <v>3.8</v>
      </c>
      <c r="F256" s="130">
        <v>3990</v>
      </c>
      <c r="G256" s="130">
        <v>367592</v>
      </c>
      <c r="H256" s="129"/>
      <c r="I256" s="130">
        <v>5103</v>
      </c>
      <c r="J256" s="130">
        <v>156642</v>
      </c>
      <c r="K256" s="129">
        <v>141</v>
      </c>
      <c r="L256" s="131">
        <v>3019</v>
      </c>
    </row>
    <row r="257" spans="1:12" ht="14.7" thickBot="1" x14ac:dyDescent="0.6">
      <c r="A257" s="136">
        <v>44156</v>
      </c>
      <c r="B257" s="130">
        <v>17090101</v>
      </c>
      <c r="C257" s="130">
        <v>440805</v>
      </c>
      <c r="D257" s="130">
        <v>12219</v>
      </c>
      <c r="E257" s="129">
        <v>3.8</v>
      </c>
      <c r="F257" s="130">
        <v>4121</v>
      </c>
      <c r="G257" s="130">
        <v>370825</v>
      </c>
      <c r="H257" s="129"/>
      <c r="I257" s="130">
        <v>5532</v>
      </c>
      <c r="J257" s="130">
        <v>152214</v>
      </c>
      <c r="K257" s="129">
        <v>135</v>
      </c>
      <c r="L257" s="131">
        <v>3233</v>
      </c>
    </row>
    <row r="258" spans="1:12" ht="14.7" thickBot="1" x14ac:dyDescent="0.6">
      <c r="A258" s="136">
        <v>44157</v>
      </c>
      <c r="B258" s="130">
        <v>17245617</v>
      </c>
      <c r="C258" s="130">
        <v>446822</v>
      </c>
      <c r="D258" s="130">
        <v>12358</v>
      </c>
      <c r="E258" s="129">
        <v>3.8</v>
      </c>
      <c r="F258" s="130">
        <v>4217</v>
      </c>
      <c r="G258" s="130">
        <v>374637</v>
      </c>
      <c r="H258" s="129"/>
      <c r="I258" s="130">
        <v>6017</v>
      </c>
      <c r="J258" s="130">
        <v>155516</v>
      </c>
      <c r="K258" s="129">
        <v>139</v>
      </c>
      <c r="L258" s="131">
        <v>3812</v>
      </c>
    </row>
    <row r="259" spans="1:12" ht="14.7" thickBot="1" x14ac:dyDescent="0.6">
      <c r="A259" s="136">
        <v>44158</v>
      </c>
      <c r="B259" s="130">
        <v>17406742</v>
      </c>
      <c r="C259" s="130">
        <v>453535</v>
      </c>
      <c r="D259" s="130">
        <v>12511</v>
      </c>
      <c r="E259" s="129">
        <v>3.4</v>
      </c>
      <c r="F259" s="130">
        <v>4409</v>
      </c>
      <c r="G259" s="130">
        <v>377891</v>
      </c>
      <c r="H259" s="129"/>
      <c r="I259" s="130">
        <v>6713</v>
      </c>
      <c r="J259" s="130">
        <v>161125</v>
      </c>
      <c r="K259" s="129">
        <v>153</v>
      </c>
      <c r="L259" s="131">
        <v>3254</v>
      </c>
    </row>
    <row r="260" spans="1:12" ht="14.7" thickBot="1" x14ac:dyDescent="0.6">
      <c r="A260" s="136">
        <v>44159</v>
      </c>
      <c r="B260" s="130">
        <v>17568973</v>
      </c>
      <c r="C260" s="130">
        <v>460916</v>
      </c>
      <c r="D260" s="130">
        <v>12672</v>
      </c>
      <c r="E260" s="129">
        <v>3.4</v>
      </c>
      <c r="F260" s="130">
        <v>4543</v>
      </c>
      <c r="G260" s="130">
        <v>381569</v>
      </c>
      <c r="H260" s="129"/>
      <c r="I260" s="130">
        <v>7381</v>
      </c>
      <c r="J260" s="130">
        <v>162231</v>
      </c>
      <c r="K260" s="129">
        <v>161</v>
      </c>
      <c r="L260" s="131">
        <v>3678</v>
      </c>
    </row>
    <row r="261" spans="1:12" ht="14.7" thickBot="1" x14ac:dyDescent="0.6">
      <c r="A261" s="136">
        <v>44160</v>
      </c>
      <c r="B261" s="130">
        <v>17733520</v>
      </c>
      <c r="C261" s="130">
        <v>467730</v>
      </c>
      <c r="D261" s="130">
        <v>12840</v>
      </c>
      <c r="E261" s="129">
        <v>3.4</v>
      </c>
      <c r="F261" s="130">
        <v>4641</v>
      </c>
      <c r="G261" s="130">
        <v>385480</v>
      </c>
      <c r="H261" s="139">
        <v>28351</v>
      </c>
      <c r="I261" s="130">
        <v>6814</v>
      </c>
      <c r="J261" s="130">
        <v>164547</v>
      </c>
      <c r="K261" s="129">
        <v>168</v>
      </c>
      <c r="L261" s="131">
        <v>3911</v>
      </c>
    </row>
    <row r="262" spans="1:12" ht="14.7" thickBot="1" x14ac:dyDescent="0.6">
      <c r="A262" s="136">
        <v>44161</v>
      </c>
      <c r="B262" s="130">
        <v>17901868</v>
      </c>
      <c r="C262" s="130">
        <v>474606</v>
      </c>
      <c r="D262" s="130">
        <v>13014</v>
      </c>
      <c r="E262" s="129">
        <v>3.4</v>
      </c>
      <c r="F262" s="130">
        <v>4711</v>
      </c>
      <c r="G262" s="130">
        <v>388771</v>
      </c>
      <c r="H262" s="139">
        <v>29132</v>
      </c>
      <c r="I262" s="130">
        <v>6876</v>
      </c>
      <c r="J262" s="130">
        <v>168348</v>
      </c>
      <c r="K262" s="129">
        <v>174</v>
      </c>
      <c r="L262" s="131">
        <v>3291</v>
      </c>
    </row>
    <row r="263" spans="1:12" ht="14.7" thickBot="1" x14ac:dyDescent="0.6">
      <c r="A263" s="136">
        <v>44162</v>
      </c>
      <c r="B263" s="130">
        <v>18072981</v>
      </c>
      <c r="C263" s="130">
        <v>481198</v>
      </c>
      <c r="D263" s="130">
        <v>13191</v>
      </c>
      <c r="E263" s="129">
        <v>3.4</v>
      </c>
      <c r="F263" s="130">
        <v>4816</v>
      </c>
      <c r="G263" s="130">
        <v>392616</v>
      </c>
      <c r="H263" s="139">
        <v>29845</v>
      </c>
      <c r="I263" s="130">
        <v>6592</v>
      </c>
      <c r="J263" s="130">
        <v>171113</v>
      </c>
      <c r="K263" s="129">
        <v>177</v>
      </c>
      <c r="L263" s="131">
        <v>3845</v>
      </c>
    </row>
    <row r="264" spans="1:12" ht="14.7" thickBot="1" x14ac:dyDescent="0.6">
      <c r="A264" s="136">
        <v>44163</v>
      </c>
      <c r="B264" s="130">
        <v>18247424</v>
      </c>
      <c r="C264" s="130">
        <v>487912</v>
      </c>
      <c r="D264" s="130">
        <v>13373</v>
      </c>
      <c r="E264" s="129">
        <v>3.4</v>
      </c>
      <c r="F264" s="130">
        <v>4903</v>
      </c>
      <c r="G264" s="130">
        <v>396227</v>
      </c>
      <c r="H264" s="139">
        <v>30103</v>
      </c>
      <c r="I264" s="130">
        <v>6714</v>
      </c>
      <c r="J264" s="130">
        <v>174443</v>
      </c>
      <c r="K264" s="129">
        <v>182</v>
      </c>
      <c r="L264" s="131">
        <v>3611</v>
      </c>
    </row>
    <row r="265" spans="1:12" ht="14.7" thickBot="1" x14ac:dyDescent="0.6">
      <c r="A265" s="136">
        <v>44164</v>
      </c>
      <c r="B265" s="130">
        <v>18415636</v>
      </c>
      <c r="C265" s="130">
        <v>494351</v>
      </c>
      <c r="D265" s="130">
        <v>13558</v>
      </c>
      <c r="E265" s="129">
        <v>3.4</v>
      </c>
      <c r="F265" s="130">
        <v>5011</v>
      </c>
      <c r="G265" s="130">
        <v>400242</v>
      </c>
      <c r="H265" s="139">
        <v>29281</v>
      </c>
      <c r="I265" s="130">
        <v>6439</v>
      </c>
      <c r="J265" s="130">
        <v>168212</v>
      </c>
      <c r="K265" s="129">
        <v>185</v>
      </c>
      <c r="L265" s="131">
        <v>4015</v>
      </c>
    </row>
    <row r="266" spans="1:12" ht="14.7" thickBot="1" x14ac:dyDescent="0.6">
      <c r="A266" s="136">
        <v>44165</v>
      </c>
      <c r="B266" s="130">
        <v>18592292</v>
      </c>
      <c r="C266" s="130">
        <v>500865</v>
      </c>
      <c r="D266" s="130">
        <v>13746</v>
      </c>
      <c r="E266" s="129">
        <v>3.4</v>
      </c>
      <c r="F266" s="130">
        <v>5190</v>
      </c>
      <c r="G266" s="130">
        <v>404727</v>
      </c>
      <c r="H266" s="139">
        <v>31219</v>
      </c>
      <c r="I266" s="130">
        <v>6514</v>
      </c>
      <c r="J266" s="130">
        <v>176656</v>
      </c>
      <c r="K266" s="129">
        <v>188</v>
      </c>
      <c r="L266" s="131">
        <v>4485</v>
      </c>
    </row>
    <row r="267" spans="1:12" ht="14.7" thickBot="1" x14ac:dyDescent="0.6">
      <c r="A267" s="136">
        <v>44166</v>
      </c>
      <c r="B267" s="130">
        <v>18772604</v>
      </c>
      <c r="C267" s="130">
        <v>506966</v>
      </c>
      <c r="D267" s="130">
        <v>13936</v>
      </c>
      <c r="E267" s="129">
        <v>3.3</v>
      </c>
      <c r="F267" s="130">
        <v>5303</v>
      </c>
      <c r="G267" s="130">
        <v>409320</v>
      </c>
      <c r="H267" s="139">
        <v>30110</v>
      </c>
      <c r="I267" s="130">
        <v>6101</v>
      </c>
      <c r="J267" s="130">
        <v>180312</v>
      </c>
      <c r="K267" s="129">
        <v>190</v>
      </c>
      <c r="L267" s="131">
        <v>4593</v>
      </c>
    </row>
    <row r="268" spans="1:12" ht="14.7" thickBot="1" x14ac:dyDescent="0.6">
      <c r="A268" s="136">
        <v>44167</v>
      </c>
      <c r="B268" s="130">
        <v>18956228</v>
      </c>
      <c r="C268" s="130">
        <v>513656</v>
      </c>
      <c r="D268" s="130">
        <v>14129</v>
      </c>
      <c r="E268" s="129">
        <v>3.3</v>
      </c>
      <c r="F268" s="130">
        <v>5502</v>
      </c>
      <c r="G268" s="130">
        <v>414141</v>
      </c>
      <c r="H268" s="139">
        <v>31923</v>
      </c>
      <c r="I268" s="130">
        <v>6690</v>
      </c>
      <c r="J268" s="130">
        <v>183624</v>
      </c>
      <c r="K268" s="129">
        <v>193</v>
      </c>
      <c r="L268" s="131">
        <v>4821</v>
      </c>
    </row>
    <row r="269" spans="1:12" ht="14.7" thickBot="1" x14ac:dyDescent="0.6">
      <c r="A269" s="136">
        <v>44168</v>
      </c>
      <c r="B269" s="130">
        <v>19143746</v>
      </c>
      <c r="C269" s="130">
        <v>520167</v>
      </c>
      <c r="D269" s="130">
        <v>14316</v>
      </c>
      <c r="E269" s="129">
        <v>3.3</v>
      </c>
      <c r="F269" s="130">
        <v>5611</v>
      </c>
      <c r="G269" s="130">
        <v>418331</v>
      </c>
      <c r="H269" s="139">
        <v>32381</v>
      </c>
      <c r="I269" s="130">
        <v>6511</v>
      </c>
      <c r="J269" s="130">
        <v>187518</v>
      </c>
      <c r="K269" s="129">
        <v>187</v>
      </c>
      <c r="L269" s="131">
        <v>4190</v>
      </c>
    </row>
    <row r="270" spans="1:12" ht="14.7" thickBot="1" x14ac:dyDescent="0.6">
      <c r="A270" s="136">
        <v>44169</v>
      </c>
      <c r="B270" s="130">
        <v>19338181</v>
      </c>
      <c r="C270" s="130">
        <v>527070</v>
      </c>
      <c r="D270" s="130">
        <v>14509</v>
      </c>
      <c r="E270" s="129">
        <v>3.3</v>
      </c>
      <c r="F270" s="130">
        <v>5703</v>
      </c>
      <c r="G270" s="130">
        <v>423142</v>
      </c>
      <c r="H270" s="139">
        <v>32736</v>
      </c>
      <c r="I270" s="130">
        <v>6903</v>
      </c>
      <c r="J270" s="130">
        <v>194435</v>
      </c>
      <c r="K270" s="129">
        <v>193</v>
      </c>
      <c r="L270" s="131">
        <v>4811</v>
      </c>
    </row>
    <row r="271" spans="1:12" ht="14.7" thickBot="1" x14ac:dyDescent="0.6">
      <c r="A271" s="136">
        <v>44170</v>
      </c>
      <c r="B271" s="130">
        <v>19517084</v>
      </c>
      <c r="C271" s="130">
        <v>533198</v>
      </c>
      <c r="D271" s="130">
        <v>14705</v>
      </c>
      <c r="E271" s="129">
        <v>3.3</v>
      </c>
      <c r="F271" s="130">
        <v>5800</v>
      </c>
      <c r="G271" s="130">
        <v>427242</v>
      </c>
      <c r="H271" s="139">
        <v>31896</v>
      </c>
      <c r="I271" s="130">
        <v>6128</v>
      </c>
      <c r="J271" s="130">
        <v>178903</v>
      </c>
      <c r="K271" s="129">
        <v>196</v>
      </c>
      <c r="L271" s="131">
        <v>4100</v>
      </c>
    </row>
    <row r="272" spans="1:12" ht="14.7" thickBot="1" x14ac:dyDescent="0.6">
      <c r="A272" s="136">
        <v>44171</v>
      </c>
      <c r="B272" s="130">
        <v>19691845</v>
      </c>
      <c r="C272" s="130">
        <v>539291</v>
      </c>
      <c r="D272" s="130">
        <v>14900</v>
      </c>
      <c r="E272" s="129">
        <v>3.3</v>
      </c>
      <c r="F272" s="130">
        <v>5805</v>
      </c>
      <c r="G272" s="130">
        <v>431253</v>
      </c>
      <c r="H272" s="139">
        <v>30402</v>
      </c>
      <c r="I272" s="130">
        <v>6093</v>
      </c>
      <c r="J272" s="130">
        <v>174761</v>
      </c>
      <c r="K272" s="129">
        <v>195</v>
      </c>
      <c r="L272" s="131">
        <v>4011</v>
      </c>
    </row>
    <row r="273" spans="1:12" ht="14.7" thickBot="1" x14ac:dyDescent="0.6">
      <c r="A273" s="136">
        <v>44172</v>
      </c>
      <c r="B273" s="130">
        <v>19888747</v>
      </c>
      <c r="C273" s="130">
        <v>545711</v>
      </c>
      <c r="D273" s="130">
        <v>15103</v>
      </c>
      <c r="E273" s="129">
        <v>3.1</v>
      </c>
      <c r="F273" s="130">
        <v>5836</v>
      </c>
      <c r="G273" s="130">
        <v>436270</v>
      </c>
      <c r="H273" s="139">
        <v>32137</v>
      </c>
      <c r="I273" s="130">
        <v>6420</v>
      </c>
      <c r="J273" s="130">
        <v>196902</v>
      </c>
      <c r="K273" s="129">
        <v>203</v>
      </c>
      <c r="L273" s="131">
        <v>5017</v>
      </c>
    </row>
    <row r="274" spans="1:12" ht="14.7" thickBot="1" x14ac:dyDescent="0.6">
      <c r="A274" s="136">
        <v>44173</v>
      </c>
      <c r="B274" s="130">
        <v>20089966</v>
      </c>
      <c r="C274" s="130">
        <v>552304</v>
      </c>
      <c r="D274" s="130">
        <v>15314</v>
      </c>
      <c r="E274" s="129">
        <v>3.1</v>
      </c>
      <c r="F274" s="130">
        <v>5882</v>
      </c>
      <c r="G274" s="130">
        <v>441515</v>
      </c>
      <c r="H274" s="139">
        <v>33198</v>
      </c>
      <c r="I274" s="130">
        <v>6593</v>
      </c>
      <c r="J274" s="130">
        <v>201219</v>
      </c>
      <c r="K274" s="129">
        <v>211</v>
      </c>
      <c r="L274" s="131">
        <v>5245</v>
      </c>
    </row>
    <row r="275" spans="1:12" ht="14.7" thickBot="1" x14ac:dyDescent="0.6">
      <c r="A275" s="136">
        <v>44174</v>
      </c>
      <c r="B275" s="130">
        <v>20294377</v>
      </c>
      <c r="C275" s="130">
        <v>558517</v>
      </c>
      <c r="D275" s="130">
        <v>15531</v>
      </c>
      <c r="E275" s="129">
        <v>3.1</v>
      </c>
      <c r="F275" s="130">
        <v>5901</v>
      </c>
      <c r="G275" s="130">
        <v>447361</v>
      </c>
      <c r="H275" s="139">
        <v>31712</v>
      </c>
      <c r="I275" s="130">
        <v>6213</v>
      </c>
      <c r="J275" s="130">
        <v>204411</v>
      </c>
      <c r="K275" s="129">
        <v>217</v>
      </c>
      <c r="L275" s="131">
        <v>5846</v>
      </c>
    </row>
    <row r="276" spans="1:12" ht="14.7" thickBot="1" x14ac:dyDescent="0.6">
      <c r="A276" s="136">
        <v>44175</v>
      </c>
      <c r="B276" s="130">
        <v>20500579</v>
      </c>
      <c r="C276" s="130">
        <v>1748567</v>
      </c>
      <c r="D276" s="130">
        <v>15751</v>
      </c>
      <c r="E276" s="129">
        <v>3.1</v>
      </c>
      <c r="F276" s="130">
        <v>5943</v>
      </c>
      <c r="G276" s="130">
        <v>452593</v>
      </c>
      <c r="H276" s="139">
        <v>30424</v>
      </c>
      <c r="I276" s="130">
        <v>5918</v>
      </c>
      <c r="J276" s="130">
        <v>206202</v>
      </c>
      <c r="K276" s="129">
        <v>220</v>
      </c>
      <c r="L276" s="131">
        <v>5232</v>
      </c>
    </row>
    <row r="277" spans="1:12" ht="14.7" thickBot="1" x14ac:dyDescent="0.6">
      <c r="A277" s="136">
        <v>44176</v>
      </c>
      <c r="B277" s="130">
        <v>20709452</v>
      </c>
      <c r="C277" s="130">
        <v>1780673</v>
      </c>
      <c r="D277" s="130">
        <v>15977</v>
      </c>
      <c r="E277" s="129">
        <v>3.1</v>
      </c>
      <c r="F277" s="130">
        <v>5952</v>
      </c>
      <c r="G277" s="130">
        <v>458109</v>
      </c>
      <c r="H277" s="139">
        <v>32106</v>
      </c>
      <c r="I277" s="130">
        <v>5607</v>
      </c>
      <c r="J277" s="130">
        <v>208873</v>
      </c>
      <c r="K277" s="129">
        <v>226</v>
      </c>
      <c r="L277" s="131">
        <v>5516</v>
      </c>
    </row>
    <row r="278" spans="1:12" ht="14.7" thickBot="1" x14ac:dyDescent="0.6">
      <c r="A278" s="136">
        <v>44177</v>
      </c>
      <c r="B278" s="130">
        <v>20898517</v>
      </c>
      <c r="C278" s="130">
        <v>1809809</v>
      </c>
      <c r="D278" s="130">
        <v>16199</v>
      </c>
      <c r="E278" s="129">
        <v>3.1</v>
      </c>
      <c r="F278" s="130">
        <v>5961</v>
      </c>
      <c r="G278" s="130">
        <v>1581565</v>
      </c>
      <c r="H278" s="139">
        <v>29136</v>
      </c>
      <c r="I278" s="130">
        <v>5203</v>
      </c>
      <c r="J278" s="130">
        <v>189065</v>
      </c>
      <c r="K278" s="129">
        <v>222</v>
      </c>
      <c r="L278" s="131">
        <v>20191</v>
      </c>
    </row>
    <row r="279" spans="1:12" ht="14.7" thickBot="1" x14ac:dyDescent="0.6">
      <c r="A279" s="136">
        <v>44178</v>
      </c>
      <c r="B279" s="130">
        <v>21079716</v>
      </c>
      <c r="C279" s="130">
        <v>1836728</v>
      </c>
      <c r="D279" s="130">
        <v>16417</v>
      </c>
      <c r="E279" s="129">
        <v>3.1</v>
      </c>
      <c r="F279" s="130">
        <v>5973</v>
      </c>
      <c r="G279" s="130">
        <v>1603780</v>
      </c>
      <c r="H279" s="139">
        <v>26919</v>
      </c>
      <c r="I279" s="130">
        <v>5103</v>
      </c>
      <c r="J279" s="130">
        <v>181199</v>
      </c>
      <c r="K279" s="129">
        <v>218</v>
      </c>
      <c r="L279" s="131">
        <v>22215</v>
      </c>
    </row>
    <row r="280" spans="1:12" ht="14.7" thickBot="1" x14ac:dyDescent="0.6">
      <c r="A280" s="136">
        <v>44179</v>
      </c>
      <c r="B280" s="130">
        <v>21284005</v>
      </c>
      <c r="C280" s="130">
        <v>1866345</v>
      </c>
      <c r="D280" s="130">
        <v>16646</v>
      </c>
      <c r="E280" s="129">
        <v>2.9</v>
      </c>
      <c r="F280" s="130">
        <v>5980</v>
      </c>
      <c r="G280" s="130">
        <v>1631944</v>
      </c>
      <c r="H280" s="139">
        <v>29617</v>
      </c>
      <c r="I280" s="130">
        <v>5064</v>
      </c>
      <c r="J280" s="130">
        <v>204289</v>
      </c>
      <c r="K280" s="129">
        <v>229</v>
      </c>
      <c r="L280" s="131">
        <v>28164</v>
      </c>
    </row>
    <row r="281" spans="1:12" ht="14.7" thickBot="1" x14ac:dyDescent="0.6">
      <c r="A281" s="136">
        <v>44180</v>
      </c>
      <c r="B281" s="130">
        <v>21490195</v>
      </c>
      <c r="C281" s="130">
        <v>1898447</v>
      </c>
      <c r="D281" s="130">
        <v>16881</v>
      </c>
      <c r="E281" s="129">
        <v>2.9</v>
      </c>
      <c r="F281" s="130">
        <v>5988</v>
      </c>
      <c r="G281" s="130">
        <v>1661191</v>
      </c>
      <c r="H281" s="139">
        <v>32102</v>
      </c>
      <c r="I281" s="130">
        <v>5105</v>
      </c>
      <c r="J281" s="130">
        <v>206190</v>
      </c>
      <c r="K281" s="129">
        <v>235</v>
      </c>
      <c r="L281" s="131">
        <v>29247</v>
      </c>
    </row>
    <row r="282" spans="1:12" ht="14.7" thickBot="1" x14ac:dyDescent="0.6">
      <c r="A282" s="136">
        <v>44181</v>
      </c>
      <c r="B282" s="130">
        <v>21695592</v>
      </c>
      <c r="C282" s="130">
        <v>1928165</v>
      </c>
      <c r="D282" s="130">
        <v>17121</v>
      </c>
      <c r="E282" s="129">
        <v>2.9</v>
      </c>
      <c r="F282" s="130">
        <v>5960</v>
      </c>
      <c r="G282" s="130">
        <v>1691113</v>
      </c>
      <c r="H282" s="139">
        <v>29718</v>
      </c>
      <c r="I282" s="130">
        <v>4893</v>
      </c>
      <c r="J282" s="130">
        <v>205397</v>
      </c>
      <c r="K282" s="129">
        <v>240</v>
      </c>
      <c r="L282" s="131">
        <v>29922</v>
      </c>
    </row>
    <row r="283" spans="1:12" ht="14.7" thickBot="1" x14ac:dyDescent="0.6">
      <c r="A283" s="136">
        <v>44182</v>
      </c>
      <c r="B283" s="130">
        <v>21901694</v>
      </c>
      <c r="C283" s="130">
        <v>1955680</v>
      </c>
      <c r="D283" s="130">
        <v>17364</v>
      </c>
      <c r="E283" s="129">
        <v>2.9</v>
      </c>
      <c r="F283" s="130">
        <v>5803</v>
      </c>
      <c r="G283" s="130">
        <v>1721607</v>
      </c>
      <c r="H283" s="139">
        <v>27515</v>
      </c>
      <c r="I283" s="130">
        <v>4209</v>
      </c>
      <c r="J283" s="130">
        <v>206102</v>
      </c>
      <c r="K283" s="129">
        <v>243</v>
      </c>
      <c r="L283" s="131">
        <v>30494</v>
      </c>
    </row>
    <row r="284" spans="1:12" ht="14.7" thickBot="1" x14ac:dyDescent="0.6">
      <c r="A284" s="136">
        <v>44183</v>
      </c>
      <c r="B284" s="130">
        <v>22107503</v>
      </c>
      <c r="C284" s="130">
        <v>1982090</v>
      </c>
      <c r="D284" s="130">
        <v>17610</v>
      </c>
      <c r="E284" s="129">
        <v>2.9</v>
      </c>
      <c r="F284" s="130">
        <v>5707</v>
      </c>
      <c r="G284" s="130">
        <v>1753552</v>
      </c>
      <c r="H284" s="139">
        <v>26410</v>
      </c>
      <c r="I284" s="130">
        <v>4103</v>
      </c>
      <c r="J284" s="130">
        <v>205809</v>
      </c>
      <c r="K284" s="129">
        <v>246</v>
      </c>
      <c r="L284" s="131">
        <v>31945</v>
      </c>
    </row>
    <row r="285" spans="1:12" ht="14.7" thickBot="1" x14ac:dyDescent="0.6">
      <c r="A285" s="136">
        <v>44184</v>
      </c>
      <c r="B285" s="130">
        <v>22280635</v>
      </c>
      <c r="C285" s="130">
        <v>2004285</v>
      </c>
      <c r="D285" s="130">
        <v>17851</v>
      </c>
      <c r="E285" s="129">
        <v>2.9</v>
      </c>
      <c r="F285" s="130">
        <v>5501</v>
      </c>
      <c r="G285" s="130">
        <v>1779068</v>
      </c>
      <c r="H285" s="139">
        <v>22195</v>
      </c>
      <c r="I285" s="130">
        <v>4002</v>
      </c>
      <c r="J285" s="130">
        <v>173132</v>
      </c>
      <c r="K285" s="129">
        <v>241</v>
      </c>
      <c r="L285" s="131">
        <v>25516</v>
      </c>
    </row>
    <row r="286" spans="1:12" ht="14.7" thickBot="1" x14ac:dyDescent="0.6">
      <c r="A286" s="136">
        <v>44185</v>
      </c>
      <c r="B286" s="130">
        <v>22439527</v>
      </c>
      <c r="C286" s="130">
        <v>2024601</v>
      </c>
      <c r="D286" s="130">
        <v>18097</v>
      </c>
      <c r="E286" s="129">
        <v>2.9</v>
      </c>
      <c r="F286" s="130">
        <v>5347</v>
      </c>
      <c r="G286" s="130">
        <v>1800286</v>
      </c>
      <c r="H286" s="139">
        <v>20316</v>
      </c>
      <c r="I286" s="130">
        <v>3546</v>
      </c>
      <c r="J286" s="130">
        <v>158892</v>
      </c>
      <c r="K286" s="129">
        <v>246</v>
      </c>
      <c r="L286" s="131">
        <v>21218</v>
      </c>
    </row>
    <row r="287" spans="1:12" ht="14.7" thickBot="1" x14ac:dyDescent="0.6">
      <c r="A287" s="136">
        <v>44186</v>
      </c>
      <c r="B287" s="130">
        <v>22635637</v>
      </c>
      <c r="C287" s="130">
        <v>2043704</v>
      </c>
      <c r="D287" s="130">
        <v>18351</v>
      </c>
      <c r="E287" s="129">
        <v>4.0999999999999996</v>
      </c>
      <c r="F287" s="130">
        <v>5192</v>
      </c>
      <c r="G287" s="130">
        <v>1834705</v>
      </c>
      <c r="H287" s="139">
        <v>19103</v>
      </c>
      <c r="I287" s="130">
        <v>3412</v>
      </c>
      <c r="J287" s="130">
        <v>196110</v>
      </c>
      <c r="K287" s="129">
        <v>254</v>
      </c>
      <c r="L287" s="131">
        <v>34419</v>
      </c>
    </row>
    <row r="288" spans="1:12" ht="14.7" thickBot="1" x14ac:dyDescent="0.6">
      <c r="A288" s="136">
        <v>44187</v>
      </c>
      <c r="B288" s="130">
        <v>22827953</v>
      </c>
      <c r="C288" s="130">
        <v>2062960</v>
      </c>
      <c r="D288" s="130">
        <v>18602</v>
      </c>
      <c r="E288" s="129">
        <v>4.0999999999999996</v>
      </c>
      <c r="F288" s="130">
        <v>5008</v>
      </c>
      <c r="G288" s="130">
        <v>1866815</v>
      </c>
      <c r="H288" s="139">
        <v>19256</v>
      </c>
      <c r="I288" s="130">
        <v>3309</v>
      </c>
      <c r="J288" s="130">
        <v>192316</v>
      </c>
      <c r="K288" s="129">
        <v>251</v>
      </c>
      <c r="L288" s="131">
        <v>32110</v>
      </c>
    </row>
    <row r="289" spans="1:12" ht="14.7" thickBot="1" x14ac:dyDescent="0.6">
      <c r="A289" s="136">
        <v>44188</v>
      </c>
      <c r="B289" s="130">
        <v>23030162</v>
      </c>
      <c r="C289" s="130">
        <v>2082610</v>
      </c>
      <c r="D289" s="130">
        <v>18861</v>
      </c>
      <c r="E289" s="129">
        <v>4.0999999999999996</v>
      </c>
      <c r="F289" s="130">
        <v>4901</v>
      </c>
      <c r="G289" s="130">
        <v>1901307</v>
      </c>
      <c r="H289" s="139">
        <v>19650</v>
      </c>
      <c r="I289" s="130">
        <v>3192</v>
      </c>
      <c r="J289" s="130">
        <v>202209</v>
      </c>
      <c r="K289" s="129">
        <v>259</v>
      </c>
      <c r="L289" s="131">
        <v>34492</v>
      </c>
    </row>
    <row r="290" spans="1:12" ht="14.7" thickBot="1" x14ac:dyDescent="0.6">
      <c r="A290" s="136">
        <v>44189</v>
      </c>
      <c r="B290" s="130">
        <v>23225837</v>
      </c>
      <c r="C290" s="130">
        <v>2100712</v>
      </c>
      <c r="D290" s="130">
        <v>19115</v>
      </c>
      <c r="E290" s="129">
        <v>4.0999999999999996</v>
      </c>
      <c r="F290" s="130">
        <v>4805</v>
      </c>
      <c r="G290" s="130">
        <v>1935292</v>
      </c>
      <c r="H290" s="139">
        <v>18102</v>
      </c>
      <c r="I290" s="130">
        <v>3218</v>
      </c>
      <c r="J290" s="130">
        <v>195675</v>
      </c>
      <c r="K290" s="129">
        <v>254</v>
      </c>
      <c r="L290" s="131">
        <v>33985</v>
      </c>
    </row>
    <row r="291" spans="1:12" ht="14.7" thickBot="1" x14ac:dyDescent="0.6">
      <c r="A291" s="136">
        <v>44190</v>
      </c>
      <c r="B291" s="130">
        <v>23426941</v>
      </c>
      <c r="C291" s="130">
        <v>2118255</v>
      </c>
      <c r="D291" s="130">
        <v>19371</v>
      </c>
      <c r="E291" s="129">
        <v>4.0999999999999996</v>
      </c>
      <c r="F291" s="130">
        <v>4702</v>
      </c>
      <c r="G291" s="130">
        <v>1970803</v>
      </c>
      <c r="H291" s="139">
        <v>17543</v>
      </c>
      <c r="I291" s="130">
        <v>3199</v>
      </c>
      <c r="J291" s="130">
        <v>201104</v>
      </c>
      <c r="K291" s="129">
        <v>256</v>
      </c>
      <c r="L291" s="131">
        <v>35511</v>
      </c>
    </row>
    <row r="292" spans="1:12" ht="14.7" thickBot="1" x14ac:dyDescent="0.6">
      <c r="A292" s="136">
        <v>44191</v>
      </c>
      <c r="B292" s="130">
        <v>23605813</v>
      </c>
      <c r="C292" s="130">
        <v>2133373</v>
      </c>
      <c r="D292" s="130">
        <v>19624</v>
      </c>
      <c r="E292" s="129">
        <v>4.0999999999999996</v>
      </c>
      <c r="F292" s="130">
        <v>4501</v>
      </c>
      <c r="G292" s="130">
        <v>1994034</v>
      </c>
      <c r="H292" s="139">
        <v>15118</v>
      </c>
      <c r="I292" s="130">
        <v>3002</v>
      </c>
      <c r="J292" s="130">
        <v>178872</v>
      </c>
      <c r="K292" s="129">
        <v>253</v>
      </c>
      <c r="L292" s="131">
        <v>23231</v>
      </c>
    </row>
    <row r="293" spans="1:12" ht="14.7" thickBot="1" x14ac:dyDescent="0.6">
      <c r="A293" s="136">
        <v>44192</v>
      </c>
      <c r="B293" s="130">
        <v>23777926</v>
      </c>
      <c r="C293" s="130">
        <v>2147578</v>
      </c>
      <c r="D293" s="130">
        <v>19878</v>
      </c>
      <c r="E293" s="129">
        <v>4.0999999999999996</v>
      </c>
      <c r="F293" s="130">
        <v>4309</v>
      </c>
      <c r="G293" s="130">
        <v>2015230</v>
      </c>
      <c r="H293" s="139">
        <v>14205</v>
      </c>
      <c r="I293" s="130">
        <v>2806</v>
      </c>
      <c r="J293" s="130">
        <v>172113</v>
      </c>
      <c r="K293" s="129">
        <v>254</v>
      </c>
      <c r="L293" s="131">
        <v>21196</v>
      </c>
    </row>
    <row r="294" spans="1:12" ht="14.7" thickBot="1" x14ac:dyDescent="0.6">
      <c r="A294" s="136">
        <v>44193</v>
      </c>
      <c r="B294" s="130">
        <v>23958818</v>
      </c>
      <c r="C294" s="130">
        <v>2162775</v>
      </c>
      <c r="D294" s="130">
        <v>20135</v>
      </c>
      <c r="E294" s="129">
        <v>3.8</v>
      </c>
      <c r="F294" s="130">
        <v>4251</v>
      </c>
      <c r="G294" s="130">
        <v>2037433</v>
      </c>
      <c r="H294" s="139">
        <v>15197</v>
      </c>
      <c r="I294" s="130">
        <v>2816</v>
      </c>
      <c r="J294" s="130">
        <v>180892</v>
      </c>
      <c r="K294" s="129">
        <v>257</v>
      </c>
      <c r="L294" s="131">
        <v>22203</v>
      </c>
    </row>
    <row r="295" spans="1:12" ht="14.7" thickBot="1" x14ac:dyDescent="0.6">
      <c r="A295" s="136">
        <v>44194</v>
      </c>
      <c r="B295" s="130">
        <v>24141935</v>
      </c>
      <c r="C295" s="130">
        <v>2178580</v>
      </c>
      <c r="D295" s="130">
        <v>20388</v>
      </c>
      <c r="E295" s="129">
        <v>3.8</v>
      </c>
      <c r="F295" s="130">
        <v>4191</v>
      </c>
      <c r="G295" s="130">
        <v>2058437</v>
      </c>
      <c r="H295" s="139">
        <v>15805</v>
      </c>
      <c r="I295" s="130">
        <v>2783</v>
      </c>
      <c r="J295" s="130">
        <v>183117</v>
      </c>
      <c r="K295" s="129">
        <v>253</v>
      </c>
      <c r="L295" s="131">
        <v>21004</v>
      </c>
    </row>
    <row r="296" spans="1:12" ht="14.7" thickBot="1" x14ac:dyDescent="0.6">
      <c r="A296" s="136">
        <v>44195</v>
      </c>
      <c r="B296" s="130">
        <v>24326350</v>
      </c>
      <c r="C296" s="130">
        <v>2194272</v>
      </c>
      <c r="D296" s="130">
        <v>20642</v>
      </c>
      <c r="E296" s="129">
        <v>3.8</v>
      </c>
      <c r="F296" s="130">
        <v>4098</v>
      </c>
      <c r="G296" s="130">
        <v>2078629</v>
      </c>
      <c r="H296" s="139">
        <v>15692</v>
      </c>
      <c r="I296" s="130">
        <v>2612</v>
      </c>
      <c r="J296" s="130">
        <v>184415</v>
      </c>
      <c r="K296" s="129">
        <v>254</v>
      </c>
      <c r="L296" s="131">
        <v>20192</v>
      </c>
    </row>
    <row r="297" spans="1:12" ht="14.7" thickBot="1" x14ac:dyDescent="0.6">
      <c r="A297" s="136">
        <v>44196</v>
      </c>
      <c r="B297" s="130">
        <v>24504567</v>
      </c>
      <c r="C297" s="130">
        <v>2208652</v>
      </c>
      <c r="D297" s="130">
        <v>20881</v>
      </c>
      <c r="E297" s="129">
        <v>3.8</v>
      </c>
      <c r="F297" s="130">
        <v>3918</v>
      </c>
      <c r="G297" s="130">
        <v>2100650</v>
      </c>
      <c r="H297" s="139">
        <v>14380</v>
      </c>
      <c r="I297" s="130">
        <v>2219</v>
      </c>
      <c r="J297" s="130">
        <v>178217</v>
      </c>
      <c r="K297" s="129">
        <v>239</v>
      </c>
      <c r="L297" s="131">
        <v>22021</v>
      </c>
    </row>
    <row r="298" spans="1:12" ht="14.7" thickBot="1" x14ac:dyDescent="0.6">
      <c r="A298" s="136">
        <v>44197</v>
      </c>
      <c r="B298" s="130">
        <v>24662670</v>
      </c>
      <c r="C298" s="130">
        <v>2220855</v>
      </c>
      <c r="D298" s="130">
        <v>21093</v>
      </c>
      <c r="E298" s="129">
        <v>3.8</v>
      </c>
      <c r="F298" s="130">
        <v>3891</v>
      </c>
      <c r="G298" s="130">
        <v>2114760</v>
      </c>
      <c r="H298" s="139">
        <v>12203</v>
      </c>
      <c r="I298" s="130">
        <v>1908</v>
      </c>
      <c r="J298" s="130">
        <v>158103</v>
      </c>
      <c r="K298" s="129">
        <v>212</v>
      </c>
      <c r="L298" s="131">
        <v>14110</v>
      </c>
    </row>
    <row r="299" spans="1:12" ht="14.7" thickBot="1" x14ac:dyDescent="0.6">
      <c r="A299" s="136">
        <v>44198</v>
      </c>
      <c r="B299" s="130">
        <v>24811888</v>
      </c>
      <c r="C299" s="130">
        <v>2232035</v>
      </c>
      <c r="D299" s="130">
        <v>21295</v>
      </c>
      <c r="E299" s="129">
        <v>3.8</v>
      </c>
      <c r="F299" s="130">
        <v>3764</v>
      </c>
      <c r="G299" s="130">
        <v>2126432</v>
      </c>
      <c r="H299" s="139">
        <v>11180</v>
      </c>
      <c r="I299" s="130">
        <v>1713</v>
      </c>
      <c r="J299" s="130">
        <v>149218</v>
      </c>
      <c r="K299" s="129">
        <v>202</v>
      </c>
      <c r="L299" s="131">
        <v>11672</v>
      </c>
    </row>
    <row r="300" spans="1:12" ht="14.7" thickBot="1" x14ac:dyDescent="0.6">
      <c r="A300" s="136">
        <v>44199</v>
      </c>
      <c r="B300" s="130">
        <v>24950829</v>
      </c>
      <c r="C300" s="130">
        <v>2241912</v>
      </c>
      <c r="D300" s="130">
        <v>21488</v>
      </c>
      <c r="E300" s="129">
        <v>3.8</v>
      </c>
      <c r="F300" s="130">
        <v>3612</v>
      </c>
      <c r="G300" s="130">
        <v>2136534</v>
      </c>
      <c r="H300" s="139">
        <v>9877</v>
      </c>
      <c r="I300" s="130">
        <v>1515</v>
      </c>
      <c r="J300" s="130">
        <v>138941</v>
      </c>
      <c r="K300" s="129">
        <v>193</v>
      </c>
      <c r="L300" s="131">
        <v>10102</v>
      </c>
    </row>
    <row r="301" spans="1:12" ht="14.7" thickBot="1" x14ac:dyDescent="0.6">
      <c r="A301" s="136">
        <v>44200</v>
      </c>
      <c r="B301" s="130">
        <v>25132152</v>
      </c>
      <c r="C301" s="130">
        <v>2255607</v>
      </c>
      <c r="D301" s="130">
        <v>21685</v>
      </c>
      <c r="E301" s="129">
        <v>4.3</v>
      </c>
      <c r="F301" s="130">
        <v>3522</v>
      </c>
      <c r="G301" s="130">
        <v>2146430</v>
      </c>
      <c r="H301" s="139">
        <v>13695</v>
      </c>
      <c r="I301" s="130">
        <v>1508</v>
      </c>
      <c r="J301" s="130">
        <v>181323</v>
      </c>
      <c r="K301" s="129">
        <v>197</v>
      </c>
      <c r="L301" s="131">
        <v>9896</v>
      </c>
    </row>
    <row r="302" spans="1:12" ht="14.7" thickBot="1" x14ac:dyDescent="0.6">
      <c r="A302" s="136">
        <v>44201</v>
      </c>
      <c r="B302" s="130">
        <v>25315565</v>
      </c>
      <c r="C302" s="130">
        <v>2270101</v>
      </c>
      <c r="D302" s="130">
        <v>21879</v>
      </c>
      <c r="E302" s="129">
        <v>4.3</v>
      </c>
      <c r="F302" s="130">
        <v>3410</v>
      </c>
      <c r="G302" s="130">
        <v>2155338</v>
      </c>
      <c r="H302" s="139">
        <v>14494</v>
      </c>
      <c r="I302" s="130">
        <v>1477</v>
      </c>
      <c r="J302" s="130">
        <v>183413</v>
      </c>
      <c r="K302" s="129">
        <v>194</v>
      </c>
      <c r="L302" s="131">
        <v>8908</v>
      </c>
    </row>
    <row r="303" spans="1:12" ht="14.7" thickBot="1" x14ac:dyDescent="0.6">
      <c r="A303" s="136">
        <v>44202</v>
      </c>
      <c r="B303" s="130">
        <v>25498210</v>
      </c>
      <c r="C303" s="130">
        <v>2283931</v>
      </c>
      <c r="D303" s="130">
        <v>22070</v>
      </c>
      <c r="E303" s="129">
        <v>4.3</v>
      </c>
      <c r="F303" s="130">
        <v>3303</v>
      </c>
      <c r="G303" s="130">
        <v>2164040</v>
      </c>
      <c r="H303" s="139">
        <v>13830</v>
      </c>
      <c r="I303" s="130">
        <v>1458</v>
      </c>
      <c r="J303" s="130">
        <v>182645</v>
      </c>
      <c r="K303" s="129">
        <v>191</v>
      </c>
      <c r="L303" s="131">
        <v>8702</v>
      </c>
    </row>
    <row r="304" spans="1:12" ht="14.7" thickBot="1" x14ac:dyDescent="0.6">
      <c r="A304" s="136">
        <v>44203</v>
      </c>
      <c r="B304" s="130">
        <v>25681213</v>
      </c>
      <c r="C304" s="130">
        <v>2296102</v>
      </c>
      <c r="D304" s="130">
        <v>22264</v>
      </c>
      <c r="E304" s="129">
        <v>4.3</v>
      </c>
      <c r="F304" s="130">
        <v>3201</v>
      </c>
      <c r="G304" s="130">
        <v>2172251</v>
      </c>
      <c r="H304" s="139">
        <v>12171</v>
      </c>
      <c r="I304" s="130">
        <v>1370</v>
      </c>
      <c r="J304" s="130">
        <v>183003</v>
      </c>
      <c r="K304" s="129">
        <v>194</v>
      </c>
      <c r="L304" s="131">
        <v>8211</v>
      </c>
    </row>
    <row r="305" spans="1:12" ht="14.7" thickBot="1" x14ac:dyDescent="0.6">
      <c r="A305" s="136">
        <v>44204</v>
      </c>
      <c r="B305" s="130">
        <v>25865406</v>
      </c>
      <c r="C305" s="130">
        <v>2307581</v>
      </c>
      <c r="D305" s="130">
        <v>22450</v>
      </c>
      <c r="E305" s="129">
        <v>4.3</v>
      </c>
      <c r="F305" s="130">
        <v>3094</v>
      </c>
      <c r="G305" s="130">
        <v>2182145</v>
      </c>
      <c r="H305" s="139">
        <v>11479</v>
      </c>
      <c r="I305" s="130">
        <v>1291</v>
      </c>
      <c r="J305" s="130">
        <v>184193</v>
      </c>
      <c r="K305" s="129">
        <v>186</v>
      </c>
      <c r="L305" s="131">
        <v>9894</v>
      </c>
    </row>
    <row r="306" spans="1:12" ht="14.7" thickBot="1" x14ac:dyDescent="0.6">
      <c r="A306" s="136">
        <v>44205</v>
      </c>
      <c r="B306" s="130">
        <v>26033695</v>
      </c>
      <c r="C306" s="130">
        <v>2317118</v>
      </c>
      <c r="D306" s="130">
        <v>22631</v>
      </c>
      <c r="E306" s="129">
        <v>4.3</v>
      </c>
      <c r="F306" s="130">
        <v>2903</v>
      </c>
      <c r="G306" s="130">
        <v>2190047</v>
      </c>
      <c r="H306" s="139">
        <v>9537</v>
      </c>
      <c r="I306" s="130">
        <v>1103</v>
      </c>
      <c r="J306" s="130">
        <v>168289</v>
      </c>
      <c r="K306" s="129">
        <v>181</v>
      </c>
      <c r="L306" s="131">
        <v>7902</v>
      </c>
    </row>
    <row r="307" spans="1:12" ht="14.7" thickBot="1" x14ac:dyDescent="0.6">
      <c r="A307" s="136">
        <v>44206</v>
      </c>
      <c r="B307" s="130">
        <v>26196481</v>
      </c>
      <c r="C307" s="130">
        <v>2326256</v>
      </c>
      <c r="D307" s="130">
        <v>22807</v>
      </c>
      <c r="E307" s="129">
        <v>4.3</v>
      </c>
      <c r="F307" s="130">
        <v>2811</v>
      </c>
      <c r="G307" s="130">
        <v>2198150</v>
      </c>
      <c r="H307" s="139">
        <v>9138</v>
      </c>
      <c r="I307" s="130">
        <v>1017</v>
      </c>
      <c r="J307" s="130">
        <v>162786</v>
      </c>
      <c r="K307" s="129">
        <v>176</v>
      </c>
      <c r="L307" s="131">
        <v>8103</v>
      </c>
    </row>
    <row r="308" spans="1:12" ht="14.7" thickBot="1" x14ac:dyDescent="0.6">
      <c r="A308" s="136">
        <v>44207</v>
      </c>
      <c r="B308" s="130">
        <v>26376784</v>
      </c>
      <c r="C308" s="130">
        <v>2336476</v>
      </c>
      <c r="D308" s="130">
        <v>22981</v>
      </c>
      <c r="E308" s="129">
        <v>4.5</v>
      </c>
      <c r="F308" s="130">
        <v>2783</v>
      </c>
      <c r="G308" s="130">
        <v>2208451</v>
      </c>
      <c r="H308" s="139">
        <v>10220</v>
      </c>
      <c r="I308" s="130">
        <v>1003</v>
      </c>
      <c r="J308" s="130">
        <v>180303</v>
      </c>
      <c r="K308" s="129">
        <v>174</v>
      </c>
      <c r="L308" s="131">
        <v>10301</v>
      </c>
    </row>
    <row r="309" spans="1:12" ht="14.7" thickBot="1" x14ac:dyDescent="0.6">
      <c r="A309" s="136">
        <v>44208</v>
      </c>
      <c r="B309" s="130">
        <v>26555992</v>
      </c>
      <c r="C309" s="130">
        <v>2346285</v>
      </c>
      <c r="D309" s="130">
        <v>23152</v>
      </c>
      <c r="E309" s="129">
        <v>4.5</v>
      </c>
      <c r="F309" s="130">
        <v>2701</v>
      </c>
      <c r="G309" s="130">
        <v>2218464</v>
      </c>
      <c r="H309" s="139">
        <v>9809</v>
      </c>
      <c r="I309" s="129">
        <v>983</v>
      </c>
      <c r="J309" s="130">
        <v>179208</v>
      </c>
      <c r="K309" s="129">
        <v>171</v>
      </c>
      <c r="L309" s="131">
        <v>10013</v>
      </c>
    </row>
    <row r="310" spans="1:12" ht="14.7" thickBot="1" x14ac:dyDescent="0.6">
      <c r="A310" s="136">
        <v>44209</v>
      </c>
      <c r="B310" s="130">
        <v>26729595</v>
      </c>
      <c r="C310" s="130">
        <v>2355839</v>
      </c>
      <c r="D310" s="130">
        <v>23325</v>
      </c>
      <c r="E310" s="129">
        <v>4.5</v>
      </c>
      <c r="F310" s="130">
        <v>2652</v>
      </c>
      <c r="G310" s="130">
        <v>2227927</v>
      </c>
      <c r="H310" s="139">
        <v>9554</v>
      </c>
      <c r="I310" s="129">
        <v>971</v>
      </c>
      <c r="J310" s="130">
        <v>173603</v>
      </c>
      <c r="K310" s="129">
        <v>173</v>
      </c>
      <c r="L310" s="131">
        <v>9463</v>
      </c>
    </row>
    <row r="311" spans="1:12" ht="14.7" thickBot="1" x14ac:dyDescent="0.6">
      <c r="A311" s="136">
        <v>44210</v>
      </c>
      <c r="B311" s="130">
        <v>26899442</v>
      </c>
      <c r="C311" s="130">
        <v>2364801</v>
      </c>
      <c r="D311" s="130">
        <v>23495</v>
      </c>
      <c r="E311" s="129">
        <v>4.5</v>
      </c>
      <c r="F311" s="130">
        <v>2512</v>
      </c>
      <c r="G311" s="130">
        <v>2236938</v>
      </c>
      <c r="H311" s="139">
        <v>8962</v>
      </c>
      <c r="I311" s="129">
        <v>958</v>
      </c>
      <c r="J311" s="130">
        <v>169847</v>
      </c>
      <c r="K311" s="129">
        <v>170</v>
      </c>
      <c r="L311" s="131">
        <v>9011</v>
      </c>
    </row>
    <row r="312" spans="1:12" ht="14.7" thickBot="1" x14ac:dyDescent="0.6">
      <c r="A312" s="136">
        <v>44211</v>
      </c>
      <c r="B312" s="130">
        <v>27066653</v>
      </c>
      <c r="C312" s="130">
        <v>2373115</v>
      </c>
      <c r="D312" s="130">
        <v>23664</v>
      </c>
      <c r="E312" s="129">
        <v>4.5</v>
      </c>
      <c r="F312" s="130">
        <v>2311</v>
      </c>
      <c r="G312" s="130">
        <v>2246047</v>
      </c>
      <c r="H312" s="139">
        <v>8314</v>
      </c>
      <c r="I312" s="129">
        <v>921</v>
      </c>
      <c r="J312" s="130">
        <v>167211</v>
      </c>
      <c r="K312" s="129">
        <v>169</v>
      </c>
      <c r="L312" s="131">
        <v>9109</v>
      </c>
    </row>
    <row r="313" spans="1:12" ht="14.7" thickBot="1" x14ac:dyDescent="0.6">
      <c r="A313" s="136">
        <v>44212</v>
      </c>
      <c r="B313" s="130">
        <v>27223445</v>
      </c>
      <c r="C313" s="130">
        <v>2380665</v>
      </c>
      <c r="D313" s="130">
        <v>23832</v>
      </c>
      <c r="E313" s="129">
        <v>4.5</v>
      </c>
      <c r="F313" s="130">
        <v>2265</v>
      </c>
      <c r="G313" s="130">
        <v>2254052</v>
      </c>
      <c r="H313" s="139">
        <v>7550</v>
      </c>
      <c r="I313" s="129">
        <v>902</v>
      </c>
      <c r="J313" s="130">
        <v>156792</v>
      </c>
      <c r="K313" s="129">
        <v>168</v>
      </c>
      <c r="L313" s="131">
        <v>8005</v>
      </c>
    </row>
    <row r="314" spans="1:12" ht="14.7" thickBot="1" x14ac:dyDescent="0.6">
      <c r="A314" s="136">
        <v>44213</v>
      </c>
      <c r="B314" s="130">
        <v>27372081</v>
      </c>
      <c r="C314" s="130">
        <v>2387101</v>
      </c>
      <c r="D314" s="130">
        <v>23997</v>
      </c>
      <c r="E314" s="129">
        <v>4.5</v>
      </c>
      <c r="F314" s="130">
        <v>2201</v>
      </c>
      <c r="G314" s="130">
        <v>2262864</v>
      </c>
      <c r="H314" s="139">
        <v>6436</v>
      </c>
      <c r="I314" s="129">
        <v>803</v>
      </c>
      <c r="J314" s="130">
        <v>148636</v>
      </c>
      <c r="K314" s="129">
        <v>165</v>
      </c>
      <c r="L314" s="131">
        <v>8812</v>
      </c>
    </row>
    <row r="315" spans="1:12" ht="14.7" thickBot="1" x14ac:dyDescent="0.6">
      <c r="A315" s="136">
        <v>44214</v>
      </c>
      <c r="B315" s="130">
        <v>27523423</v>
      </c>
      <c r="C315" s="130">
        <v>2392963</v>
      </c>
      <c r="D315" s="130">
        <v>24161</v>
      </c>
      <c r="E315" s="129">
        <v>5.0999999999999996</v>
      </c>
      <c r="F315" s="130">
        <v>2183</v>
      </c>
      <c r="G315" s="130">
        <v>2270769</v>
      </c>
      <c r="H315" s="139">
        <v>5862</v>
      </c>
      <c r="I315" s="129">
        <v>749</v>
      </c>
      <c r="J315" s="130">
        <v>151342</v>
      </c>
      <c r="K315" s="129">
        <v>164</v>
      </c>
      <c r="L315" s="131">
        <v>7905</v>
      </c>
    </row>
    <row r="316" spans="1:12" ht="14.7" thickBot="1" x14ac:dyDescent="0.6">
      <c r="A316" s="136">
        <v>44215</v>
      </c>
      <c r="B316" s="130">
        <v>27698556</v>
      </c>
      <c r="C316" s="130">
        <v>2399781</v>
      </c>
      <c r="D316" s="130">
        <v>24328</v>
      </c>
      <c r="E316" s="129">
        <v>5.0999999999999996</v>
      </c>
      <c r="F316" s="130">
        <v>2162</v>
      </c>
      <c r="G316" s="130">
        <v>2277987</v>
      </c>
      <c r="H316" s="139">
        <v>6818</v>
      </c>
      <c r="I316" s="129">
        <v>761</v>
      </c>
      <c r="J316" s="130">
        <v>175133</v>
      </c>
      <c r="K316" s="129">
        <v>167</v>
      </c>
      <c r="L316" s="131">
        <v>7218</v>
      </c>
    </row>
    <row r="317" spans="1:12" ht="14.7" thickBot="1" x14ac:dyDescent="0.6">
      <c r="A317" s="136">
        <v>44216</v>
      </c>
      <c r="B317" s="130">
        <v>27867450</v>
      </c>
      <c r="C317" s="130">
        <v>2406216</v>
      </c>
      <c r="D317" s="130">
        <v>24487</v>
      </c>
      <c r="E317" s="129">
        <v>5.0999999999999996</v>
      </c>
      <c r="F317" s="130">
        <v>2102</v>
      </c>
      <c r="G317" s="130">
        <v>2283919</v>
      </c>
      <c r="H317" s="139">
        <v>6435</v>
      </c>
      <c r="I317" s="129">
        <v>752</v>
      </c>
      <c r="J317" s="130">
        <v>168894</v>
      </c>
      <c r="K317" s="129">
        <v>159</v>
      </c>
      <c r="L317" s="131">
        <v>5932</v>
      </c>
    </row>
    <row r="318" spans="1:12" ht="14.7" thickBot="1" x14ac:dyDescent="0.6">
      <c r="A318" s="136">
        <v>44217</v>
      </c>
      <c r="B318" s="130">
        <v>28032559</v>
      </c>
      <c r="C318" s="130">
        <v>2412505</v>
      </c>
      <c r="D318" s="130">
        <v>24640</v>
      </c>
      <c r="E318" s="129">
        <v>5.0999999999999996</v>
      </c>
      <c r="F318" s="130">
        <v>2074</v>
      </c>
      <c r="G318" s="130">
        <v>2290032</v>
      </c>
      <c r="H318" s="139">
        <v>6289</v>
      </c>
      <c r="I318" s="129">
        <v>743</v>
      </c>
      <c r="J318" s="130">
        <v>165109</v>
      </c>
      <c r="K318" s="129">
        <v>153</v>
      </c>
      <c r="L318" s="131">
        <v>6113</v>
      </c>
    </row>
    <row r="319" spans="1:12" ht="14.7" thickBot="1" x14ac:dyDescent="0.6">
      <c r="A319" s="136">
        <v>44218</v>
      </c>
      <c r="B319" s="130">
        <v>28195901</v>
      </c>
      <c r="C319" s="130">
        <v>2418472</v>
      </c>
      <c r="D319" s="130">
        <v>24789</v>
      </c>
      <c r="E319" s="129">
        <v>5.0999999999999996</v>
      </c>
      <c r="F319" s="130">
        <v>2003</v>
      </c>
      <c r="G319" s="130">
        <v>2296050</v>
      </c>
      <c r="H319" s="139">
        <v>5967</v>
      </c>
      <c r="I319" s="129">
        <v>734</v>
      </c>
      <c r="J319" s="130">
        <v>163342</v>
      </c>
      <c r="K319" s="129">
        <v>149</v>
      </c>
      <c r="L319" s="131">
        <v>6018</v>
      </c>
    </row>
    <row r="320" spans="1:12" ht="14.7" thickBot="1" x14ac:dyDescent="0.6">
      <c r="A320" s="136">
        <v>44219</v>
      </c>
      <c r="B320" s="130">
        <v>28348659</v>
      </c>
      <c r="C320" s="130">
        <v>2424328</v>
      </c>
      <c r="D320" s="130">
        <v>24933</v>
      </c>
      <c r="E320" s="129">
        <v>5.0999999999999996</v>
      </c>
      <c r="F320" s="130">
        <v>1962</v>
      </c>
      <c r="G320" s="130">
        <v>2301861</v>
      </c>
      <c r="H320" s="139">
        <v>5856</v>
      </c>
      <c r="I320" s="129">
        <v>723</v>
      </c>
      <c r="J320" s="130">
        <v>152758</v>
      </c>
      <c r="K320" s="129">
        <v>144</v>
      </c>
      <c r="L320" s="131">
        <v>5811</v>
      </c>
    </row>
    <row r="321" spans="1:12" ht="14.7" thickBot="1" x14ac:dyDescent="0.6">
      <c r="A321" s="136">
        <v>44220</v>
      </c>
      <c r="B321" s="130">
        <v>28497084</v>
      </c>
      <c r="C321" s="130">
        <v>2429605</v>
      </c>
      <c r="D321" s="130">
        <v>25073</v>
      </c>
      <c r="E321" s="129">
        <v>5.0999999999999996</v>
      </c>
      <c r="F321" s="130">
        <v>1905</v>
      </c>
      <c r="G321" s="130">
        <v>2307721</v>
      </c>
      <c r="H321" s="139">
        <v>5277</v>
      </c>
      <c r="I321" s="129">
        <v>684</v>
      </c>
      <c r="J321" s="130">
        <v>148425</v>
      </c>
      <c r="K321" s="129">
        <v>140</v>
      </c>
      <c r="L321" s="131">
        <v>5860</v>
      </c>
    </row>
    <row r="322" spans="1:12" ht="14.7" thickBot="1" x14ac:dyDescent="0.6">
      <c r="A322" s="136">
        <v>44221</v>
      </c>
      <c r="B322" s="130">
        <v>28648193</v>
      </c>
      <c r="C322" s="130">
        <v>2435247</v>
      </c>
      <c r="D322" s="130">
        <v>25210</v>
      </c>
      <c r="E322" s="129">
        <v>4.7</v>
      </c>
      <c r="F322" s="130">
        <v>1808</v>
      </c>
      <c r="G322" s="130">
        <v>2314403</v>
      </c>
      <c r="H322" s="139">
        <v>5642</v>
      </c>
      <c r="I322" s="129">
        <v>671</v>
      </c>
      <c r="J322" s="130">
        <v>151109</v>
      </c>
      <c r="K322" s="129">
        <v>137</v>
      </c>
      <c r="L322" s="131">
        <v>6682</v>
      </c>
    </row>
    <row r="323" spans="1:12" ht="14.7" thickBot="1" x14ac:dyDescent="0.6">
      <c r="A323" s="136">
        <v>44222</v>
      </c>
      <c r="B323" s="130">
        <v>28828496</v>
      </c>
      <c r="C323" s="130">
        <v>2442350</v>
      </c>
      <c r="D323" s="130">
        <v>25344</v>
      </c>
      <c r="E323" s="129">
        <v>4.7</v>
      </c>
      <c r="F323" s="130">
        <v>1791</v>
      </c>
      <c r="G323" s="130">
        <v>2322511</v>
      </c>
      <c r="H323" s="139">
        <v>7103</v>
      </c>
      <c r="I323" s="129">
        <v>681</v>
      </c>
      <c r="J323" s="130">
        <v>180303</v>
      </c>
      <c r="K323" s="129">
        <v>134</v>
      </c>
      <c r="L323" s="131">
        <v>8108</v>
      </c>
    </row>
    <row r="324" spans="1:12" ht="14.7" thickBot="1" x14ac:dyDescent="0.6">
      <c r="A324" s="136">
        <v>44223</v>
      </c>
      <c r="B324" s="130">
        <v>29007915</v>
      </c>
      <c r="C324" s="130">
        <v>2449839</v>
      </c>
      <c r="D324" s="130">
        <v>25476</v>
      </c>
      <c r="E324" s="129">
        <v>4.7</v>
      </c>
      <c r="F324" s="130">
        <v>1765</v>
      </c>
      <c r="G324" s="130">
        <v>2331314</v>
      </c>
      <c r="H324" s="139">
        <v>7489</v>
      </c>
      <c r="I324" s="129">
        <v>675</v>
      </c>
      <c r="J324" s="130">
        <v>179419</v>
      </c>
      <c r="K324" s="129">
        <v>132</v>
      </c>
      <c r="L324" s="131">
        <v>8803</v>
      </c>
    </row>
    <row r="325" spans="1:12" ht="14.7" thickBot="1" x14ac:dyDescent="0.6">
      <c r="A325" s="136">
        <v>44224</v>
      </c>
      <c r="B325" s="130">
        <v>29181125</v>
      </c>
      <c r="C325" s="130">
        <v>2457118</v>
      </c>
      <c r="D325" s="130">
        <v>25605</v>
      </c>
      <c r="E325" s="129">
        <v>4.7</v>
      </c>
      <c r="F325" s="130">
        <v>1751</v>
      </c>
      <c r="G325" s="130">
        <v>2340216</v>
      </c>
      <c r="H325" s="139">
        <v>7279</v>
      </c>
      <c r="I325" s="129">
        <v>670</v>
      </c>
      <c r="J325" s="130">
        <v>173210</v>
      </c>
      <c r="K325" s="129">
        <v>129</v>
      </c>
      <c r="L325" s="131">
        <v>8902</v>
      </c>
    </row>
    <row r="326" spans="1:12" ht="14.7" thickBot="1" x14ac:dyDescent="0.6">
      <c r="A326" s="136">
        <v>44225</v>
      </c>
      <c r="B326" s="130">
        <v>29346219</v>
      </c>
      <c r="C326" s="130">
        <v>2464030</v>
      </c>
      <c r="D326" s="130">
        <v>25736</v>
      </c>
      <c r="E326" s="129">
        <v>4.7</v>
      </c>
      <c r="F326" s="130">
        <v>1740</v>
      </c>
      <c r="G326" s="130">
        <v>2348309</v>
      </c>
      <c r="H326" s="139">
        <v>6912</v>
      </c>
      <c r="I326" s="129">
        <v>664</v>
      </c>
      <c r="J326" s="130">
        <v>165094</v>
      </c>
      <c r="K326" s="129">
        <v>131</v>
      </c>
      <c r="L326" s="131">
        <v>8093</v>
      </c>
    </row>
    <row r="327" spans="1:12" ht="14.7" thickBot="1" x14ac:dyDescent="0.6">
      <c r="A327" s="136">
        <v>44226</v>
      </c>
      <c r="B327" s="130">
        <v>29495004</v>
      </c>
      <c r="C327" s="130">
        <v>2470901</v>
      </c>
      <c r="D327" s="130">
        <v>25865</v>
      </c>
      <c r="E327" s="132">
        <v>44746</v>
      </c>
      <c r="F327" s="130">
        <v>1692</v>
      </c>
      <c r="G327" s="130">
        <v>2355409</v>
      </c>
      <c r="H327" s="139">
        <v>6871</v>
      </c>
      <c r="I327" s="129">
        <v>658</v>
      </c>
      <c r="J327" s="130">
        <v>148785</v>
      </c>
      <c r="K327" s="129">
        <v>129</v>
      </c>
      <c r="L327" s="131">
        <v>7100</v>
      </c>
    </row>
    <row r="328" spans="1:12" ht="14.7" thickBot="1" x14ac:dyDescent="0.6">
      <c r="A328" s="136">
        <v>44227</v>
      </c>
      <c r="B328" s="130">
        <v>29631422</v>
      </c>
      <c r="C328" s="130">
        <v>2477463</v>
      </c>
      <c r="D328" s="130">
        <v>25993</v>
      </c>
      <c r="E328" s="129">
        <v>4.7</v>
      </c>
      <c r="F328" s="130">
        <v>1634</v>
      </c>
      <c r="G328" s="130">
        <v>2362415</v>
      </c>
      <c r="H328" s="139">
        <v>6562</v>
      </c>
      <c r="I328" s="129">
        <v>641</v>
      </c>
      <c r="J328" s="130">
        <v>136418</v>
      </c>
      <c r="K328" s="129">
        <v>128</v>
      </c>
      <c r="L328" s="131">
        <v>7006</v>
      </c>
    </row>
    <row r="329" spans="1:12" ht="14.7" thickBot="1" x14ac:dyDescent="0.6">
      <c r="A329" s="136">
        <v>44228</v>
      </c>
      <c r="B329" s="130">
        <v>29773125</v>
      </c>
      <c r="C329" s="130">
        <v>2485182</v>
      </c>
      <c r="D329" s="130">
        <v>26117</v>
      </c>
      <c r="E329" s="129">
        <v>4.9000000000000004</v>
      </c>
      <c r="F329" s="130">
        <v>1615</v>
      </c>
      <c r="G329" s="130">
        <v>2370431</v>
      </c>
      <c r="H329" s="139">
        <v>7719</v>
      </c>
      <c r="I329" s="129">
        <v>636</v>
      </c>
      <c r="J329" s="130">
        <v>141703</v>
      </c>
      <c r="K329" s="129">
        <v>124</v>
      </c>
      <c r="L329" s="131">
        <v>8016</v>
      </c>
    </row>
    <row r="330" spans="1:12" ht="14.7" thickBot="1" x14ac:dyDescent="0.6">
      <c r="A330" s="136">
        <v>44229</v>
      </c>
      <c r="B330" s="130">
        <v>29913245</v>
      </c>
      <c r="C330" s="130">
        <v>2492977</v>
      </c>
      <c r="D330" s="130">
        <v>26237</v>
      </c>
      <c r="E330" s="129">
        <v>4.9000000000000004</v>
      </c>
      <c r="F330" s="130">
        <v>1592</v>
      </c>
      <c r="G330" s="130">
        <v>2379070</v>
      </c>
      <c r="H330" s="139">
        <v>7795</v>
      </c>
      <c r="I330" s="129">
        <v>630</v>
      </c>
      <c r="J330" s="130">
        <v>140120</v>
      </c>
      <c r="K330" s="129">
        <v>120</v>
      </c>
      <c r="L330" s="131">
        <v>8639</v>
      </c>
    </row>
    <row r="331" spans="1:12" ht="14.7" thickBot="1" x14ac:dyDescent="0.6">
      <c r="A331" s="136">
        <v>44230</v>
      </c>
      <c r="B331" s="130">
        <v>30061437</v>
      </c>
      <c r="C331" s="130">
        <v>2501079</v>
      </c>
      <c r="D331" s="130">
        <v>26354</v>
      </c>
      <c r="E331" s="129">
        <v>4.9000000000000004</v>
      </c>
      <c r="F331" s="130">
        <v>1523</v>
      </c>
      <c r="G331" s="130">
        <v>2387384</v>
      </c>
      <c r="H331" s="139">
        <v>8102</v>
      </c>
      <c r="I331" s="129">
        <v>632</v>
      </c>
      <c r="J331" s="130">
        <v>148192</v>
      </c>
      <c r="K331" s="129">
        <v>117</v>
      </c>
      <c r="L331" s="131">
        <v>8314</v>
      </c>
    </row>
    <row r="332" spans="1:12" ht="14.7" thickBot="1" x14ac:dyDescent="0.6">
      <c r="A332" s="136">
        <v>44231</v>
      </c>
      <c r="B332" s="130">
        <v>30206504</v>
      </c>
      <c r="C332" s="130">
        <v>2508988</v>
      </c>
      <c r="D332" s="130">
        <v>26467</v>
      </c>
      <c r="E332" s="129">
        <v>4.9000000000000004</v>
      </c>
      <c r="F332" s="130">
        <v>1501</v>
      </c>
      <c r="G332" s="130">
        <v>2396199</v>
      </c>
      <c r="H332" s="139">
        <v>7909</v>
      </c>
      <c r="I332" s="129">
        <v>627</v>
      </c>
      <c r="J332" s="130">
        <v>145067</v>
      </c>
      <c r="K332" s="129">
        <v>113</v>
      </c>
      <c r="L332" s="131">
        <v>8815</v>
      </c>
    </row>
    <row r="333" spans="1:12" ht="14.7" thickBot="1" x14ac:dyDescent="0.6">
      <c r="A333" s="136">
        <v>44232</v>
      </c>
      <c r="B333" s="130">
        <v>30349042</v>
      </c>
      <c r="C333" s="130">
        <v>2516889</v>
      </c>
      <c r="D333" s="130">
        <v>26577</v>
      </c>
      <c r="E333" s="129">
        <v>4.9000000000000004</v>
      </c>
      <c r="F333" s="130">
        <v>1423</v>
      </c>
      <c r="G333" s="130">
        <v>2404416</v>
      </c>
      <c r="H333" s="139">
        <v>7901</v>
      </c>
      <c r="I333" s="129">
        <v>620</v>
      </c>
      <c r="J333" s="130">
        <v>142538</v>
      </c>
      <c r="K333" s="129">
        <v>110</v>
      </c>
      <c r="L333" s="131">
        <v>8217</v>
      </c>
    </row>
    <row r="334" spans="1:12" ht="14.7" thickBot="1" x14ac:dyDescent="0.6">
      <c r="A334" s="136">
        <v>44233</v>
      </c>
      <c r="B334" s="130">
        <v>30486691</v>
      </c>
      <c r="C334" s="130">
        <v>2524786</v>
      </c>
      <c r="D334" s="130">
        <v>26685</v>
      </c>
      <c r="E334" s="129">
        <v>4.9000000000000004</v>
      </c>
      <c r="F334" s="130">
        <v>1337</v>
      </c>
      <c r="G334" s="130">
        <v>2412505</v>
      </c>
      <c r="H334" s="139">
        <v>7897</v>
      </c>
      <c r="I334" s="129">
        <v>618</v>
      </c>
      <c r="J334" s="130">
        <v>137649</v>
      </c>
      <c r="K334" s="129">
        <v>108</v>
      </c>
      <c r="L334" s="131">
        <v>8089</v>
      </c>
    </row>
    <row r="335" spans="1:12" ht="14.7" thickBot="1" x14ac:dyDescent="0.6">
      <c r="A335" s="136">
        <v>44234</v>
      </c>
      <c r="B335" s="130">
        <v>30616406</v>
      </c>
      <c r="C335" s="130">
        <v>2531456</v>
      </c>
      <c r="D335" s="130">
        <v>26797</v>
      </c>
      <c r="E335" s="129">
        <v>4.9000000000000004</v>
      </c>
      <c r="F335" s="130">
        <v>1317</v>
      </c>
      <c r="G335" s="130">
        <v>2420706</v>
      </c>
      <c r="H335" s="139">
        <v>6670</v>
      </c>
      <c r="I335" s="129">
        <v>623</v>
      </c>
      <c r="J335" s="130">
        <v>129715</v>
      </c>
      <c r="K335" s="129">
        <v>112</v>
      </c>
      <c r="L335" s="131">
        <v>8201</v>
      </c>
    </row>
    <row r="336" spans="1:12" ht="14.7" thickBot="1" x14ac:dyDescent="0.6">
      <c r="A336" s="136">
        <v>44235</v>
      </c>
      <c r="B336" s="130">
        <v>30755784</v>
      </c>
      <c r="C336" s="130">
        <v>2539559</v>
      </c>
      <c r="D336" s="130">
        <v>26900</v>
      </c>
      <c r="E336" s="129">
        <v>3.7</v>
      </c>
      <c r="F336" s="130">
        <v>1310</v>
      </c>
      <c r="G336" s="130">
        <v>2429273</v>
      </c>
      <c r="H336" s="139">
        <v>8103</v>
      </c>
      <c r="I336" s="129">
        <v>632</v>
      </c>
      <c r="J336" s="130">
        <v>139378</v>
      </c>
      <c r="K336" s="129">
        <v>103</v>
      </c>
      <c r="L336" s="131">
        <v>8567</v>
      </c>
    </row>
    <row r="337" spans="1:12" ht="14.7" thickBot="1" x14ac:dyDescent="0.6">
      <c r="A337" s="136">
        <v>44236</v>
      </c>
      <c r="B337" s="130">
        <v>30893496</v>
      </c>
      <c r="C337" s="130">
        <v>2548195</v>
      </c>
      <c r="D337" s="130">
        <v>26998</v>
      </c>
      <c r="E337" s="129">
        <v>3.7</v>
      </c>
      <c r="F337" s="130">
        <v>1310</v>
      </c>
      <c r="G337" s="130">
        <v>2437382</v>
      </c>
      <c r="H337" s="139">
        <v>8636</v>
      </c>
      <c r="I337" s="129">
        <v>659</v>
      </c>
      <c r="J337" s="130">
        <v>137712</v>
      </c>
      <c r="K337" s="129">
        <v>98</v>
      </c>
      <c r="L337" s="131">
        <v>8109</v>
      </c>
    </row>
    <row r="338" spans="1:12" ht="14.7" thickBot="1" x14ac:dyDescent="0.6">
      <c r="A338" s="136">
        <v>44237</v>
      </c>
      <c r="B338" s="130">
        <v>31029363</v>
      </c>
      <c r="C338" s="130">
        <v>2556837</v>
      </c>
      <c r="D338" s="130">
        <v>27093</v>
      </c>
      <c r="E338" s="129">
        <v>3.7</v>
      </c>
      <c r="F338" s="130">
        <v>1308</v>
      </c>
      <c r="G338" s="130">
        <v>2445285</v>
      </c>
      <c r="H338" s="139">
        <v>8642</v>
      </c>
      <c r="I338" s="129">
        <v>664</v>
      </c>
      <c r="J338" s="130">
        <v>135867</v>
      </c>
      <c r="K338" s="129">
        <v>95</v>
      </c>
      <c r="L338" s="131">
        <v>7903</v>
      </c>
    </row>
    <row r="339" spans="1:12" ht="14.7" thickBot="1" x14ac:dyDescent="0.6">
      <c r="A339" s="136">
        <v>44238</v>
      </c>
      <c r="B339" s="130">
        <v>31159676</v>
      </c>
      <c r="C339" s="130">
        <v>2564427</v>
      </c>
      <c r="D339" s="130">
        <v>27187</v>
      </c>
      <c r="E339" s="129">
        <v>3.7</v>
      </c>
      <c r="F339" s="130">
        <v>1256</v>
      </c>
      <c r="G339" s="130">
        <v>2453096</v>
      </c>
      <c r="H339" s="139">
        <v>7590</v>
      </c>
      <c r="I339" s="129">
        <v>660</v>
      </c>
      <c r="J339" s="130">
        <v>130313</v>
      </c>
      <c r="K339" s="129">
        <v>94</v>
      </c>
      <c r="L339" s="131">
        <v>7811</v>
      </c>
    </row>
    <row r="340" spans="1:12" ht="14.7" thickBot="1" x14ac:dyDescent="0.6">
      <c r="A340" s="136">
        <v>44239</v>
      </c>
      <c r="B340" s="130">
        <v>31289306</v>
      </c>
      <c r="C340" s="130">
        <v>2572190</v>
      </c>
      <c r="D340" s="130">
        <v>27284</v>
      </c>
      <c r="E340" s="129">
        <v>3.7</v>
      </c>
      <c r="F340" s="130">
        <v>1250</v>
      </c>
      <c r="G340" s="130">
        <v>2461204</v>
      </c>
      <c r="H340" s="139">
        <v>7763</v>
      </c>
      <c r="I340" s="129">
        <v>667</v>
      </c>
      <c r="J340" s="130">
        <v>129630</v>
      </c>
      <c r="K340" s="129">
        <v>97</v>
      </c>
      <c r="L340" s="131">
        <v>8108</v>
      </c>
    </row>
    <row r="341" spans="1:12" ht="14.7" thickBot="1" x14ac:dyDescent="0.6">
      <c r="A341" s="136">
        <v>44240</v>
      </c>
      <c r="B341" s="130">
        <v>31412611</v>
      </c>
      <c r="C341" s="130">
        <v>2579896</v>
      </c>
      <c r="D341" s="130">
        <v>27377</v>
      </c>
      <c r="E341" s="129">
        <v>3.7</v>
      </c>
      <c r="F341" s="130">
        <v>1235</v>
      </c>
      <c r="G341" s="130">
        <v>2468419</v>
      </c>
      <c r="H341" s="139">
        <v>7706</v>
      </c>
      <c r="I341" s="129">
        <v>671</v>
      </c>
      <c r="J341" s="130">
        <v>123305</v>
      </c>
      <c r="K341" s="129">
        <v>93</v>
      </c>
      <c r="L341" s="131">
        <v>7215</v>
      </c>
    </row>
    <row r="342" spans="1:12" ht="14.7" thickBot="1" x14ac:dyDescent="0.6">
      <c r="A342" s="136">
        <v>44241</v>
      </c>
      <c r="B342" s="130">
        <v>31516719</v>
      </c>
      <c r="C342" s="130">
        <v>2586183</v>
      </c>
      <c r="D342" s="130">
        <v>27471</v>
      </c>
      <c r="E342" s="129">
        <v>3.7</v>
      </c>
      <c r="F342" s="130">
        <v>1230</v>
      </c>
      <c r="G342" s="130">
        <v>2475329</v>
      </c>
      <c r="H342" s="139">
        <v>6287</v>
      </c>
      <c r="I342" s="129">
        <v>666</v>
      </c>
      <c r="J342" s="130">
        <v>104108</v>
      </c>
      <c r="K342" s="129">
        <v>94</v>
      </c>
      <c r="L342" s="131">
        <v>6910</v>
      </c>
    </row>
    <row r="343" spans="1:12" ht="14.7" thickBot="1" x14ac:dyDescent="0.6">
      <c r="A343" s="136">
        <v>44242</v>
      </c>
      <c r="B343" s="130">
        <v>31633171</v>
      </c>
      <c r="C343" s="130">
        <v>2594128</v>
      </c>
      <c r="D343" s="130">
        <v>27562</v>
      </c>
      <c r="E343" s="129">
        <v>3.6</v>
      </c>
      <c r="F343" s="130">
        <v>1232</v>
      </c>
      <c r="G343" s="130">
        <v>2482435</v>
      </c>
      <c r="H343" s="139">
        <v>7945</v>
      </c>
      <c r="I343" s="129">
        <v>660</v>
      </c>
      <c r="J343" s="130">
        <v>116452</v>
      </c>
      <c r="K343" s="129">
        <v>91</v>
      </c>
      <c r="L343" s="131">
        <v>7106</v>
      </c>
    </row>
    <row r="344" spans="1:12" ht="14.7" thickBot="1" x14ac:dyDescent="0.6">
      <c r="A344" s="136">
        <v>44243</v>
      </c>
      <c r="B344" s="130">
        <v>31748965</v>
      </c>
      <c r="C344" s="130">
        <v>2602034</v>
      </c>
      <c r="D344" s="130">
        <v>27652</v>
      </c>
      <c r="E344" s="129">
        <v>3.6</v>
      </c>
      <c r="F344" s="130">
        <v>1201</v>
      </c>
      <c r="G344" s="130">
        <v>2489624</v>
      </c>
      <c r="H344" s="139">
        <v>7906</v>
      </c>
      <c r="I344" s="129">
        <v>658</v>
      </c>
      <c r="J344" s="130">
        <v>115794</v>
      </c>
      <c r="K344" s="129">
        <v>90</v>
      </c>
      <c r="L344" s="131">
        <v>7189</v>
      </c>
    </row>
    <row r="345" spans="1:12" ht="14.7" thickBot="1" x14ac:dyDescent="0.6">
      <c r="A345" s="136">
        <v>44244</v>
      </c>
      <c r="B345" s="130">
        <v>31866086</v>
      </c>
      <c r="C345" s="130">
        <v>2609359</v>
      </c>
      <c r="D345" s="130">
        <v>27738</v>
      </c>
      <c r="E345" s="129">
        <v>3.6</v>
      </c>
      <c r="F345" s="130">
        <v>1193</v>
      </c>
      <c r="G345" s="130">
        <v>2496833</v>
      </c>
      <c r="H345" s="139">
        <v>7325</v>
      </c>
      <c r="I345" s="129">
        <v>649</v>
      </c>
      <c r="J345" s="130">
        <v>117121</v>
      </c>
      <c r="K345" s="129">
        <v>86</v>
      </c>
      <c r="L345" s="131">
        <v>7209</v>
      </c>
    </row>
    <row r="346" spans="1:12" ht="14.7" thickBot="1" x14ac:dyDescent="0.6">
      <c r="A346" s="136">
        <v>44245</v>
      </c>
      <c r="B346" s="130">
        <v>31981492</v>
      </c>
      <c r="C346" s="130">
        <v>2616600</v>
      </c>
      <c r="D346" s="130">
        <v>27821</v>
      </c>
      <c r="E346" s="129">
        <v>3.6</v>
      </c>
      <c r="F346" s="130">
        <v>1187</v>
      </c>
      <c r="G346" s="130">
        <v>2504050</v>
      </c>
      <c r="H346" s="139">
        <v>7241</v>
      </c>
      <c r="I346" s="129">
        <v>640</v>
      </c>
      <c r="J346" s="130">
        <v>115406</v>
      </c>
      <c r="K346" s="129">
        <v>83</v>
      </c>
      <c r="L346" s="131">
        <v>7217</v>
      </c>
    </row>
    <row r="347" spans="1:12" ht="14.7" thickBot="1" x14ac:dyDescent="0.6">
      <c r="A347" s="136">
        <v>44246</v>
      </c>
      <c r="B347" s="130">
        <v>32098166</v>
      </c>
      <c r="C347" s="130">
        <v>2624019</v>
      </c>
      <c r="D347" s="130">
        <v>27903</v>
      </c>
      <c r="E347" s="129">
        <v>3.6</v>
      </c>
      <c r="F347" s="130">
        <v>1185</v>
      </c>
      <c r="G347" s="130">
        <v>2511548</v>
      </c>
      <c r="H347" s="139">
        <v>7419</v>
      </c>
      <c r="I347" s="129">
        <v>638</v>
      </c>
      <c r="J347" s="130">
        <v>116674</v>
      </c>
      <c r="K347" s="129">
        <v>82</v>
      </c>
      <c r="L347" s="131">
        <v>7498</v>
      </c>
    </row>
    <row r="348" spans="1:12" ht="14.7" thickBot="1" x14ac:dyDescent="0.6">
      <c r="A348" s="136">
        <v>44247</v>
      </c>
      <c r="B348" s="130">
        <v>32217077</v>
      </c>
      <c r="C348" s="130">
        <v>2631876</v>
      </c>
      <c r="D348" s="130">
        <v>27983</v>
      </c>
      <c r="E348" s="129">
        <v>3.6</v>
      </c>
      <c r="F348" s="130">
        <v>1180</v>
      </c>
      <c r="G348" s="130">
        <v>2518758</v>
      </c>
      <c r="H348" s="139">
        <v>7857</v>
      </c>
      <c r="I348" s="129">
        <v>635</v>
      </c>
      <c r="J348" s="130">
        <v>118911</v>
      </c>
      <c r="K348" s="129">
        <v>80</v>
      </c>
      <c r="L348" s="131">
        <v>7210</v>
      </c>
    </row>
    <row r="349" spans="1:12" ht="14.7" thickBot="1" x14ac:dyDescent="0.6">
      <c r="A349" s="136">
        <v>44248</v>
      </c>
      <c r="B349" s="130">
        <v>32318182</v>
      </c>
      <c r="C349" s="130">
        <v>2638422</v>
      </c>
      <c r="D349" s="130">
        <v>28060</v>
      </c>
      <c r="E349" s="129">
        <v>3.6</v>
      </c>
      <c r="F349" s="130">
        <v>1185</v>
      </c>
      <c r="G349" s="130">
        <v>2523760</v>
      </c>
      <c r="H349" s="139">
        <v>6546</v>
      </c>
      <c r="I349" s="129">
        <v>601</v>
      </c>
      <c r="J349" s="130">
        <v>101105</v>
      </c>
      <c r="K349" s="129">
        <v>77</v>
      </c>
      <c r="L349" s="131">
        <v>5002</v>
      </c>
    </row>
    <row r="350" spans="1:12" ht="14.7" thickBot="1" x14ac:dyDescent="0.6">
      <c r="A350" s="136">
        <v>44249</v>
      </c>
      <c r="B350" s="130">
        <v>32436998</v>
      </c>
      <c r="C350" s="130">
        <v>2646526</v>
      </c>
      <c r="D350" s="130">
        <v>28138</v>
      </c>
      <c r="E350" s="129">
        <v>4.2</v>
      </c>
      <c r="F350" s="130">
        <v>1189</v>
      </c>
      <c r="G350" s="130">
        <v>2529450</v>
      </c>
      <c r="H350" s="139">
        <v>8104</v>
      </c>
      <c r="I350" s="129">
        <v>623</v>
      </c>
      <c r="J350" s="130">
        <v>118816</v>
      </c>
      <c r="K350" s="129">
        <v>78</v>
      </c>
      <c r="L350" s="131">
        <v>5690</v>
      </c>
    </row>
    <row r="351" spans="1:12" ht="14.7" thickBot="1" x14ac:dyDescent="0.6">
      <c r="A351" s="136">
        <v>44250</v>
      </c>
      <c r="B351" s="130">
        <v>32560732</v>
      </c>
      <c r="C351" s="130">
        <v>2655633</v>
      </c>
      <c r="D351" s="130">
        <v>28213</v>
      </c>
      <c r="E351" s="129">
        <v>4.2</v>
      </c>
      <c r="F351" s="130">
        <v>1185</v>
      </c>
      <c r="G351" s="130">
        <v>2534996</v>
      </c>
      <c r="H351" s="139">
        <v>9107</v>
      </c>
      <c r="I351" s="129">
        <v>633</v>
      </c>
      <c r="J351" s="130">
        <v>123734</v>
      </c>
      <c r="K351" s="129">
        <v>75</v>
      </c>
      <c r="L351" s="131">
        <v>5546</v>
      </c>
    </row>
    <row r="352" spans="1:12" ht="14.7" thickBot="1" x14ac:dyDescent="0.6">
      <c r="A352" s="136">
        <v>44251</v>
      </c>
      <c r="B352" s="130">
        <v>32684747</v>
      </c>
      <c r="C352" s="130">
        <v>2665194</v>
      </c>
      <c r="D352" s="130">
        <v>28285</v>
      </c>
      <c r="E352" s="129">
        <v>4.2</v>
      </c>
      <c r="F352" s="130">
        <v>1200</v>
      </c>
      <c r="G352" s="130">
        <v>2540293</v>
      </c>
      <c r="H352" s="139">
        <v>9561</v>
      </c>
      <c r="I352" s="129">
        <v>660</v>
      </c>
      <c r="J352" s="130">
        <v>124015</v>
      </c>
      <c r="K352" s="129">
        <v>72</v>
      </c>
      <c r="L352" s="131">
        <v>5297</v>
      </c>
    </row>
    <row r="353" spans="1:12" ht="14.7" thickBot="1" x14ac:dyDescent="0.6">
      <c r="A353" s="136">
        <v>44252</v>
      </c>
      <c r="B353" s="130">
        <v>32811274</v>
      </c>
      <c r="C353" s="130">
        <v>2674766</v>
      </c>
      <c r="D353" s="130">
        <v>28358</v>
      </c>
      <c r="E353" s="129">
        <v>4.2</v>
      </c>
      <c r="F353" s="130">
        <v>1192</v>
      </c>
      <c r="G353" s="130">
        <v>2546503</v>
      </c>
      <c r="H353" s="139">
        <v>9572</v>
      </c>
      <c r="I353" s="129">
        <v>658</v>
      </c>
      <c r="J353" s="130">
        <v>126527</v>
      </c>
      <c r="K353" s="129">
        <v>73</v>
      </c>
      <c r="L353" s="131">
        <v>6210</v>
      </c>
    </row>
    <row r="354" spans="1:12" ht="14.7" thickBot="1" x14ac:dyDescent="0.6">
      <c r="A354" s="136">
        <v>44253</v>
      </c>
      <c r="B354" s="130">
        <v>32939661</v>
      </c>
      <c r="C354" s="130">
        <v>2683971</v>
      </c>
      <c r="D354" s="130">
        <v>28432</v>
      </c>
      <c r="E354" s="129">
        <v>4.2</v>
      </c>
      <c r="F354" s="130">
        <v>1195</v>
      </c>
      <c r="G354" s="130">
        <v>2556785</v>
      </c>
      <c r="H354" s="139">
        <v>9205</v>
      </c>
      <c r="I354" s="129">
        <v>649</v>
      </c>
      <c r="J354" s="130">
        <v>128387</v>
      </c>
      <c r="K354" s="129">
        <v>74</v>
      </c>
      <c r="L354" s="131">
        <v>10282</v>
      </c>
    </row>
    <row r="355" spans="1:12" ht="14.7" thickBot="1" x14ac:dyDescent="0.6">
      <c r="A355" s="136">
        <v>44254</v>
      </c>
      <c r="B355" s="130">
        <v>33065377</v>
      </c>
      <c r="C355" s="130">
        <v>2693164</v>
      </c>
      <c r="D355" s="130">
        <v>28503</v>
      </c>
      <c r="E355" s="129">
        <v>4.2</v>
      </c>
      <c r="F355" s="130">
        <v>1187</v>
      </c>
      <c r="G355" s="130">
        <v>2565723</v>
      </c>
      <c r="H355" s="139">
        <v>9193</v>
      </c>
      <c r="I355" s="129">
        <v>621</v>
      </c>
      <c r="J355" s="130">
        <v>125716</v>
      </c>
      <c r="K355" s="129">
        <v>71</v>
      </c>
      <c r="L355" s="131">
        <v>8938</v>
      </c>
    </row>
    <row r="356" spans="1:12" ht="14.7" thickBot="1" x14ac:dyDescent="0.6">
      <c r="A356" s="136">
        <v>44255</v>
      </c>
      <c r="B356" s="130">
        <v>33175016</v>
      </c>
      <c r="C356" s="130">
        <v>2701588</v>
      </c>
      <c r="D356" s="130">
        <v>28569</v>
      </c>
      <c r="E356" s="129">
        <v>4.2</v>
      </c>
      <c r="F356" s="130">
        <v>1191</v>
      </c>
      <c r="G356" s="130">
        <v>2572234</v>
      </c>
      <c r="H356" s="139">
        <v>8424</v>
      </c>
      <c r="I356" s="129">
        <v>610</v>
      </c>
      <c r="J356" s="130">
        <v>109639</v>
      </c>
      <c r="K356" s="129">
        <v>66</v>
      </c>
      <c r="L356" s="131">
        <v>6511</v>
      </c>
    </row>
    <row r="357" spans="1:12" ht="14.7" thickBot="1" x14ac:dyDescent="0.6">
      <c r="A357" s="136">
        <v>44256</v>
      </c>
      <c r="B357" s="130">
        <v>33305552</v>
      </c>
      <c r="C357" s="130">
        <v>2711479</v>
      </c>
      <c r="D357" s="130">
        <v>28638</v>
      </c>
      <c r="E357" s="129">
        <v>3.6</v>
      </c>
      <c r="F357" s="130">
        <v>1215</v>
      </c>
      <c r="G357" s="130">
        <v>2578181</v>
      </c>
      <c r="H357" s="139">
        <v>9891</v>
      </c>
      <c r="I357" s="129">
        <v>645</v>
      </c>
      <c r="J357" s="130">
        <v>130536</v>
      </c>
      <c r="K357" s="129">
        <v>69</v>
      </c>
      <c r="L357" s="131">
        <v>5947</v>
      </c>
    </row>
    <row r="358" spans="1:12" ht="14.7" thickBot="1" x14ac:dyDescent="0.6">
      <c r="A358" s="136">
        <v>44257</v>
      </c>
      <c r="B358" s="130">
        <v>33440843</v>
      </c>
      <c r="C358" s="130">
        <v>2723316</v>
      </c>
      <c r="D358" s="130">
        <v>28706</v>
      </c>
      <c r="E358" s="129">
        <v>3.6</v>
      </c>
      <c r="F358" s="130">
        <v>1227</v>
      </c>
      <c r="G358" s="130">
        <v>2586073</v>
      </c>
      <c r="H358" s="139">
        <v>11837</v>
      </c>
      <c r="I358" s="129">
        <v>668</v>
      </c>
      <c r="J358" s="130">
        <v>135291</v>
      </c>
      <c r="K358" s="129">
        <v>68</v>
      </c>
      <c r="L358" s="131">
        <v>7892</v>
      </c>
    </row>
    <row r="359" spans="1:12" ht="14.7" thickBot="1" x14ac:dyDescent="0.6">
      <c r="A359" s="136">
        <v>44258</v>
      </c>
      <c r="B359" s="130">
        <v>33578861</v>
      </c>
      <c r="C359" s="130">
        <v>2734836</v>
      </c>
      <c r="D359" s="130">
        <v>28771</v>
      </c>
      <c r="E359" s="129">
        <v>3.6</v>
      </c>
      <c r="F359" s="130">
        <v>1224</v>
      </c>
      <c r="G359" s="130">
        <v>2593264</v>
      </c>
      <c r="H359" s="139">
        <v>11520</v>
      </c>
      <c r="I359" s="129">
        <v>689</v>
      </c>
      <c r="J359" s="130">
        <v>138018</v>
      </c>
      <c r="K359" s="129">
        <v>65</v>
      </c>
      <c r="L359" s="131">
        <v>7191</v>
      </c>
    </row>
    <row r="360" spans="1:12" ht="14.7" thickBot="1" x14ac:dyDescent="0.6">
      <c r="A360" s="136">
        <v>44259</v>
      </c>
      <c r="B360" s="130">
        <v>33716746</v>
      </c>
      <c r="C360" s="130">
        <v>2746158</v>
      </c>
      <c r="D360" s="130">
        <v>28839</v>
      </c>
      <c r="E360" s="129">
        <v>3.6</v>
      </c>
      <c r="F360" s="130">
        <v>1220</v>
      </c>
      <c r="G360" s="130">
        <v>2601137</v>
      </c>
      <c r="H360" s="139">
        <v>11322</v>
      </c>
      <c r="I360" s="129">
        <v>685</v>
      </c>
      <c r="J360" s="130">
        <v>137885</v>
      </c>
      <c r="K360" s="129">
        <v>68</v>
      </c>
      <c r="L360" s="131">
        <v>7873</v>
      </c>
    </row>
    <row r="361" spans="1:12" ht="14.7" thickBot="1" x14ac:dyDescent="0.6">
      <c r="A361" s="136">
        <v>44260</v>
      </c>
      <c r="B361" s="130">
        <v>33854960</v>
      </c>
      <c r="C361" s="130">
        <v>2757460</v>
      </c>
      <c r="D361" s="130">
        <v>28901</v>
      </c>
      <c r="E361" s="129">
        <v>3.6</v>
      </c>
      <c r="F361" s="130">
        <v>1232</v>
      </c>
      <c r="G361" s="130">
        <v>2608848</v>
      </c>
      <c r="H361" s="139">
        <v>11302</v>
      </c>
      <c r="I361" s="129">
        <v>698</v>
      </c>
      <c r="J361" s="130">
        <v>138214</v>
      </c>
      <c r="K361" s="129">
        <v>62</v>
      </c>
      <c r="L361" s="131">
        <v>7711</v>
      </c>
    </row>
    <row r="362" spans="1:12" ht="14.7" thickBot="1" x14ac:dyDescent="0.6">
      <c r="A362" s="136">
        <v>44261</v>
      </c>
      <c r="B362" s="130">
        <v>33993552</v>
      </c>
      <c r="C362" s="130">
        <v>2769230</v>
      </c>
      <c r="D362" s="130">
        <v>28965</v>
      </c>
      <c r="E362" s="129">
        <v>3.6</v>
      </c>
      <c r="F362" s="130">
        <v>1230</v>
      </c>
      <c r="G362" s="130">
        <v>2616139</v>
      </c>
      <c r="H362" s="139">
        <v>11770</v>
      </c>
      <c r="I362" s="129">
        <v>702</v>
      </c>
      <c r="J362" s="130">
        <v>138592</v>
      </c>
      <c r="K362" s="129">
        <v>64</v>
      </c>
      <c r="L362" s="131">
        <v>7291</v>
      </c>
    </row>
    <row r="363" spans="1:12" ht="14.7" thickBot="1" x14ac:dyDescent="0.6">
      <c r="A363" s="136">
        <v>44262</v>
      </c>
      <c r="B363" s="130">
        <v>34122851</v>
      </c>
      <c r="C363" s="130">
        <v>2780417</v>
      </c>
      <c r="D363" s="130">
        <v>29030</v>
      </c>
      <c r="E363" s="129">
        <v>3.6</v>
      </c>
      <c r="F363" s="130">
        <v>1261</v>
      </c>
      <c r="G363" s="130">
        <v>2623924</v>
      </c>
      <c r="H363" s="139">
        <v>11187</v>
      </c>
      <c r="I363" s="129">
        <v>735</v>
      </c>
      <c r="J363" s="130">
        <v>129299</v>
      </c>
      <c r="K363" s="129">
        <v>65</v>
      </c>
      <c r="L363" s="131">
        <v>7785</v>
      </c>
    </row>
    <row r="364" spans="1:12" ht="14.7" thickBot="1" x14ac:dyDescent="0.6">
      <c r="A364" s="136">
        <v>44263</v>
      </c>
      <c r="B364" s="130">
        <v>34262280</v>
      </c>
      <c r="C364" s="130">
        <v>2793632</v>
      </c>
      <c r="D364" s="130">
        <v>29094</v>
      </c>
      <c r="E364" s="129">
        <v>3.8</v>
      </c>
      <c r="F364" s="130">
        <v>1239</v>
      </c>
      <c r="G364" s="130">
        <v>2632030</v>
      </c>
      <c r="H364" s="139">
        <v>13215</v>
      </c>
      <c r="I364" s="129">
        <v>767</v>
      </c>
      <c r="J364" s="130">
        <v>139429</v>
      </c>
      <c r="K364" s="129">
        <v>64</v>
      </c>
      <c r="L364" s="131">
        <v>8106</v>
      </c>
    </row>
    <row r="365" spans="1:12" ht="14.7" thickBot="1" x14ac:dyDescent="0.6">
      <c r="A365" s="136">
        <v>44264</v>
      </c>
      <c r="B365" s="130">
        <v>34403108</v>
      </c>
      <c r="C365" s="130">
        <v>2807387</v>
      </c>
      <c r="D365" s="130">
        <v>29160</v>
      </c>
      <c r="E365" s="129">
        <v>3.8</v>
      </c>
      <c r="F365" s="130">
        <v>1289</v>
      </c>
      <c r="G365" s="130">
        <v>2640669</v>
      </c>
      <c r="H365" s="139">
        <v>13755</v>
      </c>
      <c r="I365" s="129">
        <v>801</v>
      </c>
      <c r="J365" s="130">
        <v>140828</v>
      </c>
      <c r="K365" s="129">
        <v>66</v>
      </c>
      <c r="L365" s="131">
        <v>8639</v>
      </c>
    </row>
    <row r="366" spans="1:12" ht="14.7" thickBot="1" x14ac:dyDescent="0.6">
      <c r="A366" s="136">
        <v>44265</v>
      </c>
      <c r="B366" s="130">
        <v>34548238</v>
      </c>
      <c r="C366" s="130">
        <v>2821943</v>
      </c>
      <c r="D366" s="130">
        <v>29227</v>
      </c>
      <c r="E366" s="129">
        <v>3.8</v>
      </c>
      <c r="F366" s="130">
        <v>1309</v>
      </c>
      <c r="G366" s="130">
        <v>2649862</v>
      </c>
      <c r="H366" s="139">
        <v>14556</v>
      </c>
      <c r="I366" s="129">
        <v>814</v>
      </c>
      <c r="J366" s="130">
        <v>145130</v>
      </c>
      <c r="K366" s="129">
        <v>67</v>
      </c>
      <c r="L366" s="131">
        <v>9193</v>
      </c>
    </row>
    <row r="367" spans="1:12" ht="14.7" thickBot="1" x14ac:dyDescent="0.6">
      <c r="A367" s="136">
        <v>44266</v>
      </c>
      <c r="B367" s="130">
        <v>34694624</v>
      </c>
      <c r="C367" s="130">
        <v>2835989</v>
      </c>
      <c r="D367" s="130">
        <v>29290</v>
      </c>
      <c r="E367" s="129">
        <v>3.8</v>
      </c>
      <c r="F367" s="130">
        <v>1310</v>
      </c>
      <c r="G367" s="130">
        <v>2659093</v>
      </c>
      <c r="H367" s="139">
        <v>14046</v>
      </c>
      <c r="I367" s="129">
        <v>821</v>
      </c>
      <c r="J367" s="130">
        <v>146386</v>
      </c>
      <c r="K367" s="129">
        <v>63</v>
      </c>
      <c r="L367" s="131">
        <v>9231</v>
      </c>
    </row>
    <row r="368" spans="1:12" ht="14.7" thickBot="1" x14ac:dyDescent="0.6">
      <c r="A368" s="136">
        <v>44267</v>
      </c>
      <c r="B368" s="130">
        <v>34843480</v>
      </c>
      <c r="C368" s="130">
        <v>2850930</v>
      </c>
      <c r="D368" s="130">
        <v>29356</v>
      </c>
      <c r="E368" s="129">
        <v>3.8</v>
      </c>
      <c r="F368" s="130">
        <v>1349</v>
      </c>
      <c r="G368" s="130">
        <v>2670273</v>
      </c>
      <c r="H368" s="139">
        <v>14941</v>
      </c>
      <c r="I368" s="129">
        <v>834</v>
      </c>
      <c r="J368" s="130">
        <v>148856</v>
      </c>
      <c r="K368" s="129">
        <v>66</v>
      </c>
      <c r="L368" s="131">
        <v>11180</v>
      </c>
    </row>
    <row r="369" spans="1:12" ht="14.7" thickBot="1" x14ac:dyDescent="0.6">
      <c r="A369" s="136">
        <v>44268</v>
      </c>
      <c r="B369" s="130">
        <v>34993578</v>
      </c>
      <c r="C369" s="130">
        <v>2866012</v>
      </c>
      <c r="D369" s="130">
        <v>29421</v>
      </c>
      <c r="E369" s="129">
        <v>3.8</v>
      </c>
      <c r="F369" s="130">
        <v>1350</v>
      </c>
      <c r="G369" s="130">
        <v>2685560</v>
      </c>
      <c r="H369" s="139">
        <v>15082</v>
      </c>
      <c r="I369" s="129">
        <v>841</v>
      </c>
      <c r="J369" s="130">
        <v>150098</v>
      </c>
      <c r="K369" s="129">
        <v>65</v>
      </c>
      <c r="L369" s="131">
        <v>15287</v>
      </c>
    </row>
    <row r="370" spans="1:12" ht="14.7" thickBot="1" x14ac:dyDescent="0.6">
      <c r="A370" s="136">
        <v>44269</v>
      </c>
      <c r="B370" s="130">
        <v>35126003</v>
      </c>
      <c r="C370" s="130">
        <v>2879390</v>
      </c>
      <c r="D370" s="130">
        <v>29489</v>
      </c>
      <c r="E370" s="129">
        <v>3.8</v>
      </c>
      <c r="F370" s="130">
        <v>1392</v>
      </c>
      <c r="G370" s="130">
        <v>2701076</v>
      </c>
      <c r="H370" s="139">
        <v>13378</v>
      </c>
      <c r="I370" s="129">
        <v>852</v>
      </c>
      <c r="J370" s="130">
        <v>132425</v>
      </c>
      <c r="K370" s="129">
        <v>68</v>
      </c>
      <c r="L370" s="131">
        <v>15516</v>
      </c>
    </row>
    <row r="371" spans="1:12" ht="14.7" thickBot="1" x14ac:dyDescent="0.6">
      <c r="A371" s="136">
        <v>44270</v>
      </c>
      <c r="B371" s="130">
        <v>35277116</v>
      </c>
      <c r="C371" s="130">
        <v>2894893</v>
      </c>
      <c r="D371" s="130">
        <v>29552</v>
      </c>
      <c r="E371" s="129">
        <v>3.2</v>
      </c>
      <c r="F371" s="130">
        <v>1425</v>
      </c>
      <c r="G371" s="130">
        <v>2716969</v>
      </c>
      <c r="H371" s="139">
        <v>15503</v>
      </c>
      <c r="I371" s="129">
        <v>858</v>
      </c>
      <c r="J371" s="130">
        <v>151113</v>
      </c>
      <c r="K371" s="129">
        <v>63</v>
      </c>
      <c r="L371" s="131">
        <v>15893</v>
      </c>
    </row>
    <row r="372" spans="1:12" ht="14.7" thickBot="1" x14ac:dyDescent="0.6">
      <c r="A372" s="136">
        <v>44271</v>
      </c>
      <c r="B372" s="130">
        <v>35435502</v>
      </c>
      <c r="C372" s="130">
        <v>2911642</v>
      </c>
      <c r="D372" s="130">
        <v>29623</v>
      </c>
      <c r="E372" s="129">
        <v>3.2</v>
      </c>
      <c r="F372" s="130">
        <v>1474</v>
      </c>
      <c r="G372" s="130">
        <v>2734862</v>
      </c>
      <c r="H372" s="139">
        <v>16749</v>
      </c>
      <c r="I372" s="129">
        <v>874</v>
      </c>
      <c r="J372" s="130">
        <v>158386</v>
      </c>
      <c r="K372" s="129">
        <v>71</v>
      </c>
      <c r="L372" s="131">
        <v>17893</v>
      </c>
    </row>
    <row r="373" spans="1:12" ht="14.7" thickBot="1" x14ac:dyDescent="0.6">
      <c r="A373" s="136">
        <v>44272</v>
      </c>
      <c r="B373" s="130">
        <v>35603028</v>
      </c>
      <c r="C373" s="130">
        <v>2930554</v>
      </c>
      <c r="D373" s="130">
        <v>29696</v>
      </c>
      <c r="E373" s="129">
        <v>3.2</v>
      </c>
      <c r="F373" s="130">
        <v>1484</v>
      </c>
      <c r="G373" s="130">
        <v>2752023</v>
      </c>
      <c r="H373" s="139">
        <v>18912</v>
      </c>
      <c r="I373" s="129">
        <v>869</v>
      </c>
      <c r="J373" s="130">
        <v>167526</v>
      </c>
      <c r="K373" s="129">
        <v>73</v>
      </c>
      <c r="L373" s="131">
        <v>17161</v>
      </c>
    </row>
    <row r="374" spans="1:12" ht="14.7" thickBot="1" x14ac:dyDescent="0.6">
      <c r="A374" s="136">
        <v>44273</v>
      </c>
      <c r="B374" s="130">
        <v>35787480</v>
      </c>
      <c r="C374" s="130">
        <v>2950603</v>
      </c>
      <c r="D374" s="130">
        <v>29777</v>
      </c>
      <c r="E374" s="129">
        <v>3.2</v>
      </c>
      <c r="F374" s="130">
        <v>1503</v>
      </c>
      <c r="G374" s="130">
        <v>2770638</v>
      </c>
      <c r="H374" s="139">
        <v>20049</v>
      </c>
      <c r="I374" s="129">
        <v>902</v>
      </c>
      <c r="J374" s="130">
        <v>184452</v>
      </c>
      <c r="K374" s="129">
        <v>81</v>
      </c>
      <c r="L374" s="131">
        <v>18615</v>
      </c>
    </row>
    <row r="375" spans="1:12" ht="14.7" thickBot="1" x14ac:dyDescent="0.6">
      <c r="A375" s="136">
        <v>44274</v>
      </c>
      <c r="B375" s="130">
        <v>35975339</v>
      </c>
      <c r="C375" s="130">
        <v>2971633</v>
      </c>
      <c r="D375" s="130">
        <v>29864</v>
      </c>
      <c r="E375" s="129">
        <v>3.2</v>
      </c>
      <c r="F375" s="130">
        <v>1547</v>
      </c>
      <c r="G375" s="130">
        <v>2788757</v>
      </c>
      <c r="H375" s="139">
        <v>21030</v>
      </c>
      <c r="I375" s="129">
        <v>934</v>
      </c>
      <c r="J375" s="130">
        <v>187859</v>
      </c>
      <c r="K375" s="129">
        <v>87</v>
      </c>
      <c r="L375" s="131">
        <v>18119</v>
      </c>
    </row>
    <row r="376" spans="1:12" ht="14.7" thickBot="1" x14ac:dyDescent="0.6">
      <c r="A376" s="136">
        <v>44275</v>
      </c>
      <c r="B376" s="130">
        <v>36165468</v>
      </c>
      <c r="C376" s="130">
        <v>2992694</v>
      </c>
      <c r="D376" s="130">
        <v>29959</v>
      </c>
      <c r="E376" s="129">
        <v>3.2</v>
      </c>
      <c r="F376" s="130">
        <v>1538</v>
      </c>
      <c r="G376" s="130">
        <v>2807572</v>
      </c>
      <c r="H376" s="139">
        <v>21061</v>
      </c>
      <c r="I376" s="129">
        <v>958</v>
      </c>
      <c r="J376" s="130">
        <v>190129</v>
      </c>
      <c r="K376" s="129">
        <v>95</v>
      </c>
      <c r="L376" s="131">
        <v>18815</v>
      </c>
    </row>
    <row r="377" spans="1:12" ht="14.7" thickBot="1" x14ac:dyDescent="0.6">
      <c r="A377" s="136">
        <v>44276</v>
      </c>
      <c r="B377" s="130">
        <v>36355374</v>
      </c>
      <c r="C377" s="130">
        <v>3013122</v>
      </c>
      <c r="D377" s="130">
        <v>30061</v>
      </c>
      <c r="E377" s="129">
        <v>3.2</v>
      </c>
      <c r="F377" s="130">
        <v>1568</v>
      </c>
      <c r="G377" s="130">
        <v>2825187</v>
      </c>
      <c r="H377" s="139">
        <v>20428</v>
      </c>
      <c r="I377" s="129">
        <v>965</v>
      </c>
      <c r="J377" s="130">
        <v>189906</v>
      </c>
      <c r="K377" s="129">
        <v>102</v>
      </c>
      <c r="L377" s="131">
        <v>17615</v>
      </c>
    </row>
    <row r="378" spans="1:12" ht="14.7" thickBot="1" x14ac:dyDescent="0.6">
      <c r="A378" s="136">
        <v>44277</v>
      </c>
      <c r="B378" s="130">
        <v>36556589</v>
      </c>
      <c r="C378" s="130">
        <v>3035338</v>
      </c>
      <c r="D378" s="130">
        <v>30178</v>
      </c>
      <c r="E378" s="129">
        <v>4.2</v>
      </c>
      <c r="F378" s="130">
        <v>1644</v>
      </c>
      <c r="G378" s="130">
        <v>2844681</v>
      </c>
      <c r="H378" s="139">
        <v>22216</v>
      </c>
      <c r="I378" s="129">
        <v>981</v>
      </c>
      <c r="J378" s="130">
        <v>201215</v>
      </c>
      <c r="K378" s="129">
        <v>117</v>
      </c>
      <c r="L378" s="131">
        <v>19494</v>
      </c>
    </row>
    <row r="379" spans="1:12" ht="14.7" thickBot="1" x14ac:dyDescent="0.6">
      <c r="A379" s="136">
        <v>44278</v>
      </c>
      <c r="B379" s="130">
        <v>36768437</v>
      </c>
      <c r="C379" s="130">
        <v>3061520</v>
      </c>
      <c r="D379" s="130">
        <v>30316</v>
      </c>
      <c r="E379" s="129">
        <v>4.2</v>
      </c>
      <c r="F379" s="130">
        <v>1710</v>
      </c>
      <c r="G379" s="130">
        <v>2863882</v>
      </c>
      <c r="H379" s="139">
        <v>26182</v>
      </c>
      <c r="I379" s="130">
        <v>1006</v>
      </c>
      <c r="J379" s="130">
        <v>211848</v>
      </c>
      <c r="K379" s="129">
        <v>138</v>
      </c>
      <c r="L379" s="131">
        <v>19201</v>
      </c>
    </row>
    <row r="380" spans="1:12" ht="14.7" thickBot="1" x14ac:dyDescent="0.6">
      <c r="A380" s="136">
        <v>44279</v>
      </c>
      <c r="B380" s="130">
        <v>36990175</v>
      </c>
      <c r="C380" s="130">
        <v>3091282</v>
      </c>
      <c r="D380" s="130">
        <v>30462</v>
      </c>
      <c r="E380" s="129">
        <v>4.2</v>
      </c>
      <c r="F380" s="130">
        <v>1720</v>
      </c>
      <c r="G380" s="130">
        <v>2881643</v>
      </c>
      <c r="H380" s="139">
        <v>29762</v>
      </c>
      <c r="I380" s="130">
        <v>1142</v>
      </c>
      <c r="J380" s="130">
        <v>221738</v>
      </c>
      <c r="K380" s="129">
        <v>146</v>
      </c>
      <c r="L380" s="131">
        <v>17761</v>
      </c>
    </row>
    <row r="381" spans="1:12" ht="14.7" thickBot="1" x14ac:dyDescent="0.6">
      <c r="A381" s="136">
        <v>44280</v>
      </c>
      <c r="B381" s="130">
        <v>37212928</v>
      </c>
      <c r="C381" s="130">
        <v>3120013</v>
      </c>
      <c r="D381" s="130">
        <v>30619</v>
      </c>
      <c r="E381" s="129">
        <v>4.2</v>
      </c>
      <c r="F381" s="130">
        <v>1790</v>
      </c>
      <c r="G381" s="130">
        <v>2900829</v>
      </c>
      <c r="H381" s="139">
        <v>28731</v>
      </c>
      <c r="I381" s="130">
        <v>1210</v>
      </c>
      <c r="J381" s="130">
        <v>222753</v>
      </c>
      <c r="K381" s="129">
        <v>157</v>
      </c>
      <c r="L381" s="131">
        <v>19186</v>
      </c>
    </row>
    <row r="382" spans="1:12" ht="14.7" thickBot="1" x14ac:dyDescent="0.6">
      <c r="A382" s="136">
        <v>44281</v>
      </c>
      <c r="B382" s="130">
        <v>37433913</v>
      </c>
      <c r="C382" s="130">
        <v>3149094</v>
      </c>
      <c r="D382" s="130">
        <v>30772</v>
      </c>
      <c r="E382" s="129">
        <v>4.2</v>
      </c>
      <c r="F382" s="130">
        <v>1810</v>
      </c>
      <c r="G382" s="130">
        <v>2921037</v>
      </c>
      <c r="H382" s="139">
        <v>29081</v>
      </c>
      <c r="I382" s="130">
        <v>1253</v>
      </c>
      <c r="J382" s="130">
        <v>220985</v>
      </c>
      <c r="K382" s="129">
        <v>153</v>
      </c>
      <c r="L382" s="131">
        <v>20208</v>
      </c>
    </row>
    <row r="383" spans="1:12" ht="14.7" thickBot="1" x14ac:dyDescent="0.6">
      <c r="A383" s="136">
        <v>44282</v>
      </c>
      <c r="B383" s="130">
        <v>37657127</v>
      </c>
      <c r="C383" s="130">
        <v>3179115</v>
      </c>
      <c r="D383" s="130">
        <v>30923</v>
      </c>
      <c r="E383" s="129">
        <v>4.2</v>
      </c>
      <c r="F383" s="130">
        <v>1886</v>
      </c>
      <c r="G383" s="130">
        <v>2939929</v>
      </c>
      <c r="H383" s="139">
        <v>30021</v>
      </c>
      <c r="I383" s="130">
        <v>1281</v>
      </c>
      <c r="J383" s="130">
        <v>223214</v>
      </c>
      <c r="K383" s="129">
        <v>151</v>
      </c>
      <c r="L383" s="131">
        <v>18892</v>
      </c>
    </row>
    <row r="384" spans="1:12" ht="14.7" thickBot="1" x14ac:dyDescent="0.6">
      <c r="A384" s="136">
        <v>44283</v>
      </c>
      <c r="B384" s="130">
        <v>37877236</v>
      </c>
      <c r="C384" s="130">
        <v>3208173</v>
      </c>
      <c r="D384" s="130">
        <v>31076</v>
      </c>
      <c r="E384" s="129">
        <v>4.2</v>
      </c>
      <c r="F384" s="130">
        <v>1968</v>
      </c>
      <c r="G384" s="130">
        <v>2957093</v>
      </c>
      <c r="H384" s="139">
        <v>29058</v>
      </c>
      <c r="I384" s="130">
        <v>1305</v>
      </c>
      <c r="J384" s="130">
        <v>220109</v>
      </c>
      <c r="K384" s="129">
        <v>153</v>
      </c>
      <c r="L384" s="131">
        <v>17164</v>
      </c>
    </row>
    <row r="385" spans="1:12" ht="14.7" thickBot="1" x14ac:dyDescent="0.6">
      <c r="A385" s="136">
        <v>44284</v>
      </c>
      <c r="B385" s="130">
        <v>38102747</v>
      </c>
      <c r="C385" s="130">
        <v>3240577</v>
      </c>
      <c r="D385" s="130">
        <v>31230</v>
      </c>
      <c r="E385" s="129">
        <v>3.6</v>
      </c>
      <c r="F385" s="130">
        <v>1998</v>
      </c>
      <c r="G385" s="130">
        <v>2975108</v>
      </c>
      <c r="H385" s="139">
        <v>32404</v>
      </c>
      <c r="I385" s="130">
        <v>1325</v>
      </c>
      <c r="J385" s="130">
        <v>225511</v>
      </c>
      <c r="K385" s="129">
        <v>154</v>
      </c>
      <c r="L385" s="131">
        <v>18015</v>
      </c>
    </row>
    <row r="386" spans="1:12" ht="14.7" thickBot="1" x14ac:dyDescent="0.6">
      <c r="A386" s="136">
        <v>44285</v>
      </c>
      <c r="B386" s="130">
        <v>38338045</v>
      </c>
      <c r="C386" s="130">
        <v>3277880</v>
      </c>
      <c r="D386" s="130">
        <v>31385</v>
      </c>
      <c r="E386" s="129">
        <v>3.6</v>
      </c>
      <c r="F386" s="130">
        <v>2054</v>
      </c>
      <c r="G386" s="130">
        <v>2995033</v>
      </c>
      <c r="H386" s="139">
        <v>37303</v>
      </c>
      <c r="I386" s="130">
        <v>1376</v>
      </c>
      <c r="J386" s="130">
        <v>235298</v>
      </c>
      <c r="K386" s="129">
        <v>155</v>
      </c>
      <c r="L386" s="131">
        <v>19925</v>
      </c>
    </row>
    <row r="387" spans="1:12" ht="14.7" thickBot="1" x14ac:dyDescent="0.6">
      <c r="A387" s="136">
        <v>44286</v>
      </c>
      <c r="B387" s="130">
        <v>38578057</v>
      </c>
      <c r="C387" s="130">
        <v>3317182</v>
      </c>
      <c r="D387" s="130">
        <v>31537</v>
      </c>
      <c r="E387" s="129">
        <v>3.6</v>
      </c>
      <c r="F387" s="130">
        <v>2082</v>
      </c>
      <c r="G387" s="130">
        <v>3014226</v>
      </c>
      <c r="H387" s="139">
        <v>39302</v>
      </c>
      <c r="I387" s="130">
        <v>1401</v>
      </c>
      <c r="J387" s="130">
        <v>240012</v>
      </c>
      <c r="K387" s="129">
        <v>152</v>
      </c>
      <c r="L387" s="131">
        <v>19193</v>
      </c>
    </row>
    <row r="388" spans="1:12" ht="14.7" thickBot="1" x14ac:dyDescent="0.6">
      <c r="A388" s="136">
        <v>44287</v>
      </c>
      <c r="B388" s="130">
        <v>38821795</v>
      </c>
      <c r="C388" s="130">
        <v>3357988</v>
      </c>
      <c r="D388" s="130">
        <v>31713</v>
      </c>
      <c r="E388" s="129">
        <v>3.6</v>
      </c>
      <c r="F388" s="130">
        <v>2135</v>
      </c>
      <c r="G388" s="130">
        <v>3035043</v>
      </c>
      <c r="H388" s="139">
        <v>40806</v>
      </c>
      <c r="I388" s="130">
        <v>1424</v>
      </c>
      <c r="J388" s="130">
        <v>243738</v>
      </c>
      <c r="K388" s="129">
        <v>176</v>
      </c>
      <c r="L388" s="131">
        <v>20817</v>
      </c>
    </row>
    <row r="389" spans="1:12" ht="14.7" thickBot="1" x14ac:dyDescent="0.6">
      <c r="A389" s="136">
        <v>44288</v>
      </c>
      <c r="B389" s="130">
        <v>39070763</v>
      </c>
      <c r="C389" s="130">
        <v>3400296</v>
      </c>
      <c r="D389" s="130">
        <v>31892</v>
      </c>
      <c r="E389" s="129">
        <v>3.6</v>
      </c>
      <c r="F389" s="130">
        <v>2182</v>
      </c>
      <c r="G389" s="130">
        <v>3059462</v>
      </c>
      <c r="H389" s="139">
        <v>42308</v>
      </c>
      <c r="I389" s="130">
        <v>1471</v>
      </c>
      <c r="J389" s="130">
        <v>248968</v>
      </c>
      <c r="K389" s="129">
        <v>179</v>
      </c>
      <c r="L389" s="131">
        <v>24419</v>
      </c>
    </row>
    <row r="390" spans="1:12" ht="14.7" thickBot="1" x14ac:dyDescent="0.6">
      <c r="A390" s="136">
        <v>44289</v>
      </c>
      <c r="B390" s="130">
        <v>39319889</v>
      </c>
      <c r="C390" s="130">
        <v>3445052</v>
      </c>
      <c r="D390" s="130">
        <v>32078</v>
      </c>
      <c r="E390" s="129">
        <v>3.6</v>
      </c>
      <c r="F390" s="130">
        <v>2231</v>
      </c>
      <c r="G390" s="130">
        <v>3082676</v>
      </c>
      <c r="H390" s="139">
        <v>44756</v>
      </c>
      <c r="I390" s="130">
        <v>1483</v>
      </c>
      <c r="J390" s="130">
        <v>249126</v>
      </c>
      <c r="K390" s="129">
        <v>186</v>
      </c>
      <c r="L390" s="131">
        <v>23214</v>
      </c>
    </row>
    <row r="391" spans="1:12" ht="14.7" thickBot="1" x14ac:dyDescent="0.6">
      <c r="A391" s="136">
        <v>44290</v>
      </c>
      <c r="B391" s="130">
        <v>39566099</v>
      </c>
      <c r="C391" s="130">
        <v>3487050</v>
      </c>
      <c r="D391" s="130">
        <v>32263</v>
      </c>
      <c r="E391" s="129">
        <v>3.6</v>
      </c>
      <c r="F391" s="130">
        <v>2311</v>
      </c>
      <c r="G391" s="130">
        <v>3105350</v>
      </c>
      <c r="H391" s="139">
        <v>41998</v>
      </c>
      <c r="I391" s="130">
        <v>1508</v>
      </c>
      <c r="J391" s="130">
        <v>246210</v>
      </c>
      <c r="K391" s="129">
        <v>185</v>
      </c>
      <c r="L391" s="131">
        <v>22674</v>
      </c>
    </row>
    <row r="392" spans="1:12" ht="14.7" thickBot="1" x14ac:dyDescent="0.6">
      <c r="A392" s="136">
        <v>44291</v>
      </c>
      <c r="B392" s="130">
        <v>39811595</v>
      </c>
      <c r="C392" s="130">
        <v>3529601</v>
      </c>
      <c r="D392" s="130">
        <v>32456</v>
      </c>
      <c r="E392" s="129">
        <v>3.1</v>
      </c>
      <c r="F392" s="130">
        <v>2407</v>
      </c>
      <c r="G392" s="130">
        <v>3130977</v>
      </c>
      <c r="H392" s="139">
        <v>42551</v>
      </c>
      <c r="I392" s="130">
        <v>1706</v>
      </c>
      <c r="J392" s="130">
        <v>245496</v>
      </c>
      <c r="K392" s="129">
        <v>193</v>
      </c>
      <c r="L392" s="131">
        <v>25627</v>
      </c>
    </row>
    <row r="393" spans="1:12" ht="14.7" thickBot="1" x14ac:dyDescent="0.6">
      <c r="A393" s="136">
        <v>44292</v>
      </c>
      <c r="B393" s="130">
        <v>40083142</v>
      </c>
      <c r="C393" s="130">
        <v>3579185</v>
      </c>
      <c r="D393" s="130">
        <v>32667</v>
      </c>
      <c r="E393" s="129">
        <v>3.1</v>
      </c>
      <c r="F393" s="130">
        <v>2477</v>
      </c>
      <c r="G393" s="130">
        <v>3159475</v>
      </c>
      <c r="H393" s="139">
        <v>49584</v>
      </c>
      <c r="I393" s="130">
        <v>2003</v>
      </c>
      <c r="J393" s="130">
        <v>271547</v>
      </c>
      <c r="K393" s="129">
        <v>211</v>
      </c>
      <c r="L393" s="131">
        <v>28498</v>
      </c>
    </row>
    <row r="394" spans="1:12" ht="14.7" thickBot="1" x14ac:dyDescent="0.6">
      <c r="A394" s="136">
        <v>44293</v>
      </c>
      <c r="B394" s="130">
        <v>40385250</v>
      </c>
      <c r="C394" s="130">
        <v>3633925</v>
      </c>
      <c r="D394" s="130">
        <v>32943</v>
      </c>
      <c r="E394" s="129">
        <v>3.1</v>
      </c>
      <c r="F394" s="130">
        <v>2604</v>
      </c>
      <c r="G394" s="130">
        <v>3194978</v>
      </c>
      <c r="H394" s="139">
        <v>54740</v>
      </c>
      <c r="I394" s="130">
        <v>2203</v>
      </c>
      <c r="J394" s="130">
        <v>302108</v>
      </c>
      <c r="K394" s="129">
        <v>276</v>
      </c>
      <c r="L394" s="131">
        <v>35503</v>
      </c>
    </row>
    <row r="395" spans="1:12" ht="14.7" thickBot="1" x14ac:dyDescent="0.6">
      <c r="A395" s="136">
        <v>44294</v>
      </c>
      <c r="B395" s="130">
        <v>40689742</v>
      </c>
      <c r="C395" s="130">
        <v>3689866</v>
      </c>
      <c r="D395" s="130">
        <v>33201</v>
      </c>
      <c r="E395" s="129">
        <v>3.1</v>
      </c>
      <c r="F395" s="130">
        <v>2615</v>
      </c>
      <c r="G395" s="130">
        <v>3232892</v>
      </c>
      <c r="H395" s="139">
        <v>55941</v>
      </c>
      <c r="I395" s="130">
        <v>2316</v>
      </c>
      <c r="J395" s="130">
        <v>304492</v>
      </c>
      <c r="K395" s="129">
        <v>258</v>
      </c>
      <c r="L395" s="131">
        <v>37914</v>
      </c>
    </row>
    <row r="396" spans="1:12" ht="14.7" thickBot="1" x14ac:dyDescent="0.6">
      <c r="A396" s="136">
        <v>44295</v>
      </c>
      <c r="B396" s="130">
        <v>40994845</v>
      </c>
      <c r="C396" s="130">
        <v>3745657</v>
      </c>
      <c r="D396" s="130">
        <v>33454</v>
      </c>
      <c r="E396" s="129">
        <v>3.1</v>
      </c>
      <c r="F396" s="130">
        <v>2658</v>
      </c>
      <c r="G396" s="130">
        <v>3268678</v>
      </c>
      <c r="H396" s="139">
        <v>55791</v>
      </c>
      <c r="I396" s="130">
        <v>2408</v>
      </c>
      <c r="J396" s="130">
        <v>305103</v>
      </c>
      <c r="K396" s="129">
        <v>253</v>
      </c>
      <c r="L396" s="131">
        <v>35786</v>
      </c>
    </row>
    <row r="397" spans="1:12" ht="14.7" thickBot="1" x14ac:dyDescent="0.6">
      <c r="A397" s="136">
        <v>44296</v>
      </c>
      <c r="B397" s="130">
        <v>41297580</v>
      </c>
      <c r="C397" s="130">
        <v>3798333</v>
      </c>
      <c r="D397" s="130">
        <v>33702</v>
      </c>
      <c r="E397" s="129">
        <v>3.1</v>
      </c>
      <c r="F397" s="130">
        <v>2739</v>
      </c>
      <c r="G397" s="130">
        <v>3301217</v>
      </c>
      <c r="H397" s="139">
        <v>52676</v>
      </c>
      <c r="I397" s="130">
        <v>2497</v>
      </c>
      <c r="J397" s="130">
        <v>302735</v>
      </c>
      <c r="K397" s="129">
        <v>248</v>
      </c>
      <c r="L397" s="131">
        <v>32539</v>
      </c>
    </row>
    <row r="398" spans="1:12" ht="14.7" thickBot="1" x14ac:dyDescent="0.6">
      <c r="A398" s="136">
        <v>44297</v>
      </c>
      <c r="B398" s="130">
        <v>41591854</v>
      </c>
      <c r="C398" s="130">
        <v>3849011</v>
      </c>
      <c r="D398" s="130">
        <v>33939</v>
      </c>
      <c r="E398" s="129">
        <v>3.1</v>
      </c>
      <c r="F398" s="130">
        <v>2824</v>
      </c>
      <c r="G398" s="130">
        <v>3331411</v>
      </c>
      <c r="H398" s="139">
        <v>50678</v>
      </c>
      <c r="I398" s="130">
        <v>2548</v>
      </c>
      <c r="J398" s="130">
        <v>294274</v>
      </c>
      <c r="K398" s="129">
        <v>237</v>
      </c>
      <c r="L398" s="131">
        <v>30194</v>
      </c>
    </row>
    <row r="399" spans="1:12" ht="14.7" thickBot="1" x14ac:dyDescent="0.6">
      <c r="A399" s="136">
        <v>44298</v>
      </c>
      <c r="B399" s="130">
        <v>41892922</v>
      </c>
      <c r="C399" s="130">
        <v>3903573</v>
      </c>
      <c r="D399" s="130">
        <v>34182</v>
      </c>
      <c r="E399" s="129">
        <v>3.3</v>
      </c>
      <c r="F399" s="130">
        <v>2891</v>
      </c>
      <c r="G399" s="130">
        <v>3372629</v>
      </c>
      <c r="H399" s="139">
        <v>54562</v>
      </c>
      <c r="I399" s="130">
        <v>2671</v>
      </c>
      <c r="J399" s="130">
        <v>301068</v>
      </c>
      <c r="K399" s="129">
        <v>243</v>
      </c>
      <c r="L399" s="131">
        <v>41218</v>
      </c>
    </row>
    <row r="400" spans="1:12" ht="14.7" thickBot="1" x14ac:dyDescent="0.6">
      <c r="A400" s="136">
        <v>44299</v>
      </c>
      <c r="B400" s="130">
        <v>42199485</v>
      </c>
      <c r="C400" s="130">
        <v>3962760</v>
      </c>
      <c r="D400" s="130">
        <v>34455</v>
      </c>
      <c r="E400" s="129">
        <v>3.3</v>
      </c>
      <c r="F400" s="130">
        <v>2951</v>
      </c>
      <c r="G400" s="130">
        <v>3424733</v>
      </c>
      <c r="H400" s="139">
        <v>59187</v>
      </c>
      <c r="I400" s="130">
        <v>2723</v>
      </c>
      <c r="J400" s="130">
        <v>306563</v>
      </c>
      <c r="K400" s="129">
        <v>273</v>
      </c>
      <c r="L400" s="131">
        <v>52104</v>
      </c>
    </row>
    <row r="401" spans="1:12" ht="14.7" thickBot="1" x14ac:dyDescent="0.6">
      <c r="A401" s="136">
        <v>44300</v>
      </c>
      <c r="B401" s="130">
        <v>42509905</v>
      </c>
      <c r="C401" s="130">
        <v>4025557</v>
      </c>
      <c r="D401" s="130">
        <v>34734</v>
      </c>
      <c r="E401" s="129">
        <v>3.3</v>
      </c>
      <c r="F401" s="130">
        <v>3018</v>
      </c>
      <c r="G401" s="130">
        <v>3480146</v>
      </c>
      <c r="H401" s="139">
        <v>62797</v>
      </c>
      <c r="I401" s="130">
        <v>2802</v>
      </c>
      <c r="J401" s="130">
        <v>310420</v>
      </c>
      <c r="K401" s="129">
        <v>279</v>
      </c>
      <c r="L401" s="131">
        <v>55413</v>
      </c>
    </row>
    <row r="402" spans="1:12" ht="14.7" thickBot="1" x14ac:dyDescent="0.6">
      <c r="A402" s="136">
        <v>44301</v>
      </c>
      <c r="B402" s="130">
        <v>42828122</v>
      </c>
      <c r="C402" s="130">
        <v>4086957</v>
      </c>
      <c r="D402" s="130">
        <v>35031</v>
      </c>
      <c r="E402" s="129">
        <v>3.3</v>
      </c>
      <c r="F402" s="130">
        <v>3080</v>
      </c>
      <c r="G402" s="130">
        <v>3535040</v>
      </c>
      <c r="H402" s="139">
        <v>61400</v>
      </c>
      <c r="I402" s="130">
        <v>2845</v>
      </c>
      <c r="J402" s="130">
        <v>318217</v>
      </c>
      <c r="K402" s="129">
        <v>297</v>
      </c>
      <c r="L402" s="131">
        <v>54894</v>
      </c>
    </row>
    <row r="403" spans="1:12" ht="14.7" thickBot="1" x14ac:dyDescent="0.6">
      <c r="A403" s="136">
        <v>44302</v>
      </c>
      <c r="B403" s="130">
        <v>43148200</v>
      </c>
      <c r="C403" s="130">
        <v>4150039</v>
      </c>
      <c r="D403" s="130">
        <v>35320</v>
      </c>
      <c r="E403" s="129">
        <v>3.3</v>
      </c>
      <c r="F403" s="130">
        <v>3205</v>
      </c>
      <c r="G403" s="130">
        <v>3591550</v>
      </c>
      <c r="H403" s="139">
        <v>63082</v>
      </c>
      <c r="I403" s="130">
        <v>2915</v>
      </c>
      <c r="J403" s="130">
        <v>320078</v>
      </c>
      <c r="K403" s="129">
        <v>289</v>
      </c>
      <c r="L403" s="131">
        <v>56510</v>
      </c>
    </row>
    <row r="404" spans="1:12" ht="14.7" thickBot="1" x14ac:dyDescent="0.6">
      <c r="A404" s="136">
        <v>44303</v>
      </c>
      <c r="B404" s="130">
        <v>43467516</v>
      </c>
      <c r="C404" s="130">
        <v>4212645</v>
      </c>
      <c r="D404" s="130">
        <v>35608</v>
      </c>
      <c r="E404" s="129">
        <v>3.3</v>
      </c>
      <c r="F404" s="130">
        <v>3240</v>
      </c>
      <c r="G404" s="130">
        <v>3643734</v>
      </c>
      <c r="H404" s="139">
        <v>62606</v>
      </c>
      <c r="I404" s="130">
        <v>2973</v>
      </c>
      <c r="J404" s="130">
        <v>319316</v>
      </c>
      <c r="K404" s="129">
        <v>288</v>
      </c>
      <c r="L404" s="131">
        <v>52184</v>
      </c>
    </row>
    <row r="405" spans="1:12" ht="14.7" thickBot="1" x14ac:dyDescent="0.6">
      <c r="A405" s="136">
        <v>44304</v>
      </c>
      <c r="B405" s="130">
        <v>43768759</v>
      </c>
      <c r="C405" s="130">
        <v>4268447</v>
      </c>
      <c r="D405" s="130">
        <v>35926</v>
      </c>
      <c r="E405" s="129">
        <v>3.3</v>
      </c>
      <c r="F405" s="130">
        <v>3275</v>
      </c>
      <c r="G405" s="130">
        <v>3687590</v>
      </c>
      <c r="H405" s="139">
        <v>55802</v>
      </c>
      <c r="I405" s="130">
        <v>3101</v>
      </c>
      <c r="J405" s="130">
        <v>301243</v>
      </c>
      <c r="K405" s="129">
        <v>318</v>
      </c>
      <c r="L405" s="131">
        <v>43856</v>
      </c>
    </row>
    <row r="406" spans="1:12" ht="14.7" thickBot="1" x14ac:dyDescent="0.6">
      <c r="A406" s="136">
        <v>44305</v>
      </c>
      <c r="B406" s="130">
        <v>44087628</v>
      </c>
      <c r="C406" s="130">
        <v>4323596</v>
      </c>
      <c r="D406" s="130">
        <v>36267</v>
      </c>
      <c r="E406" s="129">
        <v>2.9</v>
      </c>
      <c r="F406" s="130">
        <v>3319</v>
      </c>
      <c r="G406" s="130">
        <v>3736537</v>
      </c>
      <c r="H406" s="139">
        <v>55149</v>
      </c>
      <c r="I406" s="130">
        <v>2862</v>
      </c>
      <c r="J406" s="130">
        <v>318869</v>
      </c>
      <c r="K406" s="129">
        <v>341</v>
      </c>
      <c r="L406" s="131">
        <v>48947</v>
      </c>
    </row>
    <row r="407" spans="1:12" ht="14.7" thickBot="1" x14ac:dyDescent="0.6">
      <c r="A407" s="136">
        <v>44306</v>
      </c>
      <c r="B407" s="130">
        <v>44409756</v>
      </c>
      <c r="C407" s="130">
        <v>4384624</v>
      </c>
      <c r="D407" s="130">
        <v>36613</v>
      </c>
      <c r="E407" s="129">
        <v>2.9</v>
      </c>
      <c r="F407" s="130">
        <v>3375</v>
      </c>
      <c r="G407" s="130">
        <v>3792129</v>
      </c>
      <c r="H407" s="139">
        <v>61028</v>
      </c>
      <c r="I407" s="130">
        <v>2895</v>
      </c>
      <c r="J407" s="130">
        <v>322128</v>
      </c>
      <c r="K407" s="129">
        <v>346</v>
      </c>
      <c r="L407" s="131">
        <v>55592</v>
      </c>
    </row>
    <row r="408" spans="1:12" ht="14.7" thickBot="1" x14ac:dyDescent="0.6">
      <c r="A408" s="136">
        <v>44307</v>
      </c>
      <c r="B408" s="130">
        <v>44728595</v>
      </c>
      <c r="C408" s="130">
        <v>4446591</v>
      </c>
      <c r="D408" s="130">
        <v>36975</v>
      </c>
      <c r="E408" s="129">
        <v>2.9</v>
      </c>
      <c r="F408" s="130">
        <v>3398</v>
      </c>
      <c r="G408" s="130">
        <v>3844342</v>
      </c>
      <c r="H408" s="139">
        <v>61967</v>
      </c>
      <c r="I408" s="130">
        <v>2932</v>
      </c>
      <c r="J408" s="130">
        <v>318839</v>
      </c>
      <c r="K408" s="129">
        <v>362</v>
      </c>
      <c r="L408" s="131">
        <v>52213</v>
      </c>
    </row>
    <row r="409" spans="1:12" ht="14.7" thickBot="1" x14ac:dyDescent="0.6">
      <c r="A409" s="136">
        <v>44308</v>
      </c>
      <c r="B409" s="130">
        <v>45040704</v>
      </c>
      <c r="C409" s="130">
        <v>4501382</v>
      </c>
      <c r="D409" s="130">
        <v>37329</v>
      </c>
      <c r="E409" s="129">
        <v>2.9</v>
      </c>
      <c r="F409" s="130">
        <v>3463</v>
      </c>
      <c r="G409" s="130">
        <v>3909935</v>
      </c>
      <c r="H409" s="139">
        <v>54791</v>
      </c>
      <c r="I409" s="130">
        <v>3128</v>
      </c>
      <c r="J409" s="130">
        <v>312109</v>
      </c>
      <c r="K409" s="129">
        <v>354</v>
      </c>
      <c r="L409" s="131">
        <v>65593</v>
      </c>
    </row>
    <row r="410" spans="1:12" ht="14.7" thickBot="1" x14ac:dyDescent="0.6">
      <c r="A410" s="136">
        <v>44309</v>
      </c>
      <c r="B410" s="130">
        <v>45342795</v>
      </c>
      <c r="C410" s="130">
        <v>4550820</v>
      </c>
      <c r="D410" s="130">
        <v>37672</v>
      </c>
      <c r="E410" s="129">
        <v>2.9</v>
      </c>
      <c r="F410" s="130">
        <v>3475</v>
      </c>
      <c r="G410" s="130">
        <v>3970111</v>
      </c>
      <c r="H410" s="139">
        <v>49438</v>
      </c>
      <c r="I410" s="130">
        <v>3089</v>
      </c>
      <c r="J410" s="130">
        <v>302091</v>
      </c>
      <c r="K410" s="129">
        <v>343</v>
      </c>
      <c r="L410" s="131">
        <v>60176</v>
      </c>
    </row>
    <row r="411" spans="1:12" ht="14.7" thickBot="1" x14ac:dyDescent="0.6">
      <c r="A411" s="136">
        <v>44310</v>
      </c>
      <c r="B411" s="130">
        <v>45623978</v>
      </c>
      <c r="C411" s="130">
        <v>4591416</v>
      </c>
      <c r="D411" s="130">
        <v>38011</v>
      </c>
      <c r="E411" s="129">
        <v>2.9</v>
      </c>
      <c r="F411" s="130">
        <v>3511</v>
      </c>
      <c r="G411" s="130">
        <v>4022408</v>
      </c>
      <c r="H411" s="139">
        <v>40596</v>
      </c>
      <c r="I411" s="130">
        <v>2905</v>
      </c>
      <c r="J411" s="130">
        <v>281183</v>
      </c>
      <c r="K411" s="129">
        <v>339</v>
      </c>
      <c r="L411" s="131">
        <v>52297</v>
      </c>
    </row>
    <row r="412" spans="1:12" ht="14.7" thickBot="1" x14ac:dyDescent="0.6">
      <c r="A412" s="136">
        <v>44311</v>
      </c>
      <c r="B412" s="130">
        <v>45884258</v>
      </c>
      <c r="C412" s="130">
        <v>4629969</v>
      </c>
      <c r="D412" s="130">
        <v>38358</v>
      </c>
      <c r="E412" s="129">
        <v>2.9</v>
      </c>
      <c r="F412" s="130">
        <v>3590</v>
      </c>
      <c r="G412" s="130">
        <v>4073644</v>
      </c>
      <c r="H412" s="139">
        <v>38553</v>
      </c>
      <c r="I412" s="130">
        <v>2801</v>
      </c>
      <c r="J412" s="130">
        <v>260280</v>
      </c>
      <c r="K412" s="129">
        <v>347</v>
      </c>
      <c r="L412" s="131">
        <v>51236</v>
      </c>
    </row>
    <row r="413" spans="1:12" ht="14.7" thickBot="1" x14ac:dyDescent="0.6">
      <c r="A413" s="136">
        <v>44312</v>
      </c>
      <c r="B413" s="130">
        <v>46153151</v>
      </c>
      <c r="C413" s="130">
        <v>4667281</v>
      </c>
      <c r="D413" s="130">
        <v>38711</v>
      </c>
      <c r="E413" s="129">
        <v>2.4</v>
      </c>
      <c r="F413" s="130">
        <v>3563</v>
      </c>
      <c r="G413" s="130">
        <v>4121671</v>
      </c>
      <c r="H413" s="139">
        <v>37312</v>
      </c>
      <c r="I413" s="130">
        <v>2716</v>
      </c>
      <c r="J413" s="130">
        <v>268893</v>
      </c>
      <c r="K413" s="129">
        <v>353</v>
      </c>
      <c r="L413" s="131">
        <v>48027</v>
      </c>
    </row>
    <row r="414" spans="1:12" ht="14.7" thickBot="1" x14ac:dyDescent="0.6">
      <c r="A414" s="136">
        <v>44313</v>
      </c>
      <c r="B414" s="130">
        <v>46435343</v>
      </c>
      <c r="C414" s="130">
        <v>4710582</v>
      </c>
      <c r="D414" s="130">
        <v>39057</v>
      </c>
      <c r="E414" s="129">
        <v>2.4</v>
      </c>
      <c r="F414" s="130">
        <v>3549</v>
      </c>
      <c r="G414" s="130">
        <v>4167263</v>
      </c>
      <c r="H414" s="139">
        <v>43301</v>
      </c>
      <c r="I414" s="130">
        <v>2703</v>
      </c>
      <c r="J414" s="130">
        <v>282192</v>
      </c>
      <c r="K414" s="129">
        <v>346</v>
      </c>
      <c r="L414" s="131">
        <v>45592</v>
      </c>
    </row>
    <row r="415" spans="1:12" ht="14.7" thickBot="1" x14ac:dyDescent="0.6">
      <c r="A415" s="136">
        <v>44314</v>
      </c>
      <c r="B415" s="130">
        <v>46718604</v>
      </c>
      <c r="C415" s="130">
        <v>4751026</v>
      </c>
      <c r="D415" s="130">
        <v>39398</v>
      </c>
      <c r="E415" s="129">
        <v>2.4</v>
      </c>
      <c r="F415" s="130">
        <v>3558</v>
      </c>
      <c r="G415" s="130">
        <v>4212461</v>
      </c>
      <c r="H415" s="139">
        <v>40444</v>
      </c>
      <c r="I415" s="130">
        <v>2728</v>
      </c>
      <c r="J415" s="130">
        <v>283261</v>
      </c>
      <c r="K415" s="129">
        <v>341</v>
      </c>
      <c r="L415" s="131">
        <v>45198</v>
      </c>
    </row>
    <row r="416" spans="1:12" ht="14.7" thickBot="1" x14ac:dyDescent="0.6">
      <c r="A416" s="136">
        <v>44315</v>
      </c>
      <c r="B416" s="130">
        <v>46996712</v>
      </c>
      <c r="C416" s="130">
        <v>4788700</v>
      </c>
      <c r="D416" s="130">
        <v>39737</v>
      </c>
      <c r="E416" s="129">
        <v>2.4</v>
      </c>
      <c r="F416" s="130">
        <v>3581</v>
      </c>
      <c r="G416" s="130">
        <v>4255714</v>
      </c>
      <c r="H416" s="139">
        <v>37674</v>
      </c>
      <c r="I416" s="130">
        <v>2715</v>
      </c>
      <c r="J416" s="130">
        <v>278108</v>
      </c>
      <c r="K416" s="129">
        <v>339</v>
      </c>
      <c r="L416" s="131">
        <v>43253</v>
      </c>
    </row>
    <row r="417" spans="1:12" ht="14.7" thickBot="1" x14ac:dyDescent="0.6">
      <c r="A417" s="136">
        <v>44316</v>
      </c>
      <c r="B417" s="130">
        <v>47261999</v>
      </c>
      <c r="C417" s="130">
        <v>4820591</v>
      </c>
      <c r="D417" s="130">
        <v>40131</v>
      </c>
      <c r="E417" s="129">
        <v>2.4</v>
      </c>
      <c r="F417" s="130">
        <v>3534</v>
      </c>
      <c r="G417" s="130">
        <v>4323897</v>
      </c>
      <c r="H417" s="139">
        <v>31891</v>
      </c>
      <c r="I417" s="130">
        <v>2673</v>
      </c>
      <c r="J417" s="130">
        <v>265287</v>
      </c>
      <c r="K417" s="129">
        <v>394</v>
      </c>
      <c r="L417" s="131">
        <v>68183</v>
      </c>
    </row>
    <row r="418" spans="1:12" ht="14.7" thickBot="1" x14ac:dyDescent="0.6">
      <c r="A418" s="136">
        <v>44317</v>
      </c>
      <c r="B418" s="130">
        <v>47504193</v>
      </c>
      <c r="C418" s="130">
        <v>4849408</v>
      </c>
      <c r="D418" s="130">
        <v>40504</v>
      </c>
      <c r="E418" s="129">
        <v>2.4</v>
      </c>
      <c r="F418" s="130">
        <v>3525</v>
      </c>
      <c r="G418" s="130">
        <v>4405199</v>
      </c>
      <c r="H418" s="139">
        <v>28817</v>
      </c>
      <c r="I418" s="130">
        <v>2615</v>
      </c>
      <c r="J418" s="130">
        <v>242194</v>
      </c>
      <c r="K418" s="129">
        <v>373</v>
      </c>
      <c r="L418" s="131">
        <v>81302</v>
      </c>
    </row>
    <row r="419" spans="1:12" ht="14.7" thickBot="1" x14ac:dyDescent="0.6">
      <c r="A419" s="136">
        <v>44318</v>
      </c>
      <c r="B419" s="130">
        <v>47744338</v>
      </c>
      <c r="C419" s="130">
        <v>4875388</v>
      </c>
      <c r="D419" s="130">
        <v>40844</v>
      </c>
      <c r="E419" s="129">
        <v>2.4</v>
      </c>
      <c r="F419" s="130">
        <v>3532</v>
      </c>
      <c r="G419" s="130">
        <v>4480381</v>
      </c>
      <c r="H419" s="139">
        <v>25980</v>
      </c>
      <c r="I419" s="130">
        <v>2587</v>
      </c>
      <c r="J419" s="130">
        <v>240145</v>
      </c>
      <c r="K419" s="129">
        <v>340</v>
      </c>
      <c r="L419" s="131">
        <v>75182</v>
      </c>
    </row>
    <row r="420" spans="1:12" ht="14.7" thickBot="1" x14ac:dyDescent="0.6">
      <c r="A420" s="136">
        <v>44319</v>
      </c>
      <c r="B420" s="130">
        <v>47987986</v>
      </c>
      <c r="C420" s="130">
        <v>4900121</v>
      </c>
      <c r="D420" s="130">
        <v>41191</v>
      </c>
      <c r="E420" s="129">
        <v>3.2</v>
      </c>
      <c r="F420" s="130">
        <v>3438</v>
      </c>
      <c r="G420" s="130">
        <v>4515819</v>
      </c>
      <c r="H420" s="139">
        <v>24733</v>
      </c>
      <c r="I420" s="130">
        <v>2501</v>
      </c>
      <c r="J420" s="130">
        <v>243648</v>
      </c>
      <c r="K420" s="129">
        <v>347</v>
      </c>
      <c r="L420" s="131">
        <v>35438</v>
      </c>
    </row>
    <row r="421" spans="1:12" ht="14.7" thickBot="1" x14ac:dyDescent="0.6">
      <c r="A421" s="136">
        <v>44320</v>
      </c>
      <c r="B421" s="130">
        <v>48229733</v>
      </c>
      <c r="C421" s="130">
        <v>4929118</v>
      </c>
      <c r="D421" s="130">
        <v>41527</v>
      </c>
      <c r="E421" s="129">
        <v>3.2</v>
      </c>
      <c r="F421" s="130">
        <v>3452</v>
      </c>
      <c r="G421" s="130">
        <v>4554037</v>
      </c>
      <c r="H421" s="139">
        <v>28997</v>
      </c>
      <c r="I421" s="130">
        <v>2483</v>
      </c>
      <c r="J421" s="130">
        <v>241747</v>
      </c>
      <c r="K421" s="129">
        <v>336</v>
      </c>
      <c r="L421" s="131">
        <v>38218</v>
      </c>
    </row>
    <row r="422" spans="1:12" ht="14.7" thickBot="1" x14ac:dyDescent="0.6">
      <c r="A422" s="136">
        <v>44321</v>
      </c>
      <c r="B422" s="130">
        <v>48459224</v>
      </c>
      <c r="C422" s="130">
        <v>4955594</v>
      </c>
      <c r="D422" s="130">
        <v>41883</v>
      </c>
      <c r="E422" s="129">
        <v>3.2</v>
      </c>
      <c r="F422" s="130">
        <v>3418</v>
      </c>
      <c r="G422" s="130">
        <v>4589501</v>
      </c>
      <c r="H422" s="139">
        <v>26476</v>
      </c>
      <c r="I422" s="130">
        <v>2414</v>
      </c>
      <c r="J422" s="130">
        <v>229491</v>
      </c>
      <c r="K422" s="129">
        <v>356</v>
      </c>
      <c r="L422" s="131">
        <v>35464</v>
      </c>
    </row>
    <row r="423" spans="1:12" ht="14.7" thickBot="1" x14ac:dyDescent="0.6">
      <c r="A423" s="136">
        <v>44322</v>
      </c>
      <c r="B423" s="130">
        <v>48712606</v>
      </c>
      <c r="C423" s="130">
        <v>4977982</v>
      </c>
      <c r="D423" s="130">
        <v>42187</v>
      </c>
      <c r="E423" s="129">
        <v>3.2</v>
      </c>
      <c r="F423" s="130">
        <v>3378</v>
      </c>
      <c r="G423" s="130">
        <v>4626799</v>
      </c>
      <c r="H423" s="139">
        <v>22388</v>
      </c>
      <c r="I423" s="130">
        <v>2401</v>
      </c>
      <c r="J423" s="130">
        <v>253382</v>
      </c>
      <c r="K423" s="129">
        <v>304</v>
      </c>
      <c r="L423" s="131">
        <v>37298</v>
      </c>
    </row>
    <row r="424" spans="1:12" ht="14.7" thickBot="1" x14ac:dyDescent="0.6">
      <c r="A424" s="136">
        <v>44323</v>
      </c>
      <c r="B424" s="130">
        <v>48963800</v>
      </c>
      <c r="C424" s="130">
        <v>4998089</v>
      </c>
      <c r="D424" s="130">
        <v>42465</v>
      </c>
      <c r="E424" s="129">
        <v>3.2</v>
      </c>
      <c r="F424" s="130">
        <v>3260</v>
      </c>
      <c r="G424" s="130">
        <v>4662328</v>
      </c>
      <c r="H424" s="139">
        <v>20107</v>
      </c>
      <c r="I424" s="130">
        <v>2210</v>
      </c>
      <c r="J424" s="130">
        <v>251194</v>
      </c>
      <c r="K424" s="129">
        <v>278</v>
      </c>
      <c r="L424" s="131">
        <v>35529</v>
      </c>
    </row>
    <row r="425" spans="1:12" ht="14.7" thickBot="1" x14ac:dyDescent="0.6">
      <c r="A425" s="136">
        <v>44324</v>
      </c>
      <c r="B425" s="130">
        <v>49192673</v>
      </c>
      <c r="C425" s="130">
        <v>5016141</v>
      </c>
      <c r="D425" s="130">
        <v>42746</v>
      </c>
      <c r="E425" s="129">
        <v>3.2</v>
      </c>
      <c r="F425" s="130">
        <v>3175</v>
      </c>
      <c r="G425" s="130">
        <v>4691224</v>
      </c>
      <c r="H425" s="139">
        <v>18052</v>
      </c>
      <c r="I425" s="130">
        <v>2178</v>
      </c>
      <c r="J425" s="130">
        <v>228873</v>
      </c>
      <c r="K425" s="129">
        <v>281</v>
      </c>
      <c r="L425" s="131">
        <v>28896</v>
      </c>
    </row>
    <row r="426" spans="1:12" ht="14.7" thickBot="1" x14ac:dyDescent="0.6">
      <c r="A426" s="136">
        <v>44325</v>
      </c>
      <c r="B426" s="130">
        <v>49390141</v>
      </c>
      <c r="C426" s="130">
        <v>5031332</v>
      </c>
      <c r="D426" s="130">
        <v>43029</v>
      </c>
      <c r="E426" s="129">
        <v>3.2</v>
      </c>
      <c r="F426" s="130">
        <v>3081</v>
      </c>
      <c r="G426" s="130">
        <v>4716918</v>
      </c>
      <c r="H426" s="139">
        <v>15191</v>
      </c>
      <c r="I426" s="130">
        <v>2102</v>
      </c>
      <c r="J426" s="130">
        <v>197468</v>
      </c>
      <c r="K426" s="129">
        <v>283</v>
      </c>
      <c r="L426" s="131">
        <v>25694</v>
      </c>
    </row>
    <row r="427" spans="1:12" ht="14.7" thickBot="1" x14ac:dyDescent="0.6">
      <c r="A427" s="136">
        <v>44326</v>
      </c>
      <c r="B427" s="130">
        <v>49604004</v>
      </c>
      <c r="C427" s="130">
        <v>5044936</v>
      </c>
      <c r="D427" s="130">
        <v>43311</v>
      </c>
      <c r="E427" s="129">
        <v>4</v>
      </c>
      <c r="F427" s="130">
        <v>2983</v>
      </c>
      <c r="G427" s="130">
        <v>4743871</v>
      </c>
      <c r="H427" s="139">
        <v>13604</v>
      </c>
      <c r="I427" s="130">
        <v>1734</v>
      </c>
      <c r="J427" s="130">
        <v>213863</v>
      </c>
      <c r="K427" s="129">
        <v>282</v>
      </c>
      <c r="L427" s="131">
        <v>26953</v>
      </c>
    </row>
    <row r="428" spans="1:12" ht="14.7" thickBot="1" x14ac:dyDescent="0.6">
      <c r="A428" s="136">
        <v>44327</v>
      </c>
      <c r="B428" s="130">
        <v>49830456</v>
      </c>
      <c r="C428" s="130">
        <v>5059433</v>
      </c>
      <c r="D428" s="130">
        <v>43589</v>
      </c>
      <c r="E428" s="129">
        <v>4</v>
      </c>
      <c r="F428" s="130">
        <v>2975</v>
      </c>
      <c r="G428" s="130">
        <v>4766124</v>
      </c>
      <c r="H428" s="139">
        <v>14497</v>
      </c>
      <c r="I428" s="130">
        <v>1582</v>
      </c>
      <c r="J428" s="130">
        <v>226452</v>
      </c>
      <c r="K428" s="129">
        <v>278</v>
      </c>
      <c r="L428" s="131">
        <v>22253</v>
      </c>
    </row>
    <row r="429" spans="1:12" ht="14.7" thickBot="1" x14ac:dyDescent="0.6">
      <c r="A429" s="136">
        <v>44328</v>
      </c>
      <c r="B429" s="130">
        <v>50058648</v>
      </c>
      <c r="C429" s="130">
        <v>5072462</v>
      </c>
      <c r="D429" s="130">
        <v>43821</v>
      </c>
      <c r="E429" s="129">
        <v>4</v>
      </c>
      <c r="F429" s="130">
        <v>2827</v>
      </c>
      <c r="G429" s="130">
        <v>4801291</v>
      </c>
      <c r="H429" s="139">
        <v>13029</v>
      </c>
      <c r="I429" s="130">
        <v>1496</v>
      </c>
      <c r="J429" s="130">
        <v>228192</v>
      </c>
      <c r="K429" s="129">
        <v>232</v>
      </c>
      <c r="L429" s="131">
        <v>35167</v>
      </c>
    </row>
    <row r="430" spans="1:12" ht="14.7" thickBot="1" x14ac:dyDescent="0.6">
      <c r="A430" s="136">
        <v>44329</v>
      </c>
      <c r="B430" s="130">
        <v>50259943</v>
      </c>
      <c r="C430" s="130">
        <v>5083996</v>
      </c>
      <c r="D430" s="130">
        <v>44059</v>
      </c>
      <c r="E430" s="129">
        <v>4</v>
      </c>
      <c r="F430" s="130">
        <v>2765</v>
      </c>
      <c r="G430" s="130">
        <v>4856763</v>
      </c>
      <c r="H430" s="139">
        <v>11534</v>
      </c>
      <c r="I430" s="130">
        <v>1217</v>
      </c>
      <c r="J430" s="130">
        <v>201295</v>
      </c>
      <c r="K430" s="129">
        <v>238</v>
      </c>
      <c r="L430" s="131">
        <v>55472</v>
      </c>
    </row>
    <row r="431" spans="1:12" ht="14.7" thickBot="1" x14ac:dyDescent="0.6">
      <c r="A431" s="136">
        <v>44330</v>
      </c>
      <c r="B431" s="130">
        <v>50463016</v>
      </c>
      <c r="C431" s="130">
        <v>5095390</v>
      </c>
      <c r="D431" s="130">
        <v>44301</v>
      </c>
      <c r="E431" s="129">
        <v>4</v>
      </c>
      <c r="F431" s="130">
        <v>2670</v>
      </c>
      <c r="G431" s="130">
        <v>4894024</v>
      </c>
      <c r="H431" s="139">
        <v>11394</v>
      </c>
      <c r="I431" s="130">
        <v>1102</v>
      </c>
      <c r="J431" s="130">
        <v>203073</v>
      </c>
      <c r="K431" s="129">
        <v>242</v>
      </c>
      <c r="L431" s="131">
        <v>37261</v>
      </c>
    </row>
    <row r="432" spans="1:12" ht="14.7" thickBot="1" x14ac:dyDescent="0.6">
      <c r="A432" s="136">
        <v>44331</v>
      </c>
      <c r="B432" s="130">
        <v>50667653</v>
      </c>
      <c r="C432" s="130">
        <v>5106862</v>
      </c>
      <c r="D432" s="130">
        <v>44537</v>
      </c>
      <c r="E432" s="129">
        <v>4</v>
      </c>
      <c r="F432" s="130">
        <v>2563</v>
      </c>
      <c r="G432" s="130">
        <v>4932838</v>
      </c>
      <c r="H432" s="139">
        <v>11472</v>
      </c>
      <c r="I432" s="130">
        <v>1084</v>
      </c>
      <c r="J432" s="130">
        <v>204637</v>
      </c>
      <c r="K432" s="129">
        <v>236</v>
      </c>
      <c r="L432" s="131">
        <v>38814</v>
      </c>
    </row>
    <row r="433" spans="1:12" ht="14.7" thickBot="1" x14ac:dyDescent="0.6">
      <c r="A433" s="136">
        <v>44332</v>
      </c>
      <c r="B433" s="130">
        <v>50869896</v>
      </c>
      <c r="C433" s="130">
        <v>5117374</v>
      </c>
      <c r="D433" s="130">
        <v>44760</v>
      </c>
      <c r="E433" s="129">
        <v>4</v>
      </c>
      <c r="F433" s="130">
        <v>2468</v>
      </c>
      <c r="G433" s="130">
        <v>4947256</v>
      </c>
      <c r="H433" s="139">
        <v>10512</v>
      </c>
      <c r="I433" s="129">
        <v>920</v>
      </c>
      <c r="J433" s="130">
        <v>202243</v>
      </c>
      <c r="K433" s="129">
        <v>223</v>
      </c>
      <c r="L433" s="131">
        <v>14418</v>
      </c>
    </row>
    <row r="434" spans="1:12" ht="14.7" thickBot="1" x14ac:dyDescent="0.6">
      <c r="A434" s="136">
        <v>44333</v>
      </c>
      <c r="B434" s="130">
        <v>51076732</v>
      </c>
      <c r="C434" s="130">
        <v>5127548</v>
      </c>
      <c r="D434" s="130">
        <v>44983</v>
      </c>
      <c r="E434" s="129">
        <v>3.2</v>
      </c>
      <c r="F434" s="130">
        <v>2326</v>
      </c>
      <c r="G434" s="130">
        <v>4961120</v>
      </c>
      <c r="H434" s="139">
        <v>10174</v>
      </c>
      <c r="I434" s="129">
        <v>923</v>
      </c>
      <c r="J434" s="130">
        <v>206836</v>
      </c>
      <c r="K434" s="129">
        <v>223</v>
      </c>
      <c r="L434" s="131">
        <v>13864</v>
      </c>
    </row>
    <row r="435" spans="1:12" ht="14.7" thickBot="1" x14ac:dyDescent="0.6">
      <c r="A435" s="136">
        <v>44334</v>
      </c>
      <c r="B435" s="130">
        <v>51294008</v>
      </c>
      <c r="C435" s="130">
        <v>5139485</v>
      </c>
      <c r="D435" s="130">
        <v>45186</v>
      </c>
      <c r="E435" s="129">
        <v>3.2</v>
      </c>
      <c r="F435" s="130">
        <v>2232</v>
      </c>
      <c r="G435" s="130">
        <v>4971245</v>
      </c>
      <c r="H435" s="139">
        <v>11937</v>
      </c>
      <c r="I435" s="129">
        <v>916</v>
      </c>
      <c r="J435" s="130">
        <v>217276</v>
      </c>
      <c r="K435" s="129">
        <v>203</v>
      </c>
      <c r="L435" s="131">
        <v>10125</v>
      </c>
    </row>
    <row r="436" spans="1:12" ht="14.7" thickBot="1" x14ac:dyDescent="0.6">
      <c r="A436" s="136">
        <v>44335</v>
      </c>
      <c r="B436" s="130">
        <v>51512691</v>
      </c>
      <c r="C436" s="130">
        <v>5151038</v>
      </c>
      <c r="D436" s="130">
        <v>45419</v>
      </c>
      <c r="E436" s="129">
        <v>3.2</v>
      </c>
      <c r="F436" s="130">
        <v>2162</v>
      </c>
      <c r="G436" s="130">
        <v>4980516</v>
      </c>
      <c r="H436" s="139">
        <v>11553</v>
      </c>
      <c r="I436" s="129">
        <v>902</v>
      </c>
      <c r="J436" s="130">
        <v>218683</v>
      </c>
      <c r="K436" s="129">
        <v>233</v>
      </c>
      <c r="L436" s="131">
        <v>9271</v>
      </c>
    </row>
    <row r="437" spans="1:12" ht="14.7" thickBot="1" x14ac:dyDescent="0.6">
      <c r="A437" s="136">
        <v>44336</v>
      </c>
      <c r="B437" s="130">
        <v>51731883</v>
      </c>
      <c r="C437" s="130">
        <v>5160423</v>
      </c>
      <c r="D437" s="130">
        <v>45626</v>
      </c>
      <c r="E437" s="129">
        <v>3.2</v>
      </c>
      <c r="F437" s="130">
        <v>2041</v>
      </c>
      <c r="G437" s="130">
        <v>4989787</v>
      </c>
      <c r="H437" s="139">
        <v>9385</v>
      </c>
      <c r="I437" s="129">
        <v>856</v>
      </c>
      <c r="J437" s="130">
        <v>219192</v>
      </c>
      <c r="K437" s="129">
        <v>207</v>
      </c>
      <c r="L437" s="131">
        <v>9271</v>
      </c>
    </row>
    <row r="438" spans="1:12" ht="14.7" thickBot="1" x14ac:dyDescent="0.6">
      <c r="A438" s="136">
        <v>44337</v>
      </c>
      <c r="B438" s="130">
        <v>51950729</v>
      </c>
      <c r="C438" s="130">
        <v>5169951</v>
      </c>
      <c r="D438" s="130">
        <v>45840</v>
      </c>
      <c r="E438" s="129">
        <v>3.2</v>
      </c>
      <c r="F438" s="130">
        <v>1977</v>
      </c>
      <c r="G438" s="130">
        <v>4998639</v>
      </c>
      <c r="H438" s="139">
        <v>9528</v>
      </c>
      <c r="I438" s="129">
        <v>846</v>
      </c>
      <c r="J438" s="130">
        <v>218846</v>
      </c>
      <c r="K438" s="129">
        <v>214</v>
      </c>
      <c r="L438" s="131">
        <v>8852</v>
      </c>
    </row>
    <row r="439" spans="1:12" ht="14.7" thickBot="1" x14ac:dyDescent="0.6">
      <c r="A439" s="136">
        <v>44338</v>
      </c>
      <c r="B439" s="130">
        <v>52167387</v>
      </c>
      <c r="C439" s="130">
        <v>5178648</v>
      </c>
      <c r="D439" s="130">
        <v>46071</v>
      </c>
      <c r="E439" s="129">
        <v>3.2</v>
      </c>
      <c r="F439" s="130">
        <v>1876</v>
      </c>
      <c r="G439" s="130">
        <v>5013111</v>
      </c>
      <c r="H439" s="139">
        <v>8697</v>
      </c>
      <c r="I439" s="129">
        <v>835</v>
      </c>
      <c r="J439" s="130">
        <v>216658</v>
      </c>
      <c r="K439" s="129">
        <v>231</v>
      </c>
      <c r="L439" s="131">
        <v>14472</v>
      </c>
    </row>
    <row r="440" spans="1:12" ht="14.7" thickBot="1" x14ac:dyDescent="0.6">
      <c r="A440" s="136">
        <v>44339</v>
      </c>
      <c r="B440" s="130">
        <v>52377678</v>
      </c>
      <c r="C440" s="130">
        <v>5186487</v>
      </c>
      <c r="D440" s="130">
        <v>46268</v>
      </c>
      <c r="E440" s="129">
        <v>3.2</v>
      </c>
      <c r="F440" s="130">
        <v>1843</v>
      </c>
      <c r="G440" s="130">
        <v>5024313</v>
      </c>
      <c r="H440" s="139">
        <v>7839</v>
      </c>
      <c r="I440" s="129">
        <v>710</v>
      </c>
      <c r="J440" s="130">
        <v>210291</v>
      </c>
      <c r="K440" s="129">
        <v>197</v>
      </c>
      <c r="L440" s="131">
        <v>11202</v>
      </c>
    </row>
    <row r="441" spans="1:12" ht="14.7" thickBot="1" x14ac:dyDescent="0.6">
      <c r="A441" s="136">
        <v>44340</v>
      </c>
      <c r="B441" s="130">
        <v>52594333</v>
      </c>
      <c r="C441" s="130">
        <v>5194010</v>
      </c>
      <c r="D441" s="130">
        <v>46446</v>
      </c>
      <c r="E441" s="129">
        <v>3.1</v>
      </c>
      <c r="F441" s="130">
        <v>1745</v>
      </c>
      <c r="G441" s="130">
        <v>5034316</v>
      </c>
      <c r="H441" s="139">
        <v>7523</v>
      </c>
      <c r="I441" s="129">
        <v>702</v>
      </c>
      <c r="J441" s="130">
        <v>216655</v>
      </c>
      <c r="K441" s="129">
        <v>178</v>
      </c>
      <c r="L441" s="131">
        <v>10003</v>
      </c>
    </row>
    <row r="442" spans="1:12" ht="14.7" thickBot="1" x14ac:dyDescent="0.6">
      <c r="A442" s="136">
        <v>44341</v>
      </c>
      <c r="B442" s="130">
        <v>52817437</v>
      </c>
      <c r="C442" s="130">
        <v>5203385</v>
      </c>
      <c r="D442" s="130">
        <v>46621</v>
      </c>
      <c r="E442" s="129">
        <v>3.1</v>
      </c>
      <c r="F442" s="130">
        <v>1667</v>
      </c>
      <c r="G442" s="130">
        <v>5045508</v>
      </c>
      <c r="H442" s="139">
        <v>9375</v>
      </c>
      <c r="I442" s="129">
        <v>693</v>
      </c>
      <c r="J442" s="130">
        <v>223104</v>
      </c>
      <c r="K442" s="129">
        <v>175</v>
      </c>
      <c r="L442" s="131">
        <v>11192</v>
      </c>
    </row>
    <row r="443" spans="1:12" ht="14.7" thickBot="1" x14ac:dyDescent="0.6">
      <c r="A443" s="136">
        <v>44342</v>
      </c>
      <c r="B443" s="130">
        <v>53038651</v>
      </c>
      <c r="C443" s="130">
        <v>5212123</v>
      </c>
      <c r="D443" s="130">
        <v>46787</v>
      </c>
      <c r="E443" s="129">
        <v>3.1</v>
      </c>
      <c r="F443" s="130">
        <v>1561</v>
      </c>
      <c r="G443" s="130">
        <v>5057713</v>
      </c>
      <c r="H443" s="139">
        <v>8738</v>
      </c>
      <c r="I443" s="129">
        <v>681</v>
      </c>
      <c r="J443" s="130">
        <v>221214</v>
      </c>
      <c r="K443" s="129">
        <v>166</v>
      </c>
      <c r="L443" s="131">
        <v>12205</v>
      </c>
    </row>
    <row r="444" spans="1:12" ht="14.7" thickBot="1" x14ac:dyDescent="0.6">
      <c r="A444" s="136">
        <v>44343</v>
      </c>
      <c r="B444" s="130">
        <v>53258116</v>
      </c>
      <c r="C444" s="130">
        <v>5220549</v>
      </c>
      <c r="D444" s="130">
        <v>46970</v>
      </c>
      <c r="E444" s="129">
        <v>3.1</v>
      </c>
      <c r="F444" s="130">
        <v>1504</v>
      </c>
      <c r="G444" s="130">
        <v>5070815</v>
      </c>
      <c r="H444" s="139">
        <v>8426</v>
      </c>
      <c r="I444" s="129">
        <v>673</v>
      </c>
      <c r="J444" s="130">
        <v>219465</v>
      </c>
      <c r="K444" s="129">
        <v>183</v>
      </c>
      <c r="L444" s="131">
        <v>13102</v>
      </c>
    </row>
    <row r="445" spans="1:12" ht="14.7" thickBot="1" x14ac:dyDescent="0.6">
      <c r="A445" s="136">
        <v>44344</v>
      </c>
      <c r="B445" s="130">
        <v>53478278</v>
      </c>
      <c r="C445" s="130">
        <v>5228322</v>
      </c>
      <c r="D445" s="130">
        <v>47134</v>
      </c>
      <c r="E445" s="129">
        <v>3.1</v>
      </c>
      <c r="F445" s="130">
        <v>1454</v>
      </c>
      <c r="G445" s="130">
        <v>5083099</v>
      </c>
      <c r="H445" s="139">
        <v>7773</v>
      </c>
      <c r="I445" s="129">
        <v>656</v>
      </c>
      <c r="J445" s="130">
        <v>220162</v>
      </c>
      <c r="K445" s="129">
        <v>164</v>
      </c>
      <c r="L445" s="131">
        <v>12284</v>
      </c>
    </row>
    <row r="446" spans="1:12" ht="14.7" thickBot="1" x14ac:dyDescent="0.6">
      <c r="A446" s="136">
        <v>44345</v>
      </c>
      <c r="B446" s="130">
        <v>53700891</v>
      </c>
      <c r="C446" s="130">
        <v>5235978</v>
      </c>
      <c r="D446" s="130">
        <v>47271</v>
      </c>
      <c r="E446" s="129">
        <v>3.1</v>
      </c>
      <c r="F446" s="130">
        <v>1391</v>
      </c>
      <c r="G446" s="130">
        <v>5094279</v>
      </c>
      <c r="H446" s="139">
        <v>7656</v>
      </c>
      <c r="I446" s="129">
        <v>605</v>
      </c>
      <c r="J446" s="130">
        <v>222613</v>
      </c>
      <c r="K446" s="129">
        <v>137</v>
      </c>
      <c r="L446" s="131">
        <v>11180</v>
      </c>
    </row>
    <row r="447" spans="1:12" ht="14.7" thickBot="1" x14ac:dyDescent="0.6">
      <c r="A447" s="136">
        <v>44346</v>
      </c>
      <c r="B447" s="130">
        <v>53919848</v>
      </c>
      <c r="C447" s="130">
        <v>5242911</v>
      </c>
      <c r="D447" s="130">
        <v>47405</v>
      </c>
      <c r="E447" s="129">
        <v>3.1</v>
      </c>
      <c r="F447" s="130">
        <v>1390</v>
      </c>
      <c r="G447" s="130">
        <v>5105042</v>
      </c>
      <c r="H447" s="139">
        <v>6933</v>
      </c>
      <c r="I447" s="129">
        <v>582</v>
      </c>
      <c r="J447" s="130">
        <v>218957</v>
      </c>
      <c r="K447" s="129">
        <v>134</v>
      </c>
      <c r="L447" s="131">
        <v>10763</v>
      </c>
    </row>
    <row r="448" spans="1:12" ht="14.7" thickBot="1" x14ac:dyDescent="0.6">
      <c r="A448" s="136">
        <v>44347</v>
      </c>
      <c r="B448" s="130">
        <v>54139309</v>
      </c>
      <c r="C448" s="130">
        <v>5249404</v>
      </c>
      <c r="D448" s="130">
        <v>47527</v>
      </c>
      <c r="E448" s="129">
        <v>2.8</v>
      </c>
      <c r="F448" s="130">
        <v>1339</v>
      </c>
      <c r="G448" s="130">
        <v>5114624</v>
      </c>
      <c r="H448" s="139">
        <v>6493</v>
      </c>
      <c r="I448" s="129">
        <v>596</v>
      </c>
      <c r="J448" s="130">
        <v>219461</v>
      </c>
      <c r="K448" s="129">
        <v>122</v>
      </c>
      <c r="L448" s="131">
        <v>9582</v>
      </c>
    </row>
    <row r="449" spans="1:12" ht="14.7" thickBot="1" x14ac:dyDescent="0.6">
      <c r="A449" s="136">
        <v>44348</v>
      </c>
      <c r="B449" s="130">
        <v>54362791</v>
      </c>
      <c r="C449" s="130">
        <v>5256516</v>
      </c>
      <c r="D449" s="130">
        <v>47656</v>
      </c>
      <c r="E449" s="129">
        <v>2.8</v>
      </c>
      <c r="F449" s="130">
        <v>1241</v>
      </c>
      <c r="G449" s="130">
        <v>5124081</v>
      </c>
      <c r="H449" s="139">
        <v>7112</v>
      </c>
      <c r="I449" s="129">
        <v>602</v>
      </c>
      <c r="J449" s="130">
        <v>223482</v>
      </c>
      <c r="K449" s="129">
        <v>129</v>
      </c>
      <c r="L449" s="131">
        <v>9457</v>
      </c>
    </row>
    <row r="450" spans="1:12" ht="14.7" thickBot="1" x14ac:dyDescent="0.6">
      <c r="A450" s="136">
        <v>44349</v>
      </c>
      <c r="B450" s="130">
        <v>54586941</v>
      </c>
      <c r="C450" s="130">
        <v>5263697</v>
      </c>
      <c r="D450" s="130">
        <v>47768</v>
      </c>
      <c r="E450" s="129">
        <v>2.8</v>
      </c>
      <c r="F450" s="130">
        <v>1213</v>
      </c>
      <c r="G450" s="130">
        <v>5131453</v>
      </c>
      <c r="H450" s="139">
        <v>7181</v>
      </c>
      <c r="I450" s="129">
        <v>586</v>
      </c>
      <c r="J450" s="130">
        <v>224150</v>
      </c>
      <c r="K450" s="129">
        <v>112</v>
      </c>
      <c r="L450" s="131">
        <v>7372</v>
      </c>
    </row>
    <row r="451" spans="1:12" ht="14.7" thickBot="1" x14ac:dyDescent="0.6">
      <c r="A451" s="136">
        <v>44350</v>
      </c>
      <c r="B451" s="130">
        <v>54809788</v>
      </c>
      <c r="C451" s="130">
        <v>5270299</v>
      </c>
      <c r="D451" s="130">
        <v>47882</v>
      </c>
      <c r="E451" s="129">
        <v>2.8</v>
      </c>
      <c r="F451" s="130">
        <v>1219</v>
      </c>
      <c r="G451" s="130">
        <v>5139993</v>
      </c>
      <c r="H451" s="139">
        <v>6602</v>
      </c>
      <c r="I451" s="129">
        <v>563</v>
      </c>
      <c r="J451" s="130">
        <v>222847</v>
      </c>
      <c r="K451" s="129">
        <v>114</v>
      </c>
      <c r="L451" s="131">
        <v>8540</v>
      </c>
    </row>
    <row r="452" spans="1:12" ht="14.7" thickBot="1" x14ac:dyDescent="0.6">
      <c r="A452" s="136">
        <v>44351</v>
      </c>
      <c r="B452" s="130">
        <v>55034469</v>
      </c>
      <c r="C452" s="130">
        <v>5276468</v>
      </c>
      <c r="D452" s="130">
        <v>47976</v>
      </c>
      <c r="E452" s="129">
        <v>2.8</v>
      </c>
      <c r="F452" s="130">
        <v>1183</v>
      </c>
      <c r="G452" s="130">
        <v>5147610</v>
      </c>
      <c r="H452" s="139">
        <v>6169</v>
      </c>
      <c r="I452" s="129">
        <v>552</v>
      </c>
      <c r="J452" s="130">
        <v>224681</v>
      </c>
      <c r="K452" s="129">
        <v>94</v>
      </c>
      <c r="L452" s="131">
        <v>7617</v>
      </c>
    </row>
    <row r="453" spans="1:12" ht="14.7" thickBot="1" x14ac:dyDescent="0.6">
      <c r="A453" s="136">
        <v>44352</v>
      </c>
      <c r="B453" s="130">
        <v>55250625</v>
      </c>
      <c r="C453" s="130">
        <v>5282594</v>
      </c>
      <c r="D453" s="130">
        <v>48068</v>
      </c>
      <c r="E453" s="129">
        <v>2.8</v>
      </c>
      <c r="F453" s="130">
        <v>1147</v>
      </c>
      <c r="G453" s="130">
        <v>5154771</v>
      </c>
      <c r="H453" s="139">
        <v>6126</v>
      </c>
      <c r="I453" s="129">
        <v>542</v>
      </c>
      <c r="J453" s="130">
        <v>216156</v>
      </c>
      <c r="K453" s="129">
        <v>92</v>
      </c>
      <c r="L453" s="131">
        <v>7161</v>
      </c>
    </row>
    <row r="454" spans="1:12" ht="14.7" thickBot="1" x14ac:dyDescent="0.6">
      <c r="A454" s="136">
        <v>44353</v>
      </c>
      <c r="B454" s="130">
        <v>55455452</v>
      </c>
      <c r="C454" s="130">
        <v>5287980</v>
      </c>
      <c r="D454" s="130">
        <v>48164</v>
      </c>
      <c r="E454" s="129">
        <v>2.8</v>
      </c>
      <c r="F454" s="130">
        <v>1096</v>
      </c>
      <c r="G454" s="130">
        <v>5160774</v>
      </c>
      <c r="H454" s="139">
        <v>5386</v>
      </c>
      <c r="I454" s="129">
        <v>482</v>
      </c>
      <c r="J454" s="130">
        <v>204827</v>
      </c>
      <c r="K454" s="129">
        <v>96</v>
      </c>
      <c r="L454" s="131">
        <v>6003</v>
      </c>
    </row>
    <row r="455" spans="1:12" ht="14.7" thickBot="1" x14ac:dyDescent="0.6">
      <c r="A455" s="136">
        <v>44354</v>
      </c>
      <c r="B455" s="130">
        <v>55673616</v>
      </c>
      <c r="C455" s="130">
        <v>5293627</v>
      </c>
      <c r="D455" s="130">
        <v>48255</v>
      </c>
      <c r="E455" s="129">
        <v>2.7</v>
      </c>
      <c r="F455" s="130">
        <v>1060</v>
      </c>
      <c r="G455" s="130">
        <v>5167350</v>
      </c>
      <c r="H455" s="139">
        <v>5647</v>
      </c>
      <c r="I455" s="129">
        <v>495</v>
      </c>
      <c r="J455" s="130">
        <v>218164</v>
      </c>
      <c r="K455" s="129">
        <v>91</v>
      </c>
      <c r="L455" s="131">
        <v>6576</v>
      </c>
    </row>
    <row r="456" spans="1:12" ht="14.7" thickBot="1" x14ac:dyDescent="0.6">
      <c r="A456" s="136">
        <v>44355</v>
      </c>
      <c r="B456" s="130">
        <v>55899143</v>
      </c>
      <c r="C456" s="130">
        <v>5300236</v>
      </c>
      <c r="D456" s="130">
        <v>48341</v>
      </c>
      <c r="E456" s="129">
        <v>2.7</v>
      </c>
      <c r="F456" s="130">
        <v>1044</v>
      </c>
      <c r="G456" s="130">
        <v>5173186</v>
      </c>
      <c r="H456" s="139">
        <v>6609</v>
      </c>
      <c r="I456" s="129">
        <v>557</v>
      </c>
      <c r="J456" s="130">
        <v>225527</v>
      </c>
      <c r="K456" s="129">
        <v>86</v>
      </c>
      <c r="L456" s="131">
        <v>5836</v>
      </c>
    </row>
    <row r="457" spans="1:12" ht="14.7" thickBot="1" x14ac:dyDescent="0.6">
      <c r="A457" s="136">
        <v>44356</v>
      </c>
      <c r="B457" s="130">
        <v>56123336</v>
      </c>
      <c r="C457" s="130">
        <v>5306690</v>
      </c>
      <c r="D457" s="130">
        <v>48428</v>
      </c>
      <c r="E457" s="129">
        <v>2.7</v>
      </c>
      <c r="F457" s="130">
        <v>1018</v>
      </c>
      <c r="G457" s="130">
        <v>5179833</v>
      </c>
      <c r="H457" s="139">
        <v>6454</v>
      </c>
      <c r="I457" s="129">
        <v>558</v>
      </c>
      <c r="J457" s="130">
        <v>224193</v>
      </c>
      <c r="K457" s="129">
        <v>87</v>
      </c>
      <c r="L457" s="131">
        <v>6647</v>
      </c>
    </row>
    <row r="458" spans="1:12" ht="14.7" thickBot="1" x14ac:dyDescent="0.6">
      <c r="A458" s="136">
        <v>44357</v>
      </c>
      <c r="B458" s="130">
        <v>56346656</v>
      </c>
      <c r="C458" s="130">
        <v>5313098</v>
      </c>
      <c r="D458" s="130">
        <v>48524</v>
      </c>
      <c r="E458" s="129">
        <v>2.7</v>
      </c>
      <c r="F458" s="130">
        <v>1009</v>
      </c>
      <c r="G458" s="130">
        <v>5186728</v>
      </c>
      <c r="H458" s="139">
        <v>6408</v>
      </c>
      <c r="I458" s="129">
        <v>563</v>
      </c>
      <c r="J458" s="130">
        <v>223320</v>
      </c>
      <c r="K458" s="129">
        <v>96</v>
      </c>
      <c r="L458" s="131">
        <v>6895</v>
      </c>
    </row>
    <row r="459" spans="1:12" ht="14.7" thickBot="1" x14ac:dyDescent="0.6">
      <c r="A459" s="136">
        <v>44358</v>
      </c>
      <c r="B459" s="130">
        <v>56570784</v>
      </c>
      <c r="C459" s="130">
        <v>5319359</v>
      </c>
      <c r="D459" s="130">
        <v>48593</v>
      </c>
      <c r="E459" s="129">
        <v>2.7</v>
      </c>
      <c r="F459" s="129">
        <v>997</v>
      </c>
      <c r="G459" s="130">
        <v>5192945</v>
      </c>
      <c r="H459" s="139">
        <v>6261</v>
      </c>
      <c r="I459" s="129">
        <v>561</v>
      </c>
      <c r="J459" s="130">
        <v>224128</v>
      </c>
      <c r="K459" s="129">
        <v>69</v>
      </c>
      <c r="L459" s="131">
        <v>6217</v>
      </c>
    </row>
    <row r="460" spans="1:12" ht="14.7" thickBot="1" x14ac:dyDescent="0.6">
      <c r="A460" s="136">
        <v>44359</v>
      </c>
      <c r="B460" s="130">
        <v>56789542</v>
      </c>
      <c r="C460" s="130">
        <v>5325435</v>
      </c>
      <c r="D460" s="130">
        <v>48668</v>
      </c>
      <c r="E460" s="129">
        <v>2.7</v>
      </c>
      <c r="F460" s="129">
        <v>973</v>
      </c>
      <c r="G460" s="130">
        <v>5198057</v>
      </c>
      <c r="H460" s="139">
        <v>6076</v>
      </c>
      <c r="I460" s="129">
        <v>503</v>
      </c>
      <c r="J460" s="130">
        <v>218758</v>
      </c>
      <c r="K460" s="129">
        <v>75</v>
      </c>
      <c r="L460" s="131">
        <v>5112</v>
      </c>
    </row>
    <row r="461" spans="1:12" ht="14.7" thickBot="1" x14ac:dyDescent="0.6">
      <c r="A461" s="136">
        <v>44360</v>
      </c>
      <c r="B461" s="130">
        <v>57004499</v>
      </c>
      <c r="C461" s="130">
        <v>5330447</v>
      </c>
      <c r="D461" s="130">
        <v>48721</v>
      </c>
      <c r="E461" s="129">
        <v>2.7</v>
      </c>
      <c r="F461" s="129">
        <v>952</v>
      </c>
      <c r="G461" s="130">
        <v>5202251</v>
      </c>
      <c r="H461" s="139">
        <v>5012</v>
      </c>
      <c r="I461" s="129">
        <v>454</v>
      </c>
      <c r="J461" s="130">
        <v>214957</v>
      </c>
      <c r="K461" s="129">
        <v>53</v>
      </c>
      <c r="L461" s="131">
        <v>4194</v>
      </c>
    </row>
    <row r="462" spans="1:12" ht="14.7" thickBot="1" x14ac:dyDescent="0.6">
      <c r="A462" s="136">
        <v>44361</v>
      </c>
      <c r="B462" s="130">
        <v>57223789</v>
      </c>
      <c r="C462" s="130">
        <v>5336073</v>
      </c>
      <c r="D462" s="130">
        <v>48795</v>
      </c>
      <c r="E462" s="129">
        <v>3.4</v>
      </c>
      <c r="F462" s="129">
        <v>929</v>
      </c>
      <c r="G462" s="130">
        <v>5206836</v>
      </c>
      <c r="H462" s="139">
        <v>5626</v>
      </c>
      <c r="I462" s="129">
        <v>428</v>
      </c>
      <c r="J462" s="130">
        <v>219290</v>
      </c>
      <c r="K462" s="129">
        <v>74</v>
      </c>
      <c r="L462" s="131">
        <v>4585</v>
      </c>
    </row>
    <row r="463" spans="1:12" ht="14.7" thickBot="1" x14ac:dyDescent="0.6">
      <c r="A463" s="136">
        <v>44362</v>
      </c>
      <c r="B463" s="130">
        <v>57447635</v>
      </c>
      <c r="C463" s="130">
        <v>5342028</v>
      </c>
      <c r="D463" s="130">
        <v>48879</v>
      </c>
      <c r="E463" s="129">
        <v>3.4</v>
      </c>
      <c r="F463" s="129">
        <v>886</v>
      </c>
      <c r="G463" s="130">
        <v>5211022</v>
      </c>
      <c r="H463" s="139">
        <v>5955</v>
      </c>
      <c r="I463" s="129">
        <v>532</v>
      </c>
      <c r="J463" s="130">
        <v>223846</v>
      </c>
      <c r="K463" s="129">
        <v>84</v>
      </c>
      <c r="L463" s="131">
        <v>4186</v>
      </c>
    </row>
    <row r="464" spans="1:12" ht="14.7" thickBot="1" x14ac:dyDescent="0.6">
      <c r="A464" s="136">
        <v>44363</v>
      </c>
      <c r="B464" s="130">
        <v>57674798</v>
      </c>
      <c r="C464" s="130">
        <v>5348249</v>
      </c>
      <c r="D464" s="130">
        <v>48950</v>
      </c>
      <c r="E464" s="129">
        <v>3.4</v>
      </c>
      <c r="F464" s="129">
        <v>881</v>
      </c>
      <c r="G464" s="130">
        <v>5215654</v>
      </c>
      <c r="H464" s="139">
        <v>6221</v>
      </c>
      <c r="I464" s="129">
        <v>548</v>
      </c>
      <c r="J464" s="130">
        <v>227163</v>
      </c>
      <c r="K464" s="129">
        <v>71</v>
      </c>
      <c r="L464" s="131">
        <v>4632</v>
      </c>
    </row>
    <row r="465" spans="1:12" ht="14.7" thickBot="1" x14ac:dyDescent="0.6">
      <c r="A465" s="136">
        <v>44364</v>
      </c>
      <c r="B465" s="130">
        <v>57899862</v>
      </c>
      <c r="C465" s="130">
        <v>5354153</v>
      </c>
      <c r="D465" s="130">
        <v>49012</v>
      </c>
      <c r="E465" s="129">
        <v>3.4</v>
      </c>
      <c r="F465" s="129">
        <v>860</v>
      </c>
      <c r="G465" s="130">
        <v>5219797</v>
      </c>
      <c r="H465" s="139">
        <v>5904</v>
      </c>
      <c r="I465" s="129">
        <v>509</v>
      </c>
      <c r="J465" s="130">
        <v>225064</v>
      </c>
      <c r="K465" s="129">
        <v>62</v>
      </c>
      <c r="L465" s="131">
        <v>4143</v>
      </c>
    </row>
    <row r="466" spans="1:12" ht="14.7" thickBot="1" x14ac:dyDescent="0.6">
      <c r="A466" s="136">
        <v>44365</v>
      </c>
      <c r="B466" s="130">
        <v>58123990</v>
      </c>
      <c r="C466" s="130">
        <v>5359728</v>
      </c>
      <c r="D466" s="130">
        <v>49071</v>
      </c>
      <c r="E466" s="129">
        <v>3.4</v>
      </c>
      <c r="F466" s="129">
        <v>856</v>
      </c>
      <c r="G466" s="130">
        <v>5224224</v>
      </c>
      <c r="H466" s="139">
        <v>5575</v>
      </c>
      <c r="I466" s="129">
        <v>497</v>
      </c>
      <c r="J466" s="130">
        <v>224128</v>
      </c>
      <c r="K466" s="129">
        <v>59</v>
      </c>
      <c r="L466" s="131">
        <v>4427</v>
      </c>
    </row>
    <row r="467" spans="1:12" ht="14.7" thickBot="1" x14ac:dyDescent="0.6">
      <c r="A467" s="136">
        <v>44366</v>
      </c>
      <c r="B467" s="130">
        <v>58339486</v>
      </c>
      <c r="C467" s="130">
        <v>5365208</v>
      </c>
      <c r="D467" s="130">
        <v>49122</v>
      </c>
      <c r="E467" s="129">
        <v>3.4</v>
      </c>
      <c r="F467" s="129">
        <v>829</v>
      </c>
      <c r="G467" s="130">
        <v>5228419</v>
      </c>
      <c r="H467" s="139">
        <v>5480</v>
      </c>
      <c r="I467" s="129">
        <v>494</v>
      </c>
      <c r="J467" s="130">
        <v>215496</v>
      </c>
      <c r="K467" s="129">
        <v>51</v>
      </c>
      <c r="L467" s="131">
        <v>4195</v>
      </c>
    </row>
    <row r="468" spans="1:12" ht="14.7" thickBot="1" x14ac:dyDescent="0.6">
      <c r="A468" s="136">
        <v>44367</v>
      </c>
      <c r="B468" s="130">
        <v>58552783</v>
      </c>
      <c r="C468" s="130">
        <v>5370299</v>
      </c>
      <c r="D468" s="130">
        <v>49185</v>
      </c>
      <c r="E468" s="129">
        <v>3.4</v>
      </c>
      <c r="F468" s="129">
        <v>813</v>
      </c>
      <c r="G468" s="130">
        <v>5232638</v>
      </c>
      <c r="H468" s="139">
        <v>5091</v>
      </c>
      <c r="I468" s="129">
        <v>409</v>
      </c>
      <c r="J468" s="130">
        <v>213297</v>
      </c>
      <c r="K468" s="129">
        <v>63</v>
      </c>
      <c r="L468" s="131">
        <v>4219</v>
      </c>
    </row>
    <row r="469" spans="1:12" ht="14.7" thickBot="1" x14ac:dyDescent="0.6">
      <c r="A469" s="136">
        <v>44368</v>
      </c>
      <c r="B469" s="130">
        <v>58773835</v>
      </c>
      <c r="C469" s="130">
        <v>5375593</v>
      </c>
      <c r="D469" s="130">
        <v>49236</v>
      </c>
      <c r="E469" s="129">
        <v>2.9</v>
      </c>
      <c r="F469" s="129">
        <v>808</v>
      </c>
      <c r="G469" s="130">
        <v>5237731</v>
      </c>
      <c r="H469" s="139">
        <v>5294</v>
      </c>
      <c r="I469" s="129">
        <v>429</v>
      </c>
      <c r="J469" s="130">
        <v>221052</v>
      </c>
      <c r="K469" s="129">
        <v>51</v>
      </c>
      <c r="L469" s="131">
        <v>5093</v>
      </c>
    </row>
    <row r="470" spans="1:12" ht="14.7" thickBot="1" x14ac:dyDescent="0.6">
      <c r="A470" s="136">
        <v>44369</v>
      </c>
      <c r="B470" s="130">
        <v>58997073</v>
      </c>
      <c r="C470" s="130">
        <v>5381736</v>
      </c>
      <c r="D470" s="130">
        <v>49293</v>
      </c>
      <c r="E470" s="129">
        <v>2.9</v>
      </c>
      <c r="F470" s="129">
        <v>791</v>
      </c>
      <c r="G470" s="130">
        <v>5242945</v>
      </c>
      <c r="H470" s="139">
        <v>6143</v>
      </c>
      <c r="I470" s="129">
        <v>565</v>
      </c>
      <c r="J470" s="130">
        <v>223238</v>
      </c>
      <c r="K470" s="129">
        <v>57</v>
      </c>
      <c r="L470" s="131">
        <v>5214</v>
      </c>
    </row>
    <row r="471" spans="1:12" ht="14.7" thickBot="1" x14ac:dyDescent="0.6">
      <c r="A471" s="136">
        <v>44370</v>
      </c>
      <c r="B471" s="130">
        <v>59221265</v>
      </c>
      <c r="C471" s="130">
        <v>5387545</v>
      </c>
      <c r="D471" s="130">
        <v>49358</v>
      </c>
      <c r="E471" s="129">
        <v>2.9</v>
      </c>
      <c r="F471" s="129">
        <v>763</v>
      </c>
      <c r="G471" s="130">
        <v>5248862</v>
      </c>
      <c r="H471" s="139">
        <v>5809</v>
      </c>
      <c r="I471" s="129">
        <v>550</v>
      </c>
      <c r="J471" s="130">
        <v>224192</v>
      </c>
      <c r="K471" s="129">
        <v>65</v>
      </c>
      <c r="L471" s="131">
        <v>5917</v>
      </c>
    </row>
    <row r="472" spans="1:12" ht="14.7" thickBot="1" x14ac:dyDescent="0.6">
      <c r="A472" s="136">
        <v>44371</v>
      </c>
      <c r="B472" s="130">
        <v>59444650</v>
      </c>
      <c r="C472" s="130">
        <v>5393248</v>
      </c>
      <c r="D472" s="130">
        <v>49417</v>
      </c>
      <c r="E472" s="129">
        <v>2.9</v>
      </c>
      <c r="F472" s="129">
        <v>752</v>
      </c>
      <c r="G472" s="130">
        <v>5254708</v>
      </c>
      <c r="H472" s="139">
        <v>5703</v>
      </c>
      <c r="I472" s="129">
        <v>498</v>
      </c>
      <c r="J472" s="130">
        <v>223385</v>
      </c>
      <c r="K472" s="129">
        <v>59</v>
      </c>
      <c r="L472" s="131">
        <v>5846</v>
      </c>
    </row>
    <row r="473" spans="1:12" ht="14.7" thickBot="1" x14ac:dyDescent="0.6">
      <c r="A473" s="136">
        <v>44372</v>
      </c>
      <c r="B473" s="130">
        <v>59667586</v>
      </c>
      <c r="C473" s="130">
        <v>5398878</v>
      </c>
      <c r="D473" s="130">
        <v>49473</v>
      </c>
      <c r="E473" s="129">
        <v>2.9</v>
      </c>
      <c r="F473" s="129">
        <v>737</v>
      </c>
      <c r="G473" s="130">
        <v>5261892</v>
      </c>
      <c r="H473" s="139">
        <v>5630</v>
      </c>
      <c r="I473" s="129">
        <v>477</v>
      </c>
      <c r="J473" s="130">
        <v>222936</v>
      </c>
      <c r="K473" s="129">
        <v>56</v>
      </c>
      <c r="L473" s="131">
        <v>7184</v>
      </c>
    </row>
    <row r="474" spans="1:12" ht="14.7" thickBot="1" x14ac:dyDescent="0.6">
      <c r="A474" s="136">
        <v>44373</v>
      </c>
      <c r="B474" s="130">
        <v>59890147</v>
      </c>
      <c r="C474" s="130">
        <v>5404144</v>
      </c>
      <c r="D474" s="130">
        <v>49524</v>
      </c>
      <c r="E474" s="129">
        <v>2.9</v>
      </c>
      <c r="F474" s="129">
        <v>733</v>
      </c>
      <c r="G474" s="130">
        <v>5269294</v>
      </c>
      <c r="H474" s="139">
        <v>5266</v>
      </c>
      <c r="I474" s="129">
        <v>470</v>
      </c>
      <c r="J474" s="130">
        <v>222561</v>
      </c>
      <c r="K474" s="129">
        <v>51</v>
      </c>
      <c r="L474" s="131">
        <v>7402</v>
      </c>
    </row>
    <row r="475" spans="1:12" ht="14.7" thickBot="1" x14ac:dyDescent="0.6">
      <c r="A475" s="136">
        <v>44374</v>
      </c>
      <c r="B475" s="130">
        <v>60105441</v>
      </c>
      <c r="C475" s="130">
        <v>5409027</v>
      </c>
      <c r="D475" s="130">
        <v>49576</v>
      </c>
      <c r="E475" s="129">
        <v>2.9</v>
      </c>
      <c r="F475" s="129">
        <v>736</v>
      </c>
      <c r="G475" s="130">
        <v>5275231</v>
      </c>
      <c r="H475" s="139">
        <v>4883</v>
      </c>
      <c r="I475" s="129">
        <v>390</v>
      </c>
      <c r="J475" s="130">
        <v>215294</v>
      </c>
      <c r="K475" s="129">
        <v>52</v>
      </c>
      <c r="L475" s="131">
        <v>5937</v>
      </c>
    </row>
    <row r="476" spans="1:12" ht="14.7" thickBot="1" x14ac:dyDescent="0.6">
      <c r="A476" s="136">
        <v>44375</v>
      </c>
      <c r="B476" s="130">
        <v>60328966</v>
      </c>
      <c r="C476" s="130">
        <v>5414310</v>
      </c>
      <c r="D476" s="130">
        <v>49634</v>
      </c>
      <c r="E476" s="129">
        <v>2.9</v>
      </c>
      <c r="F476" s="129">
        <v>751</v>
      </c>
      <c r="G476" s="130">
        <v>5280558</v>
      </c>
      <c r="H476" s="139">
        <v>5283</v>
      </c>
      <c r="I476" s="129">
        <v>431</v>
      </c>
      <c r="J476" s="130">
        <v>223525</v>
      </c>
      <c r="K476" s="129">
        <v>58</v>
      </c>
      <c r="L476" s="131">
        <v>5327</v>
      </c>
    </row>
    <row r="477" spans="1:12" ht="14.7" thickBot="1" x14ac:dyDescent="0.6">
      <c r="A477" s="136">
        <v>44376</v>
      </c>
      <c r="B477" s="130">
        <v>60558812</v>
      </c>
      <c r="C477" s="130">
        <v>5420156</v>
      </c>
      <c r="D477" s="130">
        <v>49687</v>
      </c>
      <c r="E477" s="129">
        <v>3.7</v>
      </c>
      <c r="F477" s="129">
        <v>730</v>
      </c>
      <c r="G477" s="130">
        <v>5287094</v>
      </c>
      <c r="H477" s="139">
        <v>5846</v>
      </c>
      <c r="I477" s="129">
        <v>510</v>
      </c>
      <c r="J477" s="130">
        <v>229846</v>
      </c>
      <c r="K477" s="129">
        <v>53</v>
      </c>
      <c r="L477" s="131">
        <v>6536</v>
      </c>
    </row>
    <row r="478" spans="1:12" ht="14.7" thickBot="1" x14ac:dyDescent="0.6">
      <c r="A478" s="136">
        <v>44377</v>
      </c>
      <c r="B478" s="130">
        <v>60786975</v>
      </c>
      <c r="C478" s="130">
        <v>5425652</v>
      </c>
      <c r="D478" s="130">
        <v>49732</v>
      </c>
      <c r="E478" s="129">
        <v>3.7</v>
      </c>
      <c r="F478" s="129">
        <v>727</v>
      </c>
      <c r="G478" s="130">
        <v>5294285</v>
      </c>
      <c r="H478" s="139">
        <v>5496</v>
      </c>
      <c r="I478" s="129">
        <v>522</v>
      </c>
      <c r="J478" s="130">
        <v>228163</v>
      </c>
      <c r="K478" s="129">
        <v>45</v>
      </c>
      <c r="L478" s="131">
        <v>7191</v>
      </c>
    </row>
    <row r="479" spans="1:12" ht="14.7" thickBot="1" x14ac:dyDescent="0.6">
      <c r="A479" s="136">
        <v>44378</v>
      </c>
      <c r="B479" s="130">
        <v>61012512</v>
      </c>
      <c r="C479" s="130">
        <v>5430940</v>
      </c>
      <c r="D479" s="130">
        <v>49774</v>
      </c>
      <c r="E479" s="129">
        <v>3.7</v>
      </c>
      <c r="F479" s="129">
        <v>706</v>
      </c>
      <c r="G479" s="130">
        <v>5300504</v>
      </c>
      <c r="H479" s="139">
        <v>5288</v>
      </c>
      <c r="I479" s="129">
        <v>462</v>
      </c>
      <c r="J479" s="130">
        <v>225537</v>
      </c>
      <c r="K479" s="129">
        <v>42</v>
      </c>
      <c r="L479" s="131">
        <v>6219</v>
      </c>
    </row>
    <row r="480" spans="1:12" ht="14.7" thickBot="1" x14ac:dyDescent="0.6">
      <c r="A480" s="136">
        <v>44379</v>
      </c>
      <c r="B480" s="130">
        <v>61236294</v>
      </c>
      <c r="C480" s="130">
        <v>5435831</v>
      </c>
      <c r="D480" s="130">
        <v>49829</v>
      </c>
      <c r="E480" s="129">
        <v>3.7</v>
      </c>
      <c r="F480" s="129">
        <v>697</v>
      </c>
      <c r="G480" s="130">
        <v>5305856</v>
      </c>
      <c r="H480" s="139">
        <v>4891</v>
      </c>
      <c r="I480" s="129">
        <v>461</v>
      </c>
      <c r="J480" s="130">
        <v>223782</v>
      </c>
      <c r="K480" s="129">
        <v>55</v>
      </c>
      <c r="L480" s="131">
        <v>5352</v>
      </c>
    </row>
    <row r="481" spans="1:12" ht="14.7" thickBot="1" x14ac:dyDescent="0.6">
      <c r="A481" s="136">
        <v>44380</v>
      </c>
      <c r="B481" s="130">
        <v>61455218</v>
      </c>
      <c r="C481" s="130">
        <v>5440368</v>
      </c>
      <c r="D481" s="130">
        <v>49874</v>
      </c>
      <c r="E481" s="129">
        <v>3.7</v>
      </c>
      <c r="F481" s="129">
        <v>702</v>
      </c>
      <c r="G481" s="130">
        <v>5310769</v>
      </c>
      <c r="H481" s="139">
        <v>4537</v>
      </c>
      <c r="I481" s="129">
        <v>478</v>
      </c>
      <c r="J481" s="130">
        <v>218924</v>
      </c>
      <c r="K481" s="129">
        <v>45</v>
      </c>
      <c r="L481" s="131">
        <v>4913</v>
      </c>
    </row>
    <row r="482" spans="1:12" ht="14.7" thickBot="1" x14ac:dyDescent="0.6">
      <c r="A482" s="136">
        <v>44381</v>
      </c>
      <c r="B482" s="129"/>
      <c r="C482" s="129"/>
      <c r="D482" s="129"/>
      <c r="E482" s="129"/>
      <c r="F482" s="129"/>
      <c r="G482" s="129"/>
      <c r="H482" s="139">
        <v>4418</v>
      </c>
      <c r="I482" s="129">
        <v>404</v>
      </c>
      <c r="J482" s="130">
        <v>216252</v>
      </c>
      <c r="K482" s="129">
        <v>50</v>
      </c>
      <c r="L482" s="131">
        <v>4161</v>
      </c>
    </row>
    <row r="483" spans="1:12" ht="14.7" thickBot="1" x14ac:dyDescent="0.6">
      <c r="A483" s="136">
        <v>44382</v>
      </c>
      <c r="B483" s="129"/>
      <c r="C483" s="129"/>
      <c r="D483" s="129"/>
      <c r="E483" s="129"/>
      <c r="F483" s="129"/>
      <c r="G483" s="129"/>
      <c r="H483" s="139">
        <v>4678</v>
      </c>
      <c r="I483" s="129"/>
      <c r="J483" s="130">
        <v>219737</v>
      </c>
      <c r="K483" s="129">
        <v>35</v>
      </c>
      <c r="L483" s="131">
        <v>4735</v>
      </c>
    </row>
    <row r="484" spans="1:12" ht="14.7" thickBot="1" x14ac:dyDescent="0.6">
      <c r="A484" s="136">
        <v>44383</v>
      </c>
      <c r="B484" s="129"/>
      <c r="C484" s="129"/>
      <c r="D484" s="129"/>
      <c r="E484" s="129"/>
      <c r="F484" s="129"/>
      <c r="G484" s="129"/>
      <c r="H484" s="139">
        <v>5299</v>
      </c>
      <c r="I484" s="129"/>
      <c r="J484" s="130">
        <v>226651</v>
      </c>
      <c r="K484" s="129">
        <v>37</v>
      </c>
      <c r="L484" s="131">
        <v>4446</v>
      </c>
    </row>
    <row r="485" spans="1:12" ht="14.7" thickBot="1" x14ac:dyDescent="0.6">
      <c r="A485" s="136">
        <v>44384</v>
      </c>
      <c r="B485" s="129"/>
      <c r="C485" s="129"/>
      <c r="D485" s="129"/>
      <c r="E485" s="129"/>
      <c r="F485" s="129"/>
      <c r="G485" s="129"/>
      <c r="H485" s="139">
        <v>5160</v>
      </c>
      <c r="I485" s="129"/>
      <c r="J485" s="130">
        <v>225253</v>
      </c>
      <c r="K485" s="129">
        <v>52</v>
      </c>
      <c r="L485" s="131">
        <v>4636</v>
      </c>
    </row>
    <row r="486" spans="1:12" ht="14.7" thickBot="1" x14ac:dyDescent="0.6">
      <c r="A486" s="136">
        <v>44385</v>
      </c>
      <c r="B486" s="129"/>
      <c r="C486" s="129"/>
      <c r="D486" s="129"/>
      <c r="E486" s="129"/>
      <c r="F486" s="129"/>
      <c r="G486" s="129"/>
      <c r="H486" s="139">
        <v>5171</v>
      </c>
      <c r="I486" s="129"/>
      <c r="J486" s="130">
        <v>226427</v>
      </c>
      <c r="K486" s="129">
        <v>48</v>
      </c>
      <c r="L486" s="131">
        <v>5012</v>
      </c>
    </row>
    <row r="487" spans="1:12" ht="14.7" thickBot="1" x14ac:dyDescent="0.6">
      <c r="A487" s="136">
        <v>44386</v>
      </c>
      <c r="B487" s="129"/>
      <c r="C487" s="129"/>
      <c r="D487" s="129"/>
      <c r="E487" s="129"/>
      <c r="F487" s="129"/>
      <c r="G487" s="129"/>
      <c r="H487" s="139">
        <v>5670</v>
      </c>
      <c r="I487" s="129"/>
      <c r="J487" s="130">
        <v>228826</v>
      </c>
      <c r="K487" s="129">
        <v>59</v>
      </c>
      <c r="L487" s="131">
        <v>5126</v>
      </c>
    </row>
    <row r="488" spans="1:12" ht="14.7" thickBot="1" x14ac:dyDescent="0.6">
      <c r="A488" s="136">
        <v>44387</v>
      </c>
      <c r="B488" s="129"/>
      <c r="C488" s="129"/>
      <c r="D488" s="129"/>
      <c r="E488" s="129"/>
      <c r="F488" s="129"/>
      <c r="G488" s="129"/>
      <c r="H488" s="139">
        <v>5530</v>
      </c>
      <c r="I488" s="129"/>
      <c r="J488" s="130">
        <v>224184</v>
      </c>
      <c r="K488" s="129">
        <v>37</v>
      </c>
      <c r="L488" s="131">
        <v>5217</v>
      </c>
    </row>
    <row r="489" spans="1:12" ht="14.7" thickBot="1" x14ac:dyDescent="0.6">
      <c r="A489" s="136">
        <v>44388</v>
      </c>
      <c r="B489" s="129"/>
      <c r="C489" s="129"/>
      <c r="D489" s="129"/>
      <c r="E489" s="129"/>
      <c r="F489" s="129"/>
      <c r="G489" s="129"/>
      <c r="H489" s="139">
        <v>5261</v>
      </c>
      <c r="I489" s="129"/>
      <c r="J489" s="130">
        <v>222068</v>
      </c>
      <c r="K489" s="129">
        <v>37</v>
      </c>
      <c r="L489" s="131">
        <v>5242</v>
      </c>
    </row>
    <row r="490" spans="1:12" ht="14.7" thickBot="1" x14ac:dyDescent="0.6">
      <c r="A490" s="136">
        <v>44389</v>
      </c>
      <c r="B490" s="129"/>
      <c r="C490" s="129"/>
      <c r="D490" s="129"/>
      <c r="E490" s="129"/>
      <c r="F490" s="129"/>
      <c r="G490" s="129"/>
      <c r="H490" s="139">
        <v>5404</v>
      </c>
      <c r="I490" s="129"/>
      <c r="J490" s="130">
        <v>227273</v>
      </c>
      <c r="K490" s="129">
        <v>49</v>
      </c>
      <c r="L490" s="131">
        <v>5506</v>
      </c>
    </row>
    <row r="491" spans="1:12" ht="14.7" thickBot="1" x14ac:dyDescent="0.6">
      <c r="A491" s="136">
        <v>44390</v>
      </c>
      <c r="B491" s="129"/>
      <c r="C491" s="129"/>
      <c r="D491" s="129"/>
      <c r="E491" s="129"/>
      <c r="F491" s="129"/>
      <c r="G491" s="129"/>
      <c r="H491" s="139">
        <v>6285</v>
      </c>
      <c r="I491" s="129"/>
      <c r="J491" s="130">
        <v>234439</v>
      </c>
      <c r="K491" s="129">
        <v>46</v>
      </c>
      <c r="L491" s="131">
        <v>5162</v>
      </c>
    </row>
    <row r="492" spans="1:12" ht="14.7" thickBot="1" x14ac:dyDescent="0.6">
      <c r="A492" s="136">
        <v>44391</v>
      </c>
      <c r="B492" s="129"/>
      <c r="C492" s="129"/>
      <c r="D492" s="129"/>
      <c r="E492" s="129"/>
      <c r="F492" s="129"/>
      <c r="G492" s="129"/>
      <c r="H492" s="139">
        <v>6907</v>
      </c>
      <c r="I492" s="129"/>
      <c r="J492" s="130">
        <v>238867</v>
      </c>
      <c r="K492" s="129">
        <v>43</v>
      </c>
      <c r="L492" s="131">
        <v>5063</v>
      </c>
    </row>
    <row r="493" spans="1:12" ht="14.7" thickBot="1" x14ac:dyDescent="0.6">
      <c r="A493" s="136">
        <v>44392</v>
      </c>
      <c r="B493" s="129"/>
      <c r="C493" s="129"/>
      <c r="D493" s="129"/>
      <c r="E493" s="129"/>
      <c r="F493" s="129"/>
      <c r="G493" s="129"/>
      <c r="H493" s="139">
        <v>7304</v>
      </c>
      <c r="I493" s="129"/>
      <c r="J493" s="130">
        <v>232257</v>
      </c>
      <c r="K493" s="129">
        <v>48</v>
      </c>
      <c r="L493" s="131">
        <v>5103</v>
      </c>
    </row>
    <row r="494" spans="1:12" ht="14.7" thickBot="1" x14ac:dyDescent="0.6">
      <c r="A494" s="136">
        <v>44393</v>
      </c>
      <c r="B494" s="129"/>
      <c r="C494" s="129"/>
      <c r="D494" s="129"/>
      <c r="E494" s="129"/>
      <c r="F494" s="129"/>
      <c r="G494" s="129"/>
      <c r="H494" s="139">
        <v>6918</v>
      </c>
      <c r="I494" s="129"/>
      <c r="J494" s="130">
        <v>229582</v>
      </c>
      <c r="K494" s="129">
        <v>35</v>
      </c>
      <c r="L494" s="131">
        <v>5084</v>
      </c>
    </row>
    <row r="495" spans="1:12" ht="14.7" thickBot="1" x14ac:dyDescent="0.6">
      <c r="A495" s="136">
        <v>44394</v>
      </c>
      <c r="B495" s="129"/>
      <c r="C495" s="129"/>
      <c r="D495" s="129"/>
      <c r="E495" s="129"/>
      <c r="F495" s="129"/>
      <c r="G495" s="129"/>
      <c r="H495" s="139">
        <v>7666</v>
      </c>
      <c r="I495" s="129"/>
      <c r="J495" s="130">
        <v>234161</v>
      </c>
      <c r="K495" s="129">
        <v>38</v>
      </c>
      <c r="L495" s="131">
        <v>5490</v>
      </c>
    </row>
    <row r="496" spans="1:12" ht="14.7" thickBot="1" x14ac:dyDescent="0.6">
      <c r="A496" s="136">
        <v>44395</v>
      </c>
      <c r="B496" s="129"/>
      <c r="C496" s="129"/>
      <c r="D496" s="129"/>
      <c r="E496" s="129"/>
      <c r="F496" s="129"/>
      <c r="G496" s="129"/>
      <c r="H496" s="139">
        <v>7680</v>
      </c>
      <c r="I496" s="129"/>
      <c r="J496" s="130">
        <v>233946</v>
      </c>
      <c r="K496" s="129">
        <v>66</v>
      </c>
      <c r="L496" s="131">
        <v>5835</v>
      </c>
    </row>
    <row r="497" spans="1:12" ht="14.7" thickBot="1" x14ac:dyDescent="0.6">
      <c r="A497" s="136">
        <v>44396</v>
      </c>
      <c r="B497" s="129"/>
      <c r="C497" s="129"/>
      <c r="D497" s="129"/>
      <c r="E497" s="129"/>
      <c r="F497" s="129"/>
      <c r="G497" s="129"/>
      <c r="H497" s="139">
        <v>7667</v>
      </c>
      <c r="I497" s="129"/>
      <c r="J497" s="130">
        <v>226513</v>
      </c>
      <c r="K497" s="129">
        <v>50</v>
      </c>
      <c r="L497" s="131">
        <v>4152</v>
      </c>
    </row>
    <row r="498" spans="1:12" ht="14.7" thickBot="1" x14ac:dyDescent="0.6">
      <c r="A498" s="136">
        <v>44397</v>
      </c>
      <c r="B498" s="129"/>
      <c r="C498" s="129"/>
      <c r="D498" s="129"/>
      <c r="E498" s="129"/>
      <c r="F498" s="129"/>
      <c r="G498" s="129"/>
      <c r="H498" s="139">
        <v>8780</v>
      </c>
      <c r="I498" s="129"/>
      <c r="J498" s="130">
        <v>198537</v>
      </c>
      <c r="K498" s="129">
        <v>46</v>
      </c>
      <c r="L498" s="131">
        <v>4561</v>
      </c>
    </row>
    <row r="499" spans="1:12" ht="14.7" thickBot="1" x14ac:dyDescent="0.6">
      <c r="A499" s="136">
        <v>44398</v>
      </c>
      <c r="B499" s="129"/>
      <c r="C499" s="129"/>
      <c r="D499" s="129"/>
      <c r="E499" s="129"/>
      <c r="F499" s="129"/>
      <c r="G499" s="129"/>
      <c r="H499" s="139">
        <v>8151</v>
      </c>
      <c r="I499" s="129"/>
      <c r="J499" s="130">
        <v>184462</v>
      </c>
      <c r="K499" s="129">
        <v>59</v>
      </c>
      <c r="L499" s="131">
        <v>4946</v>
      </c>
    </row>
    <row r="500" spans="1:12" ht="14.7" thickBot="1" x14ac:dyDescent="0.6">
      <c r="A500" s="136">
        <v>44399</v>
      </c>
      <c r="B500" s="129"/>
      <c r="C500" s="129"/>
      <c r="D500" s="129"/>
      <c r="E500" s="129"/>
      <c r="F500" s="129"/>
      <c r="G500" s="129"/>
      <c r="H500" s="139">
        <v>9586</v>
      </c>
      <c r="I500" s="129"/>
      <c r="J500" s="130">
        <v>214196</v>
      </c>
      <c r="K500" s="129">
        <v>52</v>
      </c>
      <c r="L500" s="131">
        <v>5093</v>
      </c>
    </row>
    <row r="501" spans="1:12" ht="14.7" thickBot="1" x14ac:dyDescent="0.6">
      <c r="A501" s="136">
        <v>44400</v>
      </c>
      <c r="B501" s="129"/>
      <c r="C501" s="129"/>
      <c r="D501" s="129"/>
      <c r="E501" s="129"/>
      <c r="F501" s="129"/>
      <c r="G501" s="129"/>
      <c r="H501" s="139">
        <v>11094</v>
      </c>
      <c r="I501" s="129"/>
      <c r="J501" s="130">
        <v>219528</v>
      </c>
      <c r="K501" s="129">
        <v>60</v>
      </c>
      <c r="L501" s="131">
        <v>5215</v>
      </c>
    </row>
    <row r="502" spans="1:12" ht="14.7" thickBot="1" x14ac:dyDescent="0.6">
      <c r="A502" s="136">
        <v>44401</v>
      </c>
      <c r="B502" s="129"/>
      <c r="C502" s="129"/>
      <c r="D502" s="129"/>
      <c r="E502" s="129"/>
      <c r="F502" s="129"/>
      <c r="G502" s="129"/>
      <c r="H502" s="139">
        <v>12381</v>
      </c>
      <c r="I502" s="129"/>
      <c r="J502" s="130">
        <v>221463</v>
      </c>
      <c r="K502" s="129">
        <v>58</v>
      </c>
      <c r="L502" s="131">
        <v>5383</v>
      </c>
    </row>
    <row r="503" spans="1:12" ht="14.7" thickBot="1" x14ac:dyDescent="0.6">
      <c r="A503" s="136">
        <v>44402</v>
      </c>
      <c r="B503" s="129"/>
      <c r="C503" s="129"/>
      <c r="D503" s="129"/>
      <c r="E503" s="129"/>
      <c r="F503" s="129"/>
      <c r="G503" s="129"/>
      <c r="H503" s="139">
        <v>14230</v>
      </c>
      <c r="I503" s="129"/>
      <c r="J503" s="130">
        <v>223837</v>
      </c>
      <c r="K503" s="129">
        <v>55</v>
      </c>
      <c r="L503" s="131">
        <v>5211</v>
      </c>
    </row>
    <row r="504" spans="1:12" ht="14.7" thickBot="1" x14ac:dyDescent="0.6">
      <c r="A504" s="136">
        <v>44403</v>
      </c>
      <c r="B504" s="129"/>
      <c r="C504" s="129"/>
      <c r="D504" s="129"/>
      <c r="E504" s="129"/>
      <c r="F504" s="129"/>
      <c r="G504" s="129"/>
      <c r="H504" s="139">
        <v>16809</v>
      </c>
      <c r="I504" s="129"/>
      <c r="J504" s="130">
        <v>224198</v>
      </c>
      <c r="K504" s="129">
        <v>63</v>
      </c>
      <c r="L504" s="131">
        <v>5585</v>
      </c>
    </row>
    <row r="505" spans="1:12" ht="14.7" thickBot="1" x14ac:dyDescent="0.6">
      <c r="A505" s="136">
        <v>44404</v>
      </c>
      <c r="B505" s="129"/>
      <c r="C505" s="129"/>
      <c r="D505" s="129"/>
      <c r="E505" s="129"/>
      <c r="F505" s="129"/>
      <c r="G505" s="129"/>
      <c r="H505" s="139">
        <v>19761</v>
      </c>
      <c r="I505" s="129"/>
      <c r="J505" s="130">
        <v>246648</v>
      </c>
      <c r="K505" s="129">
        <v>51</v>
      </c>
      <c r="L505" s="131">
        <v>7108</v>
      </c>
    </row>
    <row r="506" spans="1:12" ht="14.7" thickBot="1" x14ac:dyDescent="0.6">
      <c r="A506" s="136">
        <v>44405</v>
      </c>
      <c r="B506" s="129"/>
      <c r="C506" s="129"/>
      <c r="D506" s="129"/>
      <c r="E506" s="129"/>
      <c r="F506" s="129"/>
      <c r="G506" s="129"/>
      <c r="H506" s="139">
        <v>22291</v>
      </c>
      <c r="I506" s="129"/>
      <c r="J506" s="130">
        <v>257474</v>
      </c>
      <c r="K506" s="129">
        <v>76</v>
      </c>
      <c r="L506" s="131">
        <v>4197</v>
      </c>
    </row>
    <row r="507" spans="1:12" ht="14.7" thickBot="1" x14ac:dyDescent="0.6">
      <c r="A507" s="136">
        <v>44406</v>
      </c>
      <c r="B507" s="129"/>
      <c r="C507" s="129"/>
      <c r="D507" s="129"/>
      <c r="E507" s="129"/>
      <c r="F507" s="129"/>
      <c r="G507" s="129"/>
      <c r="H507" s="139">
        <v>22161</v>
      </c>
      <c r="I507" s="129"/>
      <c r="J507" s="130">
        <v>261198</v>
      </c>
      <c r="K507" s="129">
        <v>60</v>
      </c>
      <c r="L507" s="131">
        <v>5463</v>
      </c>
    </row>
    <row r="508" spans="1:12" ht="14.7" thickBot="1" x14ac:dyDescent="0.6">
      <c r="A508" s="136">
        <v>44407</v>
      </c>
      <c r="B508" s="129"/>
      <c r="C508" s="129"/>
      <c r="D508" s="129"/>
      <c r="E508" s="129"/>
      <c r="F508" s="129"/>
      <c r="G508" s="129"/>
      <c r="H508" s="139">
        <v>22083</v>
      </c>
      <c r="I508" s="129"/>
      <c r="J508" s="130">
        <v>256460</v>
      </c>
      <c r="K508" s="129">
        <v>69</v>
      </c>
      <c r="L508" s="131">
        <v>5752</v>
      </c>
    </row>
    <row r="509" spans="1:12" ht="14.7" thickBot="1" x14ac:dyDescent="0.6">
      <c r="A509" s="136">
        <v>44408</v>
      </c>
      <c r="B509" s="129"/>
      <c r="C509" s="129"/>
      <c r="D509" s="129"/>
      <c r="E509" s="129"/>
      <c r="F509" s="129"/>
      <c r="G509" s="129"/>
      <c r="H509" s="139">
        <v>22332</v>
      </c>
      <c r="I509" s="129"/>
      <c r="J509" s="130">
        <v>259196</v>
      </c>
      <c r="K509" s="129">
        <v>79</v>
      </c>
      <c r="L509" s="131">
        <v>5107</v>
      </c>
    </row>
    <row r="510" spans="1:12" ht="14.7" thickBot="1" x14ac:dyDescent="0.6">
      <c r="A510" s="136">
        <v>44409</v>
      </c>
      <c r="B510" s="129"/>
      <c r="C510" s="129"/>
      <c r="D510" s="129"/>
      <c r="E510" s="129"/>
      <c r="F510" s="129"/>
      <c r="G510" s="129"/>
      <c r="H510" s="139">
        <v>20890</v>
      </c>
      <c r="I510" s="129"/>
      <c r="J510" s="130">
        <v>251224</v>
      </c>
      <c r="K510" s="129">
        <v>96</v>
      </c>
      <c r="L510" s="131">
        <v>5539</v>
      </c>
    </row>
    <row r="511" spans="1:12" ht="14.7" thickBot="1" x14ac:dyDescent="0.6">
      <c r="A511" s="136">
        <v>44410</v>
      </c>
      <c r="B511" s="129"/>
      <c r="C511" s="129"/>
      <c r="D511" s="129"/>
      <c r="E511" s="129"/>
      <c r="F511" s="129"/>
      <c r="G511" s="129"/>
      <c r="H511" s="139">
        <v>22898</v>
      </c>
      <c r="I511" s="129"/>
      <c r="J511" s="130">
        <v>270426</v>
      </c>
      <c r="K511" s="129">
        <v>91</v>
      </c>
      <c r="L511" s="131">
        <v>5947</v>
      </c>
    </row>
    <row r="512" spans="1:12" ht="14.7" thickBot="1" x14ac:dyDescent="0.6">
      <c r="A512" s="136">
        <v>44411</v>
      </c>
      <c r="B512" s="129"/>
      <c r="C512" s="129"/>
      <c r="D512" s="129"/>
      <c r="E512" s="129"/>
      <c r="F512" s="129"/>
      <c r="G512" s="129"/>
      <c r="H512" s="139">
        <v>24832</v>
      </c>
      <c r="I512" s="129"/>
      <c r="J512" s="130">
        <v>256163</v>
      </c>
      <c r="K512" s="129">
        <v>126</v>
      </c>
      <c r="L512" s="131">
        <v>6243</v>
      </c>
    </row>
    <row r="513" spans="1:12" ht="14.7" thickBot="1" x14ac:dyDescent="0.6">
      <c r="A513" s="136">
        <v>44412</v>
      </c>
      <c r="B513" s="129"/>
      <c r="C513" s="129"/>
      <c r="D513" s="129"/>
      <c r="E513" s="129"/>
      <c r="F513" s="129"/>
      <c r="G513" s="129"/>
      <c r="H513" s="139">
        <v>26822</v>
      </c>
      <c r="I513" s="129"/>
      <c r="J513" s="130">
        <v>262048</v>
      </c>
      <c r="K513" s="129">
        <v>122</v>
      </c>
      <c r="L513" s="131">
        <v>6096</v>
      </c>
    </row>
    <row r="514" spans="1:12" ht="14.7" thickBot="1" x14ac:dyDescent="0.6">
      <c r="A514" s="136">
        <v>44413</v>
      </c>
      <c r="B514" s="129"/>
      <c r="C514" s="129"/>
      <c r="D514" s="129"/>
      <c r="E514" s="129"/>
      <c r="F514" s="129"/>
      <c r="G514" s="129"/>
      <c r="H514" s="139">
        <v>24297</v>
      </c>
      <c r="I514" s="129"/>
      <c r="J514" s="130">
        <v>245152</v>
      </c>
      <c r="K514" s="129">
        <v>108</v>
      </c>
      <c r="L514" s="131">
        <v>6636</v>
      </c>
    </row>
    <row r="515" spans="1:12" ht="14.7" thickBot="1" x14ac:dyDescent="0.6">
      <c r="A515" s="136">
        <v>44414</v>
      </c>
      <c r="B515" s="129"/>
      <c r="C515" s="129"/>
      <c r="D515" s="129"/>
      <c r="E515" s="129"/>
      <c r="F515" s="129"/>
      <c r="G515" s="129"/>
      <c r="H515" s="139">
        <v>23957</v>
      </c>
      <c r="I515" s="129"/>
      <c r="J515" s="130">
        <v>243280</v>
      </c>
      <c r="K515" s="129">
        <v>101</v>
      </c>
      <c r="L515" s="131">
        <v>6941</v>
      </c>
    </row>
    <row r="516" spans="1:12" ht="14.7" thickBot="1" x14ac:dyDescent="0.6">
      <c r="A516" s="136">
        <v>44415</v>
      </c>
      <c r="B516" s="129"/>
      <c r="C516" s="129"/>
      <c r="D516" s="129"/>
      <c r="E516" s="129"/>
      <c r="F516" s="129"/>
      <c r="G516" s="129"/>
      <c r="H516" s="139">
        <v>25100</v>
      </c>
      <c r="I516" s="129"/>
      <c r="J516" s="130">
        <v>246037</v>
      </c>
      <c r="K516" s="129">
        <v>112</v>
      </c>
      <c r="L516" s="131">
        <v>6758</v>
      </c>
    </row>
    <row r="517" spans="1:12" ht="14.7" thickBot="1" x14ac:dyDescent="0.6">
      <c r="A517" s="136">
        <v>44416</v>
      </c>
      <c r="B517" s="129"/>
      <c r="C517" s="129"/>
      <c r="D517" s="129"/>
      <c r="E517" s="129"/>
      <c r="F517" s="129"/>
      <c r="G517" s="129"/>
      <c r="H517" s="139">
        <v>22699</v>
      </c>
      <c r="I517" s="129"/>
      <c r="J517" s="130">
        <v>239637</v>
      </c>
      <c r="K517" s="129">
        <v>108</v>
      </c>
      <c r="L517" s="131">
        <v>5835</v>
      </c>
    </row>
    <row r="518" spans="1:12" ht="14.7" thickBot="1" x14ac:dyDescent="0.6">
      <c r="A518" s="136">
        <v>44417</v>
      </c>
      <c r="B518" s="129"/>
      <c r="C518" s="129"/>
      <c r="D518" s="129"/>
      <c r="E518" s="129"/>
      <c r="F518" s="129"/>
      <c r="G518" s="129"/>
      <c r="H518" s="139">
        <v>23731</v>
      </c>
      <c r="I518" s="129"/>
      <c r="J518" s="130">
        <v>245253</v>
      </c>
      <c r="K518" s="129">
        <v>117</v>
      </c>
      <c r="L518" s="131">
        <v>7365</v>
      </c>
    </row>
    <row r="519" spans="1:12" ht="14.7" thickBot="1" x14ac:dyDescent="0.6">
      <c r="A519" s="136">
        <v>44418</v>
      </c>
      <c r="B519" s="129"/>
      <c r="C519" s="129"/>
      <c r="D519" s="129"/>
      <c r="E519" s="129"/>
      <c r="F519" s="129"/>
      <c r="G519" s="129"/>
      <c r="H519" s="139">
        <v>26597</v>
      </c>
      <c r="I519" s="129"/>
      <c r="J519" s="130">
        <v>264647</v>
      </c>
      <c r="K519" s="129">
        <v>124</v>
      </c>
      <c r="L519" s="131">
        <v>14954</v>
      </c>
    </row>
    <row r="520" spans="1:12" ht="14.7" thickBot="1" x14ac:dyDescent="0.6">
      <c r="A520" s="136">
        <v>44419</v>
      </c>
      <c r="B520" s="129"/>
      <c r="C520" s="129"/>
      <c r="D520" s="129"/>
      <c r="E520" s="129"/>
      <c r="F520" s="129"/>
      <c r="G520" s="129"/>
      <c r="H520" s="139">
        <v>27356</v>
      </c>
      <c r="I520" s="129"/>
      <c r="J520" s="130">
        <v>278263</v>
      </c>
      <c r="K520" s="129">
        <v>128</v>
      </c>
      <c r="L520" s="131">
        <v>16363</v>
      </c>
    </row>
    <row r="521" spans="1:12" ht="14.7" thickBot="1" x14ac:dyDescent="0.6">
      <c r="A521" s="136">
        <v>44420</v>
      </c>
      <c r="B521" s="129"/>
      <c r="C521" s="129"/>
      <c r="D521" s="129"/>
      <c r="E521" s="129"/>
      <c r="F521" s="129"/>
      <c r="G521" s="129"/>
      <c r="H521" s="139">
        <v>22261</v>
      </c>
      <c r="I521" s="129"/>
      <c r="J521" s="130">
        <v>281535</v>
      </c>
      <c r="K521" s="129">
        <v>138</v>
      </c>
      <c r="L521" s="131">
        <v>15685</v>
      </c>
    </row>
    <row r="522" spans="1:12" ht="14.7" thickBot="1" x14ac:dyDescent="0.6">
      <c r="A522" s="136">
        <v>44421</v>
      </c>
      <c r="B522" s="129"/>
      <c r="C522" s="129"/>
      <c r="D522" s="129"/>
      <c r="E522" s="129"/>
      <c r="F522" s="129"/>
      <c r="G522" s="129"/>
      <c r="H522" s="139">
        <v>21372</v>
      </c>
      <c r="I522" s="129"/>
      <c r="J522" s="130">
        <v>285242</v>
      </c>
      <c r="K522" s="129">
        <v>157</v>
      </c>
      <c r="L522" s="131">
        <v>16492</v>
      </c>
    </row>
    <row r="523" spans="1:12" ht="14.7" thickBot="1" x14ac:dyDescent="0.6">
      <c r="A523" s="136">
        <v>44422</v>
      </c>
      <c r="B523" s="129"/>
      <c r="C523" s="129"/>
      <c r="D523" s="129"/>
      <c r="E523" s="129"/>
      <c r="F523" s="129"/>
      <c r="G523" s="129"/>
      <c r="H523" s="139">
        <v>19949</v>
      </c>
      <c r="I523" s="129"/>
      <c r="J523" s="130">
        <v>284947</v>
      </c>
      <c r="K523" s="129">
        <v>145</v>
      </c>
      <c r="L523" s="131">
        <v>15364</v>
      </c>
    </row>
    <row r="524" spans="1:12" ht="14.7" thickBot="1" x14ac:dyDescent="0.6">
      <c r="A524" s="136">
        <v>44423</v>
      </c>
      <c r="B524" s="129"/>
      <c r="C524" s="129"/>
      <c r="D524" s="129"/>
      <c r="E524" s="129"/>
      <c r="F524" s="129"/>
      <c r="G524" s="129"/>
      <c r="H524" s="139">
        <v>18847</v>
      </c>
      <c r="I524" s="129"/>
      <c r="J524" s="130">
        <v>281184</v>
      </c>
      <c r="K524" s="129">
        <v>154</v>
      </c>
      <c r="L524" s="131">
        <v>14426</v>
      </c>
    </row>
    <row r="525" spans="1:12" ht="14.7" thickBot="1" x14ac:dyDescent="0.6">
      <c r="A525" s="136">
        <v>44424</v>
      </c>
      <c r="B525" s="129"/>
      <c r="C525" s="129"/>
      <c r="D525" s="129"/>
      <c r="E525" s="129"/>
      <c r="F525" s="129"/>
      <c r="G525" s="129"/>
      <c r="H525" s="139">
        <v>18163</v>
      </c>
      <c r="I525" s="129"/>
      <c r="J525" s="130">
        <v>287947</v>
      </c>
      <c r="K525" s="129">
        <v>165</v>
      </c>
      <c r="L525" s="131">
        <v>16642</v>
      </c>
    </row>
    <row r="526" spans="1:12" ht="14.7" thickBot="1" x14ac:dyDescent="0.6">
      <c r="A526" s="136">
        <v>44425</v>
      </c>
      <c r="B526" s="129"/>
      <c r="C526" s="129"/>
      <c r="D526" s="129"/>
      <c r="E526" s="129"/>
      <c r="F526" s="129"/>
      <c r="G526" s="129"/>
      <c r="H526" s="139">
        <v>21692</v>
      </c>
      <c r="I526" s="129"/>
      <c r="J526" s="130">
        <v>294561</v>
      </c>
      <c r="K526" s="129">
        <v>183</v>
      </c>
      <c r="L526" s="131">
        <v>14636</v>
      </c>
    </row>
    <row r="527" spans="1:12" ht="14.7" thickBot="1" x14ac:dyDescent="0.6">
      <c r="A527" s="136">
        <v>44426</v>
      </c>
      <c r="B527" s="129"/>
      <c r="C527" s="129"/>
      <c r="D527" s="129"/>
      <c r="E527" s="129"/>
      <c r="F527" s="129"/>
      <c r="G527" s="129"/>
      <c r="H527" s="139">
        <v>19944</v>
      </c>
      <c r="I527" s="129"/>
      <c r="J527" s="130">
        <v>295206</v>
      </c>
      <c r="K527" s="129">
        <v>168</v>
      </c>
      <c r="L527" s="131">
        <v>15537</v>
      </c>
    </row>
    <row r="528" spans="1:12" ht="14.7" thickBot="1" x14ac:dyDescent="0.6">
      <c r="A528" s="136">
        <v>44427</v>
      </c>
      <c r="B528" s="129"/>
      <c r="C528" s="129"/>
      <c r="D528" s="129"/>
      <c r="E528" s="129"/>
      <c r="F528" s="129"/>
      <c r="G528" s="129"/>
      <c r="H528" s="139">
        <v>19320</v>
      </c>
      <c r="I528" s="129"/>
      <c r="J528" s="130">
        <v>292538</v>
      </c>
      <c r="K528" s="129">
        <v>216</v>
      </c>
      <c r="L528" s="131">
        <v>14743</v>
      </c>
    </row>
    <row r="529" spans="1:12" ht="14.7" thickBot="1" x14ac:dyDescent="0.6">
      <c r="A529" s="136">
        <v>44428</v>
      </c>
      <c r="B529" s="129"/>
      <c r="C529" s="129"/>
      <c r="D529" s="129"/>
      <c r="E529" s="129"/>
      <c r="F529" s="129"/>
      <c r="G529" s="129"/>
      <c r="H529" s="139">
        <v>19918</v>
      </c>
      <c r="I529" s="129"/>
      <c r="J529" s="130">
        <v>293252</v>
      </c>
      <c r="K529" s="129">
        <v>204</v>
      </c>
      <c r="L529" s="131">
        <v>15561</v>
      </c>
    </row>
    <row r="530" spans="1:12" ht="14.7" thickBot="1" x14ac:dyDescent="0.6">
      <c r="A530" s="136">
        <v>44429</v>
      </c>
      <c r="B530" s="129"/>
      <c r="C530" s="129"/>
      <c r="D530" s="129"/>
      <c r="E530" s="129"/>
      <c r="F530" s="129"/>
      <c r="G530" s="129"/>
      <c r="H530" s="139">
        <v>19351</v>
      </c>
      <c r="I530" s="129"/>
      <c r="J530" s="130">
        <v>282857</v>
      </c>
      <c r="K530" s="129">
        <v>232</v>
      </c>
      <c r="L530" s="131">
        <v>13163</v>
      </c>
    </row>
    <row r="531" spans="1:12" ht="14.7" thickBot="1" x14ac:dyDescent="0.6">
      <c r="A531" s="136">
        <v>44430</v>
      </c>
      <c r="B531" s="129"/>
      <c r="C531" s="129"/>
      <c r="D531" s="129"/>
      <c r="E531" s="129"/>
      <c r="F531" s="129"/>
      <c r="G531" s="129"/>
      <c r="H531" s="139">
        <v>18622</v>
      </c>
      <c r="I531" s="129"/>
      <c r="J531" s="130">
        <v>265196</v>
      </c>
      <c r="K531" s="129">
        <v>206</v>
      </c>
      <c r="L531" s="131">
        <v>13263</v>
      </c>
    </row>
    <row r="532" spans="1:12" ht="14.7" thickBot="1" x14ac:dyDescent="0.6">
      <c r="A532" s="136">
        <v>44431</v>
      </c>
      <c r="B532" s="129"/>
      <c r="C532" s="129"/>
      <c r="D532" s="129"/>
      <c r="E532" s="129"/>
      <c r="F532" s="129"/>
      <c r="G532" s="129"/>
      <c r="H532" s="139">
        <v>18857</v>
      </c>
      <c r="I532" s="129"/>
      <c r="J532" s="130">
        <v>282528</v>
      </c>
      <c r="K532" s="129">
        <v>232</v>
      </c>
      <c r="L532" s="131">
        <v>15833</v>
      </c>
    </row>
    <row r="533" spans="1:12" ht="14.7" thickBot="1" x14ac:dyDescent="0.6">
      <c r="A533" s="136">
        <v>44432</v>
      </c>
      <c r="B533" s="129"/>
      <c r="C533" s="129"/>
      <c r="D533" s="129"/>
      <c r="E533" s="129"/>
      <c r="F533" s="129"/>
      <c r="G533" s="129"/>
      <c r="H533" s="139">
        <v>19191</v>
      </c>
      <c r="I533" s="129"/>
      <c r="J533" s="130">
        <v>293037</v>
      </c>
      <c r="K533" s="129">
        <v>230</v>
      </c>
      <c r="L533" s="131">
        <v>15373</v>
      </c>
    </row>
    <row r="534" spans="1:12" ht="14.7" thickBot="1" x14ac:dyDescent="0.6">
      <c r="A534" s="136">
        <v>44433</v>
      </c>
      <c r="B534" s="129"/>
      <c r="C534" s="129"/>
      <c r="D534" s="129"/>
      <c r="E534" s="129"/>
      <c r="F534" s="129"/>
      <c r="G534" s="129"/>
      <c r="H534" s="139">
        <v>19970</v>
      </c>
      <c r="I534" s="129"/>
      <c r="J534" s="130">
        <v>296711</v>
      </c>
      <c r="K534" s="129">
        <v>217</v>
      </c>
      <c r="L534" s="131">
        <v>16651</v>
      </c>
    </row>
    <row r="535" spans="1:12" ht="14.7" thickBot="1" x14ac:dyDescent="0.6">
      <c r="A535" s="136">
        <v>44434</v>
      </c>
      <c r="B535" s="129"/>
      <c r="C535" s="129"/>
      <c r="D535" s="129"/>
      <c r="E535" s="129"/>
      <c r="F535" s="129"/>
      <c r="G535" s="129"/>
      <c r="H535" s="139">
        <v>19616</v>
      </c>
      <c r="I535" s="129"/>
      <c r="J535" s="130">
        <v>297068</v>
      </c>
      <c r="K535" s="129">
        <v>257</v>
      </c>
      <c r="L535" s="131">
        <v>15205</v>
      </c>
    </row>
    <row r="536" spans="1:12" ht="14.7" thickBot="1" x14ac:dyDescent="0.6">
      <c r="A536" s="136">
        <v>44435</v>
      </c>
      <c r="B536" s="129"/>
      <c r="C536" s="129"/>
      <c r="D536" s="129"/>
      <c r="E536" s="129"/>
      <c r="F536" s="129"/>
      <c r="G536" s="129"/>
      <c r="H536" s="139">
        <v>18340</v>
      </c>
      <c r="I536" s="129"/>
      <c r="J536" s="130">
        <v>295647</v>
      </c>
      <c r="K536" s="129">
        <v>244</v>
      </c>
      <c r="L536" s="131">
        <v>14528</v>
      </c>
    </row>
    <row r="537" spans="1:12" ht="14.7" thickBot="1" x14ac:dyDescent="0.6">
      <c r="A537" s="136">
        <v>44436</v>
      </c>
      <c r="B537" s="129"/>
      <c r="C537" s="129"/>
      <c r="D537" s="129"/>
      <c r="E537" s="129"/>
      <c r="F537" s="129"/>
      <c r="G537" s="129"/>
      <c r="H537" s="139">
        <v>17912</v>
      </c>
      <c r="I537" s="129"/>
      <c r="J537" s="130">
        <v>290186</v>
      </c>
      <c r="K537" s="129">
        <v>245</v>
      </c>
      <c r="L537" s="131">
        <v>12175</v>
      </c>
    </row>
    <row r="538" spans="1:12" ht="14.7" thickBot="1" x14ac:dyDescent="0.6">
      <c r="A538" s="136">
        <v>44437</v>
      </c>
      <c r="B538" s="129"/>
      <c r="C538" s="129"/>
      <c r="D538" s="129"/>
      <c r="E538" s="129"/>
      <c r="F538" s="129"/>
      <c r="G538" s="129"/>
      <c r="H538" s="139">
        <v>17332</v>
      </c>
      <c r="I538" s="129"/>
      <c r="J538" s="130">
        <v>286425</v>
      </c>
      <c r="K538" s="129">
        <v>255</v>
      </c>
      <c r="L538" s="131">
        <v>11396</v>
      </c>
    </row>
    <row r="539" spans="1:12" ht="14.7" thickBot="1" x14ac:dyDescent="0.6">
      <c r="A539" s="136">
        <v>44438</v>
      </c>
      <c r="B539" s="129"/>
      <c r="C539" s="129"/>
      <c r="D539" s="129"/>
      <c r="E539" s="129"/>
      <c r="F539" s="129"/>
      <c r="G539" s="129"/>
      <c r="H539" s="139">
        <v>19557</v>
      </c>
      <c r="I539" s="129"/>
      <c r="J539" s="130">
        <v>283250</v>
      </c>
      <c r="K539" s="129">
        <v>245</v>
      </c>
      <c r="L539" s="131">
        <v>13401</v>
      </c>
    </row>
    <row r="540" spans="1:12" ht="14.7" thickBot="1" x14ac:dyDescent="0.6">
      <c r="A540" s="136">
        <v>44439</v>
      </c>
      <c r="B540" s="129"/>
      <c r="C540" s="129"/>
      <c r="D540" s="129"/>
      <c r="E540" s="129"/>
      <c r="F540" s="129"/>
      <c r="G540" s="129"/>
      <c r="H540" s="139">
        <v>21893</v>
      </c>
      <c r="I540" s="129"/>
      <c r="J540" s="130">
        <v>297167</v>
      </c>
      <c r="K540" s="129">
        <v>252</v>
      </c>
      <c r="L540" s="131">
        <v>14106</v>
      </c>
    </row>
    <row r="541" spans="1:12" ht="14.7" thickBot="1" x14ac:dyDescent="0.6">
      <c r="A541" s="136">
        <v>44440</v>
      </c>
      <c r="B541" s="129"/>
      <c r="C541" s="129"/>
      <c r="D541" s="129"/>
      <c r="E541" s="129"/>
      <c r="F541" s="129"/>
      <c r="G541" s="129"/>
      <c r="H541" s="139">
        <v>23946</v>
      </c>
      <c r="I541" s="129"/>
      <c r="J541" s="130">
        <v>302869</v>
      </c>
      <c r="K541" s="129">
        <v>290</v>
      </c>
      <c r="L541" s="131">
        <v>15164</v>
      </c>
    </row>
    <row r="542" spans="1:12" ht="14.7" thickBot="1" x14ac:dyDescent="0.6">
      <c r="A542" s="136">
        <v>44441</v>
      </c>
      <c r="B542" s="129"/>
      <c r="C542" s="129"/>
      <c r="D542" s="129"/>
      <c r="E542" s="129"/>
      <c r="F542" s="129"/>
      <c r="G542" s="129"/>
      <c r="H542" s="139">
        <v>23496</v>
      </c>
      <c r="I542" s="129"/>
      <c r="J542" s="130">
        <v>305047</v>
      </c>
      <c r="K542" s="129">
        <v>283</v>
      </c>
      <c r="L542" s="131">
        <v>20004</v>
      </c>
    </row>
    <row r="543" spans="1:12" ht="14.7" thickBot="1" x14ac:dyDescent="0.6">
      <c r="A543" s="136">
        <v>44442</v>
      </c>
      <c r="B543" s="129"/>
      <c r="C543" s="129"/>
      <c r="D543" s="129"/>
      <c r="E543" s="129"/>
      <c r="F543" s="129"/>
      <c r="G543" s="129"/>
      <c r="H543" s="139">
        <v>22857</v>
      </c>
      <c r="I543" s="129"/>
      <c r="J543" s="130">
        <v>304530</v>
      </c>
      <c r="K543" s="129">
        <v>276</v>
      </c>
      <c r="L543" s="131">
        <v>14527</v>
      </c>
    </row>
    <row r="544" spans="1:12" ht="14.7" thickBot="1" x14ac:dyDescent="0.6">
      <c r="A544" s="136">
        <v>44443</v>
      </c>
      <c r="B544" s="129"/>
      <c r="C544" s="129"/>
      <c r="D544" s="129"/>
      <c r="E544" s="129"/>
      <c r="F544" s="129"/>
      <c r="G544" s="129"/>
      <c r="H544" s="139">
        <v>20033</v>
      </c>
      <c r="I544" s="129"/>
      <c r="J544" s="130">
        <v>283385</v>
      </c>
      <c r="K544" s="129">
        <v>278</v>
      </c>
      <c r="L544" s="131">
        <v>19464</v>
      </c>
    </row>
    <row r="545" spans="1:12" ht="14.7" thickBot="1" x14ac:dyDescent="0.6">
      <c r="A545" s="136">
        <v>44444</v>
      </c>
      <c r="B545" s="129"/>
      <c r="C545" s="129"/>
      <c r="D545" s="129"/>
      <c r="E545" s="129"/>
      <c r="F545" s="129"/>
      <c r="G545" s="129"/>
      <c r="H545" s="139">
        <v>19391</v>
      </c>
      <c r="I545" s="129"/>
      <c r="J545" s="130">
        <v>279063</v>
      </c>
      <c r="K545" s="129">
        <v>269</v>
      </c>
      <c r="L545" s="131">
        <v>24289</v>
      </c>
    </row>
    <row r="546" spans="1:12" ht="14.7" thickBot="1" x14ac:dyDescent="0.6">
      <c r="A546" s="136">
        <v>44445</v>
      </c>
      <c r="B546" s="129"/>
      <c r="C546" s="129"/>
      <c r="D546" s="129"/>
      <c r="E546" s="129"/>
      <c r="F546" s="129"/>
      <c r="G546" s="129"/>
      <c r="H546" s="139">
        <v>20962</v>
      </c>
      <c r="I546" s="129"/>
      <c r="J546" s="130">
        <v>301164</v>
      </c>
      <c r="K546" s="129">
        <v>271</v>
      </c>
      <c r="L546" s="131">
        <v>29327</v>
      </c>
    </row>
    <row r="547" spans="1:12" ht="14.7" thickBot="1" x14ac:dyDescent="0.6">
      <c r="A547" s="136">
        <v>44446</v>
      </c>
      <c r="B547" s="129"/>
      <c r="C547" s="129"/>
      <c r="D547" s="129"/>
      <c r="E547" s="129"/>
      <c r="F547" s="129"/>
      <c r="G547" s="129"/>
      <c r="H547" s="139">
        <v>23638</v>
      </c>
      <c r="I547" s="129"/>
      <c r="J547" s="130">
        <v>304864</v>
      </c>
      <c r="K547" s="129">
        <v>274</v>
      </c>
      <c r="L547" s="131">
        <v>34402</v>
      </c>
    </row>
    <row r="548" spans="1:12" ht="14.7" thickBot="1" x14ac:dyDescent="0.6">
      <c r="A548" s="136">
        <v>44447</v>
      </c>
      <c r="B548" s="129"/>
      <c r="C548" s="129"/>
      <c r="D548" s="129"/>
      <c r="E548" s="129"/>
      <c r="F548" s="129"/>
      <c r="G548" s="129"/>
      <c r="H548" s="139">
        <v>23914</v>
      </c>
      <c r="I548" s="129"/>
      <c r="J548" s="130">
        <v>308437</v>
      </c>
      <c r="K548" s="129">
        <v>262</v>
      </c>
      <c r="L548" s="131">
        <v>30103</v>
      </c>
    </row>
    <row r="549" spans="1:12" ht="14.7" thickBot="1" x14ac:dyDescent="0.6">
      <c r="A549" s="136">
        <v>44448</v>
      </c>
      <c r="B549" s="129"/>
      <c r="C549" s="129"/>
      <c r="D549" s="129"/>
      <c r="E549" s="129"/>
      <c r="F549" s="129"/>
      <c r="G549" s="129"/>
      <c r="H549" s="139">
        <v>23846</v>
      </c>
      <c r="I549" s="129"/>
      <c r="J549" s="130">
        <v>314793</v>
      </c>
      <c r="K549" s="129">
        <v>257</v>
      </c>
      <c r="L549" s="131">
        <v>31322</v>
      </c>
    </row>
    <row r="550" spans="1:12" ht="14.7" thickBot="1" x14ac:dyDescent="0.6">
      <c r="A550" s="136">
        <v>44449</v>
      </c>
      <c r="B550" s="129"/>
      <c r="C550" s="129"/>
      <c r="D550" s="129"/>
      <c r="E550" s="129"/>
      <c r="F550" s="129"/>
      <c r="G550" s="129"/>
      <c r="H550" s="139">
        <v>23562</v>
      </c>
      <c r="I550" s="129"/>
      <c r="J550" s="130">
        <v>318835</v>
      </c>
      <c r="K550" s="129">
        <v>214</v>
      </c>
      <c r="L550" s="131">
        <v>35083</v>
      </c>
    </row>
    <row r="551" spans="1:12" ht="14.7" thickBot="1" x14ac:dyDescent="0.6">
      <c r="A551" s="136">
        <v>44450</v>
      </c>
      <c r="B551" s="129"/>
      <c r="C551" s="129"/>
      <c r="D551" s="129"/>
      <c r="E551" s="129"/>
      <c r="F551" s="129"/>
      <c r="G551" s="129"/>
      <c r="H551" s="139">
        <v>22923</v>
      </c>
      <c r="I551" s="129"/>
      <c r="J551" s="130">
        <v>314046</v>
      </c>
      <c r="K551" s="129">
        <v>259</v>
      </c>
      <c r="L551" s="131">
        <v>30144</v>
      </c>
    </row>
    <row r="552" spans="1:12" ht="14.7" thickBot="1" x14ac:dyDescent="0.6">
      <c r="A552" s="136">
        <v>44451</v>
      </c>
      <c r="B552" s="129"/>
      <c r="C552" s="129"/>
      <c r="D552" s="129"/>
      <c r="E552" s="129"/>
      <c r="F552" s="129"/>
      <c r="G552" s="129"/>
      <c r="H552" s="139">
        <v>21352</v>
      </c>
      <c r="I552" s="129"/>
      <c r="J552" s="130">
        <v>310546</v>
      </c>
      <c r="K552" s="129">
        <v>243</v>
      </c>
      <c r="L552" s="131">
        <v>25616</v>
      </c>
    </row>
    <row r="553" spans="1:12" ht="14.7" thickBot="1" x14ac:dyDescent="0.6">
      <c r="A553" s="136">
        <v>44452</v>
      </c>
      <c r="B553" s="129"/>
      <c r="C553" s="129"/>
      <c r="D553" s="129"/>
      <c r="E553" s="129"/>
      <c r="F553" s="129"/>
      <c r="G553" s="129"/>
      <c r="H553" s="139">
        <v>24613</v>
      </c>
      <c r="I553" s="129"/>
      <c r="J553" s="130">
        <v>319110</v>
      </c>
      <c r="K553" s="129">
        <v>231</v>
      </c>
      <c r="L553" s="131">
        <v>26052</v>
      </c>
    </row>
    <row r="554" spans="1:12" ht="14.7" thickBot="1" x14ac:dyDescent="0.6">
      <c r="A554" s="136">
        <v>44453</v>
      </c>
      <c r="B554" s="129"/>
      <c r="C554" s="129"/>
      <c r="D554" s="129"/>
      <c r="E554" s="129"/>
      <c r="F554" s="129"/>
      <c r="G554" s="129"/>
      <c r="H554" s="139">
        <v>27802</v>
      </c>
      <c r="I554" s="129"/>
      <c r="J554" s="130">
        <v>334535</v>
      </c>
      <c r="K554" s="129">
        <v>276</v>
      </c>
      <c r="L554" s="131">
        <v>29191</v>
      </c>
    </row>
    <row r="555" spans="1:12" ht="14.7" thickBot="1" x14ac:dyDescent="0.6">
      <c r="A555" s="136">
        <v>44454</v>
      </c>
      <c r="B555" s="129"/>
      <c r="C555" s="129"/>
      <c r="D555" s="129"/>
      <c r="E555" s="129"/>
      <c r="F555" s="129"/>
      <c r="G555" s="129"/>
      <c r="H555" s="139">
        <v>28224</v>
      </c>
      <c r="I555" s="129"/>
      <c r="J555" s="130">
        <v>341004</v>
      </c>
      <c r="K555" s="129">
        <v>248</v>
      </c>
      <c r="L555" s="131">
        <v>28536</v>
      </c>
    </row>
    <row r="556" spans="1:12" ht="14.7" thickBot="1" x14ac:dyDescent="0.6">
      <c r="A556" s="136">
        <v>44455</v>
      </c>
      <c r="B556" s="129"/>
      <c r="C556" s="129"/>
      <c r="D556" s="129"/>
      <c r="E556" s="129"/>
      <c r="F556" s="129"/>
      <c r="G556" s="129"/>
      <c r="H556" s="139">
        <v>28118</v>
      </c>
      <c r="I556" s="129"/>
      <c r="J556" s="130">
        <v>343142</v>
      </c>
      <c r="K556" s="129">
        <v>262</v>
      </c>
      <c r="L556" s="131">
        <v>32249</v>
      </c>
    </row>
    <row r="557" spans="1:12" ht="14.7" thickBot="1" x14ac:dyDescent="0.6">
      <c r="A557" s="136">
        <v>44456</v>
      </c>
      <c r="B557" s="129"/>
      <c r="C557" s="129"/>
      <c r="D557" s="129"/>
      <c r="E557" s="129"/>
      <c r="F557" s="129"/>
      <c r="G557" s="129"/>
      <c r="H557" s="139">
        <v>27692</v>
      </c>
      <c r="I557" s="129"/>
      <c r="J557" s="130">
        <v>341854</v>
      </c>
      <c r="K557" s="129">
        <v>237</v>
      </c>
      <c r="L557" s="131">
        <v>23197</v>
      </c>
    </row>
    <row r="558" spans="1:12" ht="14.7" thickBot="1" x14ac:dyDescent="0.6">
      <c r="A558" s="136">
        <v>44457</v>
      </c>
      <c r="B558" s="129"/>
      <c r="C558" s="129"/>
      <c r="D558" s="129"/>
      <c r="E558" s="129"/>
      <c r="F558" s="129"/>
      <c r="G558" s="129"/>
      <c r="H558" s="139">
        <v>26161</v>
      </c>
      <c r="I558" s="129"/>
      <c r="J558" s="130">
        <v>335244</v>
      </c>
      <c r="K558" s="129">
        <v>221</v>
      </c>
      <c r="L558" s="131">
        <v>24023</v>
      </c>
    </row>
    <row r="559" spans="1:12" ht="14.7" thickBot="1" x14ac:dyDescent="0.6">
      <c r="A559" s="136">
        <v>44458</v>
      </c>
      <c r="B559" s="129"/>
      <c r="C559" s="129"/>
      <c r="D559" s="129"/>
      <c r="E559" s="129"/>
      <c r="F559" s="129"/>
      <c r="G559" s="129"/>
      <c r="H559" s="139">
        <v>26398</v>
      </c>
      <c r="I559" s="129"/>
      <c r="J559" s="130">
        <v>338873</v>
      </c>
      <c r="K559" s="129">
        <v>213</v>
      </c>
      <c r="L559" s="131">
        <v>27160</v>
      </c>
    </row>
    <row r="560" spans="1:12" ht="14.7" thickBot="1" x14ac:dyDescent="0.6">
      <c r="A560" s="136">
        <v>44459</v>
      </c>
      <c r="B560" s="129"/>
      <c r="C560" s="129"/>
      <c r="D560" s="129"/>
      <c r="E560" s="129"/>
      <c r="F560" s="129"/>
      <c r="G560" s="129"/>
      <c r="H560" s="139">
        <v>27688</v>
      </c>
      <c r="I560" s="129"/>
      <c r="J560" s="130">
        <v>346435</v>
      </c>
      <c r="K560" s="129">
        <v>231</v>
      </c>
      <c r="L560" s="131">
        <v>27949</v>
      </c>
    </row>
    <row r="561" spans="1:12" ht="14.7" thickBot="1" x14ac:dyDescent="0.6">
      <c r="A561" s="136">
        <v>44460</v>
      </c>
      <c r="B561" s="129"/>
      <c r="C561" s="129"/>
      <c r="D561" s="129"/>
      <c r="E561" s="129"/>
      <c r="F561" s="129"/>
      <c r="G561" s="129"/>
      <c r="H561" s="139">
        <v>29338</v>
      </c>
      <c r="I561" s="129"/>
      <c r="J561" s="130">
        <v>354854</v>
      </c>
      <c r="K561" s="129">
        <v>260</v>
      </c>
      <c r="L561" s="131">
        <v>23361</v>
      </c>
    </row>
    <row r="562" spans="1:12" ht="14.7" thickBot="1" x14ac:dyDescent="0.6">
      <c r="A562" s="136">
        <v>44461</v>
      </c>
      <c r="B562" s="129"/>
      <c r="C562" s="129"/>
      <c r="D562" s="129"/>
      <c r="E562" s="129"/>
      <c r="F562" s="129"/>
      <c r="G562" s="129"/>
      <c r="H562" s="139">
        <v>28168</v>
      </c>
      <c r="I562" s="129"/>
      <c r="J562" s="130">
        <v>351655</v>
      </c>
      <c r="K562" s="129">
        <v>242</v>
      </c>
      <c r="L562" s="131">
        <v>23096</v>
      </c>
    </row>
    <row r="563" spans="1:12" ht="14.7" thickBot="1" x14ac:dyDescent="0.6">
      <c r="A563" s="136">
        <v>44462</v>
      </c>
      <c r="B563" s="129"/>
      <c r="C563" s="129"/>
      <c r="D563" s="129"/>
      <c r="E563" s="129"/>
      <c r="F563" s="129"/>
      <c r="G563" s="129"/>
      <c r="H563" s="139">
        <v>27844</v>
      </c>
      <c r="I563" s="129"/>
      <c r="J563" s="130">
        <v>356132</v>
      </c>
      <c r="K563" s="129">
        <v>217</v>
      </c>
      <c r="L563" s="131">
        <v>21267</v>
      </c>
    </row>
    <row r="564" spans="1:12" ht="14.7" thickBot="1" x14ac:dyDescent="0.6">
      <c r="A564" s="136">
        <v>44463</v>
      </c>
      <c r="B564" s="129"/>
      <c r="C564" s="129"/>
      <c r="D564" s="129"/>
      <c r="E564" s="129"/>
      <c r="F564" s="129"/>
      <c r="G564" s="129"/>
      <c r="H564" s="139">
        <v>27197</v>
      </c>
      <c r="I564" s="129"/>
      <c r="J564" s="130">
        <v>355226</v>
      </c>
      <c r="K564" s="129">
        <v>221</v>
      </c>
      <c r="L564" s="131">
        <v>20458</v>
      </c>
    </row>
    <row r="565" spans="1:12" ht="14.7" thickBot="1" x14ac:dyDescent="0.6">
      <c r="A565" s="136">
        <v>44464</v>
      </c>
      <c r="B565" s="129"/>
      <c r="C565" s="129"/>
      <c r="D565" s="129"/>
      <c r="E565" s="129"/>
      <c r="F565" s="129"/>
      <c r="G565" s="129"/>
      <c r="H565" s="139">
        <v>26145</v>
      </c>
      <c r="I565" s="129"/>
      <c r="J565" s="130">
        <v>342145</v>
      </c>
      <c r="K565" s="129">
        <v>193</v>
      </c>
      <c r="L565" s="131">
        <v>19199</v>
      </c>
    </row>
    <row r="566" spans="1:12" ht="14.7" thickBot="1" x14ac:dyDescent="0.6">
      <c r="A566" s="136">
        <v>44465</v>
      </c>
      <c r="B566" s="129"/>
      <c r="C566" s="129"/>
      <c r="D566" s="129"/>
      <c r="E566" s="129"/>
      <c r="F566" s="129"/>
      <c r="G566" s="129"/>
      <c r="H566" s="139">
        <v>25861</v>
      </c>
      <c r="I566" s="129"/>
      <c r="J566" s="130">
        <v>341221</v>
      </c>
      <c r="K566" s="129">
        <v>228</v>
      </c>
      <c r="L566" s="131">
        <v>24875</v>
      </c>
    </row>
    <row r="567" spans="1:12" ht="14.7" thickBot="1" x14ac:dyDescent="0.6">
      <c r="A567" s="136">
        <v>44466</v>
      </c>
      <c r="B567" s="129"/>
      <c r="C567" s="129"/>
      <c r="D567" s="129"/>
      <c r="E567" s="129"/>
      <c r="F567" s="129"/>
      <c r="G567" s="129"/>
      <c r="H567" s="139">
        <v>27188</v>
      </c>
      <c r="I567" s="129"/>
      <c r="J567" s="130">
        <v>353324</v>
      </c>
      <c r="K567" s="129">
        <v>206</v>
      </c>
      <c r="L567" s="131">
        <v>25160</v>
      </c>
    </row>
    <row r="568" spans="1:12" ht="14.7" thickBot="1" x14ac:dyDescent="0.6">
      <c r="A568" s="136">
        <v>44467</v>
      </c>
      <c r="B568" s="129"/>
      <c r="C568" s="129"/>
      <c r="D568" s="129"/>
      <c r="E568" s="129"/>
      <c r="F568" s="129"/>
      <c r="G568" s="129"/>
      <c r="H568" s="139">
        <v>28892</v>
      </c>
      <c r="I568" s="129"/>
      <c r="J568" s="130">
        <v>356661</v>
      </c>
      <c r="K568" s="129">
        <v>239</v>
      </c>
      <c r="L568" s="131">
        <v>30336</v>
      </c>
    </row>
    <row r="569" spans="1:12" ht="14.7" thickBot="1" x14ac:dyDescent="0.6">
      <c r="A569" s="136">
        <v>44468</v>
      </c>
      <c r="B569" s="129"/>
      <c r="C569" s="129"/>
      <c r="D569" s="129"/>
      <c r="E569" s="129"/>
      <c r="F569" s="129"/>
      <c r="G569" s="129"/>
      <c r="H569" s="139">
        <v>29386</v>
      </c>
      <c r="I569" s="129"/>
      <c r="J569" s="130">
        <v>355442</v>
      </c>
      <c r="K569" s="129">
        <v>227</v>
      </c>
      <c r="L569" s="131">
        <v>31018</v>
      </c>
    </row>
    <row r="570" spans="1:12" ht="14.7" thickBot="1" x14ac:dyDescent="0.6">
      <c r="A570" s="136">
        <v>44469</v>
      </c>
      <c r="B570" s="129"/>
      <c r="C570" s="129"/>
      <c r="D570" s="129"/>
      <c r="E570" s="129"/>
      <c r="F570" s="129"/>
      <c r="G570" s="129"/>
      <c r="H570" s="139">
        <v>29104</v>
      </c>
      <c r="I570" s="129"/>
      <c r="J570" s="130">
        <v>357853</v>
      </c>
      <c r="K570" s="129">
        <v>216</v>
      </c>
      <c r="L570" s="131">
        <v>32119</v>
      </c>
    </row>
    <row r="571" spans="1:12" ht="14.7" thickBot="1" x14ac:dyDescent="0.6">
      <c r="A571" s="136">
        <v>44470</v>
      </c>
      <c r="B571" s="129"/>
      <c r="C571" s="129"/>
      <c r="D571" s="129"/>
      <c r="E571" s="129"/>
      <c r="F571" s="129"/>
      <c r="G571" s="129"/>
      <c r="H571" s="139">
        <v>28873</v>
      </c>
      <c r="I571" s="129"/>
      <c r="J571" s="130">
        <v>356352</v>
      </c>
      <c r="K571" s="129">
        <v>210</v>
      </c>
      <c r="L571" s="131">
        <v>26224</v>
      </c>
    </row>
    <row r="572" spans="1:12" ht="14.7" thickBot="1" x14ac:dyDescent="0.6">
      <c r="A572" s="136">
        <v>44471</v>
      </c>
      <c r="B572" s="129"/>
      <c r="C572" s="129"/>
      <c r="D572" s="129"/>
      <c r="E572" s="129"/>
      <c r="F572" s="129"/>
      <c r="G572" s="129"/>
      <c r="H572" s="139">
        <v>27973</v>
      </c>
      <c r="I572" s="129"/>
      <c r="J572" s="130">
        <v>352162</v>
      </c>
      <c r="K572" s="129">
        <v>203</v>
      </c>
      <c r="L572" s="131">
        <v>22110</v>
      </c>
    </row>
    <row r="573" spans="1:12" ht="14.7" thickBot="1" x14ac:dyDescent="0.6">
      <c r="A573" s="136">
        <v>44472</v>
      </c>
      <c r="B573" s="129"/>
      <c r="C573" s="129"/>
      <c r="D573" s="129"/>
      <c r="E573" s="129"/>
      <c r="F573" s="129"/>
      <c r="G573" s="129"/>
      <c r="H573" s="139">
        <v>27351</v>
      </c>
      <c r="I573" s="129"/>
      <c r="J573" s="130">
        <v>348462</v>
      </c>
      <c r="K573" s="129">
        <v>194</v>
      </c>
      <c r="L573" s="131">
        <v>22004</v>
      </c>
    </row>
    <row r="574" spans="1:12" ht="14.7" thickBot="1" x14ac:dyDescent="0.6">
      <c r="A574" s="136">
        <v>44473</v>
      </c>
      <c r="B574" s="129"/>
      <c r="C574" s="129"/>
      <c r="D574" s="129"/>
      <c r="E574" s="129"/>
      <c r="F574" s="129"/>
      <c r="G574" s="129"/>
      <c r="H574" s="139">
        <v>28810</v>
      </c>
      <c r="I574" s="129"/>
      <c r="J574" s="130">
        <v>352214</v>
      </c>
      <c r="K574" s="129">
        <v>248</v>
      </c>
      <c r="L574" s="131">
        <v>33152</v>
      </c>
    </row>
    <row r="575" spans="1:12" ht="14.7" thickBot="1" x14ac:dyDescent="0.6">
      <c r="A575" s="136">
        <v>44474</v>
      </c>
      <c r="B575" s="129"/>
      <c r="C575" s="129"/>
      <c r="D575" s="129"/>
      <c r="E575" s="129"/>
      <c r="F575" s="129"/>
      <c r="G575" s="129"/>
      <c r="H575" s="139">
        <v>29802</v>
      </c>
      <c r="I575" s="129"/>
      <c r="J575" s="130">
        <v>355564</v>
      </c>
      <c r="K575" s="129">
        <v>228</v>
      </c>
      <c r="L575" s="131">
        <v>32269</v>
      </c>
    </row>
    <row r="576" spans="1:12" ht="14.7" thickBot="1" x14ac:dyDescent="0.6">
      <c r="A576" s="136">
        <v>44475</v>
      </c>
      <c r="B576" s="129"/>
      <c r="C576" s="129"/>
      <c r="D576" s="129"/>
      <c r="E576" s="129"/>
      <c r="F576" s="129"/>
      <c r="G576" s="129"/>
      <c r="H576" s="139">
        <v>30438</v>
      </c>
      <c r="I576" s="129"/>
      <c r="J576" s="130">
        <v>358064</v>
      </c>
      <c r="K576" s="129">
        <v>236</v>
      </c>
      <c r="L576" s="131">
        <v>31413</v>
      </c>
    </row>
    <row r="577" spans="1:12" ht="14.7" thickBot="1" x14ac:dyDescent="0.6">
      <c r="A577" s="136">
        <v>44476</v>
      </c>
      <c r="B577" s="129"/>
      <c r="C577" s="129"/>
      <c r="D577" s="129"/>
      <c r="E577" s="129"/>
      <c r="F577" s="129"/>
      <c r="G577" s="129"/>
      <c r="H577" s="139">
        <v>30019</v>
      </c>
      <c r="I577" s="129"/>
      <c r="J577" s="130">
        <v>362152</v>
      </c>
      <c r="K577" s="129">
        <v>217</v>
      </c>
      <c r="L577" s="131">
        <v>32240</v>
      </c>
    </row>
    <row r="578" spans="1:12" ht="14.7" thickBot="1" x14ac:dyDescent="0.6">
      <c r="A578" s="136">
        <v>44477</v>
      </c>
      <c r="B578" s="129"/>
      <c r="C578" s="129"/>
      <c r="D578" s="129"/>
      <c r="E578" s="129"/>
      <c r="F578" s="129"/>
      <c r="G578" s="129"/>
      <c r="H578" s="139">
        <v>30201</v>
      </c>
      <c r="I578" s="129"/>
      <c r="J578" s="130">
        <v>360115</v>
      </c>
      <c r="K578" s="129">
        <v>188</v>
      </c>
      <c r="L578" s="131">
        <v>28167</v>
      </c>
    </row>
    <row r="579" spans="1:12" ht="14.7" thickBot="1" x14ac:dyDescent="0.6">
      <c r="A579" s="136">
        <v>44478</v>
      </c>
      <c r="B579" s="129"/>
      <c r="C579" s="129"/>
      <c r="D579" s="129"/>
      <c r="E579" s="129"/>
      <c r="F579" s="129"/>
      <c r="G579" s="129"/>
      <c r="H579" s="139">
        <v>28645</v>
      </c>
      <c r="I579" s="129"/>
      <c r="J579" s="130">
        <v>348856</v>
      </c>
      <c r="K579" s="129">
        <v>206</v>
      </c>
      <c r="L579" s="131">
        <v>24217</v>
      </c>
    </row>
    <row r="580" spans="1:12" ht="14.7" thickBot="1" x14ac:dyDescent="0.6">
      <c r="A580" s="136">
        <v>44479</v>
      </c>
      <c r="B580" s="129"/>
      <c r="C580" s="129"/>
      <c r="D580" s="129"/>
      <c r="E580" s="129"/>
      <c r="F580" s="129"/>
      <c r="G580" s="129"/>
      <c r="H580" s="139">
        <v>28370</v>
      </c>
      <c r="I580" s="129"/>
      <c r="J580" s="130">
        <v>344280</v>
      </c>
      <c r="K580" s="129">
        <v>196</v>
      </c>
      <c r="L580" s="131">
        <v>25772</v>
      </c>
    </row>
    <row r="581" spans="1:12" ht="14.7" thickBot="1" x14ac:dyDescent="0.6">
      <c r="A581" s="136">
        <v>44480</v>
      </c>
      <c r="B581" s="129"/>
      <c r="C581" s="129"/>
      <c r="D581" s="129"/>
      <c r="E581" s="129"/>
      <c r="F581" s="129"/>
      <c r="G581" s="129"/>
      <c r="H581" s="139">
        <v>30563</v>
      </c>
      <c r="I581" s="129"/>
      <c r="J581" s="130">
        <v>355015</v>
      </c>
      <c r="K581" s="129">
        <v>188</v>
      </c>
      <c r="L581" s="131">
        <v>33861</v>
      </c>
    </row>
    <row r="582" spans="1:12" ht="14.7" thickBot="1" x14ac:dyDescent="0.6">
      <c r="A582" s="136">
        <v>44481</v>
      </c>
      <c r="B582" s="129"/>
      <c r="C582" s="129"/>
      <c r="D582" s="129"/>
      <c r="E582" s="129"/>
      <c r="F582" s="129"/>
      <c r="G582" s="129"/>
      <c r="H582" s="139">
        <v>33860</v>
      </c>
      <c r="I582" s="129"/>
      <c r="J582" s="130">
        <v>357636</v>
      </c>
      <c r="K582" s="129">
        <v>237</v>
      </c>
      <c r="L582" s="131">
        <v>30110</v>
      </c>
    </row>
    <row r="583" spans="1:12" ht="14.7" thickBot="1" x14ac:dyDescent="0.6">
      <c r="A583" s="136">
        <v>44482</v>
      </c>
      <c r="B583" s="129"/>
      <c r="C583" s="129"/>
      <c r="D583" s="129"/>
      <c r="E583" s="129"/>
      <c r="F583" s="129"/>
      <c r="G583" s="129"/>
      <c r="H583" s="139">
        <v>31248</v>
      </c>
      <c r="I583" s="129"/>
      <c r="J583" s="130">
        <v>361164</v>
      </c>
      <c r="K583" s="129">
        <v>236</v>
      </c>
      <c r="L583" s="131">
        <v>30331</v>
      </c>
    </row>
    <row r="584" spans="1:12" ht="14.7" thickBot="1" x14ac:dyDescent="0.6">
      <c r="A584" s="136">
        <v>44483</v>
      </c>
      <c r="B584" s="129"/>
      <c r="C584" s="129"/>
      <c r="D584" s="129"/>
      <c r="E584" s="129"/>
      <c r="F584" s="129"/>
      <c r="G584" s="129"/>
      <c r="H584" s="139">
        <v>30709</v>
      </c>
      <c r="I584" s="129"/>
      <c r="J584" s="130">
        <v>362217</v>
      </c>
      <c r="K584" s="129">
        <v>203</v>
      </c>
      <c r="L584" s="131">
        <v>26461</v>
      </c>
    </row>
    <row r="585" spans="1:12" ht="14.7" thickBot="1" x14ac:dyDescent="0.6">
      <c r="A585" s="136">
        <v>44484</v>
      </c>
      <c r="B585" s="129"/>
      <c r="C585" s="129"/>
      <c r="D585" s="129"/>
      <c r="E585" s="129"/>
      <c r="F585" s="129"/>
      <c r="G585" s="129"/>
      <c r="H585" s="139">
        <v>30694</v>
      </c>
      <c r="I585" s="129"/>
      <c r="J585" s="130">
        <v>363536</v>
      </c>
      <c r="K585" s="129">
        <v>181</v>
      </c>
      <c r="L585" s="131">
        <v>25513</v>
      </c>
    </row>
    <row r="586" spans="1:12" ht="14.7" thickBot="1" x14ac:dyDescent="0.6">
      <c r="A586" s="136">
        <v>44485</v>
      </c>
      <c r="B586" s="129"/>
      <c r="C586" s="129"/>
      <c r="D586" s="129"/>
      <c r="E586" s="129"/>
      <c r="F586" s="129"/>
      <c r="G586" s="129"/>
      <c r="H586" s="139">
        <v>28537</v>
      </c>
      <c r="I586" s="129"/>
      <c r="J586" s="130">
        <v>357167</v>
      </c>
      <c r="K586" s="129">
        <v>212</v>
      </c>
      <c r="L586" s="131">
        <v>25611</v>
      </c>
    </row>
    <row r="587" spans="1:12" ht="14.7" thickBot="1" x14ac:dyDescent="0.6">
      <c r="A587" s="136">
        <v>44486</v>
      </c>
      <c r="B587" s="129"/>
      <c r="C587" s="129"/>
      <c r="D587" s="129"/>
      <c r="E587" s="129"/>
      <c r="F587" s="129"/>
      <c r="G587" s="129"/>
      <c r="H587" s="139">
        <v>24114</v>
      </c>
      <c r="I587" s="129"/>
      <c r="J587" s="130">
        <v>341426</v>
      </c>
      <c r="K587" s="129">
        <v>186</v>
      </c>
      <c r="L587" s="131">
        <v>24403</v>
      </c>
    </row>
    <row r="588" spans="1:12" ht="14.7" thickBot="1" x14ac:dyDescent="0.6">
      <c r="A588" s="136">
        <v>44487</v>
      </c>
      <c r="B588" s="129"/>
      <c r="C588" s="129"/>
      <c r="D588" s="129"/>
      <c r="E588" s="129"/>
      <c r="F588" s="129"/>
      <c r="G588" s="129"/>
      <c r="H588" s="139">
        <v>29240</v>
      </c>
      <c r="I588" s="129"/>
      <c r="J588" s="130">
        <v>351165</v>
      </c>
      <c r="K588" s="129">
        <v>214</v>
      </c>
      <c r="L588" s="131">
        <v>26539</v>
      </c>
    </row>
    <row r="589" spans="1:12" ht="14.7" thickBot="1" x14ac:dyDescent="0.6">
      <c r="A589" s="136">
        <v>44488</v>
      </c>
      <c r="B589" s="129"/>
      <c r="C589" s="129"/>
      <c r="D589" s="129"/>
      <c r="E589" s="129"/>
      <c r="F589" s="129"/>
      <c r="G589" s="129"/>
      <c r="H589" s="139">
        <v>30862</v>
      </c>
      <c r="I589" s="129"/>
      <c r="J589" s="130">
        <v>360849</v>
      </c>
      <c r="K589" s="129">
        <v>223</v>
      </c>
      <c r="L589" s="131">
        <v>27352</v>
      </c>
    </row>
    <row r="590" spans="1:12" ht="14.7" thickBot="1" x14ac:dyDescent="0.6">
      <c r="A590" s="136">
        <v>44489</v>
      </c>
      <c r="B590" s="129"/>
      <c r="C590" s="129"/>
      <c r="D590" s="129"/>
      <c r="E590" s="129"/>
      <c r="F590" s="129"/>
      <c r="G590" s="129"/>
      <c r="H590" s="139">
        <v>29760</v>
      </c>
      <c r="I590" s="129"/>
      <c r="J590" s="130">
        <v>361350</v>
      </c>
      <c r="K590" s="129">
        <v>214</v>
      </c>
      <c r="L590" s="131">
        <v>28803</v>
      </c>
    </row>
    <row r="591" spans="1:12" ht="14.7" thickBot="1" x14ac:dyDescent="0.6">
      <c r="A591" s="136">
        <v>44490</v>
      </c>
      <c r="B591" s="129"/>
      <c r="C591" s="129"/>
      <c r="D591" s="129"/>
      <c r="E591" s="129"/>
      <c r="F591" s="129"/>
      <c r="G591" s="129"/>
      <c r="H591" s="139">
        <v>28465</v>
      </c>
      <c r="I591" s="129"/>
      <c r="J591" s="130">
        <v>362213</v>
      </c>
      <c r="K591" s="129">
        <v>198</v>
      </c>
      <c r="L591" s="131">
        <v>29160</v>
      </c>
    </row>
    <row r="592" spans="1:12" ht="14.7" thickBot="1" x14ac:dyDescent="0.6">
      <c r="A592" s="136">
        <v>44491</v>
      </c>
      <c r="B592" s="129"/>
      <c r="C592" s="129"/>
      <c r="D592" s="129"/>
      <c r="E592" s="129"/>
      <c r="F592" s="129"/>
      <c r="G592" s="129"/>
      <c r="H592" s="139">
        <v>28192</v>
      </c>
      <c r="I592" s="129"/>
      <c r="J592" s="130">
        <v>363553</v>
      </c>
      <c r="K592" s="129">
        <v>228</v>
      </c>
      <c r="L592" s="131">
        <v>30302</v>
      </c>
    </row>
    <row r="593" spans="1:12" ht="14.7" thickBot="1" x14ac:dyDescent="0.6">
      <c r="A593" s="136">
        <v>44492</v>
      </c>
      <c r="B593" s="129"/>
      <c r="C593" s="129"/>
      <c r="D593" s="129"/>
      <c r="E593" s="129"/>
      <c r="F593" s="129"/>
      <c r="G593" s="129"/>
      <c r="H593" s="139">
        <v>26217</v>
      </c>
      <c r="I593" s="129"/>
      <c r="J593" s="130">
        <v>351184</v>
      </c>
      <c r="K593" s="129">
        <v>217</v>
      </c>
      <c r="L593" s="131">
        <v>27663</v>
      </c>
    </row>
    <row r="594" spans="1:12" ht="14.7" thickBot="1" x14ac:dyDescent="0.6">
      <c r="A594" s="136">
        <v>44493</v>
      </c>
      <c r="B594" s="129"/>
      <c r="C594" s="129"/>
      <c r="D594" s="129"/>
      <c r="E594" s="129"/>
      <c r="F594" s="129"/>
      <c r="G594" s="129"/>
      <c r="H594" s="139">
        <v>24792</v>
      </c>
      <c r="I594" s="129"/>
      <c r="J594" s="130">
        <v>338536</v>
      </c>
      <c r="K594" s="129">
        <v>195</v>
      </c>
      <c r="L594" s="131">
        <v>24403</v>
      </c>
    </row>
    <row r="595" spans="1:12" ht="14.7" thickBot="1" x14ac:dyDescent="0.6">
      <c r="A595" s="136">
        <v>44494</v>
      </c>
      <c r="B595" s="129"/>
      <c r="C595" s="129"/>
      <c r="D595" s="129"/>
      <c r="E595" s="129"/>
      <c r="F595" s="129"/>
      <c r="G595" s="129"/>
      <c r="H595" s="139">
        <v>27663</v>
      </c>
      <c r="I595" s="129"/>
      <c r="J595" s="130">
        <v>351152</v>
      </c>
      <c r="K595" s="129">
        <v>232</v>
      </c>
      <c r="L595" s="131">
        <v>30824</v>
      </c>
    </row>
    <row r="596" spans="1:12" ht="14.7" thickBot="1" x14ac:dyDescent="0.6">
      <c r="A596" s="136">
        <v>44495</v>
      </c>
      <c r="B596" s="129"/>
      <c r="C596" s="129"/>
      <c r="D596" s="129"/>
      <c r="E596" s="129"/>
      <c r="F596" s="129"/>
      <c r="G596" s="129"/>
      <c r="H596" s="139">
        <v>29643</v>
      </c>
      <c r="I596" s="129"/>
      <c r="J596" s="130">
        <v>356636</v>
      </c>
      <c r="K596" s="129">
        <v>215</v>
      </c>
      <c r="L596" s="131">
        <v>31467</v>
      </c>
    </row>
    <row r="597" spans="1:12" ht="14.7" thickBot="1" x14ac:dyDescent="0.6">
      <c r="A597" s="136">
        <v>44496</v>
      </c>
      <c r="B597" s="129"/>
      <c r="C597" s="129"/>
      <c r="D597" s="129"/>
      <c r="E597" s="129"/>
      <c r="F597" s="129"/>
      <c r="G597" s="129"/>
      <c r="H597" s="139">
        <v>26896</v>
      </c>
      <c r="I597" s="129"/>
      <c r="J597" s="130">
        <v>355947</v>
      </c>
      <c r="K597" s="129">
        <v>210</v>
      </c>
      <c r="L597" s="131">
        <v>30542</v>
      </c>
    </row>
    <row r="598" spans="1:12" ht="14.7" thickBot="1" x14ac:dyDescent="0.6">
      <c r="A598" s="136">
        <v>44497</v>
      </c>
      <c r="B598" s="129"/>
      <c r="C598" s="129"/>
      <c r="D598" s="129"/>
      <c r="E598" s="129"/>
      <c r="F598" s="129"/>
      <c r="G598" s="129"/>
      <c r="H598" s="139">
        <v>25528</v>
      </c>
      <c r="I598" s="129"/>
      <c r="J598" s="130">
        <v>354580</v>
      </c>
      <c r="K598" s="129">
        <v>229</v>
      </c>
      <c r="L598" s="131">
        <v>27651</v>
      </c>
    </row>
    <row r="599" spans="1:12" ht="14.7" thickBot="1" x14ac:dyDescent="0.6">
      <c r="A599" s="136">
        <v>44498</v>
      </c>
      <c r="B599" s="129"/>
      <c r="C599" s="129"/>
      <c r="D599" s="129"/>
      <c r="E599" s="129"/>
      <c r="F599" s="129"/>
      <c r="G599" s="129"/>
      <c r="H599" s="139">
        <v>24409</v>
      </c>
      <c r="I599" s="129"/>
      <c r="J599" s="130">
        <v>351373</v>
      </c>
      <c r="K599" s="129">
        <v>209</v>
      </c>
      <c r="L599" s="131">
        <v>30846</v>
      </c>
    </row>
    <row r="600" spans="1:12" ht="14.7" thickBot="1" x14ac:dyDescent="0.6">
      <c r="A600" s="136">
        <v>44499</v>
      </c>
      <c r="B600" s="129"/>
      <c r="C600" s="129"/>
      <c r="D600" s="129"/>
      <c r="E600" s="129"/>
      <c r="F600" s="129"/>
      <c r="G600" s="129"/>
      <c r="H600" s="139">
        <v>23096</v>
      </c>
      <c r="I600" s="129"/>
      <c r="J600" s="130">
        <v>344163</v>
      </c>
      <c r="K600" s="129">
        <v>203</v>
      </c>
      <c r="L600" s="131">
        <v>28632</v>
      </c>
    </row>
    <row r="601" spans="1:12" ht="14.7" thickBot="1" x14ac:dyDescent="0.6">
      <c r="A601" s="136">
        <v>44500</v>
      </c>
      <c r="B601" s="129"/>
      <c r="C601" s="129"/>
      <c r="D601" s="129"/>
      <c r="E601" s="129"/>
      <c r="F601" s="129"/>
      <c r="G601" s="129"/>
      <c r="H601" s="139">
        <v>23948</v>
      </c>
      <c r="I601" s="129"/>
      <c r="J601" s="130">
        <v>347362</v>
      </c>
      <c r="K601" s="129">
        <v>201</v>
      </c>
      <c r="L601" s="131">
        <v>26175</v>
      </c>
    </row>
    <row r="602" spans="1:12" ht="14.7" thickBot="1" x14ac:dyDescent="0.6">
      <c r="A602" s="136">
        <v>44501</v>
      </c>
      <c r="B602" s="129"/>
      <c r="C602" s="129"/>
      <c r="D602" s="129"/>
      <c r="E602" s="129"/>
      <c r="F602" s="129"/>
      <c r="G602" s="129"/>
      <c r="H602" s="139">
        <v>28678</v>
      </c>
      <c r="I602" s="129"/>
      <c r="J602" s="130">
        <v>356643</v>
      </c>
      <c r="K602" s="129">
        <v>217</v>
      </c>
      <c r="L602" s="131">
        <v>29296</v>
      </c>
    </row>
    <row r="603" spans="1:12" ht="14.7" thickBot="1" x14ac:dyDescent="0.6">
      <c r="A603" s="136">
        <v>44502</v>
      </c>
      <c r="B603" s="129"/>
      <c r="C603" s="129"/>
      <c r="D603" s="129"/>
      <c r="E603" s="129"/>
      <c r="F603" s="129"/>
      <c r="G603" s="129"/>
      <c r="H603" s="139">
        <v>29796</v>
      </c>
      <c r="I603" s="129"/>
      <c r="J603" s="130">
        <v>361533</v>
      </c>
      <c r="K603" s="129">
        <v>224</v>
      </c>
      <c r="L603" s="131">
        <v>29837</v>
      </c>
    </row>
    <row r="604" spans="1:12" ht="14.7" thickBot="1" x14ac:dyDescent="0.6">
      <c r="A604" s="136">
        <v>44503</v>
      </c>
      <c r="B604" s="129"/>
      <c r="C604" s="129"/>
      <c r="D604" s="129"/>
      <c r="E604" s="129"/>
      <c r="F604" s="129"/>
      <c r="G604" s="129"/>
      <c r="H604" s="139">
        <v>29764</v>
      </c>
      <c r="I604" s="129"/>
      <c r="J604" s="130">
        <v>363238</v>
      </c>
      <c r="K604" s="129">
        <v>246</v>
      </c>
      <c r="L604" s="131">
        <v>33366</v>
      </c>
    </row>
    <row r="605" spans="1:12" ht="14.7" thickBot="1" x14ac:dyDescent="0.6">
      <c r="A605" s="136">
        <v>44504</v>
      </c>
      <c r="B605" s="129"/>
      <c r="C605" s="129"/>
      <c r="D605" s="129"/>
      <c r="E605" s="129"/>
      <c r="F605" s="129"/>
      <c r="G605" s="129"/>
      <c r="H605" s="139">
        <v>29482</v>
      </c>
      <c r="I605" s="129"/>
      <c r="J605" s="130">
        <v>362832</v>
      </c>
      <c r="K605" s="129">
        <v>228</v>
      </c>
      <c r="L605" s="131">
        <v>34743</v>
      </c>
    </row>
    <row r="606" spans="1:12" ht="14.7" thickBot="1" x14ac:dyDescent="0.6">
      <c r="A606" s="136">
        <v>44505</v>
      </c>
      <c r="B606" s="129"/>
      <c r="C606" s="129"/>
      <c r="D606" s="129"/>
      <c r="E606" s="129"/>
      <c r="F606" s="129"/>
      <c r="G606" s="129"/>
      <c r="H606" s="139">
        <v>28193</v>
      </c>
      <c r="I606" s="129"/>
      <c r="J606" s="130">
        <v>361422</v>
      </c>
      <c r="K606" s="129">
        <v>198</v>
      </c>
      <c r="L606" s="131">
        <v>32201</v>
      </c>
    </row>
    <row r="607" spans="1:12" ht="14.7" thickBot="1" x14ac:dyDescent="0.6">
      <c r="A607" s="136">
        <v>44506</v>
      </c>
      <c r="B607" s="129"/>
      <c r="C607" s="129"/>
      <c r="D607" s="129"/>
      <c r="E607" s="129"/>
      <c r="F607" s="129"/>
      <c r="G607" s="129"/>
      <c r="H607" s="139">
        <v>27474</v>
      </c>
      <c r="I607" s="129"/>
      <c r="J607" s="130">
        <v>358326</v>
      </c>
      <c r="K607" s="129">
        <v>203</v>
      </c>
      <c r="L607" s="131">
        <v>30584</v>
      </c>
    </row>
    <row r="608" spans="1:12" ht="14.7" thickBot="1" x14ac:dyDescent="0.6">
      <c r="A608" s="136">
        <v>44507</v>
      </c>
      <c r="B608" s="129"/>
      <c r="C608" s="129"/>
      <c r="D608" s="129"/>
      <c r="E608" s="129"/>
      <c r="F608" s="129"/>
      <c r="G608" s="129"/>
      <c r="H608" s="139">
        <v>25304</v>
      </c>
      <c r="I608" s="129"/>
      <c r="J608" s="130">
        <v>347783</v>
      </c>
      <c r="K608" s="129">
        <v>200</v>
      </c>
      <c r="L608" s="131">
        <v>28852</v>
      </c>
    </row>
    <row r="609" spans="1:12" ht="14.7" thickBot="1" x14ac:dyDescent="0.6">
      <c r="A609" s="136">
        <v>44508</v>
      </c>
      <c r="B609" s="129"/>
      <c r="C609" s="129"/>
      <c r="D609" s="129"/>
      <c r="E609" s="129"/>
      <c r="F609" s="129"/>
      <c r="G609" s="129"/>
      <c r="H609" s="139">
        <v>27824</v>
      </c>
      <c r="I609" s="129"/>
      <c r="J609" s="130">
        <v>357832</v>
      </c>
      <c r="K609" s="129">
        <v>187</v>
      </c>
      <c r="L609" s="131">
        <v>28255</v>
      </c>
    </row>
    <row r="610" spans="1:12" ht="14.7" thickBot="1" x14ac:dyDescent="0.6">
      <c r="A610" s="136">
        <v>44509</v>
      </c>
      <c r="B610" s="129"/>
      <c r="C610" s="129"/>
      <c r="D610" s="129"/>
      <c r="E610" s="129"/>
      <c r="F610" s="129"/>
      <c r="G610" s="129"/>
      <c r="H610" s="139">
        <v>28662</v>
      </c>
      <c r="I610" s="129"/>
      <c r="J610" s="130">
        <v>359560</v>
      </c>
      <c r="K610" s="129">
        <v>196</v>
      </c>
      <c r="L610" s="131">
        <v>28859</v>
      </c>
    </row>
    <row r="611" spans="1:12" ht="14.7" thickBot="1" x14ac:dyDescent="0.6">
      <c r="A611" s="136">
        <v>44510</v>
      </c>
      <c r="B611" s="129"/>
      <c r="C611" s="129"/>
      <c r="D611" s="129"/>
      <c r="E611" s="129"/>
      <c r="F611" s="129"/>
      <c r="G611" s="129"/>
      <c r="H611" s="139">
        <v>27259</v>
      </c>
      <c r="I611" s="129"/>
      <c r="J611" s="130">
        <v>358251</v>
      </c>
      <c r="K611" s="129">
        <v>203</v>
      </c>
      <c r="L611" s="131">
        <v>27513</v>
      </c>
    </row>
    <row r="612" spans="1:12" ht="14.7" thickBot="1" x14ac:dyDescent="0.6">
      <c r="A612" s="136">
        <v>44511</v>
      </c>
      <c r="B612" s="129"/>
      <c r="C612" s="129"/>
      <c r="D612" s="129"/>
      <c r="E612" s="129"/>
      <c r="F612" s="129"/>
      <c r="G612" s="129"/>
      <c r="H612" s="139">
        <v>24898</v>
      </c>
      <c r="I612" s="129"/>
      <c r="J612" s="130">
        <v>356004</v>
      </c>
      <c r="K612" s="129">
        <v>197</v>
      </c>
      <c r="L612" s="131">
        <v>24360</v>
      </c>
    </row>
    <row r="613" spans="1:12" ht="14.7" thickBot="1" x14ac:dyDescent="0.6">
      <c r="A613" s="136">
        <v>44512</v>
      </c>
      <c r="B613" s="129"/>
      <c r="C613" s="129"/>
      <c r="D613" s="129"/>
      <c r="E613" s="129"/>
      <c r="F613" s="129"/>
      <c r="G613" s="129"/>
      <c r="H613" s="139">
        <v>23637</v>
      </c>
      <c r="I613" s="129"/>
      <c r="J613" s="130">
        <v>354287</v>
      </c>
      <c r="K613" s="129">
        <v>217</v>
      </c>
      <c r="L613" s="131">
        <v>25164</v>
      </c>
    </row>
    <row r="614" spans="1:12" ht="14.7" thickBot="1" x14ac:dyDescent="0.6">
      <c r="A614" s="136">
        <v>44513</v>
      </c>
      <c r="B614" s="129"/>
      <c r="C614" s="129"/>
      <c r="D614" s="129"/>
      <c r="E614" s="129"/>
      <c r="F614" s="129"/>
      <c r="G614" s="129"/>
      <c r="H614" s="139">
        <v>22583</v>
      </c>
      <c r="I614" s="129"/>
      <c r="J614" s="130">
        <v>347426</v>
      </c>
      <c r="K614" s="129">
        <v>215</v>
      </c>
      <c r="L614" s="131">
        <v>25254</v>
      </c>
    </row>
    <row r="615" spans="1:12" ht="14.7" thickBot="1" x14ac:dyDescent="0.6">
      <c r="A615" s="136">
        <v>44514</v>
      </c>
      <c r="B615" s="129"/>
      <c r="C615" s="129"/>
      <c r="D615" s="129"/>
      <c r="E615" s="129"/>
      <c r="F615" s="129"/>
      <c r="G615" s="129"/>
      <c r="H615" s="139">
        <v>21624</v>
      </c>
      <c r="I615" s="129"/>
      <c r="J615" s="130">
        <v>346642</v>
      </c>
      <c r="K615" s="129">
        <v>189</v>
      </c>
      <c r="L615" s="131">
        <v>20550</v>
      </c>
    </row>
    <row r="616" spans="1:12" ht="14.7" thickBot="1" x14ac:dyDescent="0.6">
      <c r="A616" s="136">
        <v>44515</v>
      </c>
      <c r="B616" s="129"/>
      <c r="C616" s="129"/>
      <c r="D616" s="129"/>
      <c r="E616" s="129"/>
      <c r="F616" s="129"/>
      <c r="G616" s="129"/>
      <c r="H616" s="139">
        <v>23852</v>
      </c>
      <c r="I616" s="129"/>
      <c r="J616" s="130">
        <v>350933</v>
      </c>
      <c r="K616" s="129">
        <v>215</v>
      </c>
      <c r="L616" s="131">
        <v>25258</v>
      </c>
    </row>
    <row r="617" spans="1:12" ht="14.7" thickBot="1" x14ac:dyDescent="0.6">
      <c r="A617" s="136">
        <v>44516</v>
      </c>
      <c r="B617" s="129"/>
      <c r="C617" s="129"/>
      <c r="D617" s="129"/>
      <c r="E617" s="129"/>
      <c r="F617" s="129"/>
      <c r="G617" s="129"/>
      <c r="H617" s="139">
        <v>25101</v>
      </c>
      <c r="I617" s="129"/>
      <c r="J617" s="130">
        <v>356514</v>
      </c>
      <c r="K617" s="129">
        <v>227</v>
      </c>
      <c r="L617" s="131">
        <v>27447</v>
      </c>
    </row>
    <row r="618" spans="1:12" ht="14.7" thickBot="1" x14ac:dyDescent="0.6">
      <c r="A618" s="136">
        <v>44517</v>
      </c>
      <c r="B618" s="129"/>
      <c r="C618" s="129"/>
      <c r="D618" s="129"/>
      <c r="E618" s="129"/>
      <c r="F618" s="129"/>
      <c r="G618" s="129"/>
      <c r="H618" s="139">
        <v>23867</v>
      </c>
      <c r="I618" s="129"/>
      <c r="J618" s="130">
        <v>358784</v>
      </c>
      <c r="K618" s="129">
        <v>229</v>
      </c>
      <c r="L618" s="131">
        <v>28543</v>
      </c>
    </row>
    <row r="619" spans="1:12" ht="14.7" thickBot="1" x14ac:dyDescent="0.6">
      <c r="A619" s="136">
        <v>44518</v>
      </c>
      <c r="B619" s="129"/>
      <c r="C619" s="129"/>
      <c r="D619" s="129"/>
      <c r="E619" s="129"/>
      <c r="F619" s="129"/>
      <c r="G619" s="129"/>
      <c r="H619" s="139">
        <v>22234</v>
      </c>
      <c r="I619" s="129"/>
      <c r="J619" s="130">
        <v>357223</v>
      </c>
      <c r="K619" s="129">
        <v>226</v>
      </c>
      <c r="L619" s="131">
        <v>29538</v>
      </c>
    </row>
    <row r="620" spans="1:12" ht="14.7" thickBot="1" x14ac:dyDescent="0.6">
      <c r="A620" s="136">
        <v>44519</v>
      </c>
      <c r="B620" s="129"/>
      <c r="C620" s="129"/>
      <c r="D620" s="129"/>
      <c r="E620" s="129"/>
      <c r="F620" s="129"/>
      <c r="G620" s="129"/>
      <c r="H620" s="139">
        <v>23810</v>
      </c>
      <c r="I620" s="129"/>
      <c r="J620" s="130">
        <v>356563</v>
      </c>
      <c r="K620" s="129">
        <v>218</v>
      </c>
      <c r="L620" s="131">
        <v>28749</v>
      </c>
    </row>
    <row r="621" spans="1:12" ht="14.7" thickBot="1" x14ac:dyDescent="0.6">
      <c r="A621" s="136">
        <v>44520</v>
      </c>
      <c r="B621" s="129"/>
      <c r="C621" s="129"/>
      <c r="D621" s="129"/>
      <c r="E621" s="129"/>
      <c r="F621" s="129"/>
      <c r="G621" s="129"/>
      <c r="H621" s="139">
        <v>23347</v>
      </c>
      <c r="I621" s="129"/>
      <c r="J621" s="130">
        <v>352335</v>
      </c>
      <c r="K621" s="129">
        <v>201</v>
      </c>
      <c r="L621" s="131">
        <v>29163</v>
      </c>
    </row>
    <row r="622" spans="1:12" ht="14.7" thickBot="1" x14ac:dyDescent="0.6">
      <c r="A622" s="136">
        <v>44521</v>
      </c>
      <c r="B622" s="129"/>
      <c r="C622" s="129"/>
      <c r="D622" s="129"/>
      <c r="E622" s="129"/>
      <c r="F622" s="129"/>
      <c r="G622" s="129"/>
      <c r="H622" s="139">
        <v>21177</v>
      </c>
      <c r="I622" s="129"/>
      <c r="J622" s="130">
        <v>350163</v>
      </c>
      <c r="K622" s="129">
        <v>195</v>
      </c>
      <c r="L622" s="131">
        <v>34290</v>
      </c>
    </row>
    <row r="623" spans="1:12" ht="14.7" thickBot="1" x14ac:dyDescent="0.6">
      <c r="A623" s="136">
        <v>44522</v>
      </c>
      <c r="B623" s="129"/>
      <c r="C623" s="129"/>
      <c r="D623" s="129"/>
      <c r="E623" s="129"/>
      <c r="F623" s="129"/>
      <c r="G623" s="129"/>
      <c r="H623" s="139">
        <v>24856</v>
      </c>
      <c r="I623" s="129"/>
      <c r="J623" s="130">
        <v>361005</v>
      </c>
      <c r="K623" s="129">
        <v>193</v>
      </c>
      <c r="L623" s="131">
        <v>28935</v>
      </c>
    </row>
    <row r="624" spans="1:12" ht="14.7" thickBot="1" x14ac:dyDescent="0.6">
      <c r="A624" s="136">
        <v>44523</v>
      </c>
      <c r="B624" s="129"/>
      <c r="C624" s="129"/>
      <c r="D624" s="129"/>
      <c r="E624" s="129"/>
      <c r="F624" s="129"/>
      <c r="G624" s="129"/>
      <c r="H624" s="139">
        <v>28170</v>
      </c>
      <c r="I624" s="129"/>
      <c r="J624" s="130">
        <v>365412</v>
      </c>
      <c r="K624" s="129">
        <v>208</v>
      </c>
      <c r="L624" s="131">
        <v>29353</v>
      </c>
    </row>
    <row r="625" spans="1:12" ht="14.7" thickBot="1" x14ac:dyDescent="0.6">
      <c r="A625" s="136">
        <v>44524</v>
      </c>
      <c r="B625" s="129"/>
      <c r="C625" s="129"/>
      <c r="D625" s="129"/>
      <c r="E625" s="129"/>
      <c r="F625" s="129"/>
      <c r="G625" s="129"/>
      <c r="H625" s="139">
        <v>27592</v>
      </c>
      <c r="I625" s="129"/>
      <c r="J625" s="130">
        <v>364351</v>
      </c>
      <c r="K625" s="129">
        <v>175</v>
      </c>
      <c r="L625" s="131">
        <v>28285</v>
      </c>
    </row>
    <row r="626" spans="1:12" ht="14.7" thickBot="1" x14ac:dyDescent="0.6">
      <c r="A626" s="136">
        <v>44525</v>
      </c>
      <c r="B626" s="129"/>
      <c r="C626" s="129"/>
      <c r="D626" s="129"/>
      <c r="E626" s="129"/>
      <c r="F626" s="129"/>
      <c r="G626" s="129"/>
      <c r="H626" s="139">
        <v>24467</v>
      </c>
      <c r="I626" s="129"/>
      <c r="J626" s="130">
        <v>363043</v>
      </c>
      <c r="K626" s="129">
        <v>222</v>
      </c>
      <c r="L626" s="131">
        <v>29639</v>
      </c>
    </row>
    <row r="627" spans="1:12" ht="14.7" thickBot="1" x14ac:dyDescent="0.6">
      <c r="A627" s="136">
        <v>44526</v>
      </c>
      <c r="B627" s="129"/>
      <c r="C627" s="129"/>
      <c r="D627" s="129"/>
      <c r="E627" s="129"/>
      <c r="F627" s="129"/>
      <c r="G627" s="129"/>
      <c r="H627" s="139">
        <v>24002</v>
      </c>
      <c r="I627" s="129"/>
      <c r="J627" s="130">
        <v>361229</v>
      </c>
      <c r="K627" s="129">
        <v>201</v>
      </c>
      <c r="L627" s="131">
        <v>25341</v>
      </c>
    </row>
    <row r="628" spans="1:12" ht="14.7" thickBot="1" x14ac:dyDescent="0.6">
      <c r="A628" s="136">
        <v>44527</v>
      </c>
      <c r="B628" s="129"/>
      <c r="C628" s="129"/>
      <c r="D628" s="129"/>
      <c r="E628" s="129"/>
      <c r="F628" s="129"/>
      <c r="G628" s="129"/>
      <c r="H628" s="139">
        <v>23759</v>
      </c>
      <c r="I628" s="129"/>
      <c r="J628" s="130">
        <v>358274</v>
      </c>
      <c r="K628" s="129">
        <v>192</v>
      </c>
      <c r="L628" s="131">
        <v>25103</v>
      </c>
    </row>
    <row r="629" spans="1:12" ht="14.7" thickBot="1" x14ac:dyDescent="0.6">
      <c r="A629" s="136">
        <v>44528</v>
      </c>
      <c r="B629" s="129"/>
      <c r="C629" s="129"/>
      <c r="D629" s="129"/>
      <c r="E629" s="129"/>
      <c r="F629" s="129"/>
      <c r="G629" s="129"/>
      <c r="H629" s="139">
        <v>21655</v>
      </c>
      <c r="I629" s="129"/>
      <c r="J629" s="130">
        <v>350385</v>
      </c>
      <c r="K629" s="129">
        <v>213</v>
      </c>
      <c r="L629" s="131">
        <v>20007</v>
      </c>
    </row>
    <row r="630" spans="1:12" ht="14.7" thickBot="1" x14ac:dyDescent="0.6">
      <c r="A630" s="136">
        <v>44529</v>
      </c>
      <c r="B630" s="129"/>
      <c r="C630" s="129"/>
      <c r="D630" s="129"/>
      <c r="E630" s="129"/>
      <c r="F630" s="129"/>
      <c r="G630" s="129"/>
      <c r="H630" s="139">
        <v>24317</v>
      </c>
      <c r="I630" s="129"/>
      <c r="J630" s="130">
        <v>358816</v>
      </c>
      <c r="K630" s="129">
        <v>189</v>
      </c>
      <c r="L630" s="131">
        <v>23273</v>
      </c>
    </row>
    <row r="631" spans="1:12" ht="14.7" thickBot="1" x14ac:dyDescent="0.6">
      <c r="A631" s="136">
        <v>44530</v>
      </c>
      <c r="B631" s="129"/>
      <c r="C631" s="129"/>
      <c r="D631" s="129"/>
      <c r="E631" s="129"/>
      <c r="F631" s="129"/>
      <c r="G631" s="129"/>
      <c r="H631" s="139">
        <v>25216</v>
      </c>
      <c r="I631" s="129"/>
      <c r="J631" s="130">
        <v>359420</v>
      </c>
      <c r="K631" s="129">
        <v>207</v>
      </c>
      <c r="L631" s="131">
        <v>24498</v>
      </c>
    </row>
    <row r="632" spans="1:12" ht="14.7" thickBot="1" x14ac:dyDescent="0.6">
      <c r="A632" s="136">
        <v>44531</v>
      </c>
      <c r="B632" s="129"/>
      <c r="C632" s="129"/>
      <c r="D632" s="129"/>
      <c r="E632" s="129"/>
      <c r="F632" s="129"/>
      <c r="G632" s="129"/>
      <c r="H632" s="139">
        <v>22556</v>
      </c>
      <c r="I632" s="129"/>
      <c r="J632" s="130">
        <v>355252</v>
      </c>
      <c r="K632" s="129">
        <v>196</v>
      </c>
      <c r="L632" s="131">
        <v>24113</v>
      </c>
    </row>
    <row r="633" spans="1:12" ht="14.7" thickBot="1" x14ac:dyDescent="0.6">
      <c r="A633" s="136">
        <v>44532</v>
      </c>
      <c r="B633" s="129"/>
      <c r="C633" s="129"/>
      <c r="D633" s="129"/>
      <c r="E633" s="129"/>
      <c r="F633" s="129"/>
      <c r="G633" s="129"/>
      <c r="H633" s="139">
        <v>21747</v>
      </c>
      <c r="I633" s="129"/>
      <c r="J633" s="130">
        <v>354385</v>
      </c>
      <c r="K633" s="129">
        <v>192</v>
      </c>
      <c r="L633" s="131">
        <v>22284</v>
      </c>
    </row>
    <row r="634" spans="1:12" ht="14.7" thickBot="1" x14ac:dyDescent="0.6">
      <c r="A634" s="136">
        <v>44533</v>
      </c>
      <c r="B634" s="129"/>
      <c r="C634" s="129"/>
      <c r="D634" s="129"/>
      <c r="E634" s="129"/>
      <c r="F634" s="129"/>
      <c r="G634" s="129"/>
      <c r="H634" s="139">
        <v>21495</v>
      </c>
      <c r="I634" s="129"/>
      <c r="J634" s="130">
        <v>355226</v>
      </c>
      <c r="K634" s="129">
        <v>187</v>
      </c>
      <c r="L634" s="131">
        <v>20193</v>
      </c>
    </row>
    <row r="635" spans="1:12" ht="14.7" thickBot="1" x14ac:dyDescent="0.6">
      <c r="A635" s="136">
        <v>44534</v>
      </c>
      <c r="B635" s="129"/>
      <c r="C635" s="129"/>
      <c r="D635" s="129"/>
      <c r="E635" s="129"/>
      <c r="F635" s="129"/>
      <c r="G635" s="129"/>
      <c r="H635" s="139">
        <v>20374</v>
      </c>
      <c r="I635" s="129"/>
      <c r="J635" s="130">
        <v>353035</v>
      </c>
      <c r="K635" s="129">
        <v>228</v>
      </c>
      <c r="L635" s="131">
        <v>19463</v>
      </c>
    </row>
    <row r="636" spans="1:12" ht="14.7" thickBot="1" x14ac:dyDescent="0.6">
      <c r="A636" s="136">
        <v>44535</v>
      </c>
      <c r="B636" s="129"/>
      <c r="C636" s="129"/>
      <c r="D636" s="129"/>
      <c r="E636" s="129"/>
      <c r="F636" s="129"/>
      <c r="G636" s="129"/>
      <c r="H636" s="139">
        <v>19357</v>
      </c>
      <c r="I636" s="129"/>
      <c r="J636" s="130">
        <v>350937</v>
      </c>
      <c r="K636" s="129">
        <v>185</v>
      </c>
      <c r="L636" s="131">
        <v>24278</v>
      </c>
    </row>
    <row r="637" spans="1:12" ht="14.7" thickBot="1" x14ac:dyDescent="0.6">
      <c r="A637" s="136">
        <v>44536</v>
      </c>
      <c r="B637" s="129"/>
      <c r="C637" s="129"/>
      <c r="D637" s="129"/>
      <c r="E637" s="129"/>
      <c r="F637" s="129"/>
      <c r="G637" s="129"/>
      <c r="H637" s="139">
        <v>20033</v>
      </c>
      <c r="I637" s="129"/>
      <c r="J637" s="130">
        <v>354269</v>
      </c>
      <c r="K637" s="129">
        <v>187</v>
      </c>
      <c r="L637" s="131">
        <v>25611</v>
      </c>
    </row>
    <row r="638" spans="1:12" ht="14.7" thickBot="1" x14ac:dyDescent="0.6">
      <c r="A638" s="136">
        <v>44537</v>
      </c>
      <c r="B638" s="129"/>
      <c r="C638" s="129"/>
      <c r="D638" s="129"/>
      <c r="E638" s="129"/>
      <c r="F638" s="129"/>
      <c r="G638" s="129"/>
      <c r="H638" s="139">
        <v>22687</v>
      </c>
      <c r="I638" s="129"/>
      <c r="J638" s="130">
        <v>355317</v>
      </c>
      <c r="K638" s="129">
        <v>198</v>
      </c>
      <c r="L638" s="131">
        <v>24366</v>
      </c>
    </row>
    <row r="639" spans="1:12" ht="14.7" thickBot="1" x14ac:dyDescent="0.6">
      <c r="A639" s="136">
        <v>44538</v>
      </c>
      <c r="B639" s="129"/>
      <c r="C639" s="129"/>
      <c r="D639" s="129"/>
      <c r="E639" s="129"/>
      <c r="F639" s="129"/>
      <c r="G639" s="129"/>
      <c r="H639" s="139">
        <v>20874</v>
      </c>
      <c r="I639" s="129"/>
      <c r="J639" s="130">
        <v>356254</v>
      </c>
      <c r="K639" s="129">
        <v>192</v>
      </c>
      <c r="L639" s="131">
        <v>29883</v>
      </c>
    </row>
    <row r="640" spans="1:12" ht="14.7" thickBot="1" x14ac:dyDescent="0.6">
      <c r="A640" s="136">
        <v>44539</v>
      </c>
      <c r="B640" s="129"/>
      <c r="C640" s="129"/>
      <c r="D640" s="129"/>
      <c r="E640" s="129"/>
      <c r="F640" s="129"/>
      <c r="G640" s="129"/>
      <c r="H640" s="139">
        <v>19696</v>
      </c>
      <c r="I640" s="129"/>
      <c r="J640" s="130">
        <v>350522</v>
      </c>
      <c r="K640" s="129">
        <v>195</v>
      </c>
      <c r="L640" s="131">
        <v>27263</v>
      </c>
    </row>
    <row r="641" spans="1:12" ht="14.7" thickBot="1" x14ac:dyDescent="0.6">
      <c r="A641" s="136">
        <v>44540</v>
      </c>
      <c r="B641" s="129"/>
      <c r="C641" s="129"/>
      <c r="D641" s="129"/>
      <c r="E641" s="129"/>
      <c r="F641" s="129"/>
      <c r="G641" s="129"/>
      <c r="H641" s="139">
        <v>18561</v>
      </c>
      <c r="I641" s="129"/>
      <c r="J641" s="130">
        <v>347232</v>
      </c>
      <c r="K641" s="129">
        <v>176</v>
      </c>
      <c r="L641" s="131">
        <v>25129</v>
      </c>
    </row>
    <row r="642" spans="1:12" ht="14.7" thickBot="1" x14ac:dyDescent="0.6">
      <c r="A642" s="136">
        <v>44541</v>
      </c>
      <c r="B642" s="129"/>
      <c r="C642" s="129"/>
      <c r="D642" s="129"/>
      <c r="E642" s="129"/>
      <c r="F642" s="129"/>
      <c r="G642" s="129"/>
      <c r="H642" s="139">
        <v>19255</v>
      </c>
      <c r="I642" s="129"/>
      <c r="J642" s="130">
        <v>349221</v>
      </c>
      <c r="K642" s="129">
        <v>191</v>
      </c>
      <c r="L642" s="131">
        <v>23180</v>
      </c>
    </row>
    <row r="643" spans="1:12" ht="14.7" thickBot="1" x14ac:dyDescent="0.6">
      <c r="A643" s="136">
        <v>44542</v>
      </c>
      <c r="B643" s="129"/>
      <c r="C643" s="129"/>
      <c r="D643" s="129"/>
      <c r="E643" s="129"/>
      <c r="F643" s="129"/>
      <c r="G643" s="129"/>
      <c r="H643" s="139">
        <v>17956</v>
      </c>
      <c r="I643" s="129"/>
      <c r="J643" s="130">
        <v>345754</v>
      </c>
      <c r="K643" s="129">
        <v>182</v>
      </c>
      <c r="L643" s="131">
        <v>22648</v>
      </c>
    </row>
    <row r="644" spans="1:12" ht="14.7" thickBot="1" x14ac:dyDescent="0.6">
      <c r="A644" s="136">
        <v>44543</v>
      </c>
      <c r="B644" s="129"/>
      <c r="C644" s="129"/>
      <c r="D644" s="129"/>
      <c r="E644" s="129"/>
      <c r="F644" s="129"/>
      <c r="G644" s="129"/>
      <c r="H644" s="139">
        <v>18796</v>
      </c>
      <c r="I644" s="129"/>
      <c r="J644" s="130">
        <v>351536</v>
      </c>
      <c r="K644" s="129">
        <v>171</v>
      </c>
      <c r="L644" s="131">
        <v>23242</v>
      </c>
    </row>
    <row r="645" spans="1:12" ht="14.7" thickBot="1" x14ac:dyDescent="0.6">
      <c r="A645" s="136">
        <v>44544</v>
      </c>
      <c r="B645" s="129"/>
      <c r="C645" s="129"/>
      <c r="D645" s="129"/>
      <c r="E645" s="129"/>
      <c r="F645" s="129"/>
      <c r="G645" s="129"/>
      <c r="H645" s="139">
        <v>21477</v>
      </c>
      <c r="I645" s="129"/>
      <c r="J645" s="130">
        <v>358117</v>
      </c>
      <c r="K645" s="129">
        <v>181</v>
      </c>
      <c r="L645" s="131">
        <v>24042</v>
      </c>
    </row>
    <row r="646" spans="1:12" ht="14.7" thickBot="1" x14ac:dyDescent="0.6">
      <c r="A646" s="136">
        <v>44545</v>
      </c>
      <c r="B646" s="129"/>
      <c r="C646" s="129"/>
      <c r="D646" s="129"/>
      <c r="E646" s="129"/>
      <c r="F646" s="129"/>
      <c r="G646" s="129"/>
      <c r="H646" s="139">
        <v>19872</v>
      </c>
      <c r="I646" s="129"/>
      <c r="J646" s="130">
        <v>357325</v>
      </c>
      <c r="K646" s="129">
        <v>193</v>
      </c>
      <c r="L646" s="131">
        <v>25239</v>
      </c>
    </row>
    <row r="647" spans="1:12" ht="14.7" thickBot="1" x14ac:dyDescent="0.6">
      <c r="A647" s="136">
        <v>44546</v>
      </c>
      <c r="B647" s="129"/>
      <c r="C647" s="129"/>
      <c r="D647" s="129"/>
      <c r="E647" s="129"/>
      <c r="F647" s="129"/>
      <c r="G647" s="129"/>
      <c r="H647" s="139">
        <v>18100</v>
      </c>
      <c r="I647" s="129"/>
      <c r="J647" s="130">
        <v>354003</v>
      </c>
      <c r="K647" s="129">
        <v>167</v>
      </c>
      <c r="L647" s="131">
        <v>25664</v>
      </c>
    </row>
    <row r="648" spans="1:12" ht="14.7" thickBot="1" x14ac:dyDescent="0.6">
      <c r="A648" s="136">
        <v>44547</v>
      </c>
      <c r="B648" s="129"/>
      <c r="C648" s="129"/>
      <c r="D648" s="129"/>
      <c r="E648" s="129"/>
      <c r="F648" s="129"/>
      <c r="G648" s="129"/>
      <c r="H648" s="139">
        <v>18141</v>
      </c>
      <c r="I648" s="129"/>
      <c r="J648" s="130">
        <v>354857</v>
      </c>
      <c r="K648" s="129">
        <v>190</v>
      </c>
      <c r="L648" s="131">
        <v>24245</v>
      </c>
    </row>
    <row r="649" spans="1:12" ht="14.7" thickBot="1" x14ac:dyDescent="0.6">
      <c r="A649" s="136">
        <v>44548</v>
      </c>
      <c r="B649" s="129"/>
      <c r="C649" s="129"/>
      <c r="D649" s="129"/>
      <c r="E649" s="129"/>
      <c r="F649" s="129"/>
      <c r="G649" s="129"/>
      <c r="H649" s="139">
        <v>17644</v>
      </c>
      <c r="I649" s="129"/>
      <c r="J649" s="130">
        <v>342183</v>
      </c>
      <c r="K649" s="129">
        <v>191</v>
      </c>
      <c r="L649" s="131">
        <v>25568</v>
      </c>
    </row>
    <row r="650" spans="1:12" ht="14.7" thickBot="1" x14ac:dyDescent="0.6">
      <c r="A650" s="136">
        <v>44549</v>
      </c>
      <c r="B650" s="129"/>
      <c r="C650" s="129"/>
      <c r="D650" s="129"/>
      <c r="E650" s="129"/>
      <c r="F650" s="129"/>
      <c r="G650" s="129"/>
      <c r="H650" s="139">
        <v>16910</v>
      </c>
      <c r="I650" s="129"/>
      <c r="J650" s="130">
        <v>349193</v>
      </c>
      <c r="K650" s="129">
        <v>171</v>
      </c>
      <c r="L650" s="131">
        <v>22858</v>
      </c>
    </row>
    <row r="651" spans="1:12" ht="14.7" thickBot="1" x14ac:dyDescent="0.6">
      <c r="A651" s="136">
        <v>44550</v>
      </c>
      <c r="B651" s="129"/>
      <c r="C651" s="129"/>
      <c r="D651" s="129"/>
      <c r="E651" s="129"/>
      <c r="F651" s="129"/>
      <c r="G651" s="129"/>
      <c r="H651" s="139">
        <v>18762</v>
      </c>
      <c r="I651" s="129"/>
      <c r="J651" s="130">
        <v>351253</v>
      </c>
      <c r="K651" s="129">
        <v>176</v>
      </c>
      <c r="L651" s="131">
        <v>24497</v>
      </c>
    </row>
    <row r="652" spans="1:12" ht="14.7" thickBot="1" x14ac:dyDescent="0.6">
      <c r="A652" s="136">
        <v>44551</v>
      </c>
      <c r="B652" s="129"/>
      <c r="C652" s="129"/>
      <c r="D652" s="129"/>
      <c r="E652" s="129"/>
      <c r="F652" s="129"/>
      <c r="G652" s="129"/>
      <c r="H652" s="139">
        <v>19859</v>
      </c>
      <c r="I652" s="129"/>
      <c r="J652" s="130">
        <v>353152</v>
      </c>
      <c r="K652" s="129">
        <v>187</v>
      </c>
      <c r="L652" s="131">
        <v>25532</v>
      </c>
    </row>
    <row r="653" spans="1:12" ht="14.7" thickBot="1" x14ac:dyDescent="0.6">
      <c r="A653" s="136">
        <v>44552</v>
      </c>
      <c r="B653" s="129"/>
      <c r="C653" s="129"/>
      <c r="D653" s="129"/>
      <c r="E653" s="129"/>
      <c r="F653" s="129"/>
      <c r="G653" s="129"/>
      <c r="H653" s="139">
        <v>19095</v>
      </c>
      <c r="I653" s="129"/>
      <c r="J653" s="130">
        <v>352438</v>
      </c>
      <c r="K653" s="129">
        <v>179</v>
      </c>
      <c r="L653" s="131">
        <v>22816</v>
      </c>
    </row>
    <row r="654" spans="1:12" ht="14.7" thickBot="1" x14ac:dyDescent="0.6">
      <c r="A654" s="136">
        <v>44553</v>
      </c>
      <c r="B654" s="129"/>
      <c r="C654" s="129"/>
      <c r="D654" s="129"/>
      <c r="E654" s="129"/>
      <c r="F654" s="129"/>
      <c r="G654" s="129"/>
      <c r="H654" s="139">
        <v>18771</v>
      </c>
      <c r="I654" s="129"/>
      <c r="J654" s="130">
        <v>355753</v>
      </c>
      <c r="K654" s="129">
        <v>168</v>
      </c>
      <c r="L654" s="131">
        <v>21605</v>
      </c>
    </row>
    <row r="655" spans="1:12" ht="14.7" thickBot="1" x14ac:dyDescent="0.6">
      <c r="A655" s="136">
        <v>44554</v>
      </c>
      <c r="B655" s="129"/>
      <c r="C655" s="129"/>
      <c r="D655" s="129"/>
      <c r="E655" s="129"/>
      <c r="F655" s="129"/>
      <c r="G655" s="129"/>
      <c r="H655" s="139">
        <v>18910</v>
      </c>
      <c r="I655" s="129"/>
      <c r="J655" s="130">
        <v>356106</v>
      </c>
      <c r="K655" s="129">
        <v>133</v>
      </c>
      <c r="L655" s="131">
        <v>20351</v>
      </c>
    </row>
    <row r="656" spans="1:12" ht="14.7" thickBot="1" x14ac:dyDescent="0.6">
      <c r="A656" s="136">
        <v>44555</v>
      </c>
      <c r="B656" s="129"/>
      <c r="C656" s="129"/>
      <c r="D656" s="129"/>
      <c r="E656" s="129"/>
      <c r="F656" s="129"/>
      <c r="G656" s="129"/>
      <c r="H656" s="139">
        <v>20470</v>
      </c>
      <c r="I656" s="129"/>
      <c r="J656" s="130">
        <v>357536</v>
      </c>
      <c r="K656" s="129">
        <v>145</v>
      </c>
      <c r="L656" s="131">
        <v>22109</v>
      </c>
    </row>
    <row r="657" spans="1:12" ht="14.7" thickBot="1" x14ac:dyDescent="0.6">
      <c r="A657" s="136">
        <v>44556</v>
      </c>
      <c r="B657" s="129"/>
      <c r="C657" s="129"/>
      <c r="D657" s="129"/>
      <c r="E657" s="129"/>
      <c r="F657" s="129"/>
      <c r="G657" s="129"/>
      <c r="H657" s="139">
        <v>20138</v>
      </c>
      <c r="I657" s="129"/>
      <c r="J657" s="130">
        <v>351965</v>
      </c>
      <c r="K657" s="129">
        <v>173</v>
      </c>
      <c r="L657" s="131">
        <v>21214</v>
      </c>
    </row>
    <row r="658" spans="1:12" ht="14.7" thickBot="1" x14ac:dyDescent="0.6">
      <c r="A658" s="136">
        <v>44557</v>
      </c>
      <c r="B658" s="129"/>
      <c r="C658" s="129"/>
      <c r="D658" s="129"/>
      <c r="E658" s="129"/>
      <c r="F658" s="129"/>
      <c r="G658" s="129"/>
      <c r="H658" s="139">
        <v>26099</v>
      </c>
      <c r="I658" s="129"/>
      <c r="J658" s="130">
        <v>362535</v>
      </c>
      <c r="K658" s="129">
        <v>157</v>
      </c>
      <c r="L658" s="131">
        <v>22024</v>
      </c>
    </row>
    <row r="659" spans="1:12" ht="14.7" thickBot="1" x14ac:dyDescent="0.6">
      <c r="A659" s="136">
        <v>44558</v>
      </c>
      <c r="B659" s="129"/>
      <c r="C659" s="129"/>
      <c r="D659" s="129"/>
      <c r="E659" s="129"/>
      <c r="F659" s="129"/>
      <c r="G659" s="129"/>
      <c r="H659" s="139">
        <v>32176</v>
      </c>
      <c r="I659" s="129"/>
      <c r="J659" s="130">
        <v>368842</v>
      </c>
      <c r="K659" s="129">
        <v>184</v>
      </c>
      <c r="L659" s="131">
        <v>23104</v>
      </c>
    </row>
    <row r="660" spans="1:12" ht="14.7" thickBot="1" x14ac:dyDescent="0.6">
      <c r="A660" s="136">
        <v>44559</v>
      </c>
      <c r="B660" s="129"/>
      <c r="C660" s="129"/>
      <c r="D660" s="129"/>
      <c r="E660" s="129"/>
      <c r="F660" s="129"/>
      <c r="G660" s="129"/>
      <c r="H660" s="139">
        <v>36684</v>
      </c>
      <c r="I660" s="129"/>
      <c r="J660" s="130">
        <v>366363</v>
      </c>
      <c r="K660" s="129">
        <v>142</v>
      </c>
      <c r="L660" s="131">
        <v>25638</v>
      </c>
    </row>
    <row r="661" spans="1:12" ht="14.7" thickBot="1" x14ac:dyDescent="0.6">
      <c r="A661" s="136">
        <v>44560</v>
      </c>
      <c r="B661" s="129"/>
      <c r="C661" s="129"/>
      <c r="D661" s="129"/>
      <c r="E661" s="129"/>
      <c r="F661" s="129"/>
      <c r="G661" s="129"/>
      <c r="H661" s="139">
        <v>39681</v>
      </c>
      <c r="I661" s="129"/>
      <c r="J661" s="130">
        <v>369647</v>
      </c>
      <c r="K661" s="129">
        <v>139</v>
      </c>
      <c r="L661" s="131">
        <v>24854</v>
      </c>
    </row>
    <row r="662" spans="1:12" ht="14.7" thickBot="1" x14ac:dyDescent="0.6">
      <c r="A662" s="136">
        <v>44561</v>
      </c>
      <c r="B662" s="129"/>
      <c r="C662" s="129"/>
      <c r="D662" s="129"/>
      <c r="E662" s="129"/>
      <c r="F662" s="129"/>
      <c r="G662" s="129"/>
      <c r="H662" s="139">
        <v>40786</v>
      </c>
      <c r="I662" s="129"/>
      <c r="J662" s="130">
        <v>372516</v>
      </c>
      <c r="K662" s="129">
        <v>163</v>
      </c>
      <c r="L662" s="131">
        <v>23968</v>
      </c>
    </row>
    <row r="663" spans="1:12" ht="14.7" thickBot="1" x14ac:dyDescent="0.6">
      <c r="A663" s="136">
        <v>44562</v>
      </c>
      <c r="B663" s="129"/>
      <c r="C663" s="129"/>
      <c r="D663" s="129"/>
      <c r="E663" s="129"/>
      <c r="F663" s="129"/>
      <c r="G663" s="129"/>
      <c r="H663" s="139">
        <v>36731</v>
      </c>
      <c r="I663" s="129"/>
      <c r="J663" s="130">
        <v>369027</v>
      </c>
      <c r="K663" s="129">
        <v>145</v>
      </c>
      <c r="L663" s="131">
        <v>23325</v>
      </c>
    </row>
    <row r="664" spans="1:12" ht="14.7" thickBot="1" x14ac:dyDescent="0.6">
      <c r="A664" s="136">
        <v>44563</v>
      </c>
      <c r="B664" s="129"/>
      <c r="C664" s="129"/>
      <c r="D664" s="129"/>
      <c r="E664" s="129"/>
      <c r="F664" s="129"/>
      <c r="G664" s="129"/>
      <c r="H664" s="139">
        <v>33520</v>
      </c>
      <c r="I664" s="129"/>
      <c r="J664" s="130">
        <v>362836</v>
      </c>
      <c r="K664" s="129">
        <v>129</v>
      </c>
      <c r="L664" s="131">
        <v>22161</v>
      </c>
    </row>
    <row r="665" spans="1:12" ht="14.7" thickBot="1" x14ac:dyDescent="0.6">
      <c r="A665" s="136">
        <v>44564</v>
      </c>
      <c r="B665" s="129"/>
      <c r="C665" s="129"/>
      <c r="D665" s="129"/>
      <c r="E665" s="129"/>
      <c r="F665" s="129"/>
      <c r="G665" s="129"/>
      <c r="H665" s="139">
        <v>44869</v>
      </c>
      <c r="I665" s="129"/>
      <c r="J665" s="130">
        <v>368913</v>
      </c>
      <c r="K665" s="129">
        <v>160</v>
      </c>
      <c r="L665" s="131">
        <v>27492</v>
      </c>
    </row>
    <row r="666" spans="1:12" ht="14.7" thickBot="1" x14ac:dyDescent="0.6">
      <c r="A666" s="136">
        <v>44565</v>
      </c>
      <c r="B666" s="129"/>
      <c r="C666" s="129"/>
      <c r="D666" s="129"/>
      <c r="E666" s="129"/>
      <c r="F666" s="129"/>
      <c r="G666" s="129"/>
      <c r="H666" s="139">
        <v>54724</v>
      </c>
      <c r="I666" s="129"/>
      <c r="J666" s="130">
        <v>382888</v>
      </c>
      <c r="K666" s="129">
        <v>137</v>
      </c>
      <c r="L666" s="131">
        <v>26561</v>
      </c>
    </row>
    <row r="667" spans="1:12" ht="14.7" thickBot="1" x14ac:dyDescent="0.6">
      <c r="A667" s="136">
        <v>44566</v>
      </c>
      <c r="B667" s="129"/>
      <c r="C667" s="129"/>
      <c r="D667" s="129"/>
      <c r="E667" s="129"/>
      <c r="F667" s="129"/>
      <c r="G667" s="129"/>
      <c r="H667" s="139">
        <v>66467</v>
      </c>
      <c r="I667" s="129"/>
      <c r="J667" s="130">
        <v>417787</v>
      </c>
      <c r="K667" s="129">
        <v>143</v>
      </c>
      <c r="L667" s="131">
        <v>29316</v>
      </c>
    </row>
    <row r="668" spans="1:12" ht="14.7" thickBot="1" x14ac:dyDescent="0.6">
      <c r="A668" s="136">
        <v>44567</v>
      </c>
      <c r="B668" s="129"/>
      <c r="C668" s="129"/>
      <c r="D668" s="129"/>
      <c r="E668" s="129"/>
      <c r="F668" s="129"/>
      <c r="G668" s="129"/>
      <c r="H668" s="139">
        <v>68413</v>
      </c>
      <c r="I668" s="129"/>
      <c r="J668" s="130">
        <v>418823</v>
      </c>
      <c r="K668" s="129">
        <v>156</v>
      </c>
      <c r="L668" s="131">
        <v>25502</v>
      </c>
    </row>
    <row r="669" spans="1:12" ht="14.7" thickBot="1" x14ac:dyDescent="0.6">
      <c r="A669" s="136">
        <v>44568</v>
      </c>
      <c r="B669" s="129"/>
      <c r="C669" s="129"/>
      <c r="D669" s="129"/>
      <c r="E669" s="129"/>
      <c r="F669" s="129"/>
      <c r="G669" s="129"/>
      <c r="H669" s="139">
        <v>63214</v>
      </c>
      <c r="I669" s="129"/>
      <c r="J669" s="130">
        <v>406796</v>
      </c>
      <c r="K669" s="129">
        <v>157</v>
      </c>
      <c r="L669" s="131">
        <v>29197</v>
      </c>
    </row>
    <row r="670" spans="1:12" ht="14.7" thickBot="1" x14ac:dyDescent="0.6">
      <c r="A670" s="136">
        <v>44569</v>
      </c>
      <c r="B670" s="129"/>
      <c r="C670" s="129"/>
      <c r="D670" s="129"/>
      <c r="E670" s="129"/>
      <c r="F670" s="129"/>
      <c r="G670" s="129"/>
      <c r="H670" s="139">
        <v>66237</v>
      </c>
      <c r="I670" s="129"/>
      <c r="J670" s="130">
        <v>418264</v>
      </c>
      <c r="K670" s="129">
        <v>141</v>
      </c>
      <c r="L670" s="131">
        <v>34592</v>
      </c>
    </row>
    <row r="671" spans="1:12" ht="14.7" thickBot="1" x14ac:dyDescent="0.6">
      <c r="A671" s="137">
        <v>44570</v>
      </c>
      <c r="B671" s="134"/>
      <c r="C671" s="134"/>
      <c r="D671" s="134"/>
      <c r="E671" s="134"/>
      <c r="F671" s="134"/>
      <c r="G671" s="134"/>
      <c r="H671" s="141">
        <v>61727</v>
      </c>
      <c r="I671" s="134"/>
      <c r="J671" s="142">
        <v>384049</v>
      </c>
      <c r="K671" s="134">
        <v>173</v>
      </c>
      <c r="L671" s="144">
        <v>35163</v>
      </c>
    </row>
  </sheetData>
  <autoFilter ref="A1:L671" xr:uid="{C22C4FC5-D2A1-4D54-8CE7-13307C4E7A13}">
    <sortState xmlns:xlrd2="http://schemas.microsoft.com/office/spreadsheetml/2017/richdata2" ref="A2:L671">
      <sortCondition ref="A1:A67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CF6F-40AD-4F9E-B36B-24129FE3AB84}">
  <dimension ref="A1:N18"/>
  <sheetViews>
    <sheetView workbookViewId="0">
      <selection activeCell="E21" sqref="E21"/>
    </sheetView>
  </sheetViews>
  <sheetFormatPr defaultRowHeight="14.4" x14ac:dyDescent="0.55000000000000004"/>
  <cols>
    <col min="1" max="1" width="9.89453125" bestFit="1" customWidth="1"/>
    <col min="2" max="2" width="4.89453125" bestFit="1" customWidth="1"/>
    <col min="3" max="3" width="8.89453125" bestFit="1" customWidth="1"/>
    <col min="4" max="4" width="12.3671875" bestFit="1" customWidth="1"/>
    <col min="5" max="5" width="7.3671875" bestFit="1" customWidth="1"/>
    <col min="6" max="6" width="12.1015625" bestFit="1" customWidth="1"/>
    <col min="7" max="7" width="6.3671875" bestFit="1" customWidth="1"/>
    <col min="8" max="8" width="9.7890625" bestFit="1" customWidth="1"/>
    <col min="9" max="9" width="7.3671875" bestFit="1" customWidth="1"/>
    <col min="10" max="10" width="11.3671875" bestFit="1" customWidth="1"/>
    <col min="11" max="11" width="8.89453125" bestFit="1" customWidth="1"/>
    <col min="12" max="12" width="12.3671875" bestFit="1" customWidth="1"/>
    <col min="13" max="13" width="8.89453125" bestFit="1" customWidth="1"/>
    <col min="14" max="14" width="12.3671875" bestFit="1" customWidth="1"/>
  </cols>
  <sheetData>
    <row r="1" spans="1:14" ht="43.2" x14ac:dyDescent="0.55000000000000004">
      <c r="A1" s="117" t="s">
        <v>23</v>
      </c>
      <c r="B1" s="117" t="s">
        <v>152</v>
      </c>
      <c r="C1" s="117" t="s">
        <v>24</v>
      </c>
      <c r="D1" s="117" t="s">
        <v>153</v>
      </c>
      <c r="E1" s="117" t="s">
        <v>25</v>
      </c>
      <c r="F1" s="117" t="s">
        <v>154</v>
      </c>
      <c r="G1" s="117" t="s">
        <v>26</v>
      </c>
      <c r="H1" s="117" t="s">
        <v>155</v>
      </c>
      <c r="I1" s="117" t="s">
        <v>27</v>
      </c>
      <c r="J1" s="117" t="s">
        <v>156</v>
      </c>
      <c r="K1" s="117" t="s">
        <v>157</v>
      </c>
      <c r="L1" s="117" t="s">
        <v>158</v>
      </c>
      <c r="M1" s="117" t="s">
        <v>28</v>
      </c>
      <c r="N1" s="117" t="s">
        <v>159</v>
      </c>
    </row>
    <row r="2" spans="1:14" x14ac:dyDescent="0.55000000000000004">
      <c r="A2" s="118">
        <v>44562</v>
      </c>
      <c r="B2" s="117">
        <v>999</v>
      </c>
      <c r="C2" s="119">
        <v>761180</v>
      </c>
      <c r="D2" s="120">
        <v>9144388.9600000009</v>
      </c>
      <c r="E2" s="119">
        <v>3328</v>
      </c>
      <c r="F2" s="120">
        <v>47071.19</v>
      </c>
      <c r="G2" s="119">
        <v>2736</v>
      </c>
      <c r="H2" s="120">
        <v>37664.26</v>
      </c>
      <c r="I2" s="119">
        <v>162655</v>
      </c>
      <c r="J2" s="120">
        <v>1997527.24</v>
      </c>
      <c r="K2" s="117">
        <v>0</v>
      </c>
      <c r="L2" s="117">
        <v>0</v>
      </c>
      <c r="M2" s="119">
        <v>929899</v>
      </c>
      <c r="N2" s="120">
        <v>11226651.65</v>
      </c>
    </row>
    <row r="3" spans="1:14" x14ac:dyDescent="0.55000000000000004">
      <c r="A3" s="118">
        <v>44563</v>
      </c>
      <c r="B3" s="117">
        <v>999</v>
      </c>
      <c r="C3" s="119">
        <v>698060</v>
      </c>
      <c r="D3" s="120">
        <v>8406447.1400000006</v>
      </c>
      <c r="E3" s="119">
        <v>3231</v>
      </c>
      <c r="F3" s="120">
        <v>47824.85</v>
      </c>
      <c r="G3" s="117">
        <v>0</v>
      </c>
      <c r="H3" s="117">
        <v>0</v>
      </c>
      <c r="I3" s="119">
        <v>253093</v>
      </c>
      <c r="J3" s="120">
        <v>3105977.91</v>
      </c>
      <c r="K3" s="117">
        <v>0</v>
      </c>
      <c r="L3" s="117">
        <v>0</v>
      </c>
      <c r="M3" s="119">
        <v>954384</v>
      </c>
      <c r="N3" s="120">
        <v>11560249.9</v>
      </c>
    </row>
    <row r="4" spans="1:14" x14ac:dyDescent="0.55000000000000004">
      <c r="A4" s="118">
        <v>44564</v>
      </c>
      <c r="B4" s="117">
        <v>999</v>
      </c>
      <c r="C4" s="119">
        <v>747080</v>
      </c>
      <c r="D4" s="120">
        <v>9044214.2799999993</v>
      </c>
      <c r="E4" s="119">
        <v>230438</v>
      </c>
      <c r="F4" s="120">
        <v>3349535.61</v>
      </c>
      <c r="G4" s="119">
        <v>12601</v>
      </c>
      <c r="H4" s="120">
        <v>187198.42</v>
      </c>
      <c r="I4" s="119">
        <v>352115</v>
      </c>
      <c r="J4" s="120">
        <v>4370395.7699999996</v>
      </c>
      <c r="K4" s="117">
        <v>0</v>
      </c>
      <c r="L4" s="117">
        <v>0</v>
      </c>
      <c r="M4" s="119">
        <v>1342234</v>
      </c>
      <c r="N4" s="120">
        <v>16951344.079999998</v>
      </c>
    </row>
    <row r="5" spans="1:14" x14ac:dyDescent="0.55000000000000004">
      <c r="A5" s="118">
        <v>44565</v>
      </c>
      <c r="B5" s="117">
        <v>999</v>
      </c>
      <c r="C5" s="119">
        <v>675800</v>
      </c>
      <c r="D5" s="120">
        <v>8197108.8600000003</v>
      </c>
      <c r="E5" s="119">
        <v>255785</v>
      </c>
      <c r="F5" s="120">
        <v>3724151.33</v>
      </c>
      <c r="G5" s="119">
        <v>19175</v>
      </c>
      <c r="H5" s="120">
        <v>259086.28</v>
      </c>
      <c r="I5" s="119">
        <v>358087</v>
      </c>
      <c r="J5" s="120">
        <v>4399514.91</v>
      </c>
      <c r="K5" s="117">
        <v>0</v>
      </c>
      <c r="L5" s="117">
        <v>0</v>
      </c>
      <c r="M5" s="119">
        <v>1308847</v>
      </c>
      <c r="N5" s="120">
        <v>16579861.380000001</v>
      </c>
    </row>
    <row r="6" spans="1:14" x14ac:dyDescent="0.55000000000000004">
      <c r="A6" s="118">
        <v>44566</v>
      </c>
      <c r="B6" s="117">
        <v>999</v>
      </c>
      <c r="C6" s="119">
        <v>821320</v>
      </c>
      <c r="D6" s="120">
        <v>9808373.0199999996</v>
      </c>
      <c r="E6" s="119">
        <v>234766</v>
      </c>
      <c r="F6" s="120">
        <v>3424856.46</v>
      </c>
      <c r="G6" s="119">
        <v>9064</v>
      </c>
      <c r="H6" s="120">
        <v>136746.44</v>
      </c>
      <c r="I6" s="119">
        <v>239373</v>
      </c>
      <c r="J6" s="120">
        <v>2947171.71</v>
      </c>
      <c r="K6" s="117">
        <v>0</v>
      </c>
      <c r="L6" s="117">
        <v>0</v>
      </c>
      <c r="M6" s="119">
        <v>1304523</v>
      </c>
      <c r="N6" s="120">
        <v>16317147.630000001</v>
      </c>
    </row>
    <row r="7" spans="1:14" x14ac:dyDescent="0.55000000000000004">
      <c r="A7" s="118">
        <v>44567</v>
      </c>
      <c r="B7" s="117">
        <v>999</v>
      </c>
      <c r="C7" s="119">
        <v>704840</v>
      </c>
      <c r="D7" s="120">
        <v>8492486.2300000004</v>
      </c>
      <c r="E7" s="119">
        <v>268288</v>
      </c>
      <c r="F7" s="120">
        <v>3918051.62</v>
      </c>
      <c r="G7" s="119">
        <v>13983</v>
      </c>
      <c r="H7" s="120">
        <v>214405.76000000001</v>
      </c>
      <c r="I7" s="119">
        <v>365679</v>
      </c>
      <c r="J7" s="120">
        <v>4516344.66</v>
      </c>
      <c r="K7" s="117">
        <v>0</v>
      </c>
      <c r="L7" s="117">
        <v>0</v>
      </c>
      <c r="M7" s="119">
        <v>1352790</v>
      </c>
      <c r="N7" s="120">
        <v>17141288.27</v>
      </c>
    </row>
    <row r="8" spans="1:14" x14ac:dyDescent="0.55000000000000004">
      <c r="A8" s="118">
        <v>44568</v>
      </c>
      <c r="B8" s="117">
        <v>999</v>
      </c>
      <c r="C8" s="119">
        <v>665540</v>
      </c>
      <c r="D8" s="120">
        <v>8136853.5499999998</v>
      </c>
      <c r="E8" s="119">
        <v>517221</v>
      </c>
      <c r="F8" s="120">
        <v>7483077.4699999997</v>
      </c>
      <c r="G8" s="119">
        <v>15865</v>
      </c>
      <c r="H8" s="120">
        <v>240005.46</v>
      </c>
      <c r="I8" s="119">
        <v>436051</v>
      </c>
      <c r="J8" s="120">
        <v>5387808.1900000004</v>
      </c>
      <c r="K8" s="117">
        <v>0</v>
      </c>
      <c r="L8" s="117">
        <v>0</v>
      </c>
      <c r="M8" s="119">
        <v>1634677</v>
      </c>
      <c r="N8" s="120">
        <v>21247744.670000002</v>
      </c>
    </row>
    <row r="9" spans="1:14" x14ac:dyDescent="0.55000000000000004">
      <c r="A9" s="118">
        <v>44569</v>
      </c>
      <c r="B9" s="117">
        <v>999</v>
      </c>
      <c r="C9" s="119">
        <v>974020</v>
      </c>
      <c r="D9" s="120">
        <v>12023928.67</v>
      </c>
      <c r="E9" s="119">
        <v>133840</v>
      </c>
      <c r="F9" s="120">
        <v>1978214.22</v>
      </c>
      <c r="G9" s="119">
        <v>13007</v>
      </c>
      <c r="H9" s="120">
        <v>185979.51</v>
      </c>
      <c r="I9" s="119">
        <v>436684</v>
      </c>
      <c r="J9" s="120">
        <v>5389858.29</v>
      </c>
      <c r="K9" s="117">
        <v>0</v>
      </c>
      <c r="L9" s="117">
        <v>0</v>
      </c>
      <c r="M9" s="119">
        <v>1557551</v>
      </c>
      <c r="N9" s="120">
        <v>19577980.690000001</v>
      </c>
    </row>
    <row r="10" spans="1:14" x14ac:dyDescent="0.55000000000000004">
      <c r="A10" s="149">
        <v>44570</v>
      </c>
      <c r="B10" s="148">
        <v>999</v>
      </c>
      <c r="C10" s="150">
        <v>722600</v>
      </c>
      <c r="D10" s="151">
        <v>8902533.8300000001</v>
      </c>
      <c r="E10" s="148">
        <v>406</v>
      </c>
      <c r="F10" s="151">
        <v>6623.64</v>
      </c>
      <c r="G10" s="148">
        <v>0</v>
      </c>
      <c r="H10" s="148">
        <v>0</v>
      </c>
      <c r="I10" s="150">
        <v>349366</v>
      </c>
      <c r="J10" s="151">
        <v>4299982.16</v>
      </c>
      <c r="K10" s="150">
        <v>2200182</v>
      </c>
      <c r="L10" s="151">
        <v>23164485.149999999</v>
      </c>
      <c r="M10" s="150">
        <v>3272554</v>
      </c>
      <c r="N10" s="151">
        <v>36373624.780000001</v>
      </c>
    </row>
    <row r="11" spans="1:14" x14ac:dyDescent="0.55000000000000004">
      <c r="A11" s="149">
        <v>44571</v>
      </c>
      <c r="B11" s="148">
        <v>999</v>
      </c>
      <c r="C11" s="150">
        <v>1264300</v>
      </c>
      <c r="D11" s="151">
        <v>15570906.5</v>
      </c>
      <c r="E11" s="150">
        <v>527552</v>
      </c>
      <c r="F11" s="151">
        <v>7650069.7400000002</v>
      </c>
      <c r="G11" s="150">
        <v>7835</v>
      </c>
      <c r="H11" s="151">
        <v>113119.97</v>
      </c>
      <c r="I11" s="150">
        <v>644886</v>
      </c>
      <c r="J11" s="151">
        <v>8001046.3200000003</v>
      </c>
      <c r="K11" s="148">
        <v>0</v>
      </c>
      <c r="L11" s="148">
        <v>0</v>
      </c>
      <c r="M11" s="150">
        <v>2444573</v>
      </c>
      <c r="N11" s="151">
        <v>31335142.530000001</v>
      </c>
    </row>
    <row r="12" spans="1:14" x14ac:dyDescent="0.55000000000000004">
      <c r="A12" s="149">
        <v>44572</v>
      </c>
      <c r="B12" s="148">
        <v>999</v>
      </c>
      <c r="C12" s="150">
        <v>856440</v>
      </c>
      <c r="D12" s="151">
        <v>10543127.279999999</v>
      </c>
      <c r="E12" s="150">
        <v>499957</v>
      </c>
      <c r="F12" s="151">
        <v>7275800.5899999999</v>
      </c>
      <c r="G12" s="150">
        <v>7510</v>
      </c>
      <c r="H12" s="151">
        <v>97835.98</v>
      </c>
      <c r="I12" s="150">
        <v>496066</v>
      </c>
      <c r="J12" s="151">
        <v>6140526.1900000004</v>
      </c>
      <c r="K12" s="148">
        <v>0</v>
      </c>
      <c r="L12" s="148">
        <v>0</v>
      </c>
      <c r="M12" s="150">
        <v>1859973</v>
      </c>
      <c r="N12" s="151">
        <v>24057290.039999999</v>
      </c>
    </row>
    <row r="13" spans="1:14" x14ac:dyDescent="0.55000000000000004">
      <c r="A13" s="153">
        <v>44573</v>
      </c>
      <c r="B13" s="154">
        <v>999</v>
      </c>
      <c r="C13" s="155">
        <v>686020</v>
      </c>
      <c r="D13" s="156">
        <v>8454917.7400000002</v>
      </c>
      <c r="E13" s="155">
        <v>733539</v>
      </c>
      <c r="F13" s="156">
        <v>10616732.74</v>
      </c>
      <c r="G13" s="155">
        <v>3801</v>
      </c>
      <c r="H13" s="156">
        <v>40967.339999999997</v>
      </c>
      <c r="I13" s="155">
        <v>123632</v>
      </c>
      <c r="J13" s="156">
        <v>1586570.26</v>
      </c>
      <c r="K13" s="155">
        <v>5501150</v>
      </c>
      <c r="L13" s="156">
        <v>56511855.990000002</v>
      </c>
      <c r="M13" s="155">
        <v>7048142</v>
      </c>
      <c r="N13" s="156">
        <v>77211044.069999993</v>
      </c>
    </row>
    <row r="14" spans="1:14" x14ac:dyDescent="0.55000000000000004">
      <c r="A14" s="153">
        <v>44574</v>
      </c>
      <c r="B14" s="154">
        <v>999</v>
      </c>
      <c r="C14" s="155">
        <v>592120</v>
      </c>
      <c r="D14" s="156">
        <v>7321928.6600000001</v>
      </c>
      <c r="E14" s="155">
        <v>110981</v>
      </c>
      <c r="F14" s="156">
        <v>1726062.22</v>
      </c>
      <c r="G14" s="155">
        <v>18066</v>
      </c>
      <c r="H14" s="156">
        <v>279795.18</v>
      </c>
      <c r="I14" s="155">
        <v>168102</v>
      </c>
      <c r="J14" s="156">
        <v>2148661.88</v>
      </c>
      <c r="K14" s="154">
        <v>0</v>
      </c>
      <c r="L14" s="154">
        <v>0</v>
      </c>
      <c r="M14" s="155">
        <v>889269</v>
      </c>
      <c r="N14" s="156">
        <v>11476447.939999999</v>
      </c>
    </row>
    <row r="15" spans="1:14" x14ac:dyDescent="0.55000000000000004">
      <c r="A15" s="153">
        <v>44575</v>
      </c>
      <c r="B15" s="154">
        <v>999</v>
      </c>
      <c r="C15" s="155">
        <v>756080</v>
      </c>
      <c r="D15" s="156">
        <v>9191656.4299999997</v>
      </c>
      <c r="E15" s="155">
        <v>166869</v>
      </c>
      <c r="F15" s="156">
        <v>2566492.27</v>
      </c>
      <c r="G15" s="155">
        <v>16786</v>
      </c>
      <c r="H15" s="156">
        <v>254189.18</v>
      </c>
      <c r="I15" s="155">
        <v>357755</v>
      </c>
      <c r="J15" s="156">
        <v>4573607.7699999996</v>
      </c>
      <c r="K15" s="155">
        <v>1701464</v>
      </c>
      <c r="L15" s="156">
        <v>17636835.440000001</v>
      </c>
      <c r="M15" s="155">
        <v>2998954</v>
      </c>
      <c r="N15" s="156">
        <v>34222781.090000004</v>
      </c>
    </row>
    <row r="16" spans="1:14" x14ac:dyDescent="0.55000000000000004">
      <c r="A16" s="153">
        <v>44576</v>
      </c>
      <c r="B16" s="154">
        <v>999</v>
      </c>
      <c r="C16" s="155">
        <v>1062000</v>
      </c>
      <c r="D16" s="156">
        <v>12911256.720000001</v>
      </c>
      <c r="E16" s="155">
        <v>80802</v>
      </c>
      <c r="F16" s="156">
        <v>1248589.69</v>
      </c>
      <c r="G16" s="154">
        <v>918</v>
      </c>
      <c r="H16" s="156">
        <v>13862.08</v>
      </c>
      <c r="I16" s="155">
        <v>339958</v>
      </c>
      <c r="J16" s="156">
        <v>4363612.76</v>
      </c>
      <c r="K16" s="154">
        <v>0</v>
      </c>
      <c r="L16" s="154">
        <v>0</v>
      </c>
      <c r="M16" s="155">
        <v>1483678</v>
      </c>
      <c r="N16" s="156">
        <v>18537321.25</v>
      </c>
    </row>
    <row r="17" spans="1:14" x14ac:dyDescent="0.55000000000000004">
      <c r="A17" s="153">
        <v>44577</v>
      </c>
      <c r="B17">
        <v>999</v>
      </c>
      <c r="C17" s="155">
        <v>617640</v>
      </c>
      <c r="D17" s="156">
        <v>7508961.2699999996</v>
      </c>
      <c r="E17" s="155">
        <v>0</v>
      </c>
      <c r="F17" s="156">
        <v>0</v>
      </c>
      <c r="G17" s="154">
        <v>4250</v>
      </c>
      <c r="H17" s="156">
        <v>62885.21</v>
      </c>
      <c r="I17" s="155">
        <v>234936</v>
      </c>
      <c r="J17" s="156">
        <v>3000062.28</v>
      </c>
      <c r="K17" s="154">
        <v>0</v>
      </c>
      <c r="L17" s="154">
        <v>0</v>
      </c>
      <c r="M17" s="155">
        <v>856826</v>
      </c>
      <c r="N17" s="156">
        <v>10571908.76</v>
      </c>
    </row>
    <row r="18" spans="1:14" x14ac:dyDescent="0.55000000000000004">
      <c r="A18" s="153">
        <v>44578</v>
      </c>
      <c r="B18">
        <v>999</v>
      </c>
      <c r="C18" s="155">
        <v>623920</v>
      </c>
      <c r="D18" s="156">
        <v>7571167.3399999999</v>
      </c>
      <c r="E18" s="155">
        <v>302288</v>
      </c>
      <c r="F18" s="156">
        <v>4608581.33</v>
      </c>
      <c r="G18" s="154">
        <v>20660</v>
      </c>
      <c r="H18" s="156">
        <v>322287.65999999997</v>
      </c>
      <c r="I18" s="155">
        <v>460740</v>
      </c>
      <c r="J18" s="156">
        <v>5916466.3200000003</v>
      </c>
      <c r="K18" s="154">
        <v>0</v>
      </c>
      <c r="L18" s="154">
        <v>0</v>
      </c>
      <c r="M18" s="155">
        <v>1407608</v>
      </c>
      <c r="N18" s="156">
        <v>18418502.649999999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5F44-1437-4497-8B1A-F5CDBE72AC48}">
  <dimension ref="A1:C27"/>
  <sheetViews>
    <sheetView topLeftCell="A5" workbookViewId="0">
      <selection activeCell="A20" sqref="A20"/>
    </sheetView>
  </sheetViews>
  <sheetFormatPr defaultRowHeight="14.4" x14ac:dyDescent="0.55000000000000004"/>
  <cols>
    <col min="1" max="1" width="39.7890625" style="110" customWidth="1"/>
    <col min="2" max="2" width="8.734375" style="110"/>
    <col min="3" max="3" width="40.62890625" customWidth="1"/>
  </cols>
  <sheetData>
    <row r="1" spans="1:3" x14ac:dyDescent="0.55000000000000004">
      <c r="A1" s="114" t="s">
        <v>33</v>
      </c>
      <c r="B1" s="114" t="s">
        <v>34</v>
      </c>
      <c r="C1" s="114" t="s">
        <v>207</v>
      </c>
    </row>
    <row r="2" spans="1:3" x14ac:dyDescent="0.55000000000000004">
      <c r="A2" s="112" t="s">
        <v>69</v>
      </c>
      <c r="B2" s="111" t="s">
        <v>67</v>
      </c>
      <c r="C2" t="s">
        <v>181</v>
      </c>
    </row>
    <row r="3" spans="1:3" x14ac:dyDescent="0.55000000000000004">
      <c r="A3" s="112" t="s">
        <v>0</v>
      </c>
      <c r="B3" s="111" t="s">
        <v>48</v>
      </c>
      <c r="C3" t="s">
        <v>182</v>
      </c>
    </row>
    <row r="4" spans="1:3" x14ac:dyDescent="0.55000000000000004">
      <c r="A4" s="112" t="s">
        <v>70</v>
      </c>
      <c r="B4" s="111" t="s">
        <v>68</v>
      </c>
      <c r="C4" t="s">
        <v>183</v>
      </c>
    </row>
    <row r="5" spans="1:3" x14ac:dyDescent="0.55000000000000004">
      <c r="A5" s="112" t="s">
        <v>3</v>
      </c>
      <c r="B5" s="111" t="s">
        <v>55</v>
      </c>
      <c r="C5" t="s">
        <v>184</v>
      </c>
    </row>
    <row r="6" spans="1:3" x14ac:dyDescent="0.55000000000000004">
      <c r="A6" s="112" t="s">
        <v>5</v>
      </c>
      <c r="B6" s="111" t="s">
        <v>55</v>
      </c>
      <c r="C6" t="s">
        <v>185</v>
      </c>
    </row>
    <row r="7" spans="1:3" x14ac:dyDescent="0.55000000000000004">
      <c r="A7" s="112" t="s">
        <v>9</v>
      </c>
      <c r="B7" s="111" t="s">
        <v>51</v>
      </c>
      <c r="C7" t="s">
        <v>190</v>
      </c>
    </row>
    <row r="8" spans="1:3" x14ac:dyDescent="0.55000000000000004">
      <c r="A8" s="112" t="s">
        <v>37</v>
      </c>
      <c r="B8" s="111" t="s">
        <v>52</v>
      </c>
      <c r="C8" t="s">
        <v>186</v>
      </c>
    </row>
    <row r="9" spans="1:3" x14ac:dyDescent="0.55000000000000004">
      <c r="A9" s="112" t="s">
        <v>38</v>
      </c>
      <c r="B9" s="111" t="s">
        <v>53</v>
      </c>
      <c r="C9" t="s">
        <v>187</v>
      </c>
    </row>
    <row r="10" spans="1:3" x14ac:dyDescent="0.55000000000000004">
      <c r="A10" s="112" t="s">
        <v>39</v>
      </c>
      <c r="B10" s="111" t="s">
        <v>54</v>
      </c>
      <c r="C10" t="s">
        <v>188</v>
      </c>
    </row>
    <row r="11" spans="1:3" x14ac:dyDescent="0.55000000000000004">
      <c r="A11" s="112" t="s">
        <v>7</v>
      </c>
      <c r="B11" s="111" t="s">
        <v>55</v>
      </c>
      <c r="C11" t="s">
        <v>189</v>
      </c>
    </row>
    <row r="12" spans="1:3" x14ac:dyDescent="0.55000000000000004">
      <c r="A12" s="112" t="s">
        <v>18</v>
      </c>
      <c r="B12" s="111" t="s">
        <v>56</v>
      </c>
      <c r="C12" t="s">
        <v>191</v>
      </c>
    </row>
    <row r="13" spans="1:3" x14ac:dyDescent="0.55000000000000004">
      <c r="A13" s="112" t="s">
        <v>40</v>
      </c>
      <c r="B13" s="111" t="s">
        <v>57</v>
      </c>
      <c r="C13" t="s">
        <v>192</v>
      </c>
    </row>
    <row r="14" spans="1:3" x14ac:dyDescent="0.55000000000000004">
      <c r="A14" s="112" t="s">
        <v>41</v>
      </c>
      <c r="B14" s="111" t="s">
        <v>58</v>
      </c>
      <c r="C14" t="s">
        <v>193</v>
      </c>
    </row>
    <row r="15" spans="1:3" x14ac:dyDescent="0.55000000000000004">
      <c r="A15" s="112" t="s">
        <v>42</v>
      </c>
      <c r="B15" s="111" t="s">
        <v>59</v>
      </c>
      <c r="C15" t="s">
        <v>194</v>
      </c>
    </row>
    <row r="16" spans="1:3" x14ac:dyDescent="0.55000000000000004">
      <c r="A16" s="112" t="s">
        <v>43</v>
      </c>
      <c r="B16" s="111" t="s">
        <v>60</v>
      </c>
      <c r="C16" t="s">
        <v>195</v>
      </c>
    </row>
    <row r="17" spans="1:3" x14ac:dyDescent="0.55000000000000004">
      <c r="A17" s="112" t="s">
        <v>17</v>
      </c>
      <c r="B17" s="111" t="s">
        <v>55</v>
      </c>
      <c r="C17" t="s">
        <v>196</v>
      </c>
    </row>
    <row r="18" spans="1:3" x14ac:dyDescent="0.55000000000000004">
      <c r="A18" s="112" t="s">
        <v>20</v>
      </c>
      <c r="B18" s="111" t="s">
        <v>55</v>
      </c>
      <c r="C18" t="s">
        <v>197</v>
      </c>
    </row>
    <row r="19" spans="1:3" x14ac:dyDescent="0.55000000000000004">
      <c r="A19" s="113" t="s">
        <v>21</v>
      </c>
      <c r="B19" s="111" t="s">
        <v>55</v>
      </c>
      <c r="C19" t="s">
        <v>198</v>
      </c>
    </row>
    <row r="20" spans="1:3" x14ac:dyDescent="0.55000000000000004">
      <c r="A20" s="112" t="s">
        <v>45</v>
      </c>
      <c r="B20" s="111" t="s">
        <v>62</v>
      </c>
      <c r="C20" t="s">
        <v>199</v>
      </c>
    </row>
    <row r="21" spans="1:3" x14ac:dyDescent="0.55000000000000004">
      <c r="A21" s="112" t="s">
        <v>44</v>
      </c>
      <c r="B21" s="111" t="s">
        <v>61</v>
      </c>
      <c r="C21" t="s">
        <v>200</v>
      </c>
    </row>
    <row r="22" spans="1:3" x14ac:dyDescent="0.55000000000000004">
      <c r="A22" s="112" t="s">
        <v>46</v>
      </c>
      <c r="B22" s="111" t="s">
        <v>63</v>
      </c>
      <c r="C22" t="s">
        <v>201</v>
      </c>
    </row>
    <row r="23" spans="1:3" x14ac:dyDescent="0.55000000000000004">
      <c r="A23" s="112" t="s">
        <v>47</v>
      </c>
      <c r="B23" s="111" t="s">
        <v>64</v>
      </c>
      <c r="C23" t="s">
        <v>202</v>
      </c>
    </row>
    <row r="24" spans="1:3" x14ac:dyDescent="0.55000000000000004">
      <c r="A24" s="112" t="s">
        <v>49</v>
      </c>
      <c r="B24" s="111" t="s">
        <v>65</v>
      </c>
      <c r="C24" t="s">
        <v>203</v>
      </c>
    </row>
    <row r="25" spans="1:3" x14ac:dyDescent="0.55000000000000004">
      <c r="A25" s="112" t="s">
        <v>50</v>
      </c>
      <c r="B25" s="111" t="s">
        <v>66</v>
      </c>
      <c r="C25" t="s">
        <v>204</v>
      </c>
    </row>
    <row r="26" spans="1:3" x14ac:dyDescent="0.55000000000000004">
      <c r="A26" s="112" t="s">
        <v>71</v>
      </c>
      <c r="B26" s="111" t="s">
        <v>73</v>
      </c>
      <c r="C26" t="s">
        <v>205</v>
      </c>
    </row>
    <row r="27" spans="1:3" x14ac:dyDescent="0.55000000000000004">
      <c r="A27" s="112" t="s">
        <v>72</v>
      </c>
      <c r="B27" s="111" t="s">
        <v>74</v>
      </c>
      <c r="C27" t="s">
        <v>206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opLeftCell="A13" workbookViewId="0">
      <selection activeCell="B20" sqref="B20"/>
    </sheetView>
  </sheetViews>
  <sheetFormatPr defaultRowHeight="14.4" x14ac:dyDescent="0.55000000000000004"/>
  <cols>
    <col min="2" max="2" width="12.734375" bestFit="1" customWidth="1"/>
    <col min="3" max="3" width="4.89453125" bestFit="1" customWidth="1"/>
    <col min="4" max="4" width="4.47265625" bestFit="1" customWidth="1"/>
    <col min="5" max="5" width="6.89453125" bestFit="1" customWidth="1"/>
    <col min="8" max="8" width="9.89453125" bestFit="1" customWidth="1"/>
    <col min="9" max="9" width="12.1015625" bestFit="1" customWidth="1"/>
  </cols>
  <sheetData>
    <row r="1" spans="1:9" x14ac:dyDescent="0.55000000000000004">
      <c r="H1" t="s">
        <v>35</v>
      </c>
      <c r="I1" t="s">
        <v>36</v>
      </c>
    </row>
    <row r="2" spans="1:9" ht="14.7" thickBot="1" x14ac:dyDescent="0.6">
      <c r="A2">
        <v>2020</v>
      </c>
      <c r="B2" s="1" t="s">
        <v>69</v>
      </c>
      <c r="H2" s="11">
        <f>H3-1</f>
        <v>43830</v>
      </c>
      <c r="I2" s="14" t="str">
        <f>_xlfn.XLOOKUP(B2,'Special Day Types'!A:A,'Special Day Types'!B:B,"",0)</f>
        <v>Y-1</v>
      </c>
    </row>
    <row r="3" spans="1:9" ht="14.7" thickBot="1" x14ac:dyDescent="0.6">
      <c r="A3">
        <v>2020</v>
      </c>
      <c r="B3" s="1" t="s">
        <v>0</v>
      </c>
      <c r="C3" s="1" t="s">
        <v>1</v>
      </c>
      <c r="D3" s="2">
        <v>44562</v>
      </c>
      <c r="E3" s="3" t="s">
        <v>2</v>
      </c>
      <c r="F3">
        <f>DAY(D3)</f>
        <v>1</v>
      </c>
      <c r="G3">
        <f>MONTH(D3)</f>
        <v>1</v>
      </c>
      <c r="H3" s="11">
        <f>DATE(A3,G3,F3)</f>
        <v>43831</v>
      </c>
      <c r="I3" s="14" t="str">
        <f>_xlfn.XLOOKUP(B3,'Special Day Types'!A:A,'Special Day Types'!B:B,"",0)</f>
        <v>Y</v>
      </c>
    </row>
    <row r="4" spans="1:9" ht="14.7" thickBot="1" x14ac:dyDescent="0.6">
      <c r="B4" s="1" t="s">
        <v>70</v>
      </c>
      <c r="C4" s="1"/>
      <c r="D4" s="2"/>
      <c r="E4" s="3"/>
      <c r="H4" s="11">
        <f>H3+1</f>
        <v>43832</v>
      </c>
      <c r="I4" s="14" t="str">
        <f>_xlfn.XLOOKUP(B4,'Special Day Types'!A:A,'Special Day Types'!B:B,"",0)</f>
        <v>Y+1</v>
      </c>
    </row>
    <row r="5" spans="1:9" ht="15.3" thickBot="1" x14ac:dyDescent="0.6">
      <c r="A5">
        <v>2020</v>
      </c>
      <c r="B5" s="4" t="s">
        <v>3</v>
      </c>
      <c r="C5" s="4" t="s">
        <v>1</v>
      </c>
      <c r="D5" s="5">
        <v>44674</v>
      </c>
      <c r="E5" s="6" t="s">
        <v>4</v>
      </c>
      <c r="F5">
        <f t="shared" ref="F5:F26" si="0">DAY(D5)</f>
        <v>23</v>
      </c>
      <c r="G5">
        <f t="shared" ref="G5:G26" si="1">MONTH(D5)</f>
        <v>4</v>
      </c>
      <c r="H5" s="11">
        <f t="shared" ref="H5:H26" si="2">DATE(A5,G5,F5)</f>
        <v>43944</v>
      </c>
      <c r="I5" s="14" t="str">
        <f>_xlfn.XLOOKUP(B5,'Special Day Types'!A:A,'Special Day Types'!B:B,"",0)</f>
        <v>T</v>
      </c>
    </row>
    <row r="6" spans="1:9" ht="15.3" thickBot="1" x14ac:dyDescent="0.6">
      <c r="A6">
        <v>2020</v>
      </c>
      <c r="B6" s="1" t="s">
        <v>5</v>
      </c>
      <c r="C6" s="1" t="s">
        <v>1</v>
      </c>
      <c r="D6" s="2">
        <v>44682</v>
      </c>
      <c r="E6" s="3" t="s">
        <v>6</v>
      </c>
      <c r="F6">
        <f t="shared" si="0"/>
        <v>1</v>
      </c>
      <c r="G6">
        <f t="shared" si="1"/>
        <v>5</v>
      </c>
      <c r="H6" s="11">
        <f t="shared" si="2"/>
        <v>43952</v>
      </c>
      <c r="I6" s="14" t="str">
        <f>_xlfn.XLOOKUP(B6,'Special Day Types'!A:A,'Special Day Types'!B:B,"",0)</f>
        <v>T</v>
      </c>
    </row>
    <row r="7" spans="1:9" ht="22.8" thickBot="1" x14ac:dyDescent="0.6">
      <c r="A7">
        <v>2020</v>
      </c>
      <c r="B7" s="4" t="s">
        <v>7</v>
      </c>
      <c r="C7" s="4" t="s">
        <v>1</v>
      </c>
      <c r="D7" s="5">
        <v>44700</v>
      </c>
      <c r="E7" s="6" t="s">
        <v>8</v>
      </c>
      <c r="F7">
        <f t="shared" si="0"/>
        <v>19</v>
      </c>
      <c r="G7">
        <f t="shared" si="1"/>
        <v>5</v>
      </c>
      <c r="H7" s="11">
        <f t="shared" si="2"/>
        <v>43970</v>
      </c>
      <c r="I7" s="14" t="str">
        <f>_xlfn.XLOOKUP(B7,'Special Day Types'!A:A,'Special Day Types'!B:B,"",0)</f>
        <v>T</v>
      </c>
    </row>
    <row r="8" spans="1:9" ht="15.3" thickBot="1" x14ac:dyDescent="0.6">
      <c r="B8" s="1" t="s">
        <v>45</v>
      </c>
      <c r="C8" s="4"/>
      <c r="D8" s="5"/>
      <c r="E8" s="6"/>
      <c r="H8" s="11">
        <v>43972</v>
      </c>
      <c r="I8" s="14" t="str">
        <f>_xlfn.XLOOKUP(B8,'Special Day Types'!A:A,'Special Day Types'!B:B,"",0)</f>
        <v>RBA-2</v>
      </c>
    </row>
    <row r="9" spans="1:9" ht="15.3" thickBot="1" x14ac:dyDescent="0.6">
      <c r="B9" s="1" t="s">
        <v>44</v>
      </c>
      <c r="C9" s="4"/>
      <c r="D9" s="5"/>
      <c r="E9" s="6"/>
      <c r="H9" s="11">
        <v>43973</v>
      </c>
      <c r="I9" s="14" t="str">
        <f>_xlfn.XLOOKUP(B9,'Special Day Types'!A:A,'Special Day Types'!B:B,"",0)</f>
        <v>RBA-1</v>
      </c>
    </row>
    <row r="10" spans="1:9" ht="15.3" thickBot="1" x14ac:dyDescent="0.6">
      <c r="A10">
        <v>2020</v>
      </c>
      <c r="B10" s="1" t="s">
        <v>9</v>
      </c>
      <c r="C10" s="1" t="s">
        <v>10</v>
      </c>
      <c r="D10" s="2">
        <v>44704</v>
      </c>
      <c r="E10" s="3" t="s">
        <v>11</v>
      </c>
      <c r="F10">
        <f t="shared" si="0"/>
        <v>23</v>
      </c>
      <c r="G10">
        <f t="shared" si="1"/>
        <v>5</v>
      </c>
      <c r="H10" s="11">
        <f t="shared" si="2"/>
        <v>43974</v>
      </c>
      <c r="I10" s="14" t="str">
        <f>_xlfn.XLOOKUP(B10,'Special Day Types'!A:A,'Special Day Types'!B:B,"",0)</f>
        <v>RBA</v>
      </c>
    </row>
    <row r="11" spans="1:9" ht="14.7" thickBot="1" x14ac:dyDescent="0.6">
      <c r="A11">
        <v>2020</v>
      </c>
      <c r="B11" s="1" t="s">
        <v>37</v>
      </c>
      <c r="C11" s="4" t="s">
        <v>12</v>
      </c>
      <c r="D11" s="5">
        <v>44705</v>
      </c>
      <c r="E11" s="6" t="s">
        <v>13</v>
      </c>
      <c r="F11">
        <f t="shared" si="0"/>
        <v>24</v>
      </c>
      <c r="G11">
        <f t="shared" si="1"/>
        <v>5</v>
      </c>
      <c r="H11" s="11">
        <f t="shared" si="2"/>
        <v>43975</v>
      </c>
      <c r="I11" s="14" t="str">
        <f>_xlfn.XLOOKUP(B11,'Special Day Types'!A:A,'Special Day Types'!B:B,"",0)</f>
        <v>RB1</v>
      </c>
    </row>
    <row r="12" spans="1:9" ht="14.7" thickBot="1" x14ac:dyDescent="0.6">
      <c r="A12">
        <v>2020</v>
      </c>
      <c r="B12" s="4" t="s">
        <v>38</v>
      </c>
      <c r="C12" s="1" t="s">
        <v>14</v>
      </c>
      <c r="D12" s="2">
        <v>44706</v>
      </c>
      <c r="E12" s="3" t="s">
        <v>15</v>
      </c>
      <c r="F12">
        <f t="shared" si="0"/>
        <v>25</v>
      </c>
      <c r="G12">
        <f t="shared" si="1"/>
        <v>5</v>
      </c>
      <c r="H12" s="11">
        <f t="shared" si="2"/>
        <v>43976</v>
      </c>
      <c r="I12" s="14" t="str">
        <f>_xlfn.XLOOKUP(B12,'Special Day Types'!A:A,'Special Day Types'!B:B,"",0)</f>
        <v>RB2</v>
      </c>
    </row>
    <row r="13" spans="1:9" ht="14.7" thickBot="1" x14ac:dyDescent="0.6">
      <c r="A13">
        <v>2020</v>
      </c>
      <c r="B13" s="1" t="s">
        <v>39</v>
      </c>
      <c r="C13" s="4" t="s">
        <v>16</v>
      </c>
      <c r="D13" s="5">
        <v>44707</v>
      </c>
      <c r="E13" s="6" t="s">
        <v>8</v>
      </c>
      <c r="F13">
        <f t="shared" si="0"/>
        <v>26</v>
      </c>
      <c r="G13">
        <f t="shared" si="1"/>
        <v>5</v>
      </c>
      <c r="H13" s="11">
        <f t="shared" si="2"/>
        <v>43977</v>
      </c>
      <c r="I13" s="14" t="str">
        <f>_xlfn.XLOOKUP(B13,'Special Day Types'!A:A,'Special Day Types'!B:B,"",0)</f>
        <v>RB3</v>
      </c>
    </row>
    <row r="14" spans="1:9" ht="14.7" thickBot="1" x14ac:dyDescent="0.6">
      <c r="B14" s="1" t="s">
        <v>46</v>
      </c>
      <c r="C14" s="4"/>
      <c r="D14" s="5"/>
      <c r="E14" s="6"/>
      <c r="H14" s="11">
        <v>43978</v>
      </c>
      <c r="I14" s="14" t="str">
        <f>_xlfn.XLOOKUP(B14,'Special Day Types'!A:A,'Special Day Types'!B:B,"",0)</f>
        <v>RB+1</v>
      </c>
    </row>
    <row r="15" spans="1:9" ht="14.7" thickBot="1" x14ac:dyDescent="0.6">
      <c r="B15" s="1" t="s">
        <v>47</v>
      </c>
      <c r="C15" s="4"/>
      <c r="D15" s="5"/>
      <c r="E15" s="6"/>
      <c r="H15" s="11">
        <v>43979</v>
      </c>
      <c r="I15" s="14" t="str">
        <f>_xlfn.XLOOKUP(B15,'Special Day Types'!A:A,'Special Day Types'!B:B,"",0)</f>
        <v>RB+2</v>
      </c>
    </row>
    <row r="16" spans="1:9" ht="14.7" thickBot="1" x14ac:dyDescent="0.6">
      <c r="A16">
        <v>2020</v>
      </c>
      <c r="B16" s="1" t="s">
        <v>17</v>
      </c>
      <c r="C16" s="1" t="s">
        <v>1</v>
      </c>
      <c r="D16" s="2">
        <v>44757</v>
      </c>
      <c r="E16" s="3" t="s">
        <v>2</v>
      </c>
      <c r="F16">
        <f t="shared" si="0"/>
        <v>15</v>
      </c>
      <c r="G16">
        <f t="shared" si="1"/>
        <v>7</v>
      </c>
      <c r="H16" s="11">
        <f t="shared" si="2"/>
        <v>44027</v>
      </c>
      <c r="I16" s="14" t="str">
        <f>_xlfn.XLOOKUP(B16,'Special Day Types'!A:A,'Special Day Types'!B:B,"",0)</f>
        <v>T</v>
      </c>
    </row>
    <row r="17" spans="1:9" ht="15.3" thickBot="1" x14ac:dyDescent="0.6">
      <c r="A17">
        <v>2020</v>
      </c>
      <c r="B17" s="4" t="s">
        <v>18</v>
      </c>
      <c r="C17" s="4" t="s">
        <v>10</v>
      </c>
      <c r="D17" s="5">
        <v>44772</v>
      </c>
      <c r="E17" s="6" t="s">
        <v>4</v>
      </c>
      <c r="F17">
        <f t="shared" si="0"/>
        <v>30</v>
      </c>
      <c r="G17">
        <f t="shared" si="1"/>
        <v>7</v>
      </c>
      <c r="H17" s="11">
        <f t="shared" si="2"/>
        <v>44042</v>
      </c>
      <c r="I17" s="14" t="str">
        <f>_xlfn.XLOOKUP(B17,'Special Day Types'!A:A,'Special Day Types'!B:B,"",0)</f>
        <v>KBA</v>
      </c>
    </row>
    <row r="18" spans="1:9" ht="14.7" thickBot="1" x14ac:dyDescent="0.6">
      <c r="A18">
        <v>2020</v>
      </c>
      <c r="B18" s="4" t="s">
        <v>40</v>
      </c>
      <c r="C18" s="1" t="s">
        <v>12</v>
      </c>
      <c r="D18" s="2">
        <v>44773</v>
      </c>
      <c r="E18" s="3" t="s">
        <v>6</v>
      </c>
      <c r="F18">
        <f t="shared" si="0"/>
        <v>31</v>
      </c>
      <c r="G18">
        <f t="shared" si="1"/>
        <v>7</v>
      </c>
      <c r="H18" s="11">
        <f t="shared" si="2"/>
        <v>44043</v>
      </c>
      <c r="I18" s="14" t="str">
        <f>_xlfn.XLOOKUP(B18,'Special Day Types'!A:A,'Special Day Types'!B:B,"",0)</f>
        <v>KB1</v>
      </c>
    </row>
    <row r="19" spans="1:9" ht="14.7" thickBot="1" x14ac:dyDescent="0.6">
      <c r="A19">
        <v>2020</v>
      </c>
      <c r="B19" s="1" t="s">
        <v>41</v>
      </c>
      <c r="C19" s="4" t="s">
        <v>14</v>
      </c>
      <c r="D19" s="5">
        <v>44774</v>
      </c>
      <c r="E19" s="6" t="s">
        <v>11</v>
      </c>
      <c r="F19">
        <f t="shared" si="0"/>
        <v>1</v>
      </c>
      <c r="G19">
        <f t="shared" si="1"/>
        <v>8</v>
      </c>
      <c r="H19" s="11">
        <f t="shared" si="2"/>
        <v>44044</v>
      </c>
      <c r="I19" s="14" t="str">
        <f>_xlfn.XLOOKUP(B19,'Special Day Types'!A:A,'Special Day Types'!B:B,"",0)</f>
        <v>KB2</v>
      </c>
    </row>
    <row r="20" spans="1:9" ht="14.7" thickBot="1" x14ac:dyDescent="0.6">
      <c r="A20">
        <v>2020</v>
      </c>
      <c r="B20" s="4" t="s">
        <v>42</v>
      </c>
      <c r="C20" s="1" t="s">
        <v>16</v>
      </c>
      <c r="D20" s="2">
        <v>44775</v>
      </c>
      <c r="E20" s="3" t="s">
        <v>13</v>
      </c>
      <c r="F20">
        <f t="shared" si="0"/>
        <v>2</v>
      </c>
      <c r="G20">
        <f t="shared" si="1"/>
        <v>8</v>
      </c>
      <c r="H20" s="11">
        <f t="shared" si="2"/>
        <v>44045</v>
      </c>
      <c r="I20" s="14" t="str">
        <f>_xlfn.XLOOKUP(B20,'Special Day Types'!A:A,'Special Day Types'!B:B,"",0)</f>
        <v>KB3</v>
      </c>
    </row>
    <row r="21" spans="1:9" ht="14.7" thickBot="1" x14ac:dyDescent="0.6">
      <c r="A21">
        <v>2020</v>
      </c>
      <c r="B21" s="1" t="s">
        <v>43</v>
      </c>
      <c r="C21" s="4" t="s">
        <v>19</v>
      </c>
      <c r="D21" s="5">
        <v>44776</v>
      </c>
      <c r="E21" s="6" t="s">
        <v>15</v>
      </c>
      <c r="F21">
        <f t="shared" si="0"/>
        <v>3</v>
      </c>
      <c r="G21">
        <f t="shared" si="1"/>
        <v>8</v>
      </c>
      <c r="H21" s="11">
        <f t="shared" si="2"/>
        <v>44046</v>
      </c>
      <c r="I21" s="14" t="str">
        <f>_xlfn.XLOOKUP(B21,'Special Day Types'!A:A,'Special Day Types'!B:B,"",0)</f>
        <v>KB4</v>
      </c>
    </row>
    <row r="22" spans="1:9" ht="14.7" thickBot="1" x14ac:dyDescent="0.6">
      <c r="B22" s="4" t="s">
        <v>71</v>
      </c>
      <c r="C22" s="4"/>
      <c r="D22" s="5"/>
      <c r="E22" s="6"/>
      <c r="H22" s="11">
        <v>44047</v>
      </c>
      <c r="I22" s="14" t="str">
        <f>_xlfn.XLOOKUP(B22,'Special Day Types'!A:A,'Special Day Types'!B:B,"",0)</f>
        <v>KB+1</v>
      </c>
    </row>
    <row r="23" spans="1:9" ht="14.7" thickBot="1" x14ac:dyDescent="0.6">
      <c r="B23" s="4" t="s">
        <v>72</v>
      </c>
      <c r="C23" s="4"/>
      <c r="D23" s="5"/>
      <c r="E23" s="6"/>
      <c r="H23" s="11">
        <v>44048</v>
      </c>
      <c r="I23" s="14" t="str">
        <f>_xlfn.XLOOKUP(B23,'Special Day Types'!A:A,'Special Day Types'!B:B,"",0)</f>
        <v>KB+2</v>
      </c>
    </row>
    <row r="24" spans="1:9" ht="14.7" thickBot="1" x14ac:dyDescent="0.6">
      <c r="A24">
        <v>2020</v>
      </c>
      <c r="B24" s="1" t="s">
        <v>20</v>
      </c>
      <c r="C24" s="1" t="s">
        <v>1</v>
      </c>
      <c r="D24" s="2">
        <v>44803</v>
      </c>
      <c r="E24" s="3" t="s">
        <v>13</v>
      </c>
      <c r="F24">
        <f t="shared" si="0"/>
        <v>30</v>
      </c>
      <c r="G24">
        <f t="shared" si="1"/>
        <v>8</v>
      </c>
      <c r="H24" s="11">
        <f t="shared" si="2"/>
        <v>44073</v>
      </c>
      <c r="I24" s="14" t="str">
        <f>_xlfn.XLOOKUP(B24,'Special Day Types'!A:A,'Special Day Types'!B:B,"",0)</f>
        <v>T</v>
      </c>
    </row>
    <row r="25" spans="1:9" ht="14.7" thickBot="1" x14ac:dyDescent="0.6">
      <c r="A25">
        <v>2020</v>
      </c>
      <c r="B25" s="9" t="s">
        <v>21</v>
      </c>
      <c r="C25" s="10" t="s">
        <v>22</v>
      </c>
      <c r="D25" s="8">
        <v>44862</v>
      </c>
      <c r="E25" s="7" t="s">
        <v>2</v>
      </c>
      <c r="F25">
        <f t="shared" si="0"/>
        <v>28</v>
      </c>
      <c r="G25">
        <f t="shared" si="1"/>
        <v>10</v>
      </c>
      <c r="H25" s="11">
        <f t="shared" si="2"/>
        <v>44132</v>
      </c>
      <c r="I25" s="14" t="str">
        <f>_xlfn.XLOOKUP(B25,'Special Day Types'!A:A,'Special Day Types'!B:B,"",0)</f>
        <v>T</v>
      </c>
    </row>
    <row r="26" spans="1:9" x14ac:dyDescent="0.55000000000000004">
      <c r="A26">
        <v>2020</v>
      </c>
      <c r="B26" s="9" t="s">
        <v>21</v>
      </c>
      <c r="C26" s="10" t="s">
        <v>22</v>
      </c>
      <c r="D26" s="8">
        <v>44863</v>
      </c>
      <c r="E26" s="7" t="s">
        <v>4</v>
      </c>
      <c r="F26">
        <f t="shared" si="0"/>
        <v>29</v>
      </c>
      <c r="G26">
        <f t="shared" si="1"/>
        <v>10</v>
      </c>
      <c r="H26" s="11">
        <f t="shared" si="2"/>
        <v>44133</v>
      </c>
      <c r="I26" s="14" t="str">
        <f>_xlfn.XLOOKUP(B26,'Special Day Types'!A:A,'Special Day Types'!B:B,"",0)</f>
        <v>T</v>
      </c>
    </row>
    <row r="27" spans="1:9" s="15" customFormat="1" x14ac:dyDescent="0.55000000000000004">
      <c r="B27" s="20"/>
      <c r="C27" s="20"/>
      <c r="D27" s="21"/>
      <c r="E27" s="16"/>
      <c r="H27" s="17"/>
      <c r="I27" s="18"/>
    </row>
    <row r="28" spans="1:9" s="15" customFormat="1" x14ac:dyDescent="0.55000000000000004">
      <c r="B28" s="20"/>
      <c r="C28" s="20"/>
      <c r="D28" s="21"/>
      <c r="E28" s="16"/>
      <c r="H28" s="17"/>
      <c r="I28" s="18"/>
    </row>
    <row r="29" spans="1:9" s="19" customFormat="1" ht="14.7" thickBot="1" x14ac:dyDescent="0.6">
      <c r="A29">
        <v>2021</v>
      </c>
      <c r="B29" s="1" t="s">
        <v>69</v>
      </c>
      <c r="C29" s="20"/>
      <c r="D29" s="21"/>
      <c r="E29" s="22"/>
      <c r="H29" s="23">
        <f>H30-1</f>
        <v>44196</v>
      </c>
      <c r="I29" s="24" t="str">
        <f>_xlfn.XLOOKUP(B29,'Special Day Types'!A:A,'Special Day Types'!B:B,"",0)</f>
        <v>Y-1</v>
      </c>
    </row>
    <row r="30" spans="1:9" ht="14.7" thickBot="1" x14ac:dyDescent="0.6">
      <c r="A30">
        <v>2021</v>
      </c>
      <c r="B30" s="1" t="s">
        <v>0</v>
      </c>
      <c r="C30" s="1" t="s">
        <v>1</v>
      </c>
      <c r="D30" s="2">
        <v>44562</v>
      </c>
      <c r="E30" s="3" t="s">
        <v>6</v>
      </c>
      <c r="F30">
        <f t="shared" ref="F30:F53" si="3">DAY(D30)</f>
        <v>1</v>
      </c>
      <c r="G30">
        <f t="shared" ref="G30:G53" si="4">MONTH(D30)</f>
        <v>1</v>
      </c>
      <c r="H30" s="11">
        <f t="shared" ref="H30:H53" si="5">DATE(A30,G30,F30)</f>
        <v>44197</v>
      </c>
      <c r="I30" s="14" t="str">
        <f>_xlfn.XLOOKUP(B30,'Special Day Types'!A:A,'Special Day Types'!B:B,"",0)</f>
        <v>Y</v>
      </c>
    </row>
    <row r="31" spans="1:9" ht="14.7" thickBot="1" x14ac:dyDescent="0.6">
      <c r="A31">
        <v>2021</v>
      </c>
      <c r="B31" s="1" t="s">
        <v>70</v>
      </c>
      <c r="C31" s="1"/>
      <c r="D31" s="2"/>
      <c r="E31" s="3"/>
      <c r="H31" s="11">
        <f>H30+1</f>
        <v>44198</v>
      </c>
      <c r="I31" s="14" t="str">
        <f>_xlfn.XLOOKUP(B31,'Special Day Types'!A:A,'Special Day Types'!B:B,"",0)</f>
        <v>Y+1</v>
      </c>
    </row>
    <row r="32" spans="1:9" ht="15.3" thickBot="1" x14ac:dyDescent="0.6">
      <c r="A32">
        <v>2021</v>
      </c>
      <c r="B32" s="4" t="s">
        <v>3</v>
      </c>
      <c r="C32" s="4" t="s">
        <v>1</v>
      </c>
      <c r="D32" s="5">
        <v>44674</v>
      </c>
      <c r="E32" s="6" t="s">
        <v>6</v>
      </c>
      <c r="F32">
        <f t="shared" si="3"/>
        <v>23</v>
      </c>
      <c r="G32">
        <f t="shared" si="4"/>
        <v>4</v>
      </c>
      <c r="H32" s="11">
        <f t="shared" si="5"/>
        <v>44309</v>
      </c>
      <c r="I32" s="14" t="str">
        <f>_xlfn.XLOOKUP(B32,'Special Day Types'!A:A,'Special Day Types'!B:B,"",0)</f>
        <v>T</v>
      </c>
    </row>
    <row r="33" spans="1:9" ht="15.3" thickBot="1" x14ac:dyDescent="0.6">
      <c r="A33">
        <v>2021</v>
      </c>
      <c r="B33" s="1" t="s">
        <v>5</v>
      </c>
      <c r="C33" s="1" t="s">
        <v>1</v>
      </c>
      <c r="D33" s="2">
        <v>44682</v>
      </c>
      <c r="E33" s="3" t="s">
        <v>11</v>
      </c>
      <c r="F33">
        <f t="shared" si="3"/>
        <v>1</v>
      </c>
      <c r="G33">
        <f t="shared" si="4"/>
        <v>5</v>
      </c>
      <c r="H33" s="11">
        <f t="shared" si="5"/>
        <v>44317</v>
      </c>
      <c r="I33" s="14" t="str">
        <f>_xlfn.XLOOKUP(B33,'Special Day Types'!A:A,'Special Day Types'!B:B,"",0)</f>
        <v>T</v>
      </c>
    </row>
    <row r="34" spans="1:9" ht="15.3" thickBot="1" x14ac:dyDescent="0.6">
      <c r="B34" s="4" t="s">
        <v>45</v>
      </c>
      <c r="C34" s="1"/>
      <c r="D34" s="2"/>
      <c r="E34" s="3"/>
      <c r="H34" s="11">
        <f>H36-2</f>
        <v>44326</v>
      </c>
      <c r="I34" s="14" t="str">
        <f>_xlfn.XLOOKUP(B34,'Special Day Types'!A:A,'Special Day Types'!B:B,"",0)</f>
        <v>RBA-2</v>
      </c>
    </row>
    <row r="35" spans="1:9" ht="15.3" thickBot="1" x14ac:dyDescent="0.6">
      <c r="B35" s="4" t="s">
        <v>44</v>
      </c>
      <c r="C35" s="1"/>
      <c r="D35" s="2"/>
      <c r="E35" s="3"/>
      <c r="H35" s="11">
        <f>H36-1</f>
        <v>44327</v>
      </c>
      <c r="I35" s="14" t="str">
        <f>_xlfn.XLOOKUP(B35,'Special Day Types'!A:A,'Special Day Types'!B:B,"",0)</f>
        <v>RBA-1</v>
      </c>
    </row>
    <row r="36" spans="1:9" ht="15.3" thickBot="1" x14ac:dyDescent="0.6">
      <c r="A36">
        <v>2021</v>
      </c>
      <c r="B36" s="4" t="s">
        <v>9</v>
      </c>
      <c r="C36" s="4" t="s">
        <v>10</v>
      </c>
      <c r="D36" s="5">
        <v>44693</v>
      </c>
      <c r="E36" s="6" t="s">
        <v>2</v>
      </c>
      <c r="F36">
        <f t="shared" si="3"/>
        <v>12</v>
      </c>
      <c r="G36">
        <f t="shared" si="4"/>
        <v>5</v>
      </c>
      <c r="H36" s="11">
        <f t="shared" si="5"/>
        <v>44328</v>
      </c>
      <c r="I36" s="14" t="str">
        <f>_xlfn.XLOOKUP(B36,'Special Day Types'!A:A,'Special Day Types'!B:B,"",0)</f>
        <v>RBA</v>
      </c>
    </row>
    <row r="37" spans="1:9" ht="14.7" thickBot="1" x14ac:dyDescent="0.6">
      <c r="A37">
        <v>2021</v>
      </c>
      <c r="B37" s="1" t="s">
        <v>37</v>
      </c>
      <c r="C37" s="1" t="s">
        <v>12</v>
      </c>
      <c r="D37" s="2">
        <v>44694</v>
      </c>
      <c r="E37" s="3" t="s">
        <v>4</v>
      </c>
      <c r="F37">
        <f t="shared" si="3"/>
        <v>13</v>
      </c>
      <c r="G37">
        <f t="shared" si="4"/>
        <v>5</v>
      </c>
      <c r="H37" s="11">
        <f t="shared" si="5"/>
        <v>44329</v>
      </c>
      <c r="I37" s="14" t="str">
        <f>_xlfn.XLOOKUP(B37,'Special Day Types'!A:A,'Special Day Types'!B:B,"",0)</f>
        <v>RB1</v>
      </c>
    </row>
    <row r="38" spans="1:9" ht="14.7" thickBot="1" x14ac:dyDescent="0.6">
      <c r="A38">
        <v>2021</v>
      </c>
      <c r="B38" s="4" t="s">
        <v>38</v>
      </c>
      <c r="C38" s="4" t="s">
        <v>14</v>
      </c>
      <c r="D38" s="5">
        <v>44695</v>
      </c>
      <c r="E38" s="6" t="s">
        <v>6</v>
      </c>
      <c r="F38">
        <f t="shared" si="3"/>
        <v>14</v>
      </c>
      <c r="G38">
        <f t="shared" si="4"/>
        <v>5</v>
      </c>
      <c r="H38" s="11">
        <f t="shared" si="5"/>
        <v>44330</v>
      </c>
      <c r="I38" s="14" t="str">
        <f>_xlfn.XLOOKUP(B38,'Special Day Types'!A:A,'Special Day Types'!B:B,"",0)</f>
        <v>RB2</v>
      </c>
    </row>
    <row r="39" spans="1:9" ht="14.7" thickBot="1" x14ac:dyDescent="0.6">
      <c r="A39">
        <v>2021</v>
      </c>
      <c r="B39" s="1" t="s">
        <v>39</v>
      </c>
      <c r="C39" s="1" t="s">
        <v>16</v>
      </c>
      <c r="D39" s="2">
        <v>44696</v>
      </c>
      <c r="E39" s="3" t="s">
        <v>11</v>
      </c>
      <c r="F39">
        <f t="shared" si="3"/>
        <v>15</v>
      </c>
      <c r="G39">
        <f t="shared" si="4"/>
        <v>5</v>
      </c>
      <c r="H39" s="11">
        <f t="shared" si="5"/>
        <v>44331</v>
      </c>
      <c r="I39" s="14" t="str">
        <f>_xlfn.XLOOKUP(B39,'Special Day Types'!A:A,'Special Day Types'!B:B,"",0)</f>
        <v>RB3</v>
      </c>
    </row>
    <row r="40" spans="1:9" ht="14.7" thickBot="1" x14ac:dyDescent="0.6">
      <c r="B40" s="1" t="s">
        <v>46</v>
      </c>
      <c r="C40" s="1"/>
      <c r="D40" s="2"/>
      <c r="E40" s="3"/>
      <c r="H40" s="11">
        <v>44332</v>
      </c>
      <c r="I40" s="14" t="str">
        <f>_xlfn.XLOOKUP(B40,'Special Day Types'!A:A,'Special Day Types'!B:B,"",0)</f>
        <v>RB+1</v>
      </c>
    </row>
    <row r="41" spans="1:9" ht="14.7" thickBot="1" x14ac:dyDescent="0.6">
      <c r="B41" s="1" t="s">
        <v>47</v>
      </c>
      <c r="C41" s="1"/>
      <c r="D41" s="2"/>
      <c r="E41" s="3"/>
      <c r="H41" s="11">
        <v>44333</v>
      </c>
      <c r="I41" s="14" t="str">
        <f>_xlfn.XLOOKUP(B41,'Special Day Types'!A:A,'Special Day Types'!B:B,"",0)</f>
        <v>RB+2</v>
      </c>
    </row>
    <row r="42" spans="1:9" ht="22.8" thickBot="1" x14ac:dyDescent="0.6">
      <c r="A42">
        <v>2021</v>
      </c>
      <c r="B42" s="4" t="s">
        <v>7</v>
      </c>
      <c r="C42" s="4" t="s">
        <v>1</v>
      </c>
      <c r="D42" s="5">
        <v>44700</v>
      </c>
      <c r="E42" s="6" t="s">
        <v>2</v>
      </c>
      <c r="F42">
        <f t="shared" si="3"/>
        <v>19</v>
      </c>
      <c r="G42">
        <f t="shared" si="4"/>
        <v>5</v>
      </c>
      <c r="H42" s="11">
        <f t="shared" si="5"/>
        <v>44335</v>
      </c>
      <c r="I42" s="14" t="str">
        <f>_xlfn.XLOOKUP(B42,'Special Day Types'!A:A,'Special Day Types'!B:B,"",0)</f>
        <v>T</v>
      </c>
    </row>
    <row r="43" spans="1:9" ht="14.7" thickBot="1" x14ac:dyDescent="0.6">
      <c r="A43">
        <v>2021</v>
      </c>
      <c r="B43" s="1" t="s">
        <v>17</v>
      </c>
      <c r="C43" s="1" t="s">
        <v>1</v>
      </c>
      <c r="D43" s="2">
        <v>44757</v>
      </c>
      <c r="E43" s="3" t="s">
        <v>4</v>
      </c>
      <c r="F43">
        <f t="shared" si="3"/>
        <v>15</v>
      </c>
      <c r="G43">
        <f t="shared" si="4"/>
        <v>7</v>
      </c>
      <c r="H43" s="11">
        <f t="shared" si="5"/>
        <v>44392</v>
      </c>
      <c r="I43" s="14" t="str">
        <f>_xlfn.XLOOKUP(B43,'Special Day Types'!A:A,'Special Day Types'!B:B,"",0)</f>
        <v>T</v>
      </c>
    </row>
    <row r="44" spans="1:9" ht="15.3" thickBot="1" x14ac:dyDescent="0.6">
      <c r="B44" s="4" t="s">
        <v>49</v>
      </c>
      <c r="C44" s="1"/>
      <c r="D44" s="2"/>
      <c r="E44" s="3"/>
      <c r="H44" s="11">
        <v>44394</v>
      </c>
      <c r="I44" s="14" t="str">
        <f>_xlfn.XLOOKUP(B44,'Special Day Types'!A:A,'Special Day Types'!B:B,"",0)</f>
        <v>KBA-2</v>
      </c>
    </row>
    <row r="45" spans="1:9" ht="15.3" thickBot="1" x14ac:dyDescent="0.6">
      <c r="B45" s="4" t="s">
        <v>50</v>
      </c>
      <c r="C45" s="1"/>
      <c r="D45" s="2"/>
      <c r="E45" s="3"/>
      <c r="H45" s="11">
        <v>44395</v>
      </c>
      <c r="I45" s="14" t="str">
        <f>_xlfn.XLOOKUP(B45,'Special Day Types'!A:A,'Special Day Types'!B:B,"",0)</f>
        <v>KBA-1</v>
      </c>
    </row>
    <row r="46" spans="1:9" ht="15.3" thickBot="1" x14ac:dyDescent="0.6">
      <c r="A46">
        <v>2021</v>
      </c>
      <c r="B46" s="4" t="s">
        <v>18</v>
      </c>
      <c r="C46" s="4" t="s">
        <v>10</v>
      </c>
      <c r="D46" s="5">
        <v>44761</v>
      </c>
      <c r="E46" s="6" t="s">
        <v>15</v>
      </c>
      <c r="F46">
        <f t="shared" si="3"/>
        <v>19</v>
      </c>
      <c r="G46">
        <f t="shared" si="4"/>
        <v>7</v>
      </c>
      <c r="H46" s="11">
        <f t="shared" si="5"/>
        <v>44396</v>
      </c>
      <c r="I46" s="14" t="str">
        <f>_xlfn.XLOOKUP(B46,'Special Day Types'!A:A,'Special Day Types'!B:B,"",0)</f>
        <v>KBA</v>
      </c>
    </row>
    <row r="47" spans="1:9" ht="14.7" thickBot="1" x14ac:dyDescent="0.6">
      <c r="A47">
        <v>2021</v>
      </c>
      <c r="B47" s="4" t="s">
        <v>40</v>
      </c>
      <c r="C47" s="1" t="s">
        <v>12</v>
      </c>
      <c r="D47" s="2">
        <v>44762</v>
      </c>
      <c r="E47" s="3" t="s">
        <v>8</v>
      </c>
      <c r="F47">
        <f t="shared" si="3"/>
        <v>20</v>
      </c>
      <c r="G47">
        <f t="shared" si="4"/>
        <v>7</v>
      </c>
      <c r="H47" s="11">
        <f t="shared" si="5"/>
        <v>44397</v>
      </c>
      <c r="I47" s="14" t="str">
        <f>_xlfn.XLOOKUP(B47,'Special Day Types'!A:A,'Special Day Types'!B:B,"",0)</f>
        <v>KB1</v>
      </c>
    </row>
    <row r="48" spans="1:9" ht="14.7" thickBot="1" x14ac:dyDescent="0.6">
      <c r="A48">
        <v>2021</v>
      </c>
      <c r="B48" s="1" t="s">
        <v>41</v>
      </c>
      <c r="C48" s="4" t="s">
        <v>14</v>
      </c>
      <c r="D48" s="5">
        <v>44763</v>
      </c>
      <c r="E48" s="6" t="s">
        <v>2</v>
      </c>
      <c r="F48">
        <f t="shared" si="3"/>
        <v>21</v>
      </c>
      <c r="G48">
        <f t="shared" si="4"/>
        <v>7</v>
      </c>
      <c r="H48" s="11">
        <f t="shared" si="5"/>
        <v>44398</v>
      </c>
      <c r="I48" s="14" t="str">
        <f>_xlfn.XLOOKUP(B48,'Special Day Types'!A:A,'Special Day Types'!B:B,"",0)</f>
        <v>KB2</v>
      </c>
    </row>
    <row r="49" spans="1:9" ht="14.7" thickBot="1" x14ac:dyDescent="0.6">
      <c r="A49">
        <v>2021</v>
      </c>
      <c r="B49" s="4" t="s">
        <v>42</v>
      </c>
      <c r="C49" s="1" t="s">
        <v>16</v>
      </c>
      <c r="D49" s="2">
        <v>44764</v>
      </c>
      <c r="E49" s="3" t="s">
        <v>4</v>
      </c>
      <c r="F49">
        <f t="shared" si="3"/>
        <v>22</v>
      </c>
      <c r="G49">
        <f t="shared" si="4"/>
        <v>7</v>
      </c>
      <c r="H49" s="11">
        <f t="shared" si="5"/>
        <v>44399</v>
      </c>
      <c r="I49" s="14" t="str">
        <f>_xlfn.XLOOKUP(B49,'Special Day Types'!A:A,'Special Day Types'!B:B,"",0)</f>
        <v>KB3</v>
      </c>
    </row>
    <row r="50" spans="1:9" ht="14.7" thickBot="1" x14ac:dyDescent="0.6">
      <c r="A50">
        <v>2021</v>
      </c>
      <c r="B50" s="1" t="s">
        <v>43</v>
      </c>
      <c r="C50" s="4" t="s">
        <v>19</v>
      </c>
      <c r="D50" s="5">
        <v>44765</v>
      </c>
      <c r="E50" s="6" t="s">
        <v>6</v>
      </c>
      <c r="F50">
        <f t="shared" si="3"/>
        <v>23</v>
      </c>
      <c r="G50">
        <f t="shared" si="4"/>
        <v>7</v>
      </c>
      <c r="H50" s="11">
        <f t="shared" si="5"/>
        <v>44400</v>
      </c>
      <c r="I50" s="14" t="str">
        <f>_xlfn.XLOOKUP(B50,'Special Day Types'!A:A,'Special Day Types'!B:B,"",0)</f>
        <v>KB4</v>
      </c>
    </row>
    <row r="51" spans="1:9" ht="14.7" thickBot="1" x14ac:dyDescent="0.6">
      <c r="B51" s="1" t="s">
        <v>71</v>
      </c>
      <c r="C51" s="4"/>
      <c r="D51" s="5"/>
      <c r="E51" s="6"/>
      <c r="H51" s="11">
        <v>44401</v>
      </c>
      <c r="I51" s="14" t="str">
        <f>_xlfn.XLOOKUP(B51,'Special Day Types'!A:A,'Special Day Types'!B:B,"",0)</f>
        <v>KB+1</v>
      </c>
    </row>
    <row r="52" spans="1:9" ht="14.7" thickBot="1" x14ac:dyDescent="0.6">
      <c r="B52" s="1" t="s">
        <v>72</v>
      </c>
      <c r="C52" s="4"/>
      <c r="D52" s="5"/>
      <c r="E52" s="6"/>
      <c r="H52" s="11">
        <v>44402</v>
      </c>
      <c r="I52" s="14" t="str">
        <f>_xlfn.XLOOKUP(B52,'Special Day Types'!A:A,'Special Day Types'!B:B,"",0)</f>
        <v>KB+2</v>
      </c>
    </row>
    <row r="53" spans="1:9" ht="14.7" thickBot="1" x14ac:dyDescent="0.6">
      <c r="A53">
        <v>2021</v>
      </c>
      <c r="B53" s="1" t="s">
        <v>20</v>
      </c>
      <c r="C53" s="1" t="s">
        <v>1</v>
      </c>
      <c r="D53" s="2">
        <v>44803</v>
      </c>
      <c r="E53" s="3" t="s">
        <v>15</v>
      </c>
      <c r="F53">
        <f t="shared" si="3"/>
        <v>30</v>
      </c>
      <c r="G53">
        <f t="shared" si="4"/>
        <v>8</v>
      </c>
      <c r="H53" s="11">
        <f t="shared" si="5"/>
        <v>44438</v>
      </c>
      <c r="I53" s="14" t="str">
        <f>_xlfn.XLOOKUP(B53,'Special Day Types'!A:A,'Special Day Types'!B:B,"",0)</f>
        <v>T</v>
      </c>
    </row>
    <row r="57" spans="1:9" ht="14.7" thickBot="1" x14ac:dyDescent="0.6">
      <c r="A57">
        <v>2022</v>
      </c>
      <c r="B57" s="1" t="s">
        <v>0</v>
      </c>
      <c r="C57" s="1" t="s">
        <v>1</v>
      </c>
      <c r="D57" s="2">
        <v>44562</v>
      </c>
      <c r="E57" s="3" t="s">
        <v>11</v>
      </c>
      <c r="F57">
        <f t="shared" ref="F57:F73" si="6">DAY(D57)</f>
        <v>1</v>
      </c>
      <c r="G57">
        <f t="shared" ref="G57:G73" si="7">MONTH(D57)</f>
        <v>1</v>
      </c>
      <c r="H57" s="11">
        <f t="shared" ref="H57:H73" si="8">DATE(A57,G57,F57)</f>
        <v>44562</v>
      </c>
      <c r="I57" s="14" t="str">
        <f>_xlfn.XLOOKUP(B57,'Special Day Types'!A:A,'Special Day Types'!B:B,"",0)</f>
        <v>Y</v>
      </c>
    </row>
    <row r="58" spans="1:9" ht="15.3" thickBot="1" x14ac:dyDescent="0.6">
      <c r="A58">
        <v>2022</v>
      </c>
      <c r="B58" s="4" t="s">
        <v>3</v>
      </c>
      <c r="C58" s="4" t="s">
        <v>1</v>
      </c>
      <c r="D58" s="5">
        <v>44674</v>
      </c>
      <c r="E58" s="6" t="s">
        <v>11</v>
      </c>
      <c r="F58">
        <f t="shared" si="6"/>
        <v>23</v>
      </c>
      <c r="G58">
        <f t="shared" si="7"/>
        <v>4</v>
      </c>
      <c r="H58" s="11">
        <f t="shared" si="8"/>
        <v>44674</v>
      </c>
      <c r="I58" s="14" t="str">
        <f>_xlfn.XLOOKUP(B58,'Special Day Types'!A:A,'Special Day Types'!B:B,"",0)</f>
        <v>T</v>
      </c>
    </row>
    <row r="59" spans="1:9" ht="15.3" thickBot="1" x14ac:dyDescent="0.6">
      <c r="A59">
        <v>2022</v>
      </c>
      <c r="B59" s="1" t="s">
        <v>5</v>
      </c>
      <c r="C59" s="1" t="s">
        <v>1</v>
      </c>
      <c r="D59" s="2">
        <v>44682</v>
      </c>
      <c r="E59" s="3" t="s">
        <v>13</v>
      </c>
      <c r="F59">
        <f t="shared" si="6"/>
        <v>1</v>
      </c>
      <c r="G59">
        <f t="shared" si="7"/>
        <v>5</v>
      </c>
      <c r="H59" s="11">
        <f t="shared" si="8"/>
        <v>44682</v>
      </c>
      <c r="I59" s="14" t="str">
        <f>_xlfn.XLOOKUP(B59,'Special Day Types'!A:A,'Special Day Types'!B:B,"",0)</f>
        <v>T</v>
      </c>
    </row>
    <row r="60" spans="1:9" ht="15.3" thickBot="1" x14ac:dyDescent="0.6">
      <c r="A60">
        <v>2022</v>
      </c>
      <c r="B60" s="4" t="s">
        <v>9</v>
      </c>
      <c r="C60" s="4" t="s">
        <v>10</v>
      </c>
      <c r="D60" s="5">
        <v>44682</v>
      </c>
      <c r="E60" s="6" t="s">
        <v>13</v>
      </c>
      <c r="F60">
        <f t="shared" si="6"/>
        <v>1</v>
      </c>
      <c r="G60">
        <f t="shared" si="7"/>
        <v>5</v>
      </c>
      <c r="H60" s="11">
        <f t="shared" si="8"/>
        <v>44682</v>
      </c>
      <c r="I60" s="14" t="str">
        <f>_xlfn.XLOOKUP(B60,'Special Day Types'!A:A,'Special Day Types'!B:B,"",0)</f>
        <v>RBA</v>
      </c>
    </row>
    <row r="61" spans="1:9" ht="14.7" thickBot="1" x14ac:dyDescent="0.6">
      <c r="A61">
        <v>2022</v>
      </c>
      <c r="B61" s="1" t="s">
        <v>37</v>
      </c>
      <c r="C61" s="1" t="s">
        <v>12</v>
      </c>
      <c r="D61" s="2">
        <v>44683</v>
      </c>
      <c r="E61" s="3" t="s">
        <v>15</v>
      </c>
      <c r="F61">
        <f t="shared" si="6"/>
        <v>2</v>
      </c>
      <c r="G61">
        <f t="shared" si="7"/>
        <v>5</v>
      </c>
      <c r="H61" s="11">
        <f t="shared" si="8"/>
        <v>44683</v>
      </c>
      <c r="I61" s="14" t="str">
        <f>_xlfn.XLOOKUP(B61,'Special Day Types'!A:A,'Special Day Types'!B:B,"",0)</f>
        <v>RB1</v>
      </c>
    </row>
    <row r="62" spans="1:9" ht="14.7" thickBot="1" x14ac:dyDescent="0.6">
      <c r="A62">
        <v>2022</v>
      </c>
      <c r="B62" s="4" t="s">
        <v>38</v>
      </c>
      <c r="C62" s="4" t="s">
        <v>14</v>
      </c>
      <c r="D62" s="5">
        <v>44684</v>
      </c>
      <c r="E62" s="6" t="s">
        <v>8</v>
      </c>
      <c r="F62">
        <f t="shared" si="6"/>
        <v>3</v>
      </c>
      <c r="G62">
        <f t="shared" si="7"/>
        <v>5</v>
      </c>
      <c r="H62" s="11">
        <f t="shared" si="8"/>
        <v>44684</v>
      </c>
      <c r="I62" s="14" t="str">
        <f>_xlfn.XLOOKUP(B62,'Special Day Types'!A:A,'Special Day Types'!B:B,"",0)</f>
        <v>RB2</v>
      </c>
    </row>
    <row r="63" spans="1:9" ht="14.7" thickBot="1" x14ac:dyDescent="0.6">
      <c r="A63">
        <v>2022</v>
      </c>
      <c r="B63" s="1" t="s">
        <v>39</v>
      </c>
      <c r="C63" s="1" t="s">
        <v>16</v>
      </c>
      <c r="D63" s="2">
        <v>44685</v>
      </c>
      <c r="E63" s="3" t="s">
        <v>2</v>
      </c>
      <c r="F63">
        <f t="shared" si="6"/>
        <v>4</v>
      </c>
      <c r="G63">
        <f t="shared" si="7"/>
        <v>5</v>
      </c>
      <c r="H63" s="11">
        <f t="shared" si="8"/>
        <v>44685</v>
      </c>
      <c r="I63" s="14" t="str">
        <f>_xlfn.XLOOKUP(B63,'Special Day Types'!A:A,'Special Day Types'!B:B,"",0)</f>
        <v>RB3</v>
      </c>
    </row>
    <row r="64" spans="1:9" ht="22.8" thickBot="1" x14ac:dyDescent="0.6">
      <c r="A64">
        <v>2022</v>
      </c>
      <c r="B64" s="4" t="s">
        <v>7</v>
      </c>
      <c r="C64" s="4" t="s">
        <v>1</v>
      </c>
      <c r="D64" s="5">
        <v>44700</v>
      </c>
      <c r="E64" s="6" t="s">
        <v>4</v>
      </c>
      <c r="F64">
        <f t="shared" si="6"/>
        <v>19</v>
      </c>
      <c r="G64">
        <f t="shared" si="7"/>
        <v>5</v>
      </c>
      <c r="H64" s="11">
        <f t="shared" si="8"/>
        <v>44700</v>
      </c>
      <c r="I64" s="14" t="str">
        <f>_xlfn.XLOOKUP(B64,'Special Day Types'!A:A,'Special Day Types'!B:B,"",0)</f>
        <v>T</v>
      </c>
    </row>
    <row r="65" spans="1:9" ht="15.3" thickBot="1" x14ac:dyDescent="0.6">
      <c r="A65">
        <v>2022</v>
      </c>
      <c r="B65" s="1" t="s">
        <v>18</v>
      </c>
      <c r="C65" s="1" t="s">
        <v>10</v>
      </c>
      <c r="D65" s="2">
        <v>44750</v>
      </c>
      <c r="E65" s="3" t="s">
        <v>6</v>
      </c>
      <c r="F65">
        <f t="shared" si="6"/>
        <v>8</v>
      </c>
      <c r="G65">
        <f t="shared" si="7"/>
        <v>7</v>
      </c>
      <c r="H65" s="11">
        <f t="shared" si="8"/>
        <v>44750</v>
      </c>
      <c r="I65" s="14" t="str">
        <f>_xlfn.XLOOKUP(B65,'Special Day Types'!A:A,'Special Day Types'!B:B,"",0)</f>
        <v>KBA</v>
      </c>
    </row>
    <row r="66" spans="1:9" ht="14.7" thickBot="1" x14ac:dyDescent="0.6">
      <c r="A66">
        <v>2022</v>
      </c>
      <c r="B66" s="4" t="s">
        <v>40</v>
      </c>
      <c r="C66" s="4" t="s">
        <v>12</v>
      </c>
      <c r="D66" s="5">
        <v>44751</v>
      </c>
      <c r="E66" s="6" t="s">
        <v>11</v>
      </c>
      <c r="F66">
        <f t="shared" si="6"/>
        <v>9</v>
      </c>
      <c r="G66">
        <f t="shared" si="7"/>
        <v>7</v>
      </c>
      <c r="H66" s="11">
        <f t="shared" si="8"/>
        <v>44751</v>
      </c>
      <c r="I66" s="14" t="str">
        <f>_xlfn.XLOOKUP(B66,'Special Day Types'!A:A,'Special Day Types'!B:B,"",0)</f>
        <v>KB1</v>
      </c>
    </row>
    <row r="67" spans="1:9" ht="14.7" thickBot="1" x14ac:dyDescent="0.6">
      <c r="A67">
        <v>2022</v>
      </c>
      <c r="B67" s="1" t="s">
        <v>41</v>
      </c>
      <c r="C67" s="1" t="s">
        <v>14</v>
      </c>
      <c r="D67" s="2">
        <v>44752</v>
      </c>
      <c r="E67" s="3" t="s">
        <v>13</v>
      </c>
      <c r="F67">
        <f t="shared" si="6"/>
        <v>10</v>
      </c>
      <c r="G67">
        <f t="shared" si="7"/>
        <v>7</v>
      </c>
      <c r="H67" s="11">
        <f t="shared" si="8"/>
        <v>44752</v>
      </c>
      <c r="I67" s="14" t="str">
        <f>_xlfn.XLOOKUP(B67,'Special Day Types'!A:A,'Special Day Types'!B:B,"",0)</f>
        <v>KB2</v>
      </c>
    </row>
    <row r="68" spans="1:9" ht="14.7" thickBot="1" x14ac:dyDescent="0.6">
      <c r="A68">
        <v>2022</v>
      </c>
      <c r="B68" s="4" t="s">
        <v>42</v>
      </c>
      <c r="C68" s="4" t="s">
        <v>16</v>
      </c>
      <c r="D68" s="5">
        <v>44753</v>
      </c>
      <c r="E68" s="6" t="s">
        <v>15</v>
      </c>
      <c r="F68">
        <f t="shared" si="6"/>
        <v>11</v>
      </c>
      <c r="G68">
        <f t="shared" si="7"/>
        <v>7</v>
      </c>
      <c r="H68" s="11">
        <f t="shared" si="8"/>
        <v>44753</v>
      </c>
      <c r="I68" s="14" t="str">
        <f>_xlfn.XLOOKUP(B68,'Special Day Types'!A:A,'Special Day Types'!B:B,"",0)</f>
        <v>KB3</v>
      </c>
    </row>
    <row r="69" spans="1:9" ht="14.7" thickBot="1" x14ac:dyDescent="0.6">
      <c r="A69">
        <v>2022</v>
      </c>
      <c r="B69" s="1" t="s">
        <v>43</v>
      </c>
      <c r="C69" s="1" t="s">
        <v>19</v>
      </c>
      <c r="D69" s="2">
        <v>44754</v>
      </c>
      <c r="E69" s="3" t="s">
        <v>8</v>
      </c>
      <c r="F69">
        <f t="shared" si="6"/>
        <v>12</v>
      </c>
      <c r="G69">
        <f t="shared" si="7"/>
        <v>7</v>
      </c>
      <c r="H69" s="11">
        <f t="shared" si="8"/>
        <v>44754</v>
      </c>
      <c r="I69" s="14" t="str">
        <f>_xlfn.XLOOKUP(B69,'Special Day Types'!A:A,'Special Day Types'!B:B,"",0)</f>
        <v>KB4</v>
      </c>
    </row>
    <row r="70" spans="1:9" ht="14.7" thickBot="1" x14ac:dyDescent="0.6">
      <c r="A70">
        <v>2022</v>
      </c>
      <c r="B70" s="4" t="s">
        <v>17</v>
      </c>
      <c r="C70" s="4" t="s">
        <v>1</v>
      </c>
      <c r="D70" s="5">
        <v>44757</v>
      </c>
      <c r="E70" s="6" t="s">
        <v>6</v>
      </c>
      <c r="F70">
        <f t="shared" si="6"/>
        <v>15</v>
      </c>
      <c r="G70">
        <f t="shared" si="7"/>
        <v>7</v>
      </c>
      <c r="H70" s="11">
        <f t="shared" si="8"/>
        <v>44757</v>
      </c>
      <c r="I70" s="14" t="str">
        <f>_xlfn.XLOOKUP(B70,'Special Day Types'!A:A,'Special Day Types'!B:B,"",0)</f>
        <v>T</v>
      </c>
    </row>
    <row r="71" spans="1:9" ht="14.7" thickBot="1" x14ac:dyDescent="0.6">
      <c r="A71">
        <v>2022</v>
      </c>
      <c r="B71" s="1" t="s">
        <v>20</v>
      </c>
      <c r="C71" s="1" t="s">
        <v>1</v>
      </c>
      <c r="D71" s="2">
        <v>44803</v>
      </c>
      <c r="E71" s="3" t="s">
        <v>8</v>
      </c>
      <c r="F71">
        <f t="shared" si="6"/>
        <v>30</v>
      </c>
      <c r="G71">
        <f t="shared" si="7"/>
        <v>8</v>
      </c>
      <c r="H71" s="11">
        <f t="shared" si="8"/>
        <v>44803</v>
      </c>
      <c r="I71" s="14" t="str">
        <f>_xlfn.XLOOKUP(B71,'Special Day Types'!A:A,'Special Day Types'!B:B,"",0)</f>
        <v>T</v>
      </c>
    </row>
    <row r="72" spans="1:9" ht="14.7" thickBot="1" x14ac:dyDescent="0.6">
      <c r="A72">
        <v>2022</v>
      </c>
      <c r="B72" s="9" t="s">
        <v>21</v>
      </c>
      <c r="C72" s="10" t="s">
        <v>22</v>
      </c>
      <c r="D72" s="8">
        <v>44862</v>
      </c>
      <c r="E72" s="7" t="s">
        <v>6</v>
      </c>
      <c r="F72">
        <f t="shared" si="6"/>
        <v>28</v>
      </c>
      <c r="G72">
        <f t="shared" si="7"/>
        <v>10</v>
      </c>
      <c r="H72" s="11">
        <f t="shared" si="8"/>
        <v>44862</v>
      </c>
      <c r="I72" s="14" t="str">
        <f>_xlfn.XLOOKUP(B72,'Special Day Types'!A:A,'Special Day Types'!B:B,"",0)</f>
        <v>T</v>
      </c>
    </row>
    <row r="73" spans="1:9" x14ac:dyDescent="0.55000000000000004">
      <c r="A73">
        <v>2022</v>
      </c>
      <c r="B73" s="9" t="s">
        <v>21</v>
      </c>
      <c r="C73" s="10" t="s">
        <v>22</v>
      </c>
      <c r="D73" s="8">
        <v>44863</v>
      </c>
      <c r="E73" s="7" t="s">
        <v>11</v>
      </c>
      <c r="F73">
        <f t="shared" si="6"/>
        <v>29</v>
      </c>
      <c r="G73">
        <f t="shared" si="7"/>
        <v>10</v>
      </c>
      <c r="H73" s="11">
        <f t="shared" si="8"/>
        <v>44863</v>
      </c>
      <c r="I73" s="14" t="str">
        <f>_xlfn.XLOOKUP(B73,'Special Day Types'!A:A,'Special Day Types'!B:B,"",0)</f>
        <v>T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A769-04F3-465C-B6EE-55CA6CB7455B}">
  <dimension ref="A1:B981"/>
  <sheetViews>
    <sheetView zoomScaleNormal="100" workbookViewId="0">
      <pane ySplit="2" topLeftCell="A966" activePane="bottomLeft" state="frozen"/>
      <selection pane="bottomLeft" activeCell="B985" sqref="B985"/>
    </sheetView>
  </sheetViews>
  <sheetFormatPr defaultRowHeight="14.4" x14ac:dyDescent="0.55000000000000004"/>
  <cols>
    <col min="1" max="1" width="22.89453125" style="123" bestFit="1" customWidth="1"/>
    <col min="2" max="2" width="24.89453125" style="108" bestFit="1" customWidth="1"/>
  </cols>
  <sheetData>
    <row r="1" spans="1:2" s="105" customFormat="1" x14ac:dyDescent="0.55000000000000004">
      <c r="A1" s="121" t="s">
        <v>32</v>
      </c>
      <c r="B1" s="106" t="s">
        <v>30</v>
      </c>
    </row>
    <row r="2" spans="1:2" s="105" customFormat="1" x14ac:dyDescent="0.55000000000000004">
      <c r="A2" s="122" t="s">
        <v>23</v>
      </c>
      <c r="B2" s="107" t="s">
        <v>31</v>
      </c>
    </row>
    <row r="3" spans="1:2" x14ac:dyDescent="0.55000000000000004">
      <c r="A3" s="123">
        <v>43831</v>
      </c>
      <c r="B3" s="108">
        <v>4466.28</v>
      </c>
    </row>
    <row r="4" spans="1:2" x14ac:dyDescent="0.55000000000000004">
      <c r="A4" s="123">
        <v>43832</v>
      </c>
      <c r="B4" s="108">
        <v>4466.28</v>
      </c>
    </row>
    <row r="5" spans="1:2" x14ac:dyDescent="0.55000000000000004">
      <c r="A5" s="123">
        <v>43832</v>
      </c>
      <c r="B5" s="108">
        <v>4466.28</v>
      </c>
    </row>
    <row r="6" spans="1:2" x14ac:dyDescent="0.55000000000000004">
      <c r="A6" s="123">
        <v>43833</v>
      </c>
      <c r="B6" s="108">
        <v>4466.28</v>
      </c>
    </row>
    <row r="7" spans="1:2" x14ac:dyDescent="0.55000000000000004">
      <c r="A7" s="123">
        <v>43833</v>
      </c>
      <c r="B7" s="108">
        <v>4466.28</v>
      </c>
    </row>
    <row r="8" spans="1:2" x14ac:dyDescent="0.55000000000000004">
      <c r="A8" s="123">
        <v>43834</v>
      </c>
      <c r="B8" s="108">
        <v>4466.28</v>
      </c>
    </row>
    <row r="9" spans="1:2" x14ac:dyDescent="0.55000000000000004">
      <c r="A9" s="123">
        <v>43834</v>
      </c>
      <c r="B9" s="108">
        <v>4466.28</v>
      </c>
    </row>
    <row r="10" spans="1:2" x14ac:dyDescent="0.55000000000000004">
      <c r="A10" s="123">
        <v>43835</v>
      </c>
      <c r="B10" s="108">
        <v>4466.28</v>
      </c>
    </row>
    <row r="11" spans="1:2" x14ac:dyDescent="0.55000000000000004">
      <c r="A11" s="123">
        <v>43835</v>
      </c>
      <c r="B11" s="108">
        <v>4466.28</v>
      </c>
    </row>
    <row r="12" spans="1:2" x14ac:dyDescent="0.55000000000000004">
      <c r="A12" s="123">
        <v>43836</v>
      </c>
      <c r="B12" s="108">
        <v>4466.28</v>
      </c>
    </row>
    <row r="13" spans="1:2" x14ac:dyDescent="0.55000000000000004">
      <c r="A13" s="123">
        <v>43836</v>
      </c>
      <c r="B13" s="108">
        <v>4466.28</v>
      </c>
    </row>
    <row r="14" spans="1:2" x14ac:dyDescent="0.55000000000000004">
      <c r="A14" s="123">
        <v>43837</v>
      </c>
      <c r="B14" s="108">
        <v>4466.28</v>
      </c>
    </row>
    <row r="15" spans="1:2" x14ac:dyDescent="0.55000000000000004">
      <c r="A15" s="123">
        <v>43837</v>
      </c>
      <c r="B15" s="108">
        <v>4466.28</v>
      </c>
    </row>
    <row r="16" spans="1:2" x14ac:dyDescent="0.55000000000000004">
      <c r="A16" s="123">
        <v>43838</v>
      </c>
      <c r="B16" s="108">
        <v>4466.28</v>
      </c>
    </row>
    <row r="17" spans="1:2" x14ac:dyDescent="0.55000000000000004">
      <c r="A17" s="123">
        <v>43838</v>
      </c>
      <c r="B17" s="108">
        <v>4466.28</v>
      </c>
    </row>
    <row r="18" spans="1:2" x14ac:dyDescent="0.55000000000000004">
      <c r="A18" s="123">
        <v>43839</v>
      </c>
      <c r="B18" s="108">
        <v>4466.28</v>
      </c>
    </row>
    <row r="19" spans="1:2" x14ac:dyDescent="0.55000000000000004">
      <c r="A19" s="123">
        <v>43839</v>
      </c>
      <c r="B19" s="108">
        <v>4466.28</v>
      </c>
    </row>
    <row r="20" spans="1:2" x14ac:dyDescent="0.55000000000000004">
      <c r="A20" s="123">
        <v>43840</v>
      </c>
      <c r="B20" s="108">
        <v>4466.28</v>
      </c>
    </row>
    <row r="21" spans="1:2" x14ac:dyDescent="0.55000000000000004">
      <c r="A21" s="123">
        <v>43840</v>
      </c>
      <c r="B21" s="108">
        <v>4466.28</v>
      </c>
    </row>
    <row r="22" spans="1:2" x14ac:dyDescent="0.55000000000000004">
      <c r="A22" s="123">
        <v>43841</v>
      </c>
      <c r="B22" s="108">
        <v>4466.28</v>
      </c>
    </row>
    <row r="23" spans="1:2" x14ac:dyDescent="0.55000000000000004">
      <c r="A23" s="123">
        <v>43841</v>
      </c>
      <c r="B23" s="108">
        <v>4466.28</v>
      </c>
    </row>
    <row r="24" spans="1:2" x14ac:dyDescent="0.55000000000000004">
      <c r="A24" s="123">
        <v>43842</v>
      </c>
      <c r="B24" s="108">
        <v>4466.28</v>
      </c>
    </row>
    <row r="25" spans="1:2" x14ac:dyDescent="0.55000000000000004">
      <c r="A25" s="123">
        <v>43842</v>
      </c>
      <c r="B25" s="108">
        <v>4466.28</v>
      </c>
    </row>
    <row r="26" spans="1:2" x14ac:dyDescent="0.55000000000000004">
      <c r="A26" s="123">
        <v>43843</v>
      </c>
      <c r="B26" s="108">
        <v>4466.28</v>
      </c>
    </row>
    <row r="27" spans="1:2" x14ac:dyDescent="0.55000000000000004">
      <c r="A27" s="123">
        <v>43843</v>
      </c>
      <c r="B27" s="108">
        <v>4466.28</v>
      </c>
    </row>
    <row r="28" spans="1:2" x14ac:dyDescent="0.55000000000000004">
      <c r="A28" s="123">
        <v>43844</v>
      </c>
      <c r="B28" s="108">
        <v>4466.28</v>
      </c>
    </row>
    <row r="29" spans="1:2" x14ac:dyDescent="0.55000000000000004">
      <c r="A29" s="123">
        <v>43844</v>
      </c>
      <c r="B29" s="108">
        <v>4466.28</v>
      </c>
    </row>
    <row r="30" spans="1:2" x14ac:dyDescent="0.55000000000000004">
      <c r="A30" s="123">
        <v>43845</v>
      </c>
      <c r="B30" s="108">
        <v>4466.28</v>
      </c>
    </row>
    <row r="31" spans="1:2" x14ac:dyDescent="0.55000000000000004">
      <c r="A31" s="123">
        <v>43845</v>
      </c>
      <c r="B31" s="108">
        <v>4466.28</v>
      </c>
    </row>
    <row r="32" spans="1:2" x14ac:dyDescent="0.55000000000000004">
      <c r="A32" s="123">
        <v>43846</v>
      </c>
      <c r="B32" s="108">
        <v>4466.28</v>
      </c>
    </row>
    <row r="33" spans="1:2" x14ac:dyDescent="0.55000000000000004">
      <c r="A33" s="123">
        <v>43846</v>
      </c>
      <c r="B33" s="108">
        <v>4466.28</v>
      </c>
    </row>
    <row r="34" spans="1:2" x14ac:dyDescent="0.55000000000000004">
      <c r="A34" s="123">
        <v>43847</v>
      </c>
      <c r="B34" s="108">
        <v>4466.28</v>
      </c>
    </row>
    <row r="35" spans="1:2" x14ac:dyDescent="0.55000000000000004">
      <c r="A35" s="123">
        <v>43847</v>
      </c>
      <c r="B35" s="108">
        <v>4466.28</v>
      </c>
    </row>
    <row r="36" spans="1:2" x14ac:dyDescent="0.55000000000000004">
      <c r="A36" s="123">
        <v>43848</v>
      </c>
      <c r="B36" s="108">
        <v>4466.28</v>
      </c>
    </row>
    <row r="37" spans="1:2" x14ac:dyDescent="0.55000000000000004">
      <c r="A37" s="123">
        <v>43848</v>
      </c>
      <c r="B37" s="108">
        <v>4466.28</v>
      </c>
    </row>
    <row r="38" spans="1:2" x14ac:dyDescent="0.55000000000000004">
      <c r="A38" s="123">
        <v>43849</v>
      </c>
      <c r="B38" s="108">
        <v>4466.28</v>
      </c>
    </row>
    <row r="39" spans="1:2" x14ac:dyDescent="0.55000000000000004">
      <c r="A39" s="123">
        <v>43849</v>
      </c>
      <c r="B39" s="108">
        <v>4466.28</v>
      </c>
    </row>
    <row r="40" spans="1:2" x14ac:dyDescent="0.55000000000000004">
      <c r="A40" s="123">
        <v>43850</v>
      </c>
      <c r="B40" s="108">
        <v>4466.28</v>
      </c>
    </row>
    <row r="41" spans="1:2" x14ac:dyDescent="0.55000000000000004">
      <c r="A41" s="123">
        <v>43850</v>
      </c>
      <c r="B41" s="108">
        <v>4466.28</v>
      </c>
    </row>
    <row r="42" spans="1:2" x14ac:dyDescent="0.55000000000000004">
      <c r="A42" s="123">
        <v>43851</v>
      </c>
      <c r="B42" s="108">
        <v>4466.28</v>
      </c>
    </row>
    <row r="43" spans="1:2" x14ac:dyDescent="0.55000000000000004">
      <c r="A43" s="123">
        <v>43851</v>
      </c>
      <c r="B43" s="108">
        <v>4466.28</v>
      </c>
    </row>
    <row r="44" spans="1:2" x14ac:dyDescent="0.55000000000000004">
      <c r="A44" s="123">
        <v>43852</v>
      </c>
      <c r="B44" s="108">
        <v>4466.28</v>
      </c>
    </row>
    <row r="45" spans="1:2" x14ac:dyDescent="0.55000000000000004">
      <c r="A45" s="123">
        <v>43852</v>
      </c>
      <c r="B45" s="108">
        <v>4466.28</v>
      </c>
    </row>
    <row r="46" spans="1:2" x14ac:dyDescent="0.55000000000000004">
      <c r="A46" s="123">
        <v>43853</v>
      </c>
      <c r="B46" s="108">
        <v>4466.28</v>
      </c>
    </row>
    <row r="47" spans="1:2" x14ac:dyDescent="0.55000000000000004">
      <c r="A47" s="123">
        <v>43853</v>
      </c>
      <c r="B47" s="108">
        <v>4466.28</v>
      </c>
    </row>
    <row r="48" spans="1:2" x14ac:dyDescent="0.55000000000000004">
      <c r="A48" s="123">
        <v>43854</v>
      </c>
      <c r="B48" s="108">
        <v>4466.28</v>
      </c>
    </row>
    <row r="49" spans="1:2" x14ac:dyDescent="0.55000000000000004">
      <c r="A49" s="123">
        <v>43854</v>
      </c>
      <c r="B49" s="108">
        <v>4466.28</v>
      </c>
    </row>
    <row r="50" spans="1:2" x14ac:dyDescent="0.55000000000000004">
      <c r="A50" s="123">
        <v>43855</v>
      </c>
      <c r="B50" s="108">
        <v>4466.28</v>
      </c>
    </row>
    <row r="51" spans="1:2" x14ac:dyDescent="0.55000000000000004">
      <c r="A51" s="123">
        <v>43855</v>
      </c>
      <c r="B51" s="108">
        <v>4466.28</v>
      </c>
    </row>
    <row r="52" spans="1:2" x14ac:dyDescent="0.55000000000000004">
      <c r="A52" s="123">
        <v>43856</v>
      </c>
      <c r="B52" s="108">
        <v>4466.28</v>
      </c>
    </row>
    <row r="53" spans="1:2" x14ac:dyDescent="0.55000000000000004">
      <c r="A53" s="123">
        <v>43856</v>
      </c>
      <c r="B53" s="108">
        <v>4466.28</v>
      </c>
    </row>
    <row r="54" spans="1:2" x14ac:dyDescent="0.55000000000000004">
      <c r="A54" s="123">
        <v>43857</v>
      </c>
      <c r="B54" s="108">
        <v>4466.28</v>
      </c>
    </row>
    <row r="55" spans="1:2" x14ac:dyDescent="0.55000000000000004">
      <c r="A55" s="123">
        <v>43857</v>
      </c>
      <c r="B55" s="108">
        <v>4466.28</v>
      </c>
    </row>
    <row r="56" spans="1:2" x14ac:dyDescent="0.55000000000000004">
      <c r="A56" s="123">
        <v>43858</v>
      </c>
      <c r="B56" s="108">
        <v>4466.28</v>
      </c>
    </row>
    <row r="57" spans="1:2" x14ac:dyDescent="0.55000000000000004">
      <c r="A57" s="123">
        <v>43858</v>
      </c>
      <c r="B57" s="108">
        <v>4466.28</v>
      </c>
    </row>
    <row r="58" spans="1:2" x14ac:dyDescent="0.55000000000000004">
      <c r="A58" s="123">
        <v>43859</v>
      </c>
      <c r="B58" s="108">
        <v>4466.28</v>
      </c>
    </row>
    <row r="59" spans="1:2" x14ac:dyDescent="0.55000000000000004">
      <c r="A59" s="123">
        <v>43859</v>
      </c>
      <c r="B59" s="108">
        <v>4466.28</v>
      </c>
    </row>
    <row r="60" spans="1:2" x14ac:dyDescent="0.55000000000000004">
      <c r="A60" s="123">
        <v>43860</v>
      </c>
      <c r="B60" s="108">
        <v>4466.28</v>
      </c>
    </row>
    <row r="61" spans="1:2" x14ac:dyDescent="0.55000000000000004">
      <c r="A61" s="123">
        <v>43860</v>
      </c>
      <c r="B61" s="108">
        <v>4466.28</v>
      </c>
    </row>
    <row r="62" spans="1:2" x14ac:dyDescent="0.55000000000000004">
      <c r="A62" s="123">
        <v>43861</v>
      </c>
      <c r="B62" s="108">
        <v>4466.28</v>
      </c>
    </row>
    <row r="63" spans="1:2" x14ac:dyDescent="0.55000000000000004">
      <c r="A63" s="123">
        <v>43861</v>
      </c>
      <c r="B63" s="108">
        <v>4466.28</v>
      </c>
    </row>
    <row r="64" spans="1:2" x14ac:dyDescent="0.55000000000000004">
      <c r="A64" s="123">
        <v>43862</v>
      </c>
      <c r="B64" s="108">
        <v>4466.28</v>
      </c>
    </row>
    <row r="65" spans="1:2" x14ac:dyDescent="0.55000000000000004">
      <c r="A65" s="123">
        <v>43862</v>
      </c>
      <c r="B65" s="108">
        <v>4466.28</v>
      </c>
    </row>
    <row r="66" spans="1:2" x14ac:dyDescent="0.55000000000000004">
      <c r="A66" s="123">
        <v>43863</v>
      </c>
      <c r="B66" s="108">
        <v>4466.28</v>
      </c>
    </row>
    <row r="67" spans="1:2" x14ac:dyDescent="0.55000000000000004">
      <c r="A67" s="123">
        <v>43863</v>
      </c>
      <c r="B67" s="108">
        <v>4466.28</v>
      </c>
    </row>
    <row r="68" spans="1:2" x14ac:dyDescent="0.55000000000000004">
      <c r="A68" s="123">
        <v>43864</v>
      </c>
      <c r="B68" s="108">
        <v>4466.28</v>
      </c>
    </row>
    <row r="69" spans="1:2" x14ac:dyDescent="0.55000000000000004">
      <c r="A69" s="123">
        <v>43864</v>
      </c>
      <c r="B69" s="108">
        <v>4466.28</v>
      </c>
    </row>
    <row r="70" spans="1:2" x14ac:dyDescent="0.55000000000000004">
      <c r="A70" s="123">
        <v>43865</v>
      </c>
      <c r="B70" s="108">
        <v>4466.28</v>
      </c>
    </row>
    <row r="71" spans="1:2" x14ac:dyDescent="0.55000000000000004">
      <c r="A71" s="123">
        <v>43865</v>
      </c>
      <c r="B71" s="108">
        <v>4466.28</v>
      </c>
    </row>
    <row r="72" spans="1:2" x14ac:dyDescent="0.55000000000000004">
      <c r="A72" s="123">
        <v>43866</v>
      </c>
      <c r="B72" s="108">
        <v>4466.28</v>
      </c>
    </row>
    <row r="73" spans="1:2" x14ac:dyDescent="0.55000000000000004">
      <c r="A73" s="123">
        <v>43866</v>
      </c>
      <c r="B73" s="108">
        <v>4466.28</v>
      </c>
    </row>
    <row r="74" spans="1:2" x14ac:dyDescent="0.55000000000000004">
      <c r="A74" s="123">
        <v>43867</v>
      </c>
      <c r="B74" s="108">
        <v>4466.28</v>
      </c>
    </row>
    <row r="75" spans="1:2" x14ac:dyDescent="0.55000000000000004">
      <c r="A75" s="123">
        <v>43867</v>
      </c>
      <c r="B75" s="108">
        <v>4466.28</v>
      </c>
    </row>
    <row r="76" spans="1:2" x14ac:dyDescent="0.55000000000000004">
      <c r="A76" s="123">
        <v>43868</v>
      </c>
      <c r="B76" s="108">
        <v>4466.28</v>
      </c>
    </row>
    <row r="77" spans="1:2" x14ac:dyDescent="0.55000000000000004">
      <c r="A77" s="123">
        <v>43868</v>
      </c>
      <c r="B77" s="108">
        <v>4466.28</v>
      </c>
    </row>
    <row r="78" spans="1:2" x14ac:dyDescent="0.55000000000000004">
      <c r="A78" s="123">
        <v>43869</v>
      </c>
      <c r="B78" s="108">
        <v>4466.28</v>
      </c>
    </row>
    <row r="79" spans="1:2" x14ac:dyDescent="0.55000000000000004">
      <c r="A79" s="123">
        <v>43869</v>
      </c>
      <c r="B79" s="108">
        <v>4466.28</v>
      </c>
    </row>
    <row r="80" spans="1:2" x14ac:dyDescent="0.55000000000000004">
      <c r="A80" s="123">
        <v>43870</v>
      </c>
      <c r="B80" s="108">
        <v>4466.28</v>
      </c>
    </row>
    <row r="81" spans="1:2" x14ac:dyDescent="0.55000000000000004">
      <c r="A81" s="123">
        <v>43870</v>
      </c>
      <c r="B81" s="108">
        <v>4466.28</v>
      </c>
    </row>
    <row r="82" spans="1:2" x14ac:dyDescent="0.55000000000000004">
      <c r="A82" s="123">
        <v>43871</v>
      </c>
      <c r="B82" s="108">
        <v>4466.28</v>
      </c>
    </row>
    <row r="83" spans="1:2" x14ac:dyDescent="0.55000000000000004">
      <c r="A83" s="123">
        <v>43871</v>
      </c>
      <c r="B83" s="108">
        <v>4466.28</v>
      </c>
    </row>
    <row r="84" spans="1:2" x14ac:dyDescent="0.55000000000000004">
      <c r="A84" s="123">
        <v>43872</v>
      </c>
      <c r="B84" s="108">
        <v>4466.28</v>
      </c>
    </row>
    <row r="85" spans="1:2" x14ac:dyDescent="0.55000000000000004">
      <c r="A85" s="123">
        <v>43872</v>
      </c>
      <c r="B85" s="108">
        <v>4466.28</v>
      </c>
    </row>
    <row r="86" spans="1:2" x14ac:dyDescent="0.55000000000000004">
      <c r="A86" s="123">
        <v>43873</v>
      </c>
      <c r="B86" s="108">
        <v>4466.28</v>
      </c>
    </row>
    <row r="87" spans="1:2" x14ac:dyDescent="0.55000000000000004">
      <c r="A87" s="123">
        <v>43873</v>
      </c>
      <c r="B87" s="108">
        <v>4466.28</v>
      </c>
    </row>
    <row r="88" spans="1:2" x14ac:dyDescent="0.55000000000000004">
      <c r="A88" s="123">
        <v>43874</v>
      </c>
      <c r="B88" s="108">
        <v>4466.28</v>
      </c>
    </row>
    <row r="89" spans="1:2" x14ac:dyDescent="0.55000000000000004">
      <c r="A89" s="123">
        <v>43874</v>
      </c>
      <c r="B89" s="108">
        <v>4466.28</v>
      </c>
    </row>
    <row r="90" spans="1:2" x14ac:dyDescent="0.55000000000000004">
      <c r="A90" s="123">
        <v>43875</v>
      </c>
      <c r="B90" s="108">
        <v>4466.28</v>
      </c>
    </row>
    <row r="91" spans="1:2" x14ac:dyDescent="0.55000000000000004">
      <c r="A91" s="123">
        <v>43875</v>
      </c>
      <c r="B91" s="108">
        <v>4466.28</v>
      </c>
    </row>
    <row r="92" spans="1:2" x14ac:dyDescent="0.55000000000000004">
      <c r="A92" s="123">
        <v>43876</v>
      </c>
      <c r="B92" s="108">
        <v>4466.28</v>
      </c>
    </row>
    <row r="93" spans="1:2" x14ac:dyDescent="0.55000000000000004">
      <c r="A93" s="123">
        <v>43876</v>
      </c>
      <c r="B93" s="108">
        <v>4466.28</v>
      </c>
    </row>
    <row r="94" spans="1:2" x14ac:dyDescent="0.55000000000000004">
      <c r="A94" s="123">
        <v>43877</v>
      </c>
      <c r="B94" s="108">
        <v>4466.28</v>
      </c>
    </row>
    <row r="95" spans="1:2" x14ac:dyDescent="0.55000000000000004">
      <c r="A95" s="123">
        <v>43877</v>
      </c>
      <c r="B95" s="108">
        <v>4466.28</v>
      </c>
    </row>
    <row r="96" spans="1:2" x14ac:dyDescent="0.55000000000000004">
      <c r="A96" s="123">
        <v>43878</v>
      </c>
      <c r="B96" s="108">
        <v>4466.28</v>
      </c>
    </row>
    <row r="97" spans="1:2" x14ac:dyDescent="0.55000000000000004">
      <c r="A97" s="123">
        <v>43878</v>
      </c>
      <c r="B97" s="108">
        <v>4466.28</v>
      </c>
    </row>
    <row r="98" spans="1:2" x14ac:dyDescent="0.55000000000000004">
      <c r="A98" s="123">
        <v>43879</v>
      </c>
      <c r="B98" s="108">
        <v>4466.28</v>
      </c>
    </row>
    <row r="99" spans="1:2" x14ac:dyDescent="0.55000000000000004">
      <c r="A99" s="123">
        <v>43879</v>
      </c>
      <c r="B99" s="108">
        <v>4466.28</v>
      </c>
    </row>
    <row r="100" spans="1:2" x14ac:dyDescent="0.55000000000000004">
      <c r="A100" s="123">
        <v>43880</v>
      </c>
      <c r="B100" s="108">
        <v>4466.28</v>
      </c>
    </row>
    <row r="101" spans="1:2" x14ac:dyDescent="0.55000000000000004">
      <c r="A101" s="123">
        <v>43880</v>
      </c>
      <c r="B101" s="108">
        <v>4466.28</v>
      </c>
    </row>
    <row r="102" spans="1:2" x14ac:dyDescent="0.55000000000000004">
      <c r="A102" s="123">
        <v>43881</v>
      </c>
      <c r="B102" s="108">
        <v>4466.28</v>
      </c>
    </row>
    <row r="103" spans="1:2" x14ac:dyDescent="0.55000000000000004">
      <c r="A103" s="123">
        <v>43881</v>
      </c>
      <c r="B103" s="108">
        <v>4466.28</v>
      </c>
    </row>
    <row r="104" spans="1:2" x14ac:dyDescent="0.55000000000000004">
      <c r="A104" s="123">
        <v>43882</v>
      </c>
      <c r="B104" s="108">
        <v>4466.28</v>
      </c>
    </row>
    <row r="105" spans="1:2" x14ac:dyDescent="0.55000000000000004">
      <c r="A105" s="123">
        <v>43882</v>
      </c>
      <c r="B105" s="108">
        <v>4466.28</v>
      </c>
    </row>
    <row r="106" spans="1:2" x14ac:dyDescent="0.55000000000000004">
      <c r="A106" s="123">
        <v>43883</v>
      </c>
      <c r="B106" s="108">
        <v>4466.28</v>
      </c>
    </row>
    <row r="107" spans="1:2" x14ac:dyDescent="0.55000000000000004">
      <c r="A107" s="123">
        <v>43883</v>
      </c>
      <c r="B107" s="108">
        <v>4466.28</v>
      </c>
    </row>
    <row r="108" spans="1:2" x14ac:dyDescent="0.55000000000000004">
      <c r="A108" s="123">
        <v>43884</v>
      </c>
      <c r="B108" s="108">
        <v>4466.28</v>
      </c>
    </row>
    <row r="109" spans="1:2" x14ac:dyDescent="0.55000000000000004">
      <c r="A109" s="123">
        <v>43884</v>
      </c>
      <c r="B109" s="108">
        <v>4466.28</v>
      </c>
    </row>
    <row r="110" spans="1:2" x14ac:dyDescent="0.55000000000000004">
      <c r="A110" s="123">
        <v>43885</v>
      </c>
      <c r="B110" s="108">
        <v>4466.28</v>
      </c>
    </row>
    <row r="111" spans="1:2" x14ac:dyDescent="0.55000000000000004">
      <c r="A111" s="123">
        <v>43885</v>
      </c>
      <c r="B111" s="108">
        <v>4466.28</v>
      </c>
    </row>
    <row r="112" spans="1:2" x14ac:dyDescent="0.55000000000000004">
      <c r="A112" s="123">
        <v>43886</v>
      </c>
      <c r="B112" s="108">
        <v>4466.28</v>
      </c>
    </row>
    <row r="113" spans="1:2" x14ac:dyDescent="0.55000000000000004">
      <c r="A113" s="123">
        <v>43886</v>
      </c>
      <c r="B113" s="108">
        <v>4466.28</v>
      </c>
    </row>
    <row r="114" spans="1:2" x14ac:dyDescent="0.55000000000000004">
      <c r="A114" s="123">
        <v>43887</v>
      </c>
      <c r="B114" s="108">
        <v>4466.28</v>
      </c>
    </row>
    <row r="115" spans="1:2" x14ac:dyDescent="0.55000000000000004">
      <c r="A115" s="123">
        <v>43887</v>
      </c>
      <c r="B115" s="108">
        <v>4466.28</v>
      </c>
    </row>
    <row r="116" spans="1:2" x14ac:dyDescent="0.55000000000000004">
      <c r="A116" s="123">
        <v>43888</v>
      </c>
      <c r="B116" s="108">
        <v>4466.28</v>
      </c>
    </row>
    <row r="117" spans="1:2" x14ac:dyDescent="0.55000000000000004">
      <c r="A117" s="123">
        <v>43888</v>
      </c>
      <c r="B117" s="108">
        <v>4466.28</v>
      </c>
    </row>
    <row r="118" spans="1:2" x14ac:dyDescent="0.55000000000000004">
      <c r="A118" s="123">
        <v>43889</v>
      </c>
      <c r="B118" s="108">
        <v>4466.28</v>
      </c>
    </row>
    <row r="119" spans="1:2" x14ac:dyDescent="0.55000000000000004">
      <c r="A119" s="123">
        <v>43889</v>
      </c>
      <c r="B119" s="108">
        <v>4466.28</v>
      </c>
    </row>
    <row r="120" spans="1:2" x14ac:dyDescent="0.55000000000000004">
      <c r="A120" s="123">
        <v>43890</v>
      </c>
      <c r="B120" s="108">
        <v>4466.28</v>
      </c>
    </row>
    <row r="121" spans="1:2" x14ac:dyDescent="0.55000000000000004">
      <c r="A121" s="123">
        <v>43890</v>
      </c>
      <c r="B121" s="108">
        <v>4466.28</v>
      </c>
    </row>
    <row r="122" spans="1:2" x14ac:dyDescent="0.55000000000000004">
      <c r="A122" s="123">
        <v>43891</v>
      </c>
      <c r="B122" s="108">
        <v>4466.28</v>
      </c>
    </row>
    <row r="123" spans="1:2" x14ac:dyDescent="0.55000000000000004">
      <c r="A123" s="123">
        <v>43891</v>
      </c>
      <c r="B123" s="108">
        <v>4466.28</v>
      </c>
    </row>
    <row r="124" spans="1:2" x14ac:dyDescent="0.55000000000000004">
      <c r="A124" s="123">
        <v>43892</v>
      </c>
      <c r="B124" s="108">
        <v>4466.28</v>
      </c>
    </row>
    <row r="125" spans="1:2" x14ac:dyDescent="0.55000000000000004">
      <c r="A125" s="123">
        <v>43892</v>
      </c>
      <c r="B125" s="108">
        <v>4466.28</v>
      </c>
    </row>
    <row r="126" spans="1:2" x14ac:dyDescent="0.55000000000000004">
      <c r="A126" s="123">
        <v>43893</v>
      </c>
      <c r="B126" s="108">
        <v>4466.28</v>
      </c>
    </row>
    <row r="127" spans="1:2" x14ac:dyDescent="0.55000000000000004">
      <c r="A127" s="123">
        <v>43893</v>
      </c>
      <c r="B127" s="108">
        <v>4466.28</v>
      </c>
    </row>
    <row r="128" spans="1:2" x14ac:dyDescent="0.55000000000000004">
      <c r="A128" s="123">
        <v>43894</v>
      </c>
      <c r="B128" s="108">
        <v>4466.28</v>
      </c>
    </row>
    <row r="129" spans="1:2" x14ac:dyDescent="0.55000000000000004">
      <c r="A129" s="123">
        <v>43894</v>
      </c>
      <c r="B129" s="108">
        <v>4466.28</v>
      </c>
    </row>
    <row r="130" spans="1:2" x14ac:dyDescent="0.55000000000000004">
      <c r="A130" s="123">
        <v>43895</v>
      </c>
      <c r="B130" s="108">
        <v>4364.1000000000004</v>
      </c>
    </row>
    <row r="131" spans="1:2" x14ac:dyDescent="0.55000000000000004">
      <c r="A131" s="123">
        <v>43895</v>
      </c>
      <c r="B131" s="108">
        <v>4364.1000000000004</v>
      </c>
    </row>
    <row r="132" spans="1:2" x14ac:dyDescent="0.55000000000000004">
      <c r="A132" s="123">
        <v>43896</v>
      </c>
      <c r="B132" s="108">
        <v>4364.1000000000004</v>
      </c>
    </row>
    <row r="133" spans="1:2" x14ac:dyDescent="0.55000000000000004">
      <c r="A133" s="123">
        <v>43896</v>
      </c>
      <c r="B133" s="108">
        <v>4364.1000000000004</v>
      </c>
    </row>
    <row r="134" spans="1:2" x14ac:dyDescent="0.55000000000000004">
      <c r="A134" s="123">
        <v>43897</v>
      </c>
      <c r="B134" s="108">
        <v>4364.1000000000004</v>
      </c>
    </row>
    <row r="135" spans="1:2" x14ac:dyDescent="0.55000000000000004">
      <c r="A135" s="123">
        <v>43897</v>
      </c>
      <c r="B135" s="108">
        <v>4364.1000000000004</v>
      </c>
    </row>
    <row r="136" spans="1:2" x14ac:dyDescent="0.55000000000000004">
      <c r="A136" s="123">
        <v>43898</v>
      </c>
      <c r="B136" s="108">
        <v>4364.1000000000004</v>
      </c>
    </row>
    <row r="137" spans="1:2" x14ac:dyDescent="0.55000000000000004">
      <c r="A137" s="123">
        <v>43898</v>
      </c>
      <c r="B137" s="108">
        <v>4364.1000000000004</v>
      </c>
    </row>
    <row r="138" spans="1:2" x14ac:dyDescent="0.55000000000000004">
      <c r="A138" s="123">
        <v>43899</v>
      </c>
      <c r="B138" s="108">
        <v>4364.1000000000004</v>
      </c>
    </row>
    <row r="139" spans="1:2" x14ac:dyDescent="0.55000000000000004">
      <c r="A139" s="123">
        <v>43899</v>
      </c>
      <c r="B139" s="108">
        <v>4364.1000000000004</v>
      </c>
    </row>
    <row r="140" spans="1:2" x14ac:dyDescent="0.55000000000000004">
      <c r="A140" s="123">
        <v>43900</v>
      </c>
      <c r="B140" s="108">
        <v>4364.1000000000004</v>
      </c>
    </row>
    <row r="141" spans="1:2" x14ac:dyDescent="0.55000000000000004">
      <c r="A141" s="123">
        <v>43900</v>
      </c>
      <c r="B141" s="108">
        <v>4364.1000000000004</v>
      </c>
    </row>
    <row r="142" spans="1:2" x14ac:dyDescent="0.55000000000000004">
      <c r="A142" s="123">
        <v>43901</v>
      </c>
      <c r="B142" s="108">
        <v>4364.1000000000004</v>
      </c>
    </row>
    <row r="143" spans="1:2" x14ac:dyDescent="0.55000000000000004">
      <c r="A143" s="123">
        <v>43901</v>
      </c>
      <c r="B143" s="108">
        <v>4364.1000000000004</v>
      </c>
    </row>
    <row r="144" spans="1:2" x14ac:dyDescent="0.55000000000000004">
      <c r="A144" s="123">
        <v>43902</v>
      </c>
      <c r="B144" s="108">
        <v>4364.1000000000004</v>
      </c>
    </row>
    <row r="145" spans="1:2" x14ac:dyDescent="0.55000000000000004">
      <c r="A145" s="123">
        <v>43902</v>
      </c>
      <c r="B145" s="108">
        <v>4364.1000000000004</v>
      </c>
    </row>
    <row r="146" spans="1:2" x14ac:dyDescent="0.55000000000000004">
      <c r="A146" s="123">
        <v>43903</v>
      </c>
      <c r="B146" s="108">
        <v>4364.1000000000004</v>
      </c>
    </row>
    <row r="147" spans="1:2" x14ac:dyDescent="0.55000000000000004">
      <c r="A147" s="123">
        <v>43903</v>
      </c>
      <c r="B147" s="108">
        <v>4364.1000000000004</v>
      </c>
    </row>
    <row r="148" spans="1:2" x14ac:dyDescent="0.55000000000000004">
      <c r="A148" s="123">
        <v>43904</v>
      </c>
      <c r="B148" s="108">
        <v>4364.1000000000004</v>
      </c>
    </row>
    <row r="149" spans="1:2" x14ac:dyDescent="0.55000000000000004">
      <c r="A149" s="123">
        <v>43904</v>
      </c>
      <c r="B149" s="108">
        <v>4364.1000000000004</v>
      </c>
    </row>
    <row r="150" spans="1:2" x14ac:dyDescent="0.55000000000000004">
      <c r="A150" s="123">
        <v>43905</v>
      </c>
      <c r="B150" s="108">
        <v>4364.1000000000004</v>
      </c>
    </row>
    <row r="151" spans="1:2" x14ac:dyDescent="0.55000000000000004">
      <c r="A151" s="123">
        <v>43905</v>
      </c>
      <c r="B151" s="108">
        <v>4364.1000000000004</v>
      </c>
    </row>
    <row r="152" spans="1:2" x14ac:dyDescent="0.55000000000000004">
      <c r="A152" s="123">
        <v>43906</v>
      </c>
      <c r="B152" s="108">
        <v>4364.1000000000004</v>
      </c>
    </row>
    <row r="153" spans="1:2" x14ac:dyDescent="0.55000000000000004">
      <c r="A153" s="123">
        <v>43906</v>
      </c>
      <c r="B153" s="108">
        <v>4364.1000000000004</v>
      </c>
    </row>
    <row r="154" spans="1:2" x14ac:dyDescent="0.55000000000000004">
      <c r="A154" s="123">
        <v>43907</v>
      </c>
      <c r="B154" s="108">
        <v>4364.1000000000004</v>
      </c>
    </row>
    <row r="155" spans="1:2" x14ac:dyDescent="0.55000000000000004">
      <c r="A155" s="123">
        <v>43907</v>
      </c>
      <c r="B155" s="108">
        <v>4364.1000000000004</v>
      </c>
    </row>
    <row r="156" spans="1:2" x14ac:dyDescent="0.55000000000000004">
      <c r="A156" s="123">
        <v>43908</v>
      </c>
      <c r="B156" s="108">
        <v>4364.1000000000004</v>
      </c>
    </row>
    <row r="157" spans="1:2" x14ac:dyDescent="0.55000000000000004">
      <c r="A157" s="123">
        <v>43908</v>
      </c>
      <c r="B157" s="108">
        <v>4364.1000000000004</v>
      </c>
    </row>
    <row r="158" spans="1:2" x14ac:dyDescent="0.55000000000000004">
      <c r="A158" s="123">
        <v>43909</v>
      </c>
      <c r="B158" s="108">
        <v>4364.1000000000004</v>
      </c>
    </row>
    <row r="159" spans="1:2" x14ac:dyDescent="0.55000000000000004">
      <c r="A159" s="123">
        <v>43909</v>
      </c>
      <c r="B159" s="108">
        <v>4364.1000000000004</v>
      </c>
    </row>
    <row r="160" spans="1:2" x14ac:dyDescent="0.55000000000000004">
      <c r="A160" s="123">
        <v>43910</v>
      </c>
      <c r="B160" s="108">
        <v>4364.1000000000004</v>
      </c>
    </row>
    <row r="161" spans="1:2" x14ac:dyDescent="0.55000000000000004">
      <c r="A161" s="123">
        <v>43910</v>
      </c>
      <c r="B161" s="108">
        <v>4364.1000000000004</v>
      </c>
    </row>
    <row r="162" spans="1:2" x14ac:dyDescent="0.55000000000000004">
      <c r="A162" s="123">
        <v>43911</v>
      </c>
      <c r="B162" s="108">
        <v>4466.28</v>
      </c>
    </row>
    <row r="163" spans="1:2" x14ac:dyDescent="0.55000000000000004">
      <c r="A163" s="123">
        <v>43911</v>
      </c>
      <c r="B163" s="108">
        <v>4466.28</v>
      </c>
    </row>
    <row r="164" spans="1:2" x14ac:dyDescent="0.55000000000000004">
      <c r="A164" s="123">
        <v>43912</v>
      </c>
      <c r="B164" s="108">
        <v>4466.28</v>
      </c>
    </row>
    <row r="165" spans="1:2" x14ac:dyDescent="0.55000000000000004">
      <c r="A165" s="123">
        <v>43912</v>
      </c>
      <c r="B165" s="108">
        <v>4466.28</v>
      </c>
    </row>
    <row r="166" spans="1:2" x14ac:dyDescent="0.55000000000000004">
      <c r="A166" s="123">
        <v>43913</v>
      </c>
      <c r="B166" s="108">
        <v>4466.28</v>
      </c>
    </row>
    <row r="167" spans="1:2" x14ac:dyDescent="0.55000000000000004">
      <c r="A167" s="123">
        <v>43913</v>
      </c>
      <c r="B167" s="108">
        <v>4466.28</v>
      </c>
    </row>
    <row r="168" spans="1:2" x14ac:dyDescent="0.55000000000000004">
      <c r="A168" s="123">
        <v>43914</v>
      </c>
      <c r="B168" s="108">
        <v>4466.28</v>
      </c>
    </row>
    <row r="169" spans="1:2" x14ac:dyDescent="0.55000000000000004">
      <c r="A169" s="123">
        <v>43914</v>
      </c>
      <c r="B169" s="108">
        <v>4466.28</v>
      </c>
    </row>
    <row r="170" spans="1:2" x14ac:dyDescent="0.55000000000000004">
      <c r="A170" s="123">
        <v>43915</v>
      </c>
      <c r="B170" s="108">
        <v>4466.28</v>
      </c>
    </row>
    <row r="171" spans="1:2" x14ac:dyDescent="0.55000000000000004">
      <c r="A171" s="123">
        <v>43915</v>
      </c>
      <c r="B171" s="108">
        <v>4466.28</v>
      </c>
    </row>
    <row r="172" spans="1:2" x14ac:dyDescent="0.55000000000000004">
      <c r="A172" s="123">
        <v>43916</v>
      </c>
      <c r="B172" s="108">
        <v>4466.28</v>
      </c>
    </row>
    <row r="173" spans="1:2" x14ac:dyDescent="0.55000000000000004">
      <c r="A173" s="123">
        <v>43916</v>
      </c>
      <c r="B173" s="108">
        <v>4466.28</v>
      </c>
    </row>
    <row r="174" spans="1:2" x14ac:dyDescent="0.55000000000000004">
      <c r="A174" s="123">
        <v>43917</v>
      </c>
      <c r="B174" s="108">
        <v>4466.28</v>
      </c>
    </row>
    <row r="175" spans="1:2" x14ac:dyDescent="0.55000000000000004">
      <c r="A175" s="123">
        <v>43917</v>
      </c>
      <c r="B175" s="108">
        <v>4466.28</v>
      </c>
    </row>
    <row r="176" spans="1:2" x14ac:dyDescent="0.55000000000000004">
      <c r="A176" s="123">
        <v>43918</v>
      </c>
      <c r="B176" s="108">
        <v>4466.28</v>
      </c>
    </row>
    <row r="177" spans="1:2" x14ac:dyDescent="0.55000000000000004">
      <c r="A177" s="123">
        <v>43918</v>
      </c>
      <c r="B177" s="108">
        <v>4466.28</v>
      </c>
    </row>
    <row r="178" spans="1:2" x14ac:dyDescent="0.55000000000000004">
      <c r="A178" s="123">
        <v>43919</v>
      </c>
      <c r="B178" s="108">
        <v>4466.28</v>
      </c>
    </row>
    <row r="179" spans="1:2" x14ac:dyDescent="0.55000000000000004">
      <c r="A179" s="123">
        <v>43919</v>
      </c>
      <c r="B179" s="108">
        <v>4466.28</v>
      </c>
    </row>
    <row r="180" spans="1:2" x14ac:dyDescent="0.55000000000000004">
      <c r="A180" s="123">
        <v>43920</v>
      </c>
      <c r="B180" s="108">
        <v>4466.28</v>
      </c>
    </row>
    <row r="181" spans="1:2" x14ac:dyDescent="0.55000000000000004">
      <c r="A181" s="123">
        <v>43920</v>
      </c>
      <c r="B181" s="108">
        <v>4466.28</v>
      </c>
    </row>
    <row r="182" spans="1:2" x14ac:dyDescent="0.55000000000000004">
      <c r="A182" s="123">
        <v>43921</v>
      </c>
      <c r="B182" s="108">
        <v>4466.28</v>
      </c>
    </row>
    <row r="183" spans="1:2" x14ac:dyDescent="0.55000000000000004">
      <c r="A183" s="123">
        <v>43921</v>
      </c>
      <c r="B183" s="108">
        <v>4466.28</v>
      </c>
    </row>
    <row r="184" spans="1:2" x14ac:dyDescent="0.55000000000000004">
      <c r="A184" s="123">
        <v>43922</v>
      </c>
      <c r="B184" s="108">
        <v>4466.28</v>
      </c>
    </row>
    <row r="185" spans="1:2" x14ac:dyDescent="0.55000000000000004">
      <c r="A185" s="123">
        <v>43922</v>
      </c>
      <c r="B185" s="108">
        <v>4466.28</v>
      </c>
    </row>
    <row r="186" spans="1:2" x14ac:dyDescent="0.55000000000000004">
      <c r="A186" s="123">
        <v>43923</v>
      </c>
      <c r="B186" s="108">
        <v>3026.14</v>
      </c>
    </row>
    <row r="187" spans="1:2" x14ac:dyDescent="0.55000000000000004">
      <c r="A187" s="123">
        <v>43923</v>
      </c>
      <c r="B187" s="108">
        <v>3026.14</v>
      </c>
    </row>
    <row r="188" spans="1:2" x14ac:dyDescent="0.55000000000000004">
      <c r="A188" s="123">
        <v>43924</v>
      </c>
      <c r="B188" s="108">
        <v>3026.14</v>
      </c>
    </row>
    <row r="189" spans="1:2" x14ac:dyDescent="0.55000000000000004">
      <c r="A189" s="123">
        <v>43924</v>
      </c>
      <c r="B189" s="108">
        <v>3026.14</v>
      </c>
    </row>
    <row r="190" spans="1:2" x14ac:dyDescent="0.55000000000000004">
      <c r="A190" s="123">
        <v>43925</v>
      </c>
      <c r="B190" s="108">
        <v>3026.14</v>
      </c>
    </row>
    <row r="191" spans="1:2" x14ac:dyDescent="0.55000000000000004">
      <c r="A191" s="123">
        <v>43925</v>
      </c>
      <c r="B191" s="108">
        <v>3026.14</v>
      </c>
    </row>
    <row r="192" spans="1:2" x14ac:dyDescent="0.55000000000000004">
      <c r="A192" s="123">
        <v>43926</v>
      </c>
      <c r="B192" s="108">
        <v>3026.14</v>
      </c>
    </row>
    <row r="193" spans="1:2" x14ac:dyDescent="0.55000000000000004">
      <c r="A193" s="123">
        <v>43926</v>
      </c>
      <c r="B193" s="108">
        <v>3026.14</v>
      </c>
    </row>
    <row r="194" spans="1:2" x14ac:dyDescent="0.55000000000000004">
      <c r="A194" s="123">
        <v>43927</v>
      </c>
      <c r="B194" s="108">
        <v>3026.14</v>
      </c>
    </row>
    <row r="195" spans="1:2" x14ac:dyDescent="0.55000000000000004">
      <c r="A195" s="123">
        <v>43927</v>
      </c>
      <c r="B195" s="108">
        <v>3026.14</v>
      </c>
    </row>
    <row r="196" spans="1:2" x14ac:dyDescent="0.55000000000000004">
      <c r="A196" s="123">
        <v>43928</v>
      </c>
      <c r="B196" s="108">
        <v>3026.14</v>
      </c>
    </row>
    <row r="197" spans="1:2" x14ac:dyDescent="0.55000000000000004">
      <c r="A197" s="123">
        <v>43928</v>
      </c>
      <c r="B197" s="108">
        <v>3026.14</v>
      </c>
    </row>
    <row r="198" spans="1:2" x14ac:dyDescent="0.55000000000000004">
      <c r="A198" s="123">
        <v>43929</v>
      </c>
      <c r="B198" s="108">
        <v>3026.14</v>
      </c>
    </row>
    <row r="199" spans="1:2" x14ac:dyDescent="0.55000000000000004">
      <c r="A199" s="123">
        <v>43929</v>
      </c>
      <c r="B199" s="108">
        <v>3026.14</v>
      </c>
    </row>
    <row r="200" spans="1:2" x14ac:dyDescent="0.55000000000000004">
      <c r="A200" s="123">
        <v>43930</v>
      </c>
      <c r="B200" s="108">
        <v>3026.14</v>
      </c>
    </row>
    <row r="201" spans="1:2" x14ac:dyDescent="0.55000000000000004">
      <c r="A201" s="123">
        <v>43930</v>
      </c>
      <c r="B201" s="108">
        <v>3026.14</v>
      </c>
    </row>
    <row r="202" spans="1:2" x14ac:dyDescent="0.55000000000000004">
      <c r="A202" s="123">
        <v>43931</v>
      </c>
      <c r="B202" s="108">
        <v>3026.14</v>
      </c>
    </row>
    <row r="203" spans="1:2" x14ac:dyDescent="0.55000000000000004">
      <c r="A203" s="123">
        <v>43931</v>
      </c>
      <c r="B203" s="108">
        <v>3026.14</v>
      </c>
    </row>
    <row r="204" spans="1:2" x14ac:dyDescent="0.55000000000000004">
      <c r="A204" s="123">
        <v>43932</v>
      </c>
      <c r="B204" s="108">
        <v>3026.14</v>
      </c>
    </row>
    <row r="205" spans="1:2" x14ac:dyDescent="0.55000000000000004">
      <c r="A205" s="123">
        <v>43932</v>
      </c>
      <c r="B205" s="108">
        <v>3026.14</v>
      </c>
    </row>
    <row r="206" spans="1:2" x14ac:dyDescent="0.55000000000000004">
      <c r="A206" s="123">
        <v>43933</v>
      </c>
      <c r="B206" s="108">
        <v>3026.14</v>
      </c>
    </row>
    <row r="207" spans="1:2" x14ac:dyDescent="0.55000000000000004">
      <c r="A207" s="123">
        <v>43933</v>
      </c>
      <c r="B207" s="108">
        <v>3026.14</v>
      </c>
    </row>
    <row r="208" spans="1:2" x14ac:dyDescent="0.55000000000000004">
      <c r="A208" s="123">
        <v>43934</v>
      </c>
      <c r="B208" s="108">
        <v>3026.14</v>
      </c>
    </row>
    <row r="209" spans="1:2" x14ac:dyDescent="0.55000000000000004">
      <c r="A209" s="123">
        <v>43934</v>
      </c>
      <c r="B209" s="108">
        <v>3026.14</v>
      </c>
    </row>
    <row r="210" spans="1:2" x14ac:dyDescent="0.55000000000000004">
      <c r="A210" s="123">
        <v>43935</v>
      </c>
      <c r="B210" s="108">
        <v>3026.14</v>
      </c>
    </row>
    <row r="211" spans="1:2" x14ac:dyDescent="0.55000000000000004">
      <c r="A211" s="123">
        <v>43935</v>
      </c>
      <c r="B211" s="108">
        <v>3026.14</v>
      </c>
    </row>
    <row r="212" spans="1:2" x14ac:dyDescent="0.55000000000000004">
      <c r="A212" s="123">
        <v>43936</v>
      </c>
      <c r="B212" s="108">
        <v>3026.14</v>
      </c>
    </row>
    <row r="213" spans="1:2" x14ac:dyDescent="0.55000000000000004">
      <c r="A213" s="123">
        <v>43936</v>
      </c>
      <c r="B213" s="108">
        <v>3026.14</v>
      </c>
    </row>
    <row r="214" spans="1:2" x14ac:dyDescent="0.55000000000000004">
      <c r="A214" s="123">
        <v>43937</v>
      </c>
      <c r="B214" s="108">
        <v>3026.14</v>
      </c>
    </row>
    <row r="215" spans="1:2" x14ac:dyDescent="0.55000000000000004">
      <c r="A215" s="123">
        <v>43937</v>
      </c>
      <c r="B215" s="108">
        <v>3026.14</v>
      </c>
    </row>
    <row r="216" spans="1:2" x14ac:dyDescent="0.55000000000000004">
      <c r="A216" s="123">
        <v>43938</v>
      </c>
      <c r="B216" s="108">
        <v>3026.14</v>
      </c>
    </row>
    <row r="217" spans="1:2" x14ac:dyDescent="0.55000000000000004">
      <c r="A217" s="123">
        <v>43938</v>
      </c>
      <c r="B217" s="108">
        <v>3026.14</v>
      </c>
    </row>
    <row r="218" spans="1:2" x14ac:dyDescent="0.55000000000000004">
      <c r="A218" s="123">
        <v>43939</v>
      </c>
      <c r="B218" s="108">
        <v>3089.72</v>
      </c>
    </row>
    <row r="219" spans="1:2" x14ac:dyDescent="0.55000000000000004">
      <c r="A219" s="123">
        <v>43939</v>
      </c>
      <c r="B219" s="108">
        <v>3089.72</v>
      </c>
    </row>
    <row r="220" spans="1:2" x14ac:dyDescent="0.55000000000000004">
      <c r="A220" s="123">
        <v>43940</v>
      </c>
      <c r="B220" s="108">
        <v>3089.72</v>
      </c>
    </row>
    <row r="221" spans="1:2" x14ac:dyDescent="0.55000000000000004">
      <c r="A221" s="123">
        <v>43940</v>
      </c>
      <c r="B221" s="108">
        <v>3089.72</v>
      </c>
    </row>
    <row r="222" spans="1:2" x14ac:dyDescent="0.55000000000000004">
      <c r="A222" s="123">
        <v>43941</v>
      </c>
      <c r="B222" s="108">
        <v>3089.72</v>
      </c>
    </row>
    <row r="223" spans="1:2" x14ac:dyDescent="0.55000000000000004">
      <c r="A223" s="123">
        <v>43941</v>
      </c>
      <c r="B223" s="108">
        <v>3089.72</v>
      </c>
    </row>
    <row r="224" spans="1:2" x14ac:dyDescent="0.55000000000000004">
      <c r="A224" s="123">
        <v>43942</v>
      </c>
      <c r="B224" s="108">
        <v>3089.72</v>
      </c>
    </row>
    <row r="225" spans="1:2" x14ac:dyDescent="0.55000000000000004">
      <c r="A225" s="123">
        <v>43942</v>
      </c>
      <c r="B225" s="108">
        <v>3089.72</v>
      </c>
    </row>
    <row r="226" spans="1:2" x14ac:dyDescent="0.55000000000000004">
      <c r="A226" s="123">
        <v>43943</v>
      </c>
      <c r="B226" s="108">
        <v>3089.72</v>
      </c>
    </row>
    <row r="227" spans="1:2" x14ac:dyDescent="0.55000000000000004">
      <c r="A227" s="123">
        <v>43943</v>
      </c>
      <c r="B227" s="108">
        <v>3089.72</v>
      </c>
    </row>
    <row r="228" spans="1:2" x14ac:dyDescent="0.55000000000000004">
      <c r="A228" s="123">
        <v>43944</v>
      </c>
      <c r="B228" s="108">
        <v>3089.72</v>
      </c>
    </row>
    <row r="229" spans="1:2" x14ac:dyDescent="0.55000000000000004">
      <c r="A229" s="123">
        <v>43944</v>
      </c>
      <c r="B229" s="108">
        <v>3089.72</v>
      </c>
    </row>
    <row r="230" spans="1:2" x14ac:dyDescent="0.55000000000000004">
      <c r="A230" s="123">
        <v>43945</v>
      </c>
      <c r="B230" s="108">
        <v>3089.72</v>
      </c>
    </row>
    <row r="231" spans="1:2" x14ac:dyDescent="0.55000000000000004">
      <c r="A231" s="123">
        <v>43945</v>
      </c>
      <c r="B231" s="108">
        <v>3089.72</v>
      </c>
    </row>
    <row r="232" spans="1:2" x14ac:dyDescent="0.55000000000000004">
      <c r="A232" s="123">
        <v>43946</v>
      </c>
      <c r="B232" s="108">
        <v>3089.72</v>
      </c>
    </row>
    <row r="233" spans="1:2" x14ac:dyDescent="0.55000000000000004">
      <c r="A233" s="123">
        <v>43946</v>
      </c>
      <c r="B233" s="108">
        <v>3089.72</v>
      </c>
    </row>
    <row r="234" spans="1:2" x14ac:dyDescent="0.55000000000000004">
      <c r="A234" s="123">
        <v>43947</v>
      </c>
      <c r="B234" s="108">
        <v>3089.72</v>
      </c>
    </row>
    <row r="235" spans="1:2" x14ac:dyDescent="0.55000000000000004">
      <c r="A235" s="123">
        <v>43947</v>
      </c>
      <c r="B235" s="108">
        <v>3089.72</v>
      </c>
    </row>
    <row r="236" spans="1:2" x14ac:dyDescent="0.55000000000000004">
      <c r="A236" s="123">
        <v>43948</v>
      </c>
      <c r="B236" s="108">
        <v>3089.72</v>
      </c>
    </row>
    <row r="237" spans="1:2" x14ac:dyDescent="0.55000000000000004">
      <c r="A237" s="123">
        <v>43948</v>
      </c>
      <c r="B237" s="108">
        <v>3089.72</v>
      </c>
    </row>
    <row r="238" spans="1:2" x14ac:dyDescent="0.55000000000000004">
      <c r="A238" s="123">
        <v>43949</v>
      </c>
      <c r="B238" s="108">
        <v>3089.72</v>
      </c>
    </row>
    <row r="239" spans="1:2" x14ac:dyDescent="0.55000000000000004">
      <c r="A239" s="123">
        <v>43949</v>
      </c>
      <c r="B239" s="108">
        <v>3089.72</v>
      </c>
    </row>
    <row r="240" spans="1:2" x14ac:dyDescent="0.55000000000000004">
      <c r="A240" s="123">
        <v>43950</v>
      </c>
      <c r="B240" s="108">
        <v>3089.72</v>
      </c>
    </row>
    <row r="241" spans="1:2" x14ac:dyDescent="0.55000000000000004">
      <c r="A241" s="123">
        <v>43950</v>
      </c>
      <c r="B241" s="108">
        <v>3089.72</v>
      </c>
    </row>
    <row r="242" spans="1:2" x14ac:dyDescent="0.55000000000000004">
      <c r="A242" s="123">
        <v>43951</v>
      </c>
      <c r="B242" s="108">
        <v>3089.72</v>
      </c>
    </row>
    <row r="243" spans="1:2" x14ac:dyDescent="0.55000000000000004">
      <c r="A243" s="123">
        <v>43951</v>
      </c>
      <c r="B243" s="108">
        <v>3089.72</v>
      </c>
    </row>
    <row r="244" spans="1:2" x14ac:dyDescent="0.55000000000000004">
      <c r="A244" s="123">
        <v>43952</v>
      </c>
      <c r="B244" s="108">
        <v>3089.72</v>
      </c>
    </row>
    <row r="245" spans="1:2" x14ac:dyDescent="0.55000000000000004">
      <c r="A245" s="123">
        <v>43952</v>
      </c>
      <c r="B245" s="108">
        <v>3089.72</v>
      </c>
    </row>
    <row r="246" spans="1:2" x14ac:dyDescent="0.55000000000000004">
      <c r="A246" s="123">
        <v>43953</v>
      </c>
      <c r="B246" s="108">
        <v>3089.72</v>
      </c>
    </row>
    <row r="247" spans="1:2" x14ac:dyDescent="0.55000000000000004">
      <c r="A247" s="123">
        <v>43953</v>
      </c>
      <c r="B247" s="108">
        <v>3089.72</v>
      </c>
    </row>
    <row r="248" spans="1:2" x14ac:dyDescent="0.55000000000000004">
      <c r="A248" s="123">
        <v>43954</v>
      </c>
      <c r="B248" s="108">
        <v>3089.72</v>
      </c>
    </row>
    <row r="249" spans="1:2" x14ac:dyDescent="0.55000000000000004">
      <c r="A249" s="123">
        <v>43954</v>
      </c>
      <c r="B249" s="108">
        <v>3089.72</v>
      </c>
    </row>
    <row r="250" spans="1:2" x14ac:dyDescent="0.55000000000000004">
      <c r="A250" s="123">
        <v>43955</v>
      </c>
      <c r="B250" s="108">
        <v>3089.72</v>
      </c>
    </row>
    <row r="251" spans="1:2" x14ac:dyDescent="0.55000000000000004">
      <c r="A251" s="123">
        <v>43955</v>
      </c>
      <c r="B251" s="108">
        <v>3089.72</v>
      </c>
    </row>
    <row r="252" spans="1:2" x14ac:dyDescent="0.55000000000000004">
      <c r="A252" s="123">
        <v>43956</v>
      </c>
      <c r="B252" s="108">
        <v>3461.61</v>
      </c>
    </row>
    <row r="253" spans="1:2" x14ac:dyDescent="0.55000000000000004">
      <c r="A253" s="123">
        <v>43956</v>
      </c>
      <c r="B253" s="108">
        <v>3461.61</v>
      </c>
    </row>
    <row r="254" spans="1:2" x14ac:dyDescent="0.55000000000000004">
      <c r="A254" s="123">
        <v>43957</v>
      </c>
      <c r="B254" s="108">
        <v>3461.61</v>
      </c>
    </row>
    <row r="255" spans="1:2" x14ac:dyDescent="0.55000000000000004">
      <c r="A255" s="123">
        <v>43957</v>
      </c>
      <c r="B255" s="108">
        <v>3461.61</v>
      </c>
    </row>
    <row r="256" spans="1:2" x14ac:dyDescent="0.55000000000000004">
      <c r="A256" s="123">
        <v>43958</v>
      </c>
      <c r="B256" s="108">
        <v>3461.61</v>
      </c>
    </row>
    <row r="257" spans="1:2" x14ac:dyDescent="0.55000000000000004">
      <c r="A257" s="123">
        <v>43958</v>
      </c>
      <c r="B257" s="108">
        <v>3461.61</v>
      </c>
    </row>
    <row r="258" spans="1:2" x14ac:dyDescent="0.55000000000000004">
      <c r="A258" s="123">
        <v>43959</v>
      </c>
      <c r="B258" s="108">
        <v>3461.61</v>
      </c>
    </row>
    <row r="259" spans="1:2" x14ac:dyDescent="0.55000000000000004">
      <c r="A259" s="123">
        <v>43959</v>
      </c>
      <c r="B259" s="108">
        <v>3461.61</v>
      </c>
    </row>
    <row r="260" spans="1:2" x14ac:dyDescent="0.55000000000000004">
      <c r="A260" s="123">
        <v>43960</v>
      </c>
      <c r="B260" s="108">
        <v>3461.61</v>
      </c>
    </row>
    <row r="261" spans="1:2" x14ac:dyDescent="0.55000000000000004">
      <c r="A261" s="123">
        <v>43960</v>
      </c>
      <c r="B261" s="108">
        <v>3461.61</v>
      </c>
    </row>
    <row r="262" spans="1:2" x14ac:dyDescent="0.55000000000000004">
      <c r="A262" s="123">
        <v>43961</v>
      </c>
      <c r="B262" s="108">
        <v>3461.61</v>
      </c>
    </row>
    <row r="263" spans="1:2" x14ac:dyDescent="0.55000000000000004">
      <c r="A263" s="123">
        <v>43961</v>
      </c>
      <c r="B263" s="108">
        <v>3461.61</v>
      </c>
    </row>
    <row r="264" spans="1:2" x14ac:dyDescent="0.55000000000000004">
      <c r="A264" s="123">
        <v>43962</v>
      </c>
      <c r="B264" s="108">
        <v>3461.61</v>
      </c>
    </row>
    <row r="265" spans="1:2" x14ac:dyDescent="0.55000000000000004">
      <c r="A265" s="123">
        <v>43962</v>
      </c>
      <c r="B265" s="108">
        <v>3461.61</v>
      </c>
    </row>
    <row r="266" spans="1:2" x14ac:dyDescent="0.55000000000000004">
      <c r="A266" s="123">
        <v>43963</v>
      </c>
      <c r="B266" s="108">
        <v>3461.61</v>
      </c>
    </row>
    <row r="267" spans="1:2" x14ac:dyDescent="0.55000000000000004">
      <c r="A267" s="123">
        <v>43963</v>
      </c>
      <c r="B267" s="108">
        <v>3461.61</v>
      </c>
    </row>
    <row r="268" spans="1:2" x14ac:dyDescent="0.55000000000000004">
      <c r="A268" s="123">
        <v>43964</v>
      </c>
      <c r="B268" s="108">
        <v>3461.61</v>
      </c>
    </row>
    <row r="269" spans="1:2" x14ac:dyDescent="0.55000000000000004">
      <c r="A269" s="123">
        <v>43964</v>
      </c>
      <c r="B269" s="108">
        <v>3461.61</v>
      </c>
    </row>
    <row r="270" spans="1:2" x14ac:dyDescent="0.55000000000000004">
      <c r="A270" s="123">
        <v>43965</v>
      </c>
      <c r="B270" s="108">
        <v>3461.61</v>
      </c>
    </row>
    <row r="271" spans="1:2" x14ac:dyDescent="0.55000000000000004">
      <c r="A271" s="123">
        <v>43965</v>
      </c>
      <c r="B271" s="108">
        <v>3461.61</v>
      </c>
    </row>
    <row r="272" spans="1:2" x14ac:dyDescent="0.55000000000000004">
      <c r="A272" s="123">
        <v>43966</v>
      </c>
      <c r="B272" s="108">
        <v>3461.61</v>
      </c>
    </row>
    <row r="273" spans="1:2" x14ac:dyDescent="0.55000000000000004">
      <c r="A273" s="123">
        <v>43966</v>
      </c>
      <c r="B273" s="108">
        <v>3461.61</v>
      </c>
    </row>
    <row r="274" spans="1:2" x14ac:dyDescent="0.55000000000000004">
      <c r="A274" s="123">
        <v>43967</v>
      </c>
      <c r="B274" s="108">
        <v>3461.61</v>
      </c>
    </row>
    <row r="275" spans="1:2" x14ac:dyDescent="0.55000000000000004">
      <c r="A275" s="123">
        <v>43967</v>
      </c>
      <c r="B275" s="108">
        <v>3461.61</v>
      </c>
    </row>
    <row r="276" spans="1:2" x14ac:dyDescent="0.55000000000000004">
      <c r="A276" s="123">
        <v>43968</v>
      </c>
      <c r="B276" s="108">
        <v>3461.61</v>
      </c>
    </row>
    <row r="277" spans="1:2" x14ac:dyDescent="0.55000000000000004">
      <c r="A277" s="123">
        <v>43968</v>
      </c>
      <c r="B277" s="108">
        <v>3461.61</v>
      </c>
    </row>
    <row r="278" spans="1:2" x14ac:dyDescent="0.55000000000000004">
      <c r="A278" s="123">
        <v>43969</v>
      </c>
      <c r="B278" s="108">
        <v>3461.61</v>
      </c>
    </row>
    <row r="279" spans="1:2" x14ac:dyDescent="0.55000000000000004">
      <c r="A279" s="123">
        <v>43969</v>
      </c>
      <c r="B279" s="108">
        <v>3461.61</v>
      </c>
    </row>
    <row r="280" spans="1:2" x14ac:dyDescent="0.55000000000000004">
      <c r="A280" s="123">
        <v>43970</v>
      </c>
      <c r="B280" s="108">
        <v>3461.61</v>
      </c>
    </row>
    <row r="281" spans="1:2" x14ac:dyDescent="0.55000000000000004">
      <c r="A281" s="123">
        <v>43970</v>
      </c>
      <c r="B281" s="108">
        <v>3461.61</v>
      </c>
    </row>
    <row r="282" spans="1:2" x14ac:dyDescent="0.55000000000000004">
      <c r="A282" s="123">
        <v>43971</v>
      </c>
      <c r="B282" s="108">
        <v>3461.61</v>
      </c>
    </row>
    <row r="283" spans="1:2" x14ac:dyDescent="0.55000000000000004">
      <c r="A283" s="123">
        <v>43971</v>
      </c>
      <c r="B283" s="108">
        <v>3461.61</v>
      </c>
    </row>
    <row r="284" spans="1:2" x14ac:dyDescent="0.55000000000000004">
      <c r="A284" s="123">
        <v>43972</v>
      </c>
      <c r="B284" s="108">
        <v>3461.61</v>
      </c>
    </row>
    <row r="285" spans="1:2" x14ac:dyDescent="0.55000000000000004">
      <c r="A285" s="123">
        <v>43972</v>
      </c>
      <c r="B285" s="108">
        <v>3461.61</v>
      </c>
    </row>
    <row r="286" spans="1:2" x14ac:dyDescent="0.55000000000000004">
      <c r="A286" s="123">
        <v>43973</v>
      </c>
      <c r="B286" s="108">
        <v>3461.61</v>
      </c>
    </row>
    <row r="287" spans="1:2" x14ac:dyDescent="0.55000000000000004">
      <c r="A287" s="123">
        <v>43973</v>
      </c>
      <c r="B287" s="108">
        <v>3461.61</v>
      </c>
    </row>
    <row r="288" spans="1:2" x14ac:dyDescent="0.55000000000000004">
      <c r="A288" s="123">
        <v>43974</v>
      </c>
      <c r="B288" s="108">
        <v>3461.61</v>
      </c>
    </row>
    <row r="289" spans="1:2" x14ac:dyDescent="0.55000000000000004">
      <c r="A289" s="123">
        <v>43974</v>
      </c>
      <c r="B289" s="108">
        <v>3461.61</v>
      </c>
    </row>
    <row r="290" spans="1:2" x14ac:dyDescent="0.55000000000000004">
      <c r="A290" s="123">
        <v>43975</v>
      </c>
      <c r="B290" s="108">
        <v>3461.61</v>
      </c>
    </row>
    <row r="291" spans="1:2" x14ac:dyDescent="0.55000000000000004">
      <c r="A291" s="123">
        <v>43975</v>
      </c>
      <c r="B291" s="108">
        <v>3461.61</v>
      </c>
    </row>
    <row r="292" spans="1:2" x14ac:dyDescent="0.55000000000000004">
      <c r="A292" s="123">
        <v>43976</v>
      </c>
      <c r="B292" s="108">
        <v>3461.61</v>
      </c>
    </row>
    <row r="293" spans="1:2" x14ac:dyDescent="0.55000000000000004">
      <c r="A293" s="123">
        <v>43976</v>
      </c>
      <c r="B293" s="108">
        <v>3461.61</v>
      </c>
    </row>
    <row r="294" spans="1:2" x14ac:dyDescent="0.55000000000000004">
      <c r="A294" s="123">
        <v>43977</v>
      </c>
      <c r="B294" s="108">
        <v>3461.61</v>
      </c>
    </row>
    <row r="295" spans="1:2" x14ac:dyDescent="0.55000000000000004">
      <c r="A295" s="123">
        <v>43977</v>
      </c>
      <c r="B295" s="108">
        <v>3461.61</v>
      </c>
    </row>
    <row r="296" spans="1:2" x14ac:dyDescent="0.55000000000000004">
      <c r="A296" s="123">
        <v>43978</v>
      </c>
      <c r="B296" s="108">
        <v>3461.61</v>
      </c>
    </row>
    <row r="297" spans="1:2" x14ac:dyDescent="0.55000000000000004">
      <c r="A297" s="123">
        <v>43978</v>
      </c>
      <c r="B297" s="108">
        <v>3461.61</v>
      </c>
    </row>
    <row r="298" spans="1:2" x14ac:dyDescent="0.55000000000000004">
      <c r="A298" s="123">
        <v>43979</v>
      </c>
      <c r="B298" s="108">
        <v>3461.61</v>
      </c>
    </row>
    <row r="299" spans="1:2" x14ac:dyDescent="0.55000000000000004">
      <c r="A299" s="123">
        <v>43979</v>
      </c>
      <c r="B299" s="108">
        <v>3461.61</v>
      </c>
    </row>
    <row r="300" spans="1:2" x14ac:dyDescent="0.55000000000000004">
      <c r="A300" s="123">
        <v>43980</v>
      </c>
      <c r="B300" s="108">
        <v>3461.61</v>
      </c>
    </row>
    <row r="301" spans="1:2" x14ac:dyDescent="0.55000000000000004">
      <c r="A301" s="123">
        <v>43980</v>
      </c>
      <c r="B301" s="108">
        <v>3461.61</v>
      </c>
    </row>
    <row r="302" spans="1:2" x14ac:dyDescent="0.55000000000000004">
      <c r="A302" s="123">
        <v>43981</v>
      </c>
      <c r="B302" s="108">
        <v>3461.61</v>
      </c>
    </row>
    <row r="303" spans="1:2" x14ac:dyDescent="0.55000000000000004">
      <c r="A303" s="123">
        <v>43981</v>
      </c>
      <c r="B303" s="108">
        <v>3461.61</v>
      </c>
    </row>
    <row r="304" spans="1:2" x14ac:dyDescent="0.55000000000000004">
      <c r="A304" s="123">
        <v>43982</v>
      </c>
      <c r="B304" s="108">
        <v>3461.61</v>
      </c>
    </row>
    <row r="305" spans="1:2" x14ac:dyDescent="0.55000000000000004">
      <c r="A305" s="123">
        <v>43982</v>
      </c>
      <c r="B305" s="108">
        <v>3461.61</v>
      </c>
    </row>
    <row r="306" spans="1:2" x14ac:dyDescent="0.55000000000000004">
      <c r="A306" s="123">
        <v>43983</v>
      </c>
      <c r="B306" s="108">
        <v>3461.61</v>
      </c>
    </row>
    <row r="307" spans="1:2" x14ac:dyDescent="0.55000000000000004">
      <c r="A307" s="123">
        <v>43983</v>
      </c>
      <c r="B307" s="108">
        <v>3461.61</v>
      </c>
    </row>
    <row r="308" spans="1:2" x14ac:dyDescent="0.55000000000000004">
      <c r="A308" s="123">
        <v>43984</v>
      </c>
      <c r="B308" s="108">
        <v>3461.61</v>
      </c>
    </row>
    <row r="309" spans="1:2" x14ac:dyDescent="0.55000000000000004">
      <c r="A309" s="123">
        <v>43984</v>
      </c>
      <c r="B309" s="108">
        <v>3461.61</v>
      </c>
    </row>
    <row r="310" spans="1:2" x14ac:dyDescent="0.55000000000000004">
      <c r="A310" s="123">
        <v>43985</v>
      </c>
      <c r="B310" s="108">
        <v>3752.43</v>
      </c>
    </row>
    <row r="311" spans="1:2" x14ac:dyDescent="0.55000000000000004">
      <c r="A311" s="123">
        <v>43985</v>
      </c>
      <c r="B311" s="108">
        <v>3752.43</v>
      </c>
    </row>
    <row r="312" spans="1:2" x14ac:dyDescent="0.55000000000000004">
      <c r="A312" s="123">
        <v>43986</v>
      </c>
      <c r="B312" s="108">
        <v>3752.43</v>
      </c>
    </row>
    <row r="313" spans="1:2" x14ac:dyDescent="0.55000000000000004">
      <c r="A313" s="123">
        <v>43986</v>
      </c>
      <c r="B313" s="108">
        <v>3752.43</v>
      </c>
    </row>
    <row r="314" spans="1:2" x14ac:dyDescent="0.55000000000000004">
      <c r="A314" s="123">
        <v>43987</v>
      </c>
      <c r="B314" s="108">
        <v>3752.43</v>
      </c>
    </row>
    <row r="315" spans="1:2" x14ac:dyDescent="0.55000000000000004">
      <c r="A315" s="123">
        <v>43987</v>
      </c>
      <c r="B315" s="108">
        <v>3752.43</v>
      </c>
    </row>
    <row r="316" spans="1:2" x14ac:dyDescent="0.55000000000000004">
      <c r="A316" s="123">
        <v>43988</v>
      </c>
      <c r="B316" s="108">
        <v>3752.43</v>
      </c>
    </row>
    <row r="317" spans="1:2" x14ac:dyDescent="0.55000000000000004">
      <c r="A317" s="123">
        <v>43988</v>
      </c>
      <c r="B317" s="108">
        <v>3752.43</v>
      </c>
    </row>
    <row r="318" spans="1:2" x14ac:dyDescent="0.55000000000000004">
      <c r="A318" s="123">
        <v>43989</v>
      </c>
      <c r="B318" s="108">
        <v>3752.43</v>
      </c>
    </row>
    <row r="319" spans="1:2" x14ac:dyDescent="0.55000000000000004">
      <c r="A319" s="123">
        <v>43989</v>
      </c>
      <c r="B319" s="108">
        <v>3752.43</v>
      </c>
    </row>
    <row r="320" spans="1:2" x14ac:dyDescent="0.55000000000000004">
      <c r="A320" s="123">
        <v>43990</v>
      </c>
      <c r="B320" s="108">
        <v>3752.43</v>
      </c>
    </row>
    <row r="321" spans="1:2" x14ac:dyDescent="0.55000000000000004">
      <c r="A321" s="123">
        <v>43990</v>
      </c>
      <c r="B321" s="108">
        <v>3752.43</v>
      </c>
    </row>
    <row r="322" spans="1:2" x14ac:dyDescent="0.55000000000000004">
      <c r="A322" s="123">
        <v>43991</v>
      </c>
      <c r="B322" s="108">
        <v>3752.43</v>
      </c>
    </row>
    <row r="323" spans="1:2" x14ac:dyDescent="0.55000000000000004">
      <c r="A323" s="123">
        <v>43991</v>
      </c>
      <c r="B323" s="108">
        <v>3752.43</v>
      </c>
    </row>
    <row r="324" spans="1:2" x14ac:dyDescent="0.55000000000000004">
      <c r="A324" s="123">
        <v>43992</v>
      </c>
      <c r="B324" s="108">
        <v>3752.43</v>
      </c>
    </row>
    <row r="325" spans="1:2" x14ac:dyDescent="0.55000000000000004">
      <c r="A325" s="123">
        <v>43992</v>
      </c>
      <c r="B325" s="108">
        <v>3752.43</v>
      </c>
    </row>
    <row r="326" spans="1:2" x14ac:dyDescent="0.55000000000000004">
      <c r="A326" s="123">
        <v>43993</v>
      </c>
      <c r="B326" s="108">
        <v>3752.43</v>
      </c>
    </row>
    <row r="327" spans="1:2" x14ac:dyDescent="0.55000000000000004">
      <c r="A327" s="123">
        <v>43993</v>
      </c>
      <c r="B327" s="108">
        <v>3752.43</v>
      </c>
    </row>
    <row r="328" spans="1:2" x14ac:dyDescent="0.55000000000000004">
      <c r="A328" s="123">
        <v>43994</v>
      </c>
      <c r="B328" s="108">
        <v>3752.43</v>
      </c>
    </row>
    <row r="329" spans="1:2" x14ac:dyDescent="0.55000000000000004">
      <c r="A329" s="123">
        <v>43994</v>
      </c>
      <c r="B329" s="108">
        <v>3752.43</v>
      </c>
    </row>
    <row r="330" spans="1:2" x14ac:dyDescent="0.55000000000000004">
      <c r="A330" s="123">
        <v>43995</v>
      </c>
      <c r="B330" s="108">
        <v>3752.43</v>
      </c>
    </row>
    <row r="331" spans="1:2" x14ac:dyDescent="0.55000000000000004">
      <c r="A331" s="123">
        <v>43995</v>
      </c>
      <c r="B331" s="108">
        <v>3752.43</v>
      </c>
    </row>
    <row r="332" spans="1:2" x14ac:dyDescent="0.55000000000000004">
      <c r="A332" s="123">
        <v>43996</v>
      </c>
      <c r="B332" s="108">
        <v>3752.43</v>
      </c>
    </row>
    <row r="333" spans="1:2" x14ac:dyDescent="0.55000000000000004">
      <c r="A333" s="123">
        <v>43996</v>
      </c>
      <c r="B333" s="108">
        <v>3752.43</v>
      </c>
    </row>
    <row r="334" spans="1:2" x14ac:dyDescent="0.55000000000000004">
      <c r="A334" s="123">
        <v>43997</v>
      </c>
      <c r="B334" s="108">
        <v>3752.43</v>
      </c>
    </row>
    <row r="335" spans="1:2" x14ac:dyDescent="0.55000000000000004">
      <c r="A335" s="123">
        <v>43997</v>
      </c>
      <c r="B335" s="108">
        <v>3752.43</v>
      </c>
    </row>
    <row r="336" spans="1:2" x14ac:dyDescent="0.55000000000000004">
      <c r="A336" s="123">
        <v>43998</v>
      </c>
      <c r="B336" s="108">
        <v>3752.43</v>
      </c>
    </row>
    <row r="337" spans="1:2" x14ac:dyDescent="0.55000000000000004">
      <c r="A337" s="123">
        <v>43998</v>
      </c>
      <c r="B337" s="108">
        <v>3752.43</v>
      </c>
    </row>
    <row r="338" spans="1:2" x14ac:dyDescent="0.55000000000000004">
      <c r="A338" s="123">
        <v>43999</v>
      </c>
      <c r="B338" s="108">
        <v>3752.43</v>
      </c>
    </row>
    <row r="339" spans="1:2" x14ac:dyDescent="0.55000000000000004">
      <c r="A339" s="123">
        <v>43999</v>
      </c>
      <c r="B339" s="108">
        <v>3752.43</v>
      </c>
    </row>
    <row r="340" spans="1:2" x14ac:dyDescent="0.55000000000000004">
      <c r="A340" s="123">
        <v>44000</v>
      </c>
      <c r="B340" s="108">
        <v>3752.43</v>
      </c>
    </row>
    <row r="341" spans="1:2" x14ac:dyDescent="0.55000000000000004">
      <c r="A341" s="123">
        <v>44000</v>
      </c>
      <c r="B341" s="108">
        <v>3752.43</v>
      </c>
    </row>
    <row r="342" spans="1:2" x14ac:dyDescent="0.55000000000000004">
      <c r="A342" s="123">
        <v>44001</v>
      </c>
      <c r="B342" s="108">
        <v>3752.43</v>
      </c>
    </row>
    <row r="343" spans="1:2" x14ac:dyDescent="0.55000000000000004">
      <c r="A343" s="123">
        <v>44001</v>
      </c>
      <c r="B343" s="108">
        <v>3752.43</v>
      </c>
    </row>
    <row r="344" spans="1:2" x14ac:dyDescent="0.55000000000000004">
      <c r="A344" s="123">
        <v>44002</v>
      </c>
      <c r="B344" s="108">
        <v>3752.43</v>
      </c>
    </row>
    <row r="345" spans="1:2" x14ac:dyDescent="0.55000000000000004">
      <c r="A345" s="123">
        <v>44002</v>
      </c>
      <c r="B345" s="108">
        <v>3752.43</v>
      </c>
    </row>
    <row r="346" spans="1:2" x14ac:dyDescent="0.55000000000000004">
      <c r="A346" s="123">
        <v>44003</v>
      </c>
      <c r="B346" s="108">
        <v>3752.43</v>
      </c>
    </row>
    <row r="347" spans="1:2" x14ac:dyDescent="0.55000000000000004">
      <c r="A347" s="123">
        <v>44003</v>
      </c>
      <c r="B347" s="108">
        <v>3752.43</v>
      </c>
    </row>
    <row r="348" spans="1:2" x14ac:dyDescent="0.55000000000000004">
      <c r="A348" s="123">
        <v>44004</v>
      </c>
      <c r="B348" s="108">
        <v>3752.43</v>
      </c>
    </row>
    <row r="349" spans="1:2" x14ac:dyDescent="0.55000000000000004">
      <c r="A349" s="123">
        <v>44004</v>
      </c>
      <c r="B349" s="108">
        <v>3752.43</v>
      </c>
    </row>
    <row r="350" spans="1:2" x14ac:dyDescent="0.55000000000000004">
      <c r="A350" s="123">
        <v>44005</v>
      </c>
      <c r="B350" s="108">
        <v>3752.43</v>
      </c>
    </row>
    <row r="351" spans="1:2" x14ac:dyDescent="0.55000000000000004">
      <c r="A351" s="123">
        <v>44005</v>
      </c>
      <c r="B351" s="108">
        <v>3752.43</v>
      </c>
    </row>
    <row r="352" spans="1:2" x14ac:dyDescent="0.55000000000000004">
      <c r="A352" s="123">
        <v>44006</v>
      </c>
      <c r="B352" s="108">
        <v>3752.43</v>
      </c>
    </row>
    <row r="353" spans="1:2" x14ac:dyDescent="0.55000000000000004">
      <c r="A353" s="123">
        <v>44006</v>
      </c>
      <c r="B353" s="108">
        <v>3752.43</v>
      </c>
    </row>
    <row r="354" spans="1:2" x14ac:dyDescent="0.55000000000000004">
      <c r="A354" s="123">
        <v>44007</v>
      </c>
      <c r="B354" s="108">
        <v>3752.43</v>
      </c>
    </row>
    <row r="355" spans="1:2" x14ac:dyDescent="0.55000000000000004">
      <c r="A355" s="123">
        <v>44007</v>
      </c>
      <c r="B355" s="108">
        <v>3752.43</v>
      </c>
    </row>
    <row r="356" spans="1:2" x14ac:dyDescent="0.55000000000000004">
      <c r="A356" s="123">
        <v>44008</v>
      </c>
      <c r="B356" s="108">
        <v>3752.43</v>
      </c>
    </row>
    <row r="357" spans="1:2" x14ac:dyDescent="0.55000000000000004">
      <c r="A357" s="123">
        <v>44008</v>
      </c>
      <c r="B357" s="108">
        <v>3752.43</v>
      </c>
    </row>
    <row r="358" spans="1:2" x14ac:dyDescent="0.55000000000000004">
      <c r="A358" s="123">
        <v>44009</v>
      </c>
      <c r="B358" s="108">
        <v>3752.43</v>
      </c>
    </row>
    <row r="359" spans="1:2" x14ac:dyDescent="0.55000000000000004">
      <c r="A359" s="123">
        <v>44009</v>
      </c>
      <c r="B359" s="108">
        <v>3752.43</v>
      </c>
    </row>
    <row r="360" spans="1:2" x14ac:dyDescent="0.55000000000000004">
      <c r="A360" s="123">
        <v>44010</v>
      </c>
      <c r="B360" s="108">
        <v>3752.43</v>
      </c>
    </row>
    <row r="361" spans="1:2" x14ac:dyDescent="0.55000000000000004">
      <c r="A361" s="123">
        <v>44010</v>
      </c>
      <c r="B361" s="108">
        <v>3752.43</v>
      </c>
    </row>
    <row r="362" spans="1:2" x14ac:dyDescent="0.55000000000000004">
      <c r="A362" s="123">
        <v>44011</v>
      </c>
      <c r="B362" s="108">
        <v>3752.43</v>
      </c>
    </row>
    <row r="363" spans="1:2" x14ac:dyDescent="0.55000000000000004">
      <c r="A363" s="123">
        <v>44011</v>
      </c>
      <c r="B363" s="108">
        <v>3752.43</v>
      </c>
    </row>
    <row r="364" spans="1:2" x14ac:dyDescent="0.55000000000000004">
      <c r="A364" s="123">
        <v>44012</v>
      </c>
      <c r="B364" s="108">
        <v>3752.43</v>
      </c>
    </row>
    <row r="365" spans="1:2" x14ac:dyDescent="0.55000000000000004">
      <c r="A365" s="123">
        <v>44012</v>
      </c>
      <c r="B365" s="108">
        <v>3752.43</v>
      </c>
    </row>
    <row r="366" spans="1:2" x14ac:dyDescent="0.55000000000000004">
      <c r="A366" s="123">
        <v>44013</v>
      </c>
      <c r="B366" s="108">
        <v>3752.43</v>
      </c>
    </row>
    <row r="367" spans="1:2" x14ac:dyDescent="0.55000000000000004">
      <c r="A367" s="123">
        <v>44013</v>
      </c>
      <c r="B367" s="108">
        <v>3752.43</v>
      </c>
    </row>
    <row r="368" spans="1:2" x14ac:dyDescent="0.55000000000000004">
      <c r="A368" s="123">
        <v>44014</v>
      </c>
      <c r="B368" s="108">
        <v>4229.38</v>
      </c>
    </row>
    <row r="369" spans="1:2" x14ac:dyDescent="0.55000000000000004">
      <c r="A369" s="123">
        <v>44014</v>
      </c>
      <c r="B369" s="108">
        <v>4229.38</v>
      </c>
    </row>
    <row r="370" spans="1:2" x14ac:dyDescent="0.55000000000000004">
      <c r="A370" s="123">
        <v>44015</v>
      </c>
      <c r="B370" s="108">
        <v>4229.38</v>
      </c>
    </row>
    <row r="371" spans="1:2" x14ac:dyDescent="0.55000000000000004">
      <c r="A371" s="123">
        <v>44015</v>
      </c>
      <c r="B371" s="108">
        <v>4229.38</v>
      </c>
    </row>
    <row r="372" spans="1:2" x14ac:dyDescent="0.55000000000000004">
      <c r="A372" s="123">
        <v>44016</v>
      </c>
      <c r="B372" s="108">
        <v>4229.38</v>
      </c>
    </row>
    <row r="373" spans="1:2" x14ac:dyDescent="0.55000000000000004">
      <c r="A373" s="123">
        <v>44016</v>
      </c>
      <c r="B373" s="108">
        <v>4229.38</v>
      </c>
    </row>
    <row r="374" spans="1:2" x14ac:dyDescent="0.55000000000000004">
      <c r="A374" s="123">
        <v>44017</v>
      </c>
      <c r="B374" s="108">
        <v>4229.38</v>
      </c>
    </row>
    <row r="375" spans="1:2" x14ac:dyDescent="0.55000000000000004">
      <c r="A375" s="123">
        <v>44017</v>
      </c>
      <c r="B375" s="108">
        <v>4229.38</v>
      </c>
    </row>
    <row r="376" spans="1:2" x14ac:dyDescent="0.55000000000000004">
      <c r="A376" s="123">
        <v>44018</v>
      </c>
      <c r="B376" s="108">
        <v>4229.38</v>
      </c>
    </row>
    <row r="377" spans="1:2" x14ac:dyDescent="0.55000000000000004">
      <c r="A377" s="123">
        <v>44018</v>
      </c>
      <c r="B377" s="108">
        <v>4229.38</v>
      </c>
    </row>
    <row r="378" spans="1:2" x14ac:dyDescent="0.55000000000000004">
      <c r="A378" s="123">
        <v>44019</v>
      </c>
      <c r="B378" s="108">
        <v>4229.38</v>
      </c>
    </row>
    <row r="379" spans="1:2" x14ac:dyDescent="0.55000000000000004">
      <c r="A379" s="123">
        <v>44019</v>
      </c>
      <c r="B379" s="108">
        <v>4229.38</v>
      </c>
    </row>
    <row r="380" spans="1:2" x14ac:dyDescent="0.55000000000000004">
      <c r="A380" s="123">
        <v>44020</v>
      </c>
      <c r="B380" s="108">
        <v>4229.38</v>
      </c>
    </row>
    <row r="381" spans="1:2" x14ac:dyDescent="0.55000000000000004">
      <c r="A381" s="123">
        <v>44020</v>
      </c>
      <c r="B381" s="108">
        <v>4229.38</v>
      </c>
    </row>
    <row r="382" spans="1:2" x14ac:dyDescent="0.55000000000000004">
      <c r="A382" s="123">
        <v>44021</v>
      </c>
      <c r="B382" s="108">
        <v>4229.38</v>
      </c>
    </row>
    <row r="383" spans="1:2" x14ac:dyDescent="0.55000000000000004">
      <c r="A383" s="123">
        <v>44021</v>
      </c>
      <c r="B383" s="108">
        <v>4229.38</v>
      </c>
    </row>
    <row r="384" spans="1:2" x14ac:dyDescent="0.55000000000000004">
      <c r="A384" s="123">
        <v>44022</v>
      </c>
      <c r="B384" s="108">
        <v>4229.38</v>
      </c>
    </row>
    <row r="385" spans="1:2" x14ac:dyDescent="0.55000000000000004">
      <c r="A385" s="123">
        <v>44022</v>
      </c>
      <c r="B385" s="108">
        <v>4229.38</v>
      </c>
    </row>
    <row r="386" spans="1:2" x14ac:dyDescent="0.55000000000000004">
      <c r="A386" s="123">
        <v>44023</v>
      </c>
      <c r="B386" s="108">
        <v>4229.38</v>
      </c>
    </row>
    <row r="387" spans="1:2" x14ac:dyDescent="0.55000000000000004">
      <c r="A387" s="123">
        <v>44023</v>
      </c>
      <c r="B387" s="108">
        <v>4229.38</v>
      </c>
    </row>
    <row r="388" spans="1:2" x14ac:dyDescent="0.55000000000000004">
      <c r="A388" s="123">
        <v>44024</v>
      </c>
      <c r="B388" s="108">
        <v>4229.38</v>
      </c>
    </row>
    <row r="389" spans="1:2" x14ac:dyDescent="0.55000000000000004">
      <c r="A389" s="123">
        <v>44024</v>
      </c>
      <c r="B389" s="108">
        <v>4229.38</v>
      </c>
    </row>
    <row r="390" spans="1:2" x14ac:dyDescent="0.55000000000000004">
      <c r="A390" s="123">
        <v>44025</v>
      </c>
      <c r="B390" s="108">
        <v>4229.38</v>
      </c>
    </row>
    <row r="391" spans="1:2" x14ac:dyDescent="0.55000000000000004">
      <c r="A391" s="123">
        <v>44025</v>
      </c>
      <c r="B391" s="108">
        <v>4229.38</v>
      </c>
    </row>
    <row r="392" spans="1:2" x14ac:dyDescent="0.55000000000000004">
      <c r="A392" s="123">
        <v>44026</v>
      </c>
      <c r="B392" s="108">
        <v>4229.38</v>
      </c>
    </row>
    <row r="393" spans="1:2" x14ac:dyDescent="0.55000000000000004">
      <c r="A393" s="123">
        <v>44026</v>
      </c>
      <c r="B393" s="108">
        <v>4229.38</v>
      </c>
    </row>
    <row r="394" spans="1:2" x14ac:dyDescent="0.55000000000000004">
      <c r="A394" s="123">
        <v>44027</v>
      </c>
      <c r="B394" s="108">
        <v>4229.38</v>
      </c>
    </row>
    <row r="395" spans="1:2" x14ac:dyDescent="0.55000000000000004">
      <c r="A395" s="123">
        <v>44027</v>
      </c>
      <c r="B395" s="108">
        <v>4229.38</v>
      </c>
    </row>
    <row r="396" spans="1:2" x14ac:dyDescent="0.55000000000000004">
      <c r="A396" s="123">
        <v>44028</v>
      </c>
      <c r="B396" s="108">
        <v>4229.38</v>
      </c>
    </row>
    <row r="397" spans="1:2" x14ac:dyDescent="0.55000000000000004">
      <c r="A397" s="123">
        <v>44028</v>
      </c>
      <c r="B397" s="108">
        <v>4229.38</v>
      </c>
    </row>
    <row r="398" spans="1:2" x14ac:dyDescent="0.55000000000000004">
      <c r="A398" s="123">
        <v>44029</v>
      </c>
      <c r="B398" s="108">
        <v>4229.38</v>
      </c>
    </row>
    <row r="399" spans="1:2" x14ac:dyDescent="0.55000000000000004">
      <c r="A399" s="123">
        <v>44029</v>
      </c>
      <c r="B399" s="108">
        <v>4229.38</v>
      </c>
    </row>
    <row r="400" spans="1:2" x14ac:dyDescent="0.55000000000000004">
      <c r="A400" s="123">
        <v>44030</v>
      </c>
      <c r="B400" s="108">
        <v>4229.38</v>
      </c>
    </row>
    <row r="401" spans="1:2" x14ac:dyDescent="0.55000000000000004">
      <c r="A401" s="123">
        <v>44030</v>
      </c>
      <c r="B401" s="108">
        <v>4229.38</v>
      </c>
    </row>
    <row r="402" spans="1:2" x14ac:dyDescent="0.55000000000000004">
      <c r="A402" s="123">
        <v>44031</v>
      </c>
      <c r="B402" s="108">
        <v>4229.38</v>
      </c>
    </row>
    <row r="403" spans="1:2" x14ac:dyDescent="0.55000000000000004">
      <c r="A403" s="123">
        <v>44031</v>
      </c>
      <c r="B403" s="108">
        <v>4229.38</v>
      </c>
    </row>
    <row r="404" spans="1:2" x14ac:dyDescent="0.55000000000000004">
      <c r="A404" s="123">
        <v>44032</v>
      </c>
      <c r="B404" s="108">
        <v>4229.38</v>
      </c>
    </row>
    <row r="405" spans="1:2" x14ac:dyDescent="0.55000000000000004">
      <c r="A405" s="123">
        <v>44032</v>
      </c>
      <c r="B405" s="108">
        <v>4229.38</v>
      </c>
    </row>
    <row r="406" spans="1:2" x14ac:dyDescent="0.55000000000000004">
      <c r="A406" s="123">
        <v>44033</v>
      </c>
      <c r="B406" s="108">
        <v>4229.38</v>
      </c>
    </row>
    <row r="407" spans="1:2" x14ac:dyDescent="0.55000000000000004">
      <c r="A407" s="123">
        <v>44033</v>
      </c>
      <c r="B407" s="108">
        <v>4229.38</v>
      </c>
    </row>
    <row r="408" spans="1:2" x14ac:dyDescent="0.55000000000000004">
      <c r="A408" s="123">
        <v>44034</v>
      </c>
      <c r="B408" s="108">
        <v>4229.38</v>
      </c>
    </row>
    <row r="409" spans="1:2" x14ac:dyDescent="0.55000000000000004">
      <c r="A409" s="123">
        <v>44034</v>
      </c>
      <c r="B409" s="108">
        <v>4229.38</v>
      </c>
    </row>
    <row r="410" spans="1:2" x14ac:dyDescent="0.55000000000000004">
      <c r="A410" s="123">
        <v>44035</v>
      </c>
      <c r="B410" s="108">
        <v>4229.38</v>
      </c>
    </row>
    <row r="411" spans="1:2" x14ac:dyDescent="0.55000000000000004">
      <c r="A411" s="123">
        <v>44035</v>
      </c>
      <c r="B411" s="108">
        <v>4229.38</v>
      </c>
    </row>
    <row r="412" spans="1:2" x14ac:dyDescent="0.55000000000000004">
      <c r="A412" s="123">
        <v>44036</v>
      </c>
      <c r="B412" s="108">
        <v>4229.38</v>
      </c>
    </row>
    <row r="413" spans="1:2" x14ac:dyDescent="0.55000000000000004">
      <c r="A413" s="123">
        <v>44036</v>
      </c>
      <c r="B413" s="108">
        <v>4229.38</v>
      </c>
    </row>
    <row r="414" spans="1:2" x14ac:dyDescent="0.55000000000000004">
      <c r="A414" s="123">
        <v>44037</v>
      </c>
      <c r="B414" s="108">
        <v>4229.38</v>
      </c>
    </row>
    <row r="415" spans="1:2" x14ac:dyDescent="0.55000000000000004">
      <c r="A415" s="123">
        <v>44037</v>
      </c>
      <c r="B415" s="108">
        <v>4229.38</v>
      </c>
    </row>
    <row r="416" spans="1:2" x14ac:dyDescent="0.55000000000000004">
      <c r="A416" s="123">
        <v>44038</v>
      </c>
      <c r="B416" s="108">
        <v>4229.38</v>
      </c>
    </row>
    <row r="417" spans="1:2" x14ac:dyDescent="0.55000000000000004">
      <c r="A417" s="123">
        <v>44038</v>
      </c>
      <c r="B417" s="108">
        <v>4229.38</v>
      </c>
    </row>
    <row r="418" spans="1:2" x14ac:dyDescent="0.55000000000000004">
      <c r="A418" s="123">
        <v>44039</v>
      </c>
      <c r="B418" s="108">
        <v>4229.38</v>
      </c>
    </row>
    <row r="419" spans="1:2" x14ac:dyDescent="0.55000000000000004">
      <c r="A419" s="123">
        <v>44039</v>
      </c>
      <c r="B419" s="108">
        <v>4229.38</v>
      </c>
    </row>
    <row r="420" spans="1:2" x14ac:dyDescent="0.55000000000000004">
      <c r="A420" s="123">
        <v>44040</v>
      </c>
      <c r="B420" s="108">
        <v>4229.38</v>
      </c>
    </row>
    <row r="421" spans="1:2" x14ac:dyDescent="0.55000000000000004">
      <c r="A421" s="123">
        <v>44040</v>
      </c>
      <c r="B421" s="108">
        <v>4229.38</v>
      </c>
    </row>
    <row r="422" spans="1:2" x14ac:dyDescent="0.55000000000000004">
      <c r="A422" s="123">
        <v>44041</v>
      </c>
      <c r="B422" s="108">
        <v>4229.38</v>
      </c>
    </row>
    <row r="423" spans="1:2" x14ac:dyDescent="0.55000000000000004">
      <c r="A423" s="123">
        <v>44041</v>
      </c>
      <c r="B423" s="108">
        <v>4229.38</v>
      </c>
    </row>
    <row r="424" spans="1:2" x14ac:dyDescent="0.55000000000000004">
      <c r="A424" s="123">
        <v>44042</v>
      </c>
      <c r="B424" s="108">
        <v>4229.38</v>
      </c>
    </row>
    <row r="425" spans="1:2" x14ac:dyDescent="0.55000000000000004">
      <c r="A425" s="123">
        <v>44042</v>
      </c>
      <c r="B425" s="108">
        <v>4229.38</v>
      </c>
    </row>
    <row r="426" spans="1:2" x14ac:dyDescent="0.55000000000000004">
      <c r="A426" s="123">
        <v>44043</v>
      </c>
      <c r="B426" s="108">
        <v>4229.38</v>
      </c>
    </row>
    <row r="427" spans="1:2" x14ac:dyDescent="0.55000000000000004">
      <c r="A427" s="123">
        <v>44043</v>
      </c>
      <c r="B427" s="108">
        <v>4229.38</v>
      </c>
    </row>
    <row r="428" spans="1:2" x14ac:dyDescent="0.55000000000000004">
      <c r="A428" s="123">
        <v>44044</v>
      </c>
      <c r="B428" s="108">
        <v>4229.38</v>
      </c>
    </row>
    <row r="429" spans="1:2" x14ac:dyDescent="0.55000000000000004">
      <c r="A429" s="123">
        <v>44044</v>
      </c>
      <c r="B429" s="108">
        <v>4229.38</v>
      </c>
    </row>
    <row r="430" spans="1:2" x14ac:dyDescent="0.55000000000000004">
      <c r="A430" s="123">
        <v>44045</v>
      </c>
      <c r="B430" s="108">
        <v>4229.38</v>
      </c>
    </row>
    <row r="431" spans="1:2" x14ac:dyDescent="0.55000000000000004">
      <c r="A431" s="123">
        <v>44045</v>
      </c>
      <c r="B431" s="108">
        <v>4229.38</v>
      </c>
    </row>
    <row r="432" spans="1:2" x14ac:dyDescent="0.55000000000000004">
      <c r="A432" s="123">
        <v>44046</v>
      </c>
      <c r="B432" s="108">
        <v>4229.38</v>
      </c>
    </row>
    <row r="433" spans="1:2" x14ac:dyDescent="0.55000000000000004">
      <c r="A433" s="123">
        <v>44046</v>
      </c>
      <c r="B433" s="108">
        <v>4229.38</v>
      </c>
    </row>
    <row r="434" spans="1:2" x14ac:dyDescent="0.55000000000000004">
      <c r="A434" s="123">
        <v>44047</v>
      </c>
      <c r="B434" s="108">
        <v>4229.38</v>
      </c>
    </row>
    <row r="435" spans="1:2" x14ac:dyDescent="0.55000000000000004">
      <c r="A435" s="123">
        <v>44047</v>
      </c>
      <c r="B435" s="108">
        <v>4229.38</v>
      </c>
    </row>
    <row r="436" spans="1:2" x14ac:dyDescent="0.55000000000000004">
      <c r="A436" s="123">
        <v>44048</v>
      </c>
      <c r="B436" s="108">
        <v>4229.38</v>
      </c>
    </row>
    <row r="437" spans="1:2" x14ac:dyDescent="0.55000000000000004">
      <c r="A437" s="123">
        <v>44048</v>
      </c>
      <c r="B437" s="108">
        <v>4229.38</v>
      </c>
    </row>
    <row r="438" spans="1:2" x14ac:dyDescent="0.55000000000000004">
      <c r="A438" s="123">
        <v>44049</v>
      </c>
      <c r="B438" s="108">
        <v>4229.38</v>
      </c>
    </row>
    <row r="439" spans="1:2" x14ac:dyDescent="0.55000000000000004">
      <c r="A439" s="123">
        <v>44050</v>
      </c>
      <c r="B439" s="108">
        <v>4229.38</v>
      </c>
    </row>
    <row r="440" spans="1:2" x14ac:dyDescent="0.55000000000000004">
      <c r="A440" s="123">
        <v>44051</v>
      </c>
      <c r="B440" s="108">
        <v>4229.38</v>
      </c>
    </row>
    <row r="441" spans="1:2" x14ac:dyDescent="0.55000000000000004">
      <c r="A441" s="123">
        <v>44052</v>
      </c>
      <c r="B441" s="108">
        <v>4229.38</v>
      </c>
    </row>
    <row r="442" spans="1:2" x14ac:dyDescent="0.55000000000000004">
      <c r="A442" s="123">
        <v>44053</v>
      </c>
      <c r="B442" s="108">
        <v>4229.38</v>
      </c>
    </row>
    <row r="443" spans="1:2" x14ac:dyDescent="0.55000000000000004">
      <c r="A443" s="123">
        <v>44054</v>
      </c>
      <c r="B443" s="108">
        <v>4229.38</v>
      </c>
    </row>
    <row r="444" spans="1:2" x14ac:dyDescent="0.55000000000000004">
      <c r="A444" s="123">
        <v>44055</v>
      </c>
      <c r="B444" s="108">
        <v>4229.38</v>
      </c>
    </row>
    <row r="445" spans="1:2" x14ac:dyDescent="0.55000000000000004">
      <c r="A445" s="123">
        <v>44056</v>
      </c>
      <c r="B445" s="108">
        <v>4229.38</v>
      </c>
    </row>
    <row r="446" spans="1:2" x14ac:dyDescent="0.55000000000000004">
      <c r="A446" s="123">
        <v>44057</v>
      </c>
      <c r="B446" s="108">
        <v>4229.38</v>
      </c>
    </row>
    <row r="447" spans="1:2" x14ac:dyDescent="0.55000000000000004">
      <c r="A447" s="123">
        <v>44058</v>
      </c>
      <c r="B447" s="108">
        <v>4229.38</v>
      </c>
    </row>
    <row r="448" spans="1:2" x14ac:dyDescent="0.55000000000000004">
      <c r="A448" s="123">
        <v>44059</v>
      </c>
      <c r="B448" s="108">
        <v>4229.38</v>
      </c>
    </row>
    <row r="449" spans="1:2" x14ac:dyDescent="0.55000000000000004">
      <c r="A449" s="123">
        <v>44060</v>
      </c>
      <c r="B449" s="108">
        <v>4229.38</v>
      </c>
    </row>
    <row r="450" spans="1:2" x14ac:dyDescent="0.55000000000000004">
      <c r="A450" s="123">
        <v>44061</v>
      </c>
      <c r="B450" s="108">
        <v>4229.38</v>
      </c>
    </row>
    <row r="451" spans="1:2" x14ac:dyDescent="0.55000000000000004">
      <c r="A451" s="123">
        <v>44062</v>
      </c>
      <c r="B451" s="108">
        <v>4229.38</v>
      </c>
    </row>
    <row r="452" spans="1:2" x14ac:dyDescent="0.55000000000000004">
      <c r="A452" s="123">
        <v>44063</v>
      </c>
      <c r="B452" s="108">
        <v>4316.88</v>
      </c>
    </row>
    <row r="453" spans="1:2" x14ac:dyDescent="0.55000000000000004">
      <c r="A453" s="123">
        <v>44064</v>
      </c>
      <c r="B453" s="108">
        <v>4316.88</v>
      </c>
    </row>
    <row r="454" spans="1:2" x14ac:dyDescent="0.55000000000000004">
      <c r="A454" s="123">
        <v>44065</v>
      </c>
      <c r="B454" s="108">
        <v>4316.88</v>
      </c>
    </row>
    <row r="455" spans="1:2" x14ac:dyDescent="0.55000000000000004">
      <c r="A455" s="123">
        <v>44066</v>
      </c>
      <c r="B455" s="108">
        <v>4316.88</v>
      </c>
    </row>
    <row r="456" spans="1:2" x14ac:dyDescent="0.55000000000000004">
      <c r="A456" s="123">
        <v>44067</v>
      </c>
      <c r="B456" s="108">
        <v>4316.88</v>
      </c>
    </row>
    <row r="457" spans="1:2" x14ac:dyDescent="0.55000000000000004">
      <c r="A457" s="123">
        <v>44068</v>
      </c>
      <c r="B457" s="108">
        <v>4316.88</v>
      </c>
    </row>
    <row r="458" spans="1:2" x14ac:dyDescent="0.55000000000000004">
      <c r="A458" s="123">
        <v>44069</v>
      </c>
      <c r="B458" s="108">
        <v>4316.88</v>
      </c>
    </row>
    <row r="459" spans="1:2" x14ac:dyDescent="0.55000000000000004">
      <c r="A459" s="123">
        <v>44070</v>
      </c>
      <c r="B459" s="108">
        <v>4316.88</v>
      </c>
    </row>
    <row r="460" spans="1:2" x14ac:dyDescent="0.55000000000000004">
      <c r="A460" s="123">
        <v>44071</v>
      </c>
      <c r="B460" s="108">
        <v>4316.88</v>
      </c>
    </row>
    <row r="461" spans="1:2" x14ac:dyDescent="0.55000000000000004">
      <c r="A461" s="123">
        <v>44072</v>
      </c>
      <c r="B461" s="108">
        <v>4316.88</v>
      </c>
    </row>
    <row r="462" spans="1:2" x14ac:dyDescent="0.55000000000000004">
      <c r="A462" s="123">
        <v>44073</v>
      </c>
      <c r="B462" s="108">
        <v>4316.88</v>
      </c>
    </row>
    <row r="463" spans="1:2" x14ac:dyDescent="0.55000000000000004">
      <c r="A463" s="123">
        <v>44074</v>
      </c>
      <c r="B463" s="108">
        <v>4316.88</v>
      </c>
    </row>
    <row r="464" spans="1:2" x14ac:dyDescent="0.55000000000000004">
      <c r="A464" s="123">
        <v>44075</v>
      </c>
      <c r="B464" s="108">
        <v>4316.88</v>
      </c>
    </row>
    <row r="465" spans="1:2" x14ac:dyDescent="0.55000000000000004">
      <c r="A465" s="123">
        <v>44076</v>
      </c>
      <c r="B465" s="108">
        <v>4316.88</v>
      </c>
    </row>
    <row r="466" spans="1:2" x14ac:dyDescent="0.55000000000000004">
      <c r="A466" s="123">
        <v>44077</v>
      </c>
      <c r="B466" s="108">
        <v>4316.88</v>
      </c>
    </row>
    <row r="467" spans="1:2" x14ac:dyDescent="0.55000000000000004">
      <c r="A467" s="123">
        <v>44078</v>
      </c>
      <c r="B467" s="108">
        <v>4466.28</v>
      </c>
    </row>
    <row r="468" spans="1:2" x14ac:dyDescent="0.55000000000000004">
      <c r="A468" s="123">
        <v>44079</v>
      </c>
      <c r="B468" s="108">
        <v>4466.28</v>
      </c>
    </row>
    <row r="469" spans="1:2" x14ac:dyDescent="0.55000000000000004">
      <c r="A469" s="123">
        <v>44080</v>
      </c>
      <c r="B469" s="108">
        <v>4466.28</v>
      </c>
    </row>
    <row r="470" spans="1:2" x14ac:dyDescent="0.55000000000000004">
      <c r="A470" s="123">
        <v>44081</v>
      </c>
      <c r="B470" s="108">
        <v>4466.28</v>
      </c>
    </row>
    <row r="471" spans="1:2" x14ac:dyDescent="0.55000000000000004">
      <c r="A471" s="123">
        <v>44082</v>
      </c>
      <c r="B471" s="108">
        <v>4466.28</v>
      </c>
    </row>
    <row r="472" spans="1:2" x14ac:dyDescent="0.55000000000000004">
      <c r="A472" s="123">
        <v>44083</v>
      </c>
      <c r="B472" s="108">
        <v>4466.28</v>
      </c>
    </row>
    <row r="473" spans="1:2" x14ac:dyDescent="0.55000000000000004">
      <c r="A473" s="123">
        <v>44084</v>
      </c>
      <c r="B473" s="108">
        <v>4466.28</v>
      </c>
    </row>
    <row r="474" spans="1:2" x14ac:dyDescent="0.55000000000000004">
      <c r="A474" s="123">
        <v>44085</v>
      </c>
      <c r="B474" s="108">
        <v>4466.28</v>
      </c>
    </row>
    <row r="475" spans="1:2" x14ac:dyDescent="0.55000000000000004">
      <c r="A475" s="123">
        <v>44086</v>
      </c>
      <c r="B475" s="108">
        <v>4466.28</v>
      </c>
    </row>
    <row r="476" spans="1:2" x14ac:dyDescent="0.55000000000000004">
      <c r="A476" s="123">
        <v>44087</v>
      </c>
      <c r="B476" s="108">
        <v>4466.28</v>
      </c>
    </row>
    <row r="477" spans="1:2" x14ac:dyDescent="0.55000000000000004">
      <c r="A477" s="123">
        <v>44088</v>
      </c>
      <c r="B477" s="108">
        <v>4466.28</v>
      </c>
    </row>
    <row r="478" spans="1:2" x14ac:dyDescent="0.55000000000000004">
      <c r="A478" s="123">
        <v>44089</v>
      </c>
      <c r="B478" s="108">
        <v>4466.28</v>
      </c>
    </row>
    <row r="479" spans="1:2" x14ac:dyDescent="0.55000000000000004">
      <c r="A479" s="123">
        <v>44090</v>
      </c>
      <c r="B479" s="108">
        <v>4466.28</v>
      </c>
    </row>
    <row r="480" spans="1:2" x14ac:dyDescent="0.55000000000000004">
      <c r="A480" s="123">
        <v>44091</v>
      </c>
      <c r="B480" s="108">
        <v>4466.28</v>
      </c>
    </row>
    <row r="481" spans="1:2" x14ac:dyDescent="0.55000000000000004">
      <c r="A481" s="123">
        <v>44092</v>
      </c>
      <c r="B481" s="108">
        <v>4466.28</v>
      </c>
    </row>
    <row r="482" spans="1:2" x14ac:dyDescent="0.55000000000000004">
      <c r="A482" s="123">
        <v>44093</v>
      </c>
      <c r="B482" s="108">
        <v>4466.28</v>
      </c>
    </row>
    <row r="483" spans="1:2" x14ac:dyDescent="0.55000000000000004">
      <c r="A483" s="123">
        <v>44094</v>
      </c>
      <c r="B483" s="108">
        <v>4466.28</v>
      </c>
    </row>
    <row r="484" spans="1:2" x14ac:dyDescent="0.55000000000000004">
      <c r="A484" s="123">
        <v>44095</v>
      </c>
      <c r="B484" s="108">
        <v>4466.28</v>
      </c>
    </row>
    <row r="485" spans="1:2" x14ac:dyDescent="0.55000000000000004">
      <c r="A485" s="123">
        <v>44096</v>
      </c>
      <c r="B485" s="108">
        <v>4466.28</v>
      </c>
    </row>
    <row r="486" spans="1:2" x14ac:dyDescent="0.55000000000000004">
      <c r="A486" s="123">
        <v>44097</v>
      </c>
      <c r="B486" s="108">
        <v>4466.28</v>
      </c>
    </row>
    <row r="487" spans="1:2" x14ac:dyDescent="0.55000000000000004">
      <c r="A487" s="123">
        <v>44098</v>
      </c>
      <c r="B487" s="108">
        <v>4466.28</v>
      </c>
    </row>
    <row r="488" spans="1:2" x14ac:dyDescent="0.55000000000000004">
      <c r="A488" s="123">
        <v>44099</v>
      </c>
      <c r="B488" s="108">
        <v>4466.28</v>
      </c>
    </row>
    <row r="489" spans="1:2" x14ac:dyDescent="0.55000000000000004">
      <c r="A489" s="123">
        <v>44100</v>
      </c>
      <c r="B489" s="108">
        <v>4466.28</v>
      </c>
    </row>
    <row r="490" spans="1:2" x14ac:dyDescent="0.55000000000000004">
      <c r="A490" s="123">
        <v>44101</v>
      </c>
      <c r="B490" s="108">
        <v>4466.28</v>
      </c>
    </row>
    <row r="491" spans="1:2" x14ac:dyDescent="0.55000000000000004">
      <c r="A491" s="123">
        <v>44102</v>
      </c>
      <c r="B491" s="108">
        <v>4466.28</v>
      </c>
    </row>
    <row r="492" spans="1:2" x14ac:dyDescent="0.55000000000000004">
      <c r="A492" s="123">
        <v>44103</v>
      </c>
      <c r="B492" s="108">
        <v>4466.28</v>
      </c>
    </row>
    <row r="493" spans="1:2" x14ac:dyDescent="0.55000000000000004">
      <c r="A493" s="123">
        <v>44104</v>
      </c>
      <c r="B493" s="108">
        <v>4466.28</v>
      </c>
    </row>
    <row r="494" spans="1:2" x14ac:dyDescent="0.55000000000000004">
      <c r="A494" s="123">
        <v>44105</v>
      </c>
      <c r="B494" s="108">
        <v>4466.28</v>
      </c>
    </row>
    <row r="495" spans="1:2" x14ac:dyDescent="0.55000000000000004">
      <c r="A495" s="123">
        <v>44106</v>
      </c>
      <c r="B495" s="108">
        <v>4466.28</v>
      </c>
    </row>
    <row r="496" spans="1:2" x14ac:dyDescent="0.55000000000000004">
      <c r="A496" s="123">
        <v>44107</v>
      </c>
      <c r="B496" s="108">
        <v>4466.28</v>
      </c>
    </row>
    <row r="497" spans="1:2" x14ac:dyDescent="0.55000000000000004">
      <c r="A497" s="123">
        <v>44108</v>
      </c>
      <c r="B497" s="108">
        <v>4466.28</v>
      </c>
    </row>
    <row r="498" spans="1:2" x14ac:dyDescent="0.55000000000000004">
      <c r="A498" s="123">
        <v>44109</v>
      </c>
      <c r="B498" s="108">
        <v>4466.28</v>
      </c>
    </row>
    <row r="499" spans="1:2" x14ac:dyDescent="0.55000000000000004">
      <c r="A499" s="123">
        <v>44110</v>
      </c>
      <c r="B499" s="108">
        <v>4466.28</v>
      </c>
    </row>
    <row r="500" spans="1:2" x14ac:dyDescent="0.55000000000000004">
      <c r="A500" s="123">
        <v>44111</v>
      </c>
      <c r="B500" s="108">
        <v>4466.28</v>
      </c>
    </row>
    <row r="501" spans="1:2" x14ac:dyDescent="0.55000000000000004">
      <c r="A501" s="123">
        <v>44112</v>
      </c>
      <c r="B501" s="108">
        <v>4466.28</v>
      </c>
    </row>
    <row r="502" spans="1:2" x14ac:dyDescent="0.55000000000000004">
      <c r="A502" s="123">
        <v>44113</v>
      </c>
      <c r="B502" s="108">
        <v>4466.28</v>
      </c>
    </row>
    <row r="503" spans="1:2" x14ac:dyDescent="0.55000000000000004">
      <c r="A503" s="123">
        <v>44114</v>
      </c>
      <c r="B503" s="108">
        <v>4466.28</v>
      </c>
    </row>
    <row r="504" spans="1:2" x14ac:dyDescent="0.55000000000000004">
      <c r="A504" s="123">
        <v>44115</v>
      </c>
      <c r="B504" s="108">
        <v>4466.28</v>
      </c>
    </row>
    <row r="505" spans="1:2" x14ac:dyDescent="0.55000000000000004">
      <c r="A505" s="123">
        <v>44116</v>
      </c>
      <c r="B505" s="108">
        <v>4466.28</v>
      </c>
    </row>
    <row r="506" spans="1:2" x14ac:dyDescent="0.55000000000000004">
      <c r="A506" s="123">
        <v>44117</v>
      </c>
      <c r="B506" s="108">
        <v>4466.28</v>
      </c>
    </row>
    <row r="507" spans="1:2" x14ac:dyDescent="0.55000000000000004">
      <c r="A507" s="123">
        <v>44118</v>
      </c>
      <c r="B507" s="108">
        <v>4466.28</v>
      </c>
    </row>
    <row r="508" spans="1:2" x14ac:dyDescent="0.55000000000000004">
      <c r="A508" s="123">
        <v>44119</v>
      </c>
      <c r="B508" s="108">
        <v>4466.28</v>
      </c>
    </row>
    <row r="509" spans="1:2" x14ac:dyDescent="0.55000000000000004">
      <c r="A509" s="123">
        <v>44120</v>
      </c>
      <c r="B509" s="108">
        <v>4466.28</v>
      </c>
    </row>
    <row r="510" spans="1:2" x14ac:dyDescent="0.55000000000000004">
      <c r="A510" s="123">
        <v>44121</v>
      </c>
      <c r="B510" s="108">
        <v>4466.28</v>
      </c>
    </row>
    <row r="511" spans="1:2" x14ac:dyDescent="0.55000000000000004">
      <c r="A511" s="123">
        <v>44122</v>
      </c>
      <c r="B511" s="108">
        <v>4466.28</v>
      </c>
    </row>
    <row r="512" spans="1:2" x14ac:dyDescent="0.55000000000000004">
      <c r="A512" s="123">
        <v>44123</v>
      </c>
      <c r="B512" s="108">
        <v>4466.28</v>
      </c>
    </row>
    <row r="513" spans="1:2" x14ac:dyDescent="0.55000000000000004">
      <c r="A513" s="123">
        <v>44124</v>
      </c>
      <c r="B513" s="108">
        <v>4466.28</v>
      </c>
    </row>
    <row r="514" spans="1:2" x14ac:dyDescent="0.55000000000000004">
      <c r="A514" s="123">
        <v>44125</v>
      </c>
      <c r="B514" s="108">
        <v>4466.28</v>
      </c>
    </row>
    <row r="515" spans="1:2" x14ac:dyDescent="0.55000000000000004">
      <c r="A515" s="123">
        <v>44126</v>
      </c>
      <c r="B515" s="108">
        <v>4466.28</v>
      </c>
    </row>
    <row r="516" spans="1:2" x14ac:dyDescent="0.55000000000000004">
      <c r="A516" s="123">
        <v>44127</v>
      </c>
      <c r="B516" s="108">
        <v>4466.28</v>
      </c>
    </row>
    <row r="517" spans="1:2" x14ac:dyDescent="0.55000000000000004">
      <c r="A517" s="123">
        <v>44128</v>
      </c>
      <c r="B517" s="108">
        <v>4466.28</v>
      </c>
    </row>
    <row r="518" spans="1:2" x14ac:dyDescent="0.55000000000000004">
      <c r="A518" s="123">
        <v>44129</v>
      </c>
      <c r="B518" s="108">
        <v>4466.28</v>
      </c>
    </row>
    <row r="519" spans="1:2" x14ac:dyDescent="0.55000000000000004">
      <c r="A519" s="123">
        <v>44130</v>
      </c>
      <c r="B519" s="108">
        <v>4466.28</v>
      </c>
    </row>
    <row r="520" spans="1:2" x14ac:dyDescent="0.55000000000000004">
      <c r="A520" s="123">
        <v>44131</v>
      </c>
      <c r="B520" s="108">
        <v>4466.28</v>
      </c>
    </row>
    <row r="521" spans="1:2" x14ac:dyDescent="0.55000000000000004">
      <c r="A521" s="123">
        <v>44132</v>
      </c>
      <c r="B521" s="108">
        <v>4466.28</v>
      </c>
    </row>
    <row r="522" spans="1:2" x14ac:dyDescent="0.55000000000000004">
      <c r="A522" s="123">
        <v>44133</v>
      </c>
      <c r="B522" s="108">
        <v>4466.28</v>
      </c>
    </row>
    <row r="523" spans="1:2" x14ac:dyDescent="0.55000000000000004">
      <c r="A523" s="123">
        <v>44134</v>
      </c>
      <c r="B523" s="108">
        <v>4466.28</v>
      </c>
    </row>
    <row r="524" spans="1:2" x14ac:dyDescent="0.55000000000000004">
      <c r="A524" s="123">
        <v>44135</v>
      </c>
      <c r="B524" s="108">
        <v>4466.28</v>
      </c>
    </row>
    <row r="525" spans="1:2" x14ac:dyDescent="0.55000000000000004">
      <c r="A525" s="123">
        <v>44136</v>
      </c>
      <c r="B525" s="108">
        <v>4466.28</v>
      </c>
    </row>
    <row r="526" spans="1:2" x14ac:dyDescent="0.55000000000000004">
      <c r="A526" s="123">
        <v>44137</v>
      </c>
      <c r="B526" s="108">
        <v>4466.28</v>
      </c>
    </row>
    <row r="527" spans="1:2" x14ac:dyDescent="0.55000000000000004">
      <c r="A527" s="123">
        <v>44138</v>
      </c>
      <c r="B527" s="108">
        <v>4466.28</v>
      </c>
    </row>
    <row r="528" spans="1:2" x14ac:dyDescent="0.55000000000000004">
      <c r="A528" s="123">
        <v>44139</v>
      </c>
      <c r="B528" s="108">
        <v>4466.2799999999988</v>
      </c>
    </row>
    <row r="529" spans="1:2" x14ac:dyDescent="0.55000000000000004">
      <c r="A529" s="123">
        <v>44140</v>
      </c>
      <c r="B529" s="108">
        <v>4466.2799999999988</v>
      </c>
    </row>
    <row r="530" spans="1:2" x14ac:dyDescent="0.55000000000000004">
      <c r="A530" s="123">
        <v>44141</v>
      </c>
      <c r="B530" s="108">
        <v>4466.2799999999988</v>
      </c>
    </row>
    <row r="531" spans="1:2" x14ac:dyDescent="0.55000000000000004">
      <c r="A531" s="123">
        <v>44142</v>
      </c>
      <c r="B531" s="108">
        <v>4466.2799999999988</v>
      </c>
    </row>
    <row r="532" spans="1:2" x14ac:dyDescent="0.55000000000000004">
      <c r="A532" s="123">
        <v>44143</v>
      </c>
      <c r="B532" s="108">
        <v>4466.2799999999988</v>
      </c>
    </row>
    <row r="533" spans="1:2" x14ac:dyDescent="0.55000000000000004">
      <c r="A533" s="123">
        <v>44144</v>
      </c>
      <c r="B533" s="108">
        <v>4466.2799999999988</v>
      </c>
    </row>
    <row r="534" spans="1:2" x14ac:dyDescent="0.55000000000000004">
      <c r="A534" s="123">
        <v>44145</v>
      </c>
      <c r="B534" s="108">
        <v>4466.2799999999988</v>
      </c>
    </row>
    <row r="535" spans="1:2" x14ac:dyDescent="0.55000000000000004">
      <c r="A535" s="123">
        <v>44146</v>
      </c>
      <c r="B535" s="108">
        <v>4466.2799999999988</v>
      </c>
    </row>
    <row r="536" spans="1:2" x14ac:dyDescent="0.55000000000000004">
      <c r="A536" s="123">
        <v>44147</v>
      </c>
      <c r="B536" s="108">
        <v>4466.2799999999988</v>
      </c>
    </row>
    <row r="537" spans="1:2" x14ac:dyDescent="0.55000000000000004">
      <c r="A537" s="123">
        <v>44148</v>
      </c>
      <c r="B537" s="108">
        <v>4466.2799999999988</v>
      </c>
    </row>
    <row r="538" spans="1:2" x14ac:dyDescent="0.55000000000000004">
      <c r="A538" s="123">
        <v>44149</v>
      </c>
      <c r="B538" s="108">
        <v>4466.2799999999988</v>
      </c>
    </row>
    <row r="539" spans="1:2" x14ac:dyDescent="0.55000000000000004">
      <c r="A539" s="123">
        <v>44150</v>
      </c>
      <c r="B539" s="108">
        <v>4466.2799999999988</v>
      </c>
    </row>
    <row r="540" spans="1:2" x14ac:dyDescent="0.55000000000000004">
      <c r="A540" s="123">
        <v>44151</v>
      </c>
      <c r="B540" s="108">
        <v>4466.2799999999988</v>
      </c>
    </row>
    <row r="541" spans="1:2" x14ac:dyDescent="0.55000000000000004">
      <c r="A541" s="123">
        <v>44152</v>
      </c>
      <c r="B541" s="108">
        <v>4466.2799999999988</v>
      </c>
    </row>
    <row r="542" spans="1:2" x14ac:dyDescent="0.55000000000000004">
      <c r="A542" s="123">
        <v>44153</v>
      </c>
      <c r="B542" s="108">
        <v>4466.2799999999988</v>
      </c>
    </row>
    <row r="543" spans="1:2" x14ac:dyDescent="0.55000000000000004">
      <c r="A543" s="123">
        <v>44154</v>
      </c>
      <c r="B543" s="108">
        <v>4466.2799999999988</v>
      </c>
    </row>
    <row r="544" spans="1:2" x14ac:dyDescent="0.55000000000000004">
      <c r="A544" s="123">
        <v>44155</v>
      </c>
      <c r="B544" s="108">
        <v>4466.2799999999988</v>
      </c>
    </row>
    <row r="545" spans="1:2" x14ac:dyDescent="0.55000000000000004">
      <c r="A545" s="123">
        <v>44156</v>
      </c>
      <c r="B545" s="108">
        <v>4466.2799999999988</v>
      </c>
    </row>
    <row r="546" spans="1:2" x14ac:dyDescent="0.55000000000000004">
      <c r="A546" s="123">
        <v>44157</v>
      </c>
      <c r="B546" s="108">
        <v>4466.2799999999988</v>
      </c>
    </row>
    <row r="547" spans="1:2" x14ac:dyDescent="0.55000000000000004">
      <c r="A547" s="123">
        <v>44158</v>
      </c>
      <c r="B547" s="108">
        <v>4466.2799999999988</v>
      </c>
    </row>
    <row r="548" spans="1:2" x14ac:dyDescent="0.55000000000000004">
      <c r="A548" s="123">
        <v>44159</v>
      </c>
      <c r="B548" s="108">
        <v>4466.2799999999988</v>
      </c>
    </row>
    <row r="549" spans="1:2" x14ac:dyDescent="0.55000000000000004">
      <c r="A549" s="123">
        <v>44160</v>
      </c>
      <c r="B549" s="108">
        <v>4466.2799999999988</v>
      </c>
    </row>
    <row r="550" spans="1:2" x14ac:dyDescent="0.55000000000000004">
      <c r="A550" s="123">
        <v>44161</v>
      </c>
      <c r="B550" s="108">
        <v>4466.2799999999988</v>
      </c>
    </row>
    <row r="551" spans="1:2" x14ac:dyDescent="0.55000000000000004">
      <c r="A551" s="123">
        <v>44162</v>
      </c>
      <c r="B551" s="108">
        <v>4466.2799999999988</v>
      </c>
    </row>
    <row r="552" spans="1:2" x14ac:dyDescent="0.55000000000000004">
      <c r="A552" s="123">
        <v>44163</v>
      </c>
      <c r="B552" s="108">
        <v>4466.2799999999988</v>
      </c>
    </row>
    <row r="553" spans="1:2" x14ac:dyDescent="0.55000000000000004">
      <c r="A553" s="123">
        <v>44164</v>
      </c>
      <c r="B553" s="108">
        <v>4466.2799999999988</v>
      </c>
    </row>
    <row r="554" spans="1:2" x14ac:dyDescent="0.55000000000000004">
      <c r="A554" s="123">
        <v>44165</v>
      </c>
      <c r="B554" s="108">
        <v>4466.2799999999988</v>
      </c>
    </row>
    <row r="555" spans="1:2" x14ac:dyDescent="0.55000000000000004">
      <c r="A555" s="123">
        <v>44166</v>
      </c>
      <c r="B555" s="108">
        <v>4466.2799999999988</v>
      </c>
    </row>
    <row r="556" spans="1:2" x14ac:dyDescent="0.55000000000000004">
      <c r="A556" s="123">
        <v>44167</v>
      </c>
      <c r="B556" s="108">
        <v>4466.2799999999988</v>
      </c>
    </row>
    <row r="557" spans="1:2" x14ac:dyDescent="0.55000000000000004">
      <c r="A557" s="123">
        <v>44168</v>
      </c>
      <c r="B557" s="108">
        <v>4466.2799999999988</v>
      </c>
    </row>
    <row r="558" spans="1:2" x14ac:dyDescent="0.55000000000000004">
      <c r="A558" s="123">
        <v>44169</v>
      </c>
      <c r="B558" s="108">
        <v>4466.2799999999988</v>
      </c>
    </row>
    <row r="559" spans="1:2" x14ac:dyDescent="0.55000000000000004">
      <c r="A559" s="123">
        <v>44170</v>
      </c>
      <c r="B559" s="108">
        <v>4466.2799999999988</v>
      </c>
    </row>
    <row r="560" spans="1:2" x14ac:dyDescent="0.55000000000000004">
      <c r="A560" s="123">
        <v>44171</v>
      </c>
      <c r="B560" s="108">
        <v>4466.2799999999988</v>
      </c>
    </row>
    <row r="561" spans="1:2" x14ac:dyDescent="0.55000000000000004">
      <c r="A561" s="123">
        <v>44172</v>
      </c>
      <c r="B561" s="108">
        <v>4466.2799999999988</v>
      </c>
    </row>
    <row r="562" spans="1:2" x14ac:dyDescent="0.55000000000000004">
      <c r="A562" s="123">
        <v>44173</v>
      </c>
      <c r="B562" s="108">
        <v>4466.2799999999988</v>
      </c>
    </row>
    <row r="563" spans="1:2" x14ac:dyDescent="0.55000000000000004">
      <c r="A563" s="123">
        <v>44174</v>
      </c>
      <c r="B563" s="108">
        <v>4466.2799999999988</v>
      </c>
    </row>
    <row r="564" spans="1:2" x14ac:dyDescent="0.55000000000000004">
      <c r="A564" s="123">
        <v>44175</v>
      </c>
      <c r="B564" s="108">
        <v>4466.2799999999988</v>
      </c>
    </row>
    <row r="565" spans="1:2" x14ac:dyDescent="0.55000000000000004">
      <c r="A565" s="123">
        <v>44176</v>
      </c>
      <c r="B565" s="108">
        <v>4466.2799999999988</v>
      </c>
    </row>
    <row r="566" spans="1:2" x14ac:dyDescent="0.55000000000000004">
      <c r="A566" s="123">
        <v>44177</v>
      </c>
      <c r="B566" s="108">
        <v>4466.2799999999988</v>
      </c>
    </row>
    <row r="567" spans="1:2" x14ac:dyDescent="0.55000000000000004">
      <c r="A567" s="123">
        <v>44178</v>
      </c>
      <c r="B567" s="108">
        <v>4466.2799999999988</v>
      </c>
    </row>
    <row r="568" spans="1:2" x14ac:dyDescent="0.55000000000000004">
      <c r="A568" s="123">
        <v>44179</v>
      </c>
      <c r="B568" s="108">
        <v>4466.2799999999988</v>
      </c>
    </row>
    <row r="569" spans="1:2" x14ac:dyDescent="0.55000000000000004">
      <c r="A569" s="123">
        <v>44180</v>
      </c>
      <c r="B569" s="108">
        <v>4466.2799999999988</v>
      </c>
    </row>
    <row r="570" spans="1:2" x14ac:dyDescent="0.55000000000000004">
      <c r="A570" s="123">
        <v>44181</v>
      </c>
      <c r="B570" s="108">
        <v>4466.2799999999988</v>
      </c>
    </row>
    <row r="571" spans="1:2" x14ac:dyDescent="0.55000000000000004">
      <c r="A571" s="123">
        <v>44182</v>
      </c>
      <c r="B571" s="108">
        <v>4466.2799999999988</v>
      </c>
    </row>
    <row r="572" spans="1:2" x14ac:dyDescent="0.55000000000000004">
      <c r="A572" s="123">
        <v>44183</v>
      </c>
      <c r="B572" s="108">
        <v>4466.2799999999988</v>
      </c>
    </row>
    <row r="573" spans="1:2" x14ac:dyDescent="0.55000000000000004">
      <c r="A573" s="123">
        <v>44184</v>
      </c>
      <c r="B573" s="108">
        <v>4466.2799999999988</v>
      </c>
    </row>
    <row r="574" spans="1:2" x14ac:dyDescent="0.55000000000000004">
      <c r="A574" s="123">
        <v>44185</v>
      </c>
      <c r="B574" s="108">
        <v>4466.2799999999988</v>
      </c>
    </row>
    <row r="575" spans="1:2" x14ac:dyDescent="0.55000000000000004">
      <c r="A575" s="123">
        <v>44186</v>
      </c>
      <c r="B575" s="108">
        <v>4466.2799999999988</v>
      </c>
    </row>
    <row r="576" spans="1:2" x14ac:dyDescent="0.55000000000000004">
      <c r="A576" s="123">
        <v>44187</v>
      </c>
      <c r="B576" s="108">
        <v>4466.2799999999988</v>
      </c>
    </row>
    <row r="577" spans="1:2" x14ac:dyDescent="0.55000000000000004">
      <c r="A577" s="123">
        <v>44188</v>
      </c>
      <c r="B577" s="108">
        <v>4466.2799999999988</v>
      </c>
    </row>
    <row r="578" spans="1:2" x14ac:dyDescent="0.55000000000000004">
      <c r="A578" s="123">
        <v>44189</v>
      </c>
      <c r="B578" s="108">
        <v>4466.2799999999988</v>
      </c>
    </row>
    <row r="579" spans="1:2" x14ac:dyDescent="0.55000000000000004">
      <c r="A579" s="123">
        <v>44190</v>
      </c>
      <c r="B579" s="108">
        <v>4466.2799999999988</v>
      </c>
    </row>
    <row r="580" spans="1:2" x14ac:dyDescent="0.55000000000000004">
      <c r="A580" s="123">
        <v>44191</v>
      </c>
      <c r="B580" s="108">
        <v>4466.2799999999988</v>
      </c>
    </row>
    <row r="581" spans="1:2" x14ac:dyDescent="0.55000000000000004">
      <c r="A581" s="123">
        <v>44192</v>
      </c>
      <c r="B581" s="108">
        <v>4466.2799999999988</v>
      </c>
    </row>
    <row r="582" spans="1:2" x14ac:dyDescent="0.55000000000000004">
      <c r="A582" s="123">
        <v>44193</v>
      </c>
      <c r="B582" s="108">
        <v>4466.2799999999988</v>
      </c>
    </row>
    <row r="583" spans="1:2" x14ac:dyDescent="0.55000000000000004">
      <c r="A583" s="123">
        <v>44194</v>
      </c>
      <c r="B583" s="108">
        <v>4466.2799999999988</v>
      </c>
    </row>
    <row r="584" spans="1:2" x14ac:dyDescent="0.55000000000000004">
      <c r="A584" s="123">
        <v>44195</v>
      </c>
      <c r="B584" s="108">
        <v>4466.2799999999988</v>
      </c>
    </row>
    <row r="585" spans="1:2" x14ac:dyDescent="0.55000000000000004">
      <c r="A585" s="123">
        <v>44196</v>
      </c>
      <c r="B585" s="108">
        <v>4466.2799999999988</v>
      </c>
    </row>
    <row r="586" spans="1:2" x14ac:dyDescent="0.55000000000000004">
      <c r="A586" s="123">
        <v>44197</v>
      </c>
      <c r="B586" s="108">
        <v>4467.2599999999993</v>
      </c>
    </row>
    <row r="587" spans="1:2" x14ac:dyDescent="0.55000000000000004">
      <c r="A587" s="123">
        <v>44198</v>
      </c>
      <c r="B587" s="108">
        <v>4467.2599999999993</v>
      </c>
    </row>
    <row r="588" spans="1:2" x14ac:dyDescent="0.55000000000000004">
      <c r="A588" s="123">
        <v>44199</v>
      </c>
      <c r="B588" s="108">
        <v>4467.2599999999993</v>
      </c>
    </row>
    <row r="589" spans="1:2" x14ac:dyDescent="0.55000000000000004">
      <c r="A589" s="123">
        <v>44200</v>
      </c>
      <c r="B589" s="108">
        <v>4467.2599999999993</v>
      </c>
    </row>
    <row r="590" spans="1:2" x14ac:dyDescent="0.55000000000000004">
      <c r="A590" s="123">
        <v>44201</v>
      </c>
      <c r="B590" s="108">
        <v>4467.26</v>
      </c>
    </row>
    <row r="591" spans="1:2" x14ac:dyDescent="0.55000000000000004">
      <c r="A591" s="123">
        <v>44202</v>
      </c>
      <c r="B591" s="108">
        <v>4467.26</v>
      </c>
    </row>
    <row r="592" spans="1:2" x14ac:dyDescent="0.55000000000000004">
      <c r="A592" s="123">
        <v>44203</v>
      </c>
      <c r="B592" s="108">
        <v>4467.26</v>
      </c>
    </row>
    <row r="593" spans="1:2" x14ac:dyDescent="0.55000000000000004">
      <c r="A593" s="123">
        <v>44204</v>
      </c>
      <c r="B593" s="108">
        <v>4467.26</v>
      </c>
    </row>
    <row r="594" spans="1:2" x14ac:dyDescent="0.55000000000000004">
      <c r="A594" s="123">
        <v>44205</v>
      </c>
      <c r="B594" s="108">
        <v>4467.26</v>
      </c>
    </row>
    <row r="595" spans="1:2" x14ac:dyDescent="0.55000000000000004">
      <c r="A595" s="123">
        <v>44206</v>
      </c>
      <c r="B595" s="108">
        <v>4467.26</v>
      </c>
    </row>
    <row r="596" spans="1:2" x14ac:dyDescent="0.55000000000000004">
      <c r="A596" s="123">
        <v>44207</v>
      </c>
      <c r="B596" s="108">
        <v>4467.26</v>
      </c>
    </row>
    <row r="597" spans="1:2" x14ac:dyDescent="0.55000000000000004">
      <c r="A597" s="123">
        <v>44208</v>
      </c>
      <c r="B597" s="108">
        <v>4467.26</v>
      </c>
    </row>
    <row r="598" spans="1:2" x14ac:dyDescent="0.55000000000000004">
      <c r="A598" s="123">
        <v>44209</v>
      </c>
      <c r="B598" s="108">
        <v>4467.26</v>
      </c>
    </row>
    <row r="599" spans="1:2" x14ac:dyDescent="0.55000000000000004">
      <c r="A599" s="123">
        <v>44210</v>
      </c>
      <c r="B599" s="108">
        <v>4467.26</v>
      </c>
    </row>
    <row r="600" spans="1:2" x14ac:dyDescent="0.55000000000000004">
      <c r="A600" s="123">
        <v>44211</v>
      </c>
      <c r="B600" s="108">
        <v>4467.26</v>
      </c>
    </row>
    <row r="601" spans="1:2" x14ac:dyDescent="0.55000000000000004">
      <c r="A601" s="123">
        <v>44212</v>
      </c>
      <c r="B601" s="108">
        <v>4467.26</v>
      </c>
    </row>
    <row r="602" spans="1:2" x14ac:dyDescent="0.55000000000000004">
      <c r="A602" s="123">
        <v>44213</v>
      </c>
      <c r="B602" s="108">
        <v>4467.26</v>
      </c>
    </row>
    <row r="603" spans="1:2" x14ac:dyDescent="0.55000000000000004">
      <c r="A603" s="123">
        <v>44214</v>
      </c>
      <c r="B603" s="108">
        <v>4467.26</v>
      </c>
    </row>
    <row r="604" spans="1:2" x14ac:dyDescent="0.55000000000000004">
      <c r="A604" s="123">
        <v>44215</v>
      </c>
      <c r="B604" s="108">
        <v>4467.26</v>
      </c>
    </row>
    <row r="605" spans="1:2" x14ac:dyDescent="0.55000000000000004">
      <c r="A605" s="123">
        <v>44216</v>
      </c>
      <c r="B605" s="108">
        <v>4467.26</v>
      </c>
    </row>
    <row r="606" spans="1:2" x14ac:dyDescent="0.55000000000000004">
      <c r="A606" s="123">
        <v>44217</v>
      </c>
      <c r="B606" s="108">
        <v>4467.26</v>
      </c>
    </row>
    <row r="607" spans="1:2" x14ac:dyDescent="0.55000000000000004">
      <c r="A607" s="123">
        <v>44218</v>
      </c>
      <c r="B607" s="108">
        <v>4467.26</v>
      </c>
    </row>
    <row r="608" spans="1:2" x14ac:dyDescent="0.55000000000000004">
      <c r="A608" s="123">
        <v>44219</v>
      </c>
      <c r="B608" s="108">
        <v>4467.26</v>
      </c>
    </row>
    <row r="609" spans="1:2" x14ac:dyDescent="0.55000000000000004">
      <c r="A609" s="123">
        <v>44220</v>
      </c>
      <c r="B609" s="108">
        <v>4467.26</v>
      </c>
    </row>
    <row r="610" spans="1:2" x14ac:dyDescent="0.55000000000000004">
      <c r="A610" s="123">
        <v>44221</v>
      </c>
      <c r="B610" s="108">
        <v>4467.26</v>
      </c>
    </row>
    <row r="611" spans="1:2" x14ac:dyDescent="0.55000000000000004">
      <c r="A611" s="123">
        <v>44222</v>
      </c>
      <c r="B611" s="108">
        <v>4467.26</v>
      </c>
    </row>
    <row r="612" spans="1:2" x14ac:dyDescent="0.55000000000000004">
      <c r="A612" s="123">
        <v>44223</v>
      </c>
      <c r="B612" s="108">
        <v>4467.26</v>
      </c>
    </row>
    <row r="613" spans="1:2" x14ac:dyDescent="0.55000000000000004">
      <c r="A613" s="123">
        <v>44224</v>
      </c>
      <c r="B613" s="108">
        <v>4467.26</v>
      </c>
    </row>
    <row r="614" spans="1:2" x14ac:dyDescent="0.55000000000000004">
      <c r="A614" s="123">
        <v>44225</v>
      </c>
      <c r="B614" s="108">
        <v>4467.26</v>
      </c>
    </row>
    <row r="615" spans="1:2" x14ac:dyDescent="0.55000000000000004">
      <c r="A615" s="123">
        <v>44226</v>
      </c>
      <c r="B615" s="108">
        <v>4467.26</v>
      </c>
    </row>
    <row r="616" spans="1:2" x14ac:dyDescent="0.55000000000000004">
      <c r="A616" s="123">
        <v>44227</v>
      </c>
      <c r="B616" s="108">
        <v>4467.26</v>
      </c>
    </row>
    <row r="617" spans="1:2" x14ac:dyDescent="0.55000000000000004">
      <c r="A617" s="123">
        <v>44228</v>
      </c>
      <c r="B617" s="108">
        <v>4467.26</v>
      </c>
    </row>
    <row r="618" spans="1:2" x14ac:dyDescent="0.55000000000000004">
      <c r="A618" s="123">
        <v>44229</v>
      </c>
      <c r="B618" s="108">
        <v>4467.26</v>
      </c>
    </row>
    <row r="619" spans="1:2" x14ac:dyDescent="0.55000000000000004">
      <c r="A619" s="123">
        <v>44230</v>
      </c>
      <c r="B619" s="108">
        <v>4467.26</v>
      </c>
    </row>
    <row r="620" spans="1:2" x14ac:dyDescent="0.55000000000000004">
      <c r="A620" s="123">
        <v>44231</v>
      </c>
      <c r="B620" s="108">
        <v>4467.26</v>
      </c>
    </row>
    <row r="621" spans="1:2" x14ac:dyDescent="0.55000000000000004">
      <c r="A621" s="123">
        <v>44232</v>
      </c>
      <c r="B621" s="108">
        <v>4467.26</v>
      </c>
    </row>
    <row r="622" spans="1:2" x14ac:dyDescent="0.55000000000000004">
      <c r="A622" s="123">
        <v>44233</v>
      </c>
      <c r="B622" s="108">
        <v>4467.26</v>
      </c>
    </row>
    <row r="623" spans="1:2" x14ac:dyDescent="0.55000000000000004">
      <c r="A623" s="123">
        <v>44234</v>
      </c>
      <c r="B623" s="108">
        <v>4467.26</v>
      </c>
    </row>
    <row r="624" spans="1:2" x14ac:dyDescent="0.55000000000000004">
      <c r="A624" s="123">
        <v>44235</v>
      </c>
      <c r="B624" s="108">
        <v>4467.26</v>
      </c>
    </row>
    <row r="625" spans="1:2" x14ac:dyDescent="0.55000000000000004">
      <c r="A625" s="123">
        <v>44236</v>
      </c>
      <c r="B625" s="108">
        <v>4467.26</v>
      </c>
    </row>
    <row r="626" spans="1:2" x14ac:dyDescent="0.55000000000000004">
      <c r="A626" s="123">
        <v>44237</v>
      </c>
      <c r="B626" s="108">
        <v>4467.26</v>
      </c>
    </row>
    <row r="627" spans="1:2" x14ac:dyDescent="0.55000000000000004">
      <c r="A627" s="123">
        <v>44238</v>
      </c>
      <c r="B627" s="108">
        <v>4467.26</v>
      </c>
    </row>
    <row r="628" spans="1:2" x14ac:dyDescent="0.55000000000000004">
      <c r="A628" s="123">
        <v>44239</v>
      </c>
      <c r="B628" s="108">
        <v>4467.26</v>
      </c>
    </row>
    <row r="629" spans="1:2" x14ac:dyDescent="0.55000000000000004">
      <c r="A629" s="123">
        <v>44240</v>
      </c>
      <c r="B629" s="108">
        <v>4467.26</v>
      </c>
    </row>
    <row r="630" spans="1:2" x14ac:dyDescent="0.55000000000000004">
      <c r="A630" s="123">
        <v>44241</v>
      </c>
      <c r="B630" s="108">
        <v>4467.26</v>
      </c>
    </row>
    <row r="631" spans="1:2" x14ac:dyDescent="0.55000000000000004">
      <c r="A631" s="123">
        <v>44242</v>
      </c>
      <c r="B631" s="108">
        <v>4467.26</v>
      </c>
    </row>
    <row r="632" spans="1:2" x14ac:dyDescent="0.55000000000000004">
      <c r="A632" s="123">
        <v>44243</v>
      </c>
      <c r="B632" s="108">
        <v>4467.26</v>
      </c>
    </row>
    <row r="633" spans="1:2" x14ac:dyDescent="0.55000000000000004">
      <c r="A633" s="123">
        <v>44244</v>
      </c>
      <c r="B633" s="108">
        <v>4467.26</v>
      </c>
    </row>
    <row r="634" spans="1:2" x14ac:dyDescent="0.55000000000000004">
      <c r="A634" s="123">
        <v>44245</v>
      </c>
      <c r="B634" s="108">
        <v>4467.26</v>
      </c>
    </row>
    <row r="635" spans="1:2" x14ac:dyDescent="0.55000000000000004">
      <c r="A635" s="123">
        <v>44246</v>
      </c>
      <c r="B635" s="108">
        <v>4467.26</v>
      </c>
    </row>
    <row r="636" spans="1:2" x14ac:dyDescent="0.55000000000000004">
      <c r="A636" s="123">
        <v>44247</v>
      </c>
      <c r="B636" s="108">
        <v>4467.26</v>
      </c>
    </row>
    <row r="637" spans="1:2" x14ac:dyDescent="0.55000000000000004">
      <c r="A637" s="123">
        <v>44248</v>
      </c>
      <c r="B637" s="108">
        <v>4467.26</v>
      </c>
    </row>
    <row r="638" spans="1:2" x14ac:dyDescent="0.55000000000000004">
      <c r="A638" s="123">
        <v>44249</v>
      </c>
      <c r="B638" s="108">
        <v>4467.26</v>
      </c>
    </row>
    <row r="639" spans="1:2" x14ac:dyDescent="0.55000000000000004">
      <c r="A639" s="123">
        <v>44250</v>
      </c>
      <c r="B639" s="108">
        <v>4467.26</v>
      </c>
    </row>
    <row r="640" spans="1:2" x14ac:dyDescent="0.55000000000000004">
      <c r="A640" s="123">
        <v>44251</v>
      </c>
      <c r="B640" s="108">
        <v>4467.26</v>
      </c>
    </row>
    <row r="641" spans="1:2" x14ac:dyDescent="0.55000000000000004">
      <c r="A641" s="123">
        <v>44252</v>
      </c>
      <c r="B641" s="108">
        <v>4467.26</v>
      </c>
    </row>
    <row r="642" spans="1:2" x14ac:dyDescent="0.55000000000000004">
      <c r="A642" s="123">
        <v>44253</v>
      </c>
      <c r="B642" s="108">
        <v>4467.26</v>
      </c>
    </row>
    <row r="643" spans="1:2" x14ac:dyDescent="0.55000000000000004">
      <c r="A643" s="123">
        <v>44254</v>
      </c>
      <c r="B643" s="108">
        <v>4467.26</v>
      </c>
    </row>
    <row r="644" spans="1:2" x14ac:dyDescent="0.55000000000000004">
      <c r="A644" s="123">
        <v>44255</v>
      </c>
      <c r="B644" s="108">
        <v>4467.26</v>
      </c>
    </row>
    <row r="645" spans="1:2" x14ac:dyDescent="0.55000000000000004">
      <c r="A645" s="123">
        <v>44256</v>
      </c>
      <c r="B645" s="108">
        <v>4467.26</v>
      </c>
    </row>
    <row r="646" spans="1:2" x14ac:dyDescent="0.55000000000000004">
      <c r="A646" s="123">
        <v>44257</v>
      </c>
      <c r="B646" s="108">
        <v>4467.26</v>
      </c>
    </row>
    <row r="647" spans="1:2" x14ac:dyDescent="0.55000000000000004">
      <c r="A647" s="123">
        <v>44258</v>
      </c>
      <c r="B647" s="108">
        <v>4467.26</v>
      </c>
    </row>
    <row r="648" spans="1:2" x14ac:dyDescent="0.55000000000000004">
      <c r="A648" s="123">
        <v>44259</v>
      </c>
      <c r="B648" s="108">
        <v>4467.26</v>
      </c>
    </row>
    <row r="649" spans="1:2" x14ac:dyDescent="0.55000000000000004">
      <c r="A649" s="123">
        <v>44260</v>
      </c>
      <c r="B649" s="108">
        <v>4467.26</v>
      </c>
    </row>
    <row r="650" spans="1:2" x14ac:dyDescent="0.55000000000000004">
      <c r="A650" s="123">
        <v>44261</v>
      </c>
      <c r="B650" s="108">
        <v>4467.26</v>
      </c>
    </row>
    <row r="651" spans="1:2" x14ac:dyDescent="0.55000000000000004">
      <c r="A651" s="123">
        <v>44262</v>
      </c>
      <c r="B651" s="108">
        <v>4467.26</v>
      </c>
    </row>
    <row r="652" spans="1:2" x14ac:dyDescent="0.55000000000000004">
      <c r="A652" s="123">
        <v>44263</v>
      </c>
      <c r="B652" s="108">
        <v>4467.26</v>
      </c>
    </row>
    <row r="653" spans="1:2" x14ac:dyDescent="0.55000000000000004">
      <c r="A653" s="123">
        <v>44264</v>
      </c>
      <c r="B653" s="108">
        <v>4467.26</v>
      </c>
    </row>
    <row r="654" spans="1:2" x14ac:dyDescent="0.55000000000000004">
      <c r="A654" s="123">
        <v>44265</v>
      </c>
      <c r="B654" s="108">
        <v>4467.26</v>
      </c>
    </row>
    <row r="655" spans="1:2" x14ac:dyDescent="0.55000000000000004">
      <c r="A655" s="123">
        <v>44266</v>
      </c>
      <c r="B655" s="108">
        <v>4467.26</v>
      </c>
    </row>
    <row r="656" spans="1:2" x14ac:dyDescent="0.55000000000000004">
      <c r="A656" s="123">
        <v>44267</v>
      </c>
      <c r="B656" s="108">
        <v>4467.26</v>
      </c>
    </row>
    <row r="657" spans="1:2" x14ac:dyDescent="0.55000000000000004">
      <c r="A657" s="123">
        <v>44268</v>
      </c>
      <c r="B657" s="108">
        <v>4467.26</v>
      </c>
    </row>
    <row r="658" spans="1:2" x14ac:dyDescent="0.55000000000000004">
      <c r="A658" s="123">
        <v>44269</v>
      </c>
      <c r="B658" s="108">
        <v>4467.26</v>
      </c>
    </row>
    <row r="659" spans="1:2" x14ac:dyDescent="0.55000000000000004">
      <c r="A659" s="123">
        <v>44270</v>
      </c>
      <c r="B659" s="108">
        <v>4467.26</v>
      </c>
    </row>
    <row r="660" spans="1:2" x14ac:dyDescent="0.55000000000000004">
      <c r="A660" s="123">
        <v>44271</v>
      </c>
      <c r="B660" s="108">
        <v>4467.26</v>
      </c>
    </row>
    <row r="661" spans="1:2" x14ac:dyDescent="0.55000000000000004">
      <c r="A661" s="123">
        <v>44272</v>
      </c>
      <c r="B661" s="108">
        <v>4467.26</v>
      </c>
    </row>
    <row r="662" spans="1:2" x14ac:dyDescent="0.55000000000000004">
      <c r="A662" s="123">
        <v>44273</v>
      </c>
      <c r="B662" s="108">
        <v>4467.26</v>
      </c>
    </row>
    <row r="663" spans="1:2" x14ac:dyDescent="0.55000000000000004">
      <c r="A663" s="123">
        <v>44274</v>
      </c>
      <c r="B663" s="108">
        <v>4467.26</v>
      </c>
    </row>
    <row r="664" spans="1:2" x14ac:dyDescent="0.55000000000000004">
      <c r="A664" s="123">
        <v>44275</v>
      </c>
      <c r="B664" s="108">
        <v>4467.26</v>
      </c>
    </row>
    <row r="665" spans="1:2" x14ac:dyDescent="0.55000000000000004">
      <c r="A665" s="123">
        <v>44276</v>
      </c>
      <c r="B665" s="108">
        <v>4467.26</v>
      </c>
    </row>
    <row r="666" spans="1:2" x14ac:dyDescent="0.55000000000000004">
      <c r="A666" s="123">
        <v>44277</v>
      </c>
      <c r="B666" s="108">
        <v>4467.26</v>
      </c>
    </row>
    <row r="667" spans="1:2" x14ac:dyDescent="0.55000000000000004">
      <c r="A667" s="123">
        <v>44278</v>
      </c>
      <c r="B667" s="108">
        <v>4467.26</v>
      </c>
    </row>
    <row r="668" spans="1:2" x14ac:dyDescent="0.55000000000000004">
      <c r="A668" s="123">
        <v>44279</v>
      </c>
      <c r="B668" s="108">
        <v>4467.26</v>
      </c>
    </row>
    <row r="669" spans="1:2" x14ac:dyDescent="0.55000000000000004">
      <c r="A669" s="123">
        <v>44280</v>
      </c>
      <c r="B669" s="108">
        <v>4467.26</v>
      </c>
    </row>
    <row r="670" spans="1:2" x14ac:dyDescent="0.55000000000000004">
      <c r="A670" s="123">
        <v>44281</v>
      </c>
      <c r="B670" s="108">
        <v>4624.7602000000006</v>
      </c>
    </row>
    <row r="671" spans="1:2" x14ac:dyDescent="0.55000000000000004">
      <c r="A671" s="123">
        <v>44282</v>
      </c>
      <c r="B671" s="108">
        <v>4624.7602000000006</v>
      </c>
    </row>
    <row r="672" spans="1:2" x14ac:dyDescent="0.55000000000000004">
      <c r="A672" s="123">
        <v>44283</v>
      </c>
      <c r="B672" s="108">
        <v>4624.7602000000006</v>
      </c>
    </row>
    <row r="673" spans="1:2" x14ac:dyDescent="0.55000000000000004">
      <c r="A673" s="123">
        <v>44284</v>
      </c>
      <c r="B673" s="108">
        <v>4624.7602000000006</v>
      </c>
    </row>
    <row r="674" spans="1:2" x14ac:dyDescent="0.55000000000000004">
      <c r="A674" s="123">
        <v>44285</v>
      </c>
      <c r="B674" s="108">
        <v>4624.7602000000006</v>
      </c>
    </row>
    <row r="675" spans="1:2" x14ac:dyDescent="0.55000000000000004">
      <c r="A675" s="123">
        <v>44286</v>
      </c>
      <c r="B675" s="108">
        <v>4624.7602000000006</v>
      </c>
    </row>
    <row r="676" spans="1:2" x14ac:dyDescent="0.55000000000000004">
      <c r="A676" s="123">
        <v>44287</v>
      </c>
      <c r="B676" s="108">
        <v>4624.7602000000006</v>
      </c>
    </row>
    <row r="677" spans="1:2" x14ac:dyDescent="0.55000000000000004">
      <c r="A677" s="123">
        <v>44288</v>
      </c>
      <c r="B677" s="108">
        <v>4624.7602000000006</v>
      </c>
    </row>
    <row r="678" spans="1:2" x14ac:dyDescent="0.55000000000000004">
      <c r="A678" s="123">
        <v>44289</v>
      </c>
      <c r="B678" s="108">
        <v>4624.7602000000006</v>
      </c>
    </row>
    <row r="679" spans="1:2" x14ac:dyDescent="0.55000000000000004">
      <c r="A679" s="123">
        <v>44290</v>
      </c>
      <c r="B679" s="108">
        <v>4624.7602000000006</v>
      </c>
    </row>
    <row r="680" spans="1:2" x14ac:dyDescent="0.55000000000000004">
      <c r="A680" s="123">
        <v>44291</v>
      </c>
      <c r="B680" s="108">
        <v>4624.7602000000006</v>
      </c>
    </row>
    <row r="681" spans="1:2" x14ac:dyDescent="0.55000000000000004">
      <c r="A681" s="123">
        <v>44292</v>
      </c>
      <c r="B681" s="108">
        <v>4624.7602000000006</v>
      </c>
    </row>
    <row r="682" spans="1:2" x14ac:dyDescent="0.55000000000000004">
      <c r="A682" s="123">
        <v>44293</v>
      </c>
      <c r="B682" s="108">
        <v>4624.7602000000006</v>
      </c>
    </row>
    <row r="683" spans="1:2" x14ac:dyDescent="0.55000000000000004">
      <c r="A683" s="123">
        <v>44294</v>
      </c>
      <c r="B683" s="108">
        <v>4474.6635999999999</v>
      </c>
    </row>
    <row r="684" spans="1:2" x14ac:dyDescent="0.55000000000000004">
      <c r="A684" s="123">
        <v>44295</v>
      </c>
      <c r="B684" s="108">
        <v>4474.6635999999999</v>
      </c>
    </row>
    <row r="685" spans="1:2" x14ac:dyDescent="0.55000000000000004">
      <c r="A685" s="123">
        <v>44296</v>
      </c>
      <c r="B685" s="108">
        <v>4474.6635999999999</v>
      </c>
    </row>
    <row r="686" spans="1:2" x14ac:dyDescent="0.55000000000000004">
      <c r="A686" s="123">
        <v>44297</v>
      </c>
      <c r="B686" s="108">
        <v>4474.6635999999999</v>
      </c>
    </row>
    <row r="687" spans="1:2" x14ac:dyDescent="0.55000000000000004">
      <c r="A687" s="123">
        <v>44298</v>
      </c>
      <c r="B687" s="108">
        <v>4474.6635999999999</v>
      </c>
    </row>
    <row r="688" spans="1:2" x14ac:dyDescent="0.55000000000000004">
      <c r="A688" s="123">
        <v>44299</v>
      </c>
      <c r="B688" s="108">
        <v>4474.6635999999999</v>
      </c>
    </row>
    <row r="689" spans="1:2" x14ac:dyDescent="0.55000000000000004">
      <c r="A689" s="123">
        <v>44300</v>
      </c>
      <c r="B689" s="108">
        <v>4474.6635999999999</v>
      </c>
    </row>
    <row r="690" spans="1:2" x14ac:dyDescent="0.55000000000000004">
      <c r="A690" s="123">
        <v>44301</v>
      </c>
      <c r="B690" s="108">
        <v>4474.6635999999999</v>
      </c>
    </row>
    <row r="691" spans="1:2" x14ac:dyDescent="0.55000000000000004">
      <c r="A691" s="123">
        <v>44302</v>
      </c>
      <c r="B691" s="108">
        <v>4474.6635999999999</v>
      </c>
    </row>
    <row r="692" spans="1:2" x14ac:dyDescent="0.55000000000000004">
      <c r="A692" s="123">
        <v>44303</v>
      </c>
      <c r="B692" s="108">
        <v>4474.6635999999999</v>
      </c>
    </row>
    <row r="693" spans="1:2" x14ac:dyDescent="0.55000000000000004">
      <c r="A693" s="123">
        <v>44304</v>
      </c>
      <c r="B693" s="108">
        <v>4474.6635999999999</v>
      </c>
    </row>
    <row r="694" spans="1:2" x14ac:dyDescent="0.55000000000000004">
      <c r="A694" s="123">
        <v>44305</v>
      </c>
      <c r="B694" s="108">
        <v>4474.6635999999999</v>
      </c>
    </row>
    <row r="695" spans="1:2" x14ac:dyDescent="0.55000000000000004">
      <c r="A695" s="123">
        <v>44306</v>
      </c>
      <c r="B695" s="108">
        <v>4474.6635999999999</v>
      </c>
    </row>
    <row r="696" spans="1:2" x14ac:dyDescent="0.55000000000000004">
      <c r="A696" s="123">
        <v>44307</v>
      </c>
      <c r="B696" s="108">
        <v>4474.6635999999999</v>
      </c>
    </row>
    <row r="697" spans="1:2" x14ac:dyDescent="0.55000000000000004">
      <c r="A697" s="123">
        <v>44308</v>
      </c>
      <c r="B697" s="108">
        <v>4474.6635999999999</v>
      </c>
    </row>
    <row r="698" spans="1:2" x14ac:dyDescent="0.55000000000000004">
      <c r="A698" s="123">
        <v>44309</v>
      </c>
      <c r="B698" s="108">
        <v>4474.6635999999999</v>
      </c>
    </row>
    <row r="699" spans="1:2" x14ac:dyDescent="0.55000000000000004">
      <c r="A699" s="123">
        <v>44310</v>
      </c>
      <c r="B699" s="108">
        <v>4474.6635999999999</v>
      </c>
    </row>
    <row r="700" spans="1:2" x14ac:dyDescent="0.55000000000000004">
      <c r="A700" s="123">
        <v>44311</v>
      </c>
      <c r="B700" s="108">
        <v>4474.6635999999999</v>
      </c>
    </row>
    <row r="701" spans="1:2" x14ac:dyDescent="0.55000000000000004">
      <c r="A701" s="123">
        <v>44312</v>
      </c>
      <c r="B701" s="108">
        <v>4474.6635999999999</v>
      </c>
    </row>
    <row r="702" spans="1:2" x14ac:dyDescent="0.55000000000000004">
      <c r="A702" s="123">
        <v>44313</v>
      </c>
      <c r="B702" s="108">
        <v>4474.6635999999999</v>
      </c>
    </row>
    <row r="703" spans="1:2" x14ac:dyDescent="0.55000000000000004">
      <c r="A703" s="123">
        <v>44314</v>
      </c>
      <c r="B703" s="108">
        <v>4474.6635999999999</v>
      </c>
    </row>
    <row r="704" spans="1:2" x14ac:dyDescent="0.55000000000000004">
      <c r="A704" s="123">
        <v>44315</v>
      </c>
      <c r="B704" s="108">
        <v>4474.6635999999999</v>
      </c>
    </row>
    <row r="705" spans="1:2" x14ac:dyDescent="0.55000000000000004">
      <c r="A705" s="123">
        <v>44316</v>
      </c>
      <c r="B705" s="108">
        <v>4474.6635999999999</v>
      </c>
    </row>
    <row r="706" spans="1:2" x14ac:dyDescent="0.55000000000000004">
      <c r="A706" s="123">
        <v>44317</v>
      </c>
      <c r="B706" s="108">
        <v>4474.6635999999999</v>
      </c>
    </row>
    <row r="707" spans="1:2" x14ac:dyDescent="0.55000000000000004">
      <c r="A707" s="123">
        <v>44318</v>
      </c>
      <c r="B707" s="108">
        <v>4474.6635999999999</v>
      </c>
    </row>
    <row r="708" spans="1:2" x14ac:dyDescent="0.55000000000000004">
      <c r="A708" s="123">
        <v>44319</v>
      </c>
      <c r="B708" s="108">
        <v>4474.6635999999999</v>
      </c>
    </row>
    <row r="709" spans="1:2" x14ac:dyDescent="0.55000000000000004">
      <c r="A709" s="123">
        <v>44320</v>
      </c>
      <c r="B709" s="108">
        <v>4474.6635999999999</v>
      </c>
    </row>
    <row r="710" spans="1:2" x14ac:dyDescent="0.55000000000000004">
      <c r="A710" s="123">
        <v>44321</v>
      </c>
      <c r="B710" s="108">
        <v>4474.6635999999999</v>
      </c>
    </row>
    <row r="711" spans="1:2" x14ac:dyDescent="0.55000000000000004">
      <c r="A711" s="123">
        <v>44322</v>
      </c>
      <c r="B711" s="108">
        <v>4467.3361500000001</v>
      </c>
    </row>
    <row r="712" spans="1:2" x14ac:dyDescent="0.55000000000000004">
      <c r="A712" s="123">
        <v>44323</v>
      </c>
      <c r="B712" s="108">
        <v>4467.3361500000001</v>
      </c>
    </row>
    <row r="713" spans="1:2" x14ac:dyDescent="0.55000000000000004">
      <c r="A713" s="123">
        <v>44324</v>
      </c>
      <c r="B713" s="108">
        <v>4467.3361500000001</v>
      </c>
    </row>
    <row r="714" spans="1:2" x14ac:dyDescent="0.55000000000000004">
      <c r="A714" s="123">
        <v>44325</v>
      </c>
      <c r="B714" s="108">
        <v>4467.3361500000001</v>
      </c>
    </row>
    <row r="715" spans="1:2" x14ac:dyDescent="0.55000000000000004">
      <c r="A715" s="123">
        <v>44326</v>
      </c>
      <c r="B715" s="108">
        <v>4467.3361500000001</v>
      </c>
    </row>
    <row r="716" spans="1:2" x14ac:dyDescent="0.55000000000000004">
      <c r="A716" s="123">
        <v>44327</v>
      </c>
      <c r="B716" s="108">
        <v>4467.3361500000001</v>
      </c>
    </row>
    <row r="717" spans="1:2" x14ac:dyDescent="0.55000000000000004">
      <c r="A717" s="123">
        <v>44328</v>
      </c>
      <c r="B717" s="108">
        <v>4467.3361500000001</v>
      </c>
    </row>
    <row r="718" spans="1:2" x14ac:dyDescent="0.55000000000000004">
      <c r="A718" s="123">
        <v>44329</v>
      </c>
      <c r="B718" s="108">
        <v>4467.3361500000001</v>
      </c>
    </row>
    <row r="719" spans="1:2" x14ac:dyDescent="0.55000000000000004">
      <c r="A719" s="123">
        <v>44330</v>
      </c>
      <c r="B719" s="108">
        <v>4467.3361500000001</v>
      </c>
    </row>
    <row r="720" spans="1:2" x14ac:dyDescent="0.55000000000000004">
      <c r="A720" s="123">
        <v>44331</v>
      </c>
      <c r="B720" s="108">
        <v>4467.3361500000001</v>
      </c>
    </row>
    <row r="721" spans="1:2" x14ac:dyDescent="0.55000000000000004">
      <c r="A721" s="123">
        <v>44332</v>
      </c>
      <c r="B721" s="108">
        <v>4467.3361500000001</v>
      </c>
    </row>
    <row r="722" spans="1:2" x14ac:dyDescent="0.55000000000000004">
      <c r="A722" s="123">
        <v>44333</v>
      </c>
      <c r="B722" s="108">
        <v>4467.3361500000001</v>
      </c>
    </row>
    <row r="723" spans="1:2" x14ac:dyDescent="0.55000000000000004">
      <c r="A723" s="123">
        <v>44334</v>
      </c>
      <c r="B723" s="108">
        <v>4467.3361500000001</v>
      </c>
    </row>
    <row r="724" spans="1:2" x14ac:dyDescent="0.55000000000000004">
      <c r="A724" s="123">
        <v>44335</v>
      </c>
      <c r="B724" s="108">
        <v>4467.3361500000001</v>
      </c>
    </row>
    <row r="725" spans="1:2" x14ac:dyDescent="0.55000000000000004">
      <c r="A725" s="123">
        <v>44336</v>
      </c>
      <c r="B725" s="108">
        <v>4997.0361499999999</v>
      </c>
    </row>
    <row r="726" spans="1:2" x14ac:dyDescent="0.55000000000000004">
      <c r="A726" s="123">
        <v>44337</v>
      </c>
      <c r="B726" s="108">
        <v>4997.0361499999999</v>
      </c>
    </row>
    <row r="727" spans="1:2" x14ac:dyDescent="0.55000000000000004">
      <c r="A727" s="123">
        <v>44338</v>
      </c>
      <c r="B727" s="108">
        <v>4997.0361499999999</v>
      </c>
    </row>
    <row r="728" spans="1:2" x14ac:dyDescent="0.55000000000000004">
      <c r="A728" s="123">
        <v>44339</v>
      </c>
      <c r="B728" s="108">
        <v>4997.0361499999999</v>
      </c>
    </row>
    <row r="729" spans="1:2" x14ac:dyDescent="0.55000000000000004">
      <c r="A729" s="123">
        <v>44340</v>
      </c>
      <c r="B729" s="108">
        <v>4997.0361499999999</v>
      </c>
    </row>
    <row r="730" spans="1:2" x14ac:dyDescent="0.55000000000000004">
      <c r="A730" s="123">
        <v>44341</v>
      </c>
      <c r="B730" s="108">
        <v>4997.0361499999999</v>
      </c>
    </row>
    <row r="731" spans="1:2" x14ac:dyDescent="0.55000000000000004">
      <c r="A731" s="123">
        <v>44342</v>
      </c>
      <c r="B731" s="108">
        <v>4997.0361499999999</v>
      </c>
    </row>
    <row r="732" spans="1:2" x14ac:dyDescent="0.55000000000000004">
      <c r="A732" s="123">
        <v>44343</v>
      </c>
      <c r="B732" s="108">
        <v>4997.0361499999999</v>
      </c>
    </row>
    <row r="733" spans="1:2" x14ac:dyDescent="0.55000000000000004">
      <c r="A733" s="123">
        <v>44344</v>
      </c>
      <c r="B733" s="108">
        <v>4997.0361499999999</v>
      </c>
    </row>
    <row r="734" spans="1:2" x14ac:dyDescent="0.55000000000000004">
      <c r="A734" s="123">
        <v>44345</v>
      </c>
      <c r="B734" s="108">
        <v>4997.0361499999999</v>
      </c>
    </row>
    <row r="735" spans="1:2" x14ac:dyDescent="0.55000000000000004">
      <c r="A735" s="123">
        <v>44346</v>
      </c>
      <c r="B735" s="108">
        <v>4997.0361499999999</v>
      </c>
    </row>
    <row r="736" spans="1:2" x14ac:dyDescent="0.55000000000000004">
      <c r="A736" s="123">
        <v>44347</v>
      </c>
      <c r="B736" s="108">
        <v>4997.0361499999999</v>
      </c>
    </row>
    <row r="737" spans="1:2" x14ac:dyDescent="0.55000000000000004">
      <c r="A737" s="123">
        <v>44348</v>
      </c>
      <c r="B737" s="108">
        <v>4997.0361499999999</v>
      </c>
    </row>
    <row r="738" spans="1:2" x14ac:dyDescent="0.55000000000000004">
      <c r="A738" s="123">
        <v>44349</v>
      </c>
      <c r="B738" s="108">
        <v>4996.9704700000002</v>
      </c>
    </row>
    <row r="739" spans="1:2" x14ac:dyDescent="0.55000000000000004">
      <c r="A739" s="123">
        <v>44350</v>
      </c>
      <c r="B739" s="108">
        <v>4996.9704700000002</v>
      </c>
    </row>
    <row r="740" spans="1:2" x14ac:dyDescent="0.55000000000000004">
      <c r="A740" s="123">
        <v>44351</v>
      </c>
      <c r="B740" s="108">
        <v>4996.9704700000002</v>
      </c>
    </row>
    <row r="741" spans="1:2" x14ac:dyDescent="0.55000000000000004">
      <c r="A741" s="123">
        <v>44352</v>
      </c>
      <c r="B741" s="108">
        <v>4996.9704700000002</v>
      </c>
    </row>
    <row r="742" spans="1:2" x14ac:dyDescent="0.55000000000000004">
      <c r="A742" s="123">
        <v>44353</v>
      </c>
      <c r="B742" s="108">
        <v>4996.9704700000002</v>
      </c>
    </row>
    <row r="743" spans="1:2" x14ac:dyDescent="0.55000000000000004">
      <c r="A743" s="123">
        <v>44354</v>
      </c>
      <c r="B743" s="108">
        <v>4996.9704700000002</v>
      </c>
    </row>
    <row r="744" spans="1:2" x14ac:dyDescent="0.55000000000000004">
      <c r="A744" s="123">
        <v>44355</v>
      </c>
      <c r="B744" s="108">
        <v>4996.9704700000002</v>
      </c>
    </row>
    <row r="745" spans="1:2" x14ac:dyDescent="0.55000000000000004">
      <c r="A745" s="123">
        <v>44356</v>
      </c>
      <c r="B745" s="108">
        <v>4996.9704700000002</v>
      </c>
    </row>
    <row r="746" spans="1:2" x14ac:dyDescent="0.55000000000000004">
      <c r="A746" s="123">
        <v>44357</v>
      </c>
      <c r="B746" s="108">
        <v>4996.9704700000002</v>
      </c>
    </row>
    <row r="747" spans="1:2" x14ac:dyDescent="0.55000000000000004">
      <c r="A747" s="123">
        <v>44358</v>
      </c>
      <c r="B747" s="108">
        <v>4996.9704700000002</v>
      </c>
    </row>
    <row r="748" spans="1:2" x14ac:dyDescent="0.55000000000000004">
      <c r="A748" s="123">
        <v>44359</v>
      </c>
      <c r="B748" s="108">
        <v>4996.9704700000002</v>
      </c>
    </row>
    <row r="749" spans="1:2" x14ac:dyDescent="0.55000000000000004">
      <c r="A749" s="123">
        <v>44360</v>
      </c>
      <c r="B749" s="108">
        <v>4996.9704700000002</v>
      </c>
    </row>
    <row r="750" spans="1:2" x14ac:dyDescent="0.55000000000000004">
      <c r="A750" s="123">
        <v>44361</v>
      </c>
      <c r="B750" s="108">
        <v>4996.9704700000002</v>
      </c>
    </row>
    <row r="751" spans="1:2" x14ac:dyDescent="0.55000000000000004">
      <c r="A751" s="123">
        <v>44362</v>
      </c>
      <c r="B751" s="108">
        <v>4996.9704700000002</v>
      </c>
    </row>
    <row r="752" spans="1:2" x14ac:dyDescent="0.55000000000000004">
      <c r="A752" s="123">
        <v>44363</v>
      </c>
      <c r="B752" s="108">
        <v>4996.9704700000002</v>
      </c>
    </row>
    <row r="753" spans="1:2" x14ac:dyDescent="0.55000000000000004">
      <c r="A753" s="123">
        <v>44364</v>
      </c>
      <c r="B753" s="108">
        <v>4996.9704700000002</v>
      </c>
    </row>
    <row r="754" spans="1:2" x14ac:dyDescent="0.55000000000000004">
      <c r="A754" s="123">
        <v>44365</v>
      </c>
      <c r="B754" s="108">
        <v>4996.9704700000002</v>
      </c>
    </row>
    <row r="755" spans="1:2" x14ac:dyDescent="0.55000000000000004">
      <c r="A755" s="123">
        <v>44366</v>
      </c>
      <c r="B755" s="108">
        <v>4996.9704700000002</v>
      </c>
    </row>
    <row r="756" spans="1:2" x14ac:dyDescent="0.55000000000000004">
      <c r="A756" s="123">
        <v>44367</v>
      </c>
      <c r="B756" s="108">
        <v>4996.9704700000002</v>
      </c>
    </row>
    <row r="757" spans="1:2" x14ac:dyDescent="0.55000000000000004">
      <c r="A757" s="123">
        <v>44368</v>
      </c>
      <c r="B757" s="108">
        <v>4996.9704700000002</v>
      </c>
    </row>
    <row r="758" spans="1:2" x14ac:dyDescent="0.55000000000000004">
      <c r="A758" s="123">
        <v>44369</v>
      </c>
      <c r="B758" s="108">
        <v>4996.9704700000002</v>
      </c>
    </row>
    <row r="759" spans="1:2" x14ac:dyDescent="0.55000000000000004">
      <c r="A759" s="123">
        <v>44370</v>
      </c>
      <c r="B759" s="108">
        <v>4996.9704700000002</v>
      </c>
    </row>
    <row r="760" spans="1:2" x14ac:dyDescent="0.55000000000000004">
      <c r="A760" s="123">
        <v>44371</v>
      </c>
      <c r="B760" s="108">
        <v>4996.9704700000002</v>
      </c>
    </row>
    <row r="761" spans="1:2" x14ac:dyDescent="0.55000000000000004">
      <c r="A761" s="123">
        <v>44372</v>
      </c>
      <c r="B761" s="108">
        <v>4996.9704700000002</v>
      </c>
    </row>
    <row r="762" spans="1:2" x14ac:dyDescent="0.55000000000000004">
      <c r="A762" s="123">
        <v>44373</v>
      </c>
      <c r="B762" s="108">
        <v>4996.9704700000002</v>
      </c>
    </row>
    <row r="763" spans="1:2" x14ac:dyDescent="0.55000000000000004">
      <c r="A763" s="123">
        <v>44374</v>
      </c>
      <c r="B763" s="108">
        <v>4996.9704700000002</v>
      </c>
    </row>
    <row r="764" spans="1:2" x14ac:dyDescent="0.55000000000000004">
      <c r="A764" s="123">
        <v>44375</v>
      </c>
      <c r="B764" s="108">
        <v>4996.9704700000002</v>
      </c>
    </row>
    <row r="765" spans="1:2" x14ac:dyDescent="0.55000000000000004">
      <c r="A765" s="123">
        <v>44376</v>
      </c>
      <c r="B765" s="108">
        <v>4996.9704700000002</v>
      </c>
    </row>
    <row r="766" spans="1:2" x14ac:dyDescent="0.55000000000000004">
      <c r="A766" s="123">
        <v>44377</v>
      </c>
      <c r="B766" s="108">
        <v>4996.9704700000002</v>
      </c>
    </row>
    <row r="767" spans="1:2" x14ac:dyDescent="0.55000000000000004">
      <c r="A767" s="123">
        <v>44378</v>
      </c>
      <c r="B767" s="108">
        <v>4996.9704700000002</v>
      </c>
    </row>
    <row r="768" spans="1:2" x14ac:dyDescent="0.55000000000000004">
      <c r="A768" s="123">
        <v>44379</v>
      </c>
      <c r="B768" s="108">
        <v>5594.5700000000006</v>
      </c>
    </row>
    <row r="769" spans="1:2" x14ac:dyDescent="0.55000000000000004">
      <c r="A769" s="123">
        <v>44380</v>
      </c>
      <c r="B769" s="108">
        <v>5594.5700000000006</v>
      </c>
    </row>
    <row r="770" spans="1:2" x14ac:dyDescent="0.55000000000000004">
      <c r="A770" s="123">
        <v>44381</v>
      </c>
      <c r="B770" s="108">
        <v>5594.5700000000006</v>
      </c>
    </row>
    <row r="771" spans="1:2" x14ac:dyDescent="0.55000000000000004">
      <c r="A771" s="123">
        <v>44382</v>
      </c>
      <c r="B771" s="108">
        <v>5594.5700000000006</v>
      </c>
    </row>
    <row r="772" spans="1:2" x14ac:dyDescent="0.55000000000000004">
      <c r="A772" s="123">
        <v>44383</v>
      </c>
      <c r="B772" s="108">
        <v>5594.5700000000006</v>
      </c>
    </row>
    <row r="773" spans="1:2" x14ac:dyDescent="0.55000000000000004">
      <c r="A773" s="123">
        <v>44384</v>
      </c>
      <c r="B773" s="108">
        <v>5594.5700000000006</v>
      </c>
    </row>
    <row r="774" spans="1:2" x14ac:dyDescent="0.55000000000000004">
      <c r="A774" s="123">
        <v>44385</v>
      </c>
      <c r="B774" s="108">
        <v>5594.5700000000006</v>
      </c>
    </row>
    <row r="775" spans="1:2" x14ac:dyDescent="0.55000000000000004">
      <c r="A775" s="123">
        <v>44386</v>
      </c>
      <c r="B775" s="108">
        <v>5594.5700000000006</v>
      </c>
    </row>
    <row r="776" spans="1:2" x14ac:dyDescent="0.55000000000000004">
      <c r="A776" s="123">
        <v>44387</v>
      </c>
      <c r="B776" s="108">
        <v>5594.5700000000006</v>
      </c>
    </row>
    <row r="777" spans="1:2" x14ac:dyDescent="0.55000000000000004">
      <c r="A777" s="123">
        <v>44388</v>
      </c>
      <c r="B777" s="108">
        <v>5594.5700000000006</v>
      </c>
    </row>
    <row r="778" spans="1:2" x14ac:dyDescent="0.55000000000000004">
      <c r="A778" s="123">
        <v>44389</v>
      </c>
      <c r="B778" s="108">
        <v>5594.5700000000006</v>
      </c>
    </row>
    <row r="779" spans="1:2" x14ac:dyDescent="0.55000000000000004">
      <c r="A779" s="123">
        <v>44390</v>
      </c>
      <c r="B779" s="108">
        <v>5594.5700000000006</v>
      </c>
    </row>
    <row r="780" spans="1:2" x14ac:dyDescent="0.55000000000000004">
      <c r="A780" s="123">
        <v>44391</v>
      </c>
      <c r="B780" s="108">
        <v>5594.5700000000006</v>
      </c>
    </row>
    <row r="781" spans="1:2" x14ac:dyDescent="0.55000000000000004">
      <c r="A781" s="123">
        <v>44392</v>
      </c>
      <c r="B781" s="108">
        <v>5594.5700000000006</v>
      </c>
    </row>
    <row r="782" spans="1:2" x14ac:dyDescent="0.55000000000000004">
      <c r="A782" s="123">
        <v>44393</v>
      </c>
      <c r="B782" s="108">
        <v>5594.5700000000006</v>
      </c>
    </row>
    <row r="783" spans="1:2" x14ac:dyDescent="0.55000000000000004">
      <c r="A783" s="123">
        <v>44394</v>
      </c>
      <c r="B783" s="108">
        <v>5594.5700000000006</v>
      </c>
    </row>
    <row r="784" spans="1:2" x14ac:dyDescent="0.55000000000000004">
      <c r="A784" s="123">
        <v>44395</v>
      </c>
      <c r="B784" s="108">
        <v>5594.5700000000006</v>
      </c>
    </row>
    <row r="785" spans="1:2" x14ac:dyDescent="0.55000000000000004">
      <c r="A785" s="123">
        <v>44396</v>
      </c>
      <c r="B785" s="108">
        <v>5594.5700000000006</v>
      </c>
    </row>
    <row r="786" spans="1:2" x14ac:dyDescent="0.55000000000000004">
      <c r="A786" s="123">
        <v>44397</v>
      </c>
      <c r="B786" s="108">
        <v>5594.5700000000006</v>
      </c>
    </row>
    <row r="787" spans="1:2" x14ac:dyDescent="0.55000000000000004">
      <c r="A787" s="123">
        <v>44398</v>
      </c>
      <c r="B787" s="108">
        <v>5594.5700000000006</v>
      </c>
    </row>
    <row r="788" spans="1:2" x14ac:dyDescent="0.55000000000000004">
      <c r="A788" s="123">
        <v>44399</v>
      </c>
      <c r="B788" s="108">
        <v>5594.5700000000006</v>
      </c>
    </row>
    <row r="789" spans="1:2" x14ac:dyDescent="0.55000000000000004">
      <c r="A789" s="123">
        <v>44400</v>
      </c>
      <c r="B789" s="108">
        <v>5594.5700000000006</v>
      </c>
    </row>
    <row r="790" spans="1:2" x14ac:dyDescent="0.55000000000000004">
      <c r="A790" s="123">
        <v>44401</v>
      </c>
      <c r="B790" s="108">
        <v>5594.5700000000006</v>
      </c>
    </row>
    <row r="791" spans="1:2" x14ac:dyDescent="0.55000000000000004">
      <c r="A791" s="123">
        <v>44402</v>
      </c>
      <c r="B791" s="108">
        <v>5594.5700000000006</v>
      </c>
    </row>
    <row r="792" spans="1:2" x14ac:dyDescent="0.55000000000000004">
      <c r="A792" s="123">
        <v>44403</v>
      </c>
      <c r="B792" s="108">
        <v>5594.5700000000006</v>
      </c>
    </row>
    <row r="793" spans="1:2" x14ac:dyDescent="0.55000000000000004">
      <c r="A793" s="123">
        <v>44404</v>
      </c>
      <c r="B793" s="108">
        <v>5594.5700000000006</v>
      </c>
    </row>
    <row r="794" spans="1:2" x14ac:dyDescent="0.55000000000000004">
      <c r="A794" s="123">
        <v>44405</v>
      </c>
      <c r="B794" s="108">
        <v>5594.5700000000006</v>
      </c>
    </row>
    <row r="795" spans="1:2" x14ac:dyDescent="0.55000000000000004">
      <c r="A795" s="123">
        <v>44406</v>
      </c>
      <c r="B795" s="108">
        <v>5594.5700000000006</v>
      </c>
    </row>
    <row r="796" spans="1:2" x14ac:dyDescent="0.55000000000000004">
      <c r="A796" s="123">
        <v>44407</v>
      </c>
      <c r="B796" s="108">
        <v>5594.5700000000006</v>
      </c>
    </row>
    <row r="797" spans="1:2" x14ac:dyDescent="0.55000000000000004">
      <c r="A797" s="123">
        <v>44408</v>
      </c>
      <c r="B797" s="108">
        <v>5594.5700000000006</v>
      </c>
    </row>
    <row r="798" spans="1:2" x14ac:dyDescent="0.55000000000000004">
      <c r="A798" s="123">
        <v>44409</v>
      </c>
      <c r="B798" s="108">
        <v>5594.5700000000006</v>
      </c>
    </row>
    <row r="799" spans="1:2" x14ac:dyDescent="0.55000000000000004">
      <c r="A799" s="123">
        <v>44410</v>
      </c>
      <c r="B799" s="108">
        <v>5594.5700000000006</v>
      </c>
    </row>
    <row r="800" spans="1:2" x14ac:dyDescent="0.55000000000000004">
      <c r="A800" s="123">
        <v>44411</v>
      </c>
      <c r="B800" s="108">
        <v>5594.5700000000006</v>
      </c>
    </row>
    <row r="801" spans="1:2" x14ac:dyDescent="0.55000000000000004">
      <c r="A801" s="123">
        <v>44412</v>
      </c>
      <c r="B801" s="108">
        <v>5594.5700000000006</v>
      </c>
    </row>
    <row r="802" spans="1:2" x14ac:dyDescent="0.55000000000000004">
      <c r="A802" s="123">
        <v>44413</v>
      </c>
      <c r="B802" s="108">
        <v>5594.5700000000006</v>
      </c>
    </row>
    <row r="803" spans="1:2" x14ac:dyDescent="0.55000000000000004">
      <c r="A803" s="123">
        <v>44414</v>
      </c>
      <c r="B803" s="108">
        <v>5594.5700000000006</v>
      </c>
    </row>
    <row r="804" spans="1:2" x14ac:dyDescent="0.55000000000000004">
      <c r="A804" s="123">
        <v>44415</v>
      </c>
      <c r="B804" s="108">
        <v>5594.5700000000006</v>
      </c>
    </row>
    <row r="805" spans="1:2" x14ac:dyDescent="0.55000000000000004">
      <c r="A805" s="123">
        <v>44416</v>
      </c>
      <c r="B805" s="108">
        <v>5594.5700000000006</v>
      </c>
    </row>
    <row r="806" spans="1:2" x14ac:dyDescent="0.55000000000000004">
      <c r="A806" s="123">
        <v>44417</v>
      </c>
      <c r="B806" s="108">
        <v>5594.5700000000006</v>
      </c>
    </row>
    <row r="807" spans="1:2" x14ac:dyDescent="0.55000000000000004">
      <c r="A807" s="123">
        <v>44418</v>
      </c>
      <c r="B807" s="108">
        <v>5852.9412999999995</v>
      </c>
    </row>
    <row r="808" spans="1:2" x14ac:dyDescent="0.55000000000000004">
      <c r="A808" s="123">
        <v>44419</v>
      </c>
      <c r="B808" s="108">
        <v>5852.94</v>
      </c>
    </row>
    <row r="809" spans="1:2" x14ac:dyDescent="0.55000000000000004">
      <c r="A809" s="123">
        <v>44420</v>
      </c>
      <c r="B809" s="108">
        <v>5852.94</v>
      </c>
    </row>
    <row r="810" spans="1:2" x14ac:dyDescent="0.55000000000000004">
      <c r="A810" s="123">
        <v>44421</v>
      </c>
      <c r="B810" s="108">
        <v>5852.94</v>
      </c>
    </row>
    <row r="811" spans="1:2" x14ac:dyDescent="0.55000000000000004">
      <c r="A811" s="123">
        <v>44422</v>
      </c>
      <c r="B811" s="108">
        <v>5852.94</v>
      </c>
    </row>
    <row r="812" spans="1:2" x14ac:dyDescent="0.55000000000000004">
      <c r="A812" s="123">
        <v>44423</v>
      </c>
      <c r="B812" s="108">
        <v>5852.94</v>
      </c>
    </row>
    <row r="813" spans="1:2" x14ac:dyDescent="0.55000000000000004">
      <c r="A813" s="123">
        <v>44424</v>
      </c>
      <c r="B813" s="108">
        <v>5852.94</v>
      </c>
    </row>
    <row r="814" spans="1:2" x14ac:dyDescent="0.55000000000000004">
      <c r="A814" s="123">
        <v>44425</v>
      </c>
      <c r="B814" s="108">
        <v>5852.94</v>
      </c>
    </row>
    <row r="815" spans="1:2" x14ac:dyDescent="0.55000000000000004">
      <c r="A815" s="123">
        <v>44426</v>
      </c>
      <c r="B815" s="108">
        <v>5852.94</v>
      </c>
    </row>
    <row r="816" spans="1:2" x14ac:dyDescent="0.55000000000000004">
      <c r="A816" s="123">
        <v>44427</v>
      </c>
      <c r="B816" s="108">
        <v>5852.94</v>
      </c>
    </row>
    <row r="817" spans="1:2" x14ac:dyDescent="0.55000000000000004">
      <c r="A817" s="123">
        <v>44428</v>
      </c>
      <c r="B817" s="108">
        <v>5852.94</v>
      </c>
    </row>
    <row r="818" spans="1:2" x14ac:dyDescent="0.55000000000000004">
      <c r="A818" s="123">
        <v>44429</v>
      </c>
      <c r="B818" s="108">
        <v>5852.94</v>
      </c>
    </row>
    <row r="819" spans="1:2" x14ac:dyDescent="0.55000000000000004">
      <c r="A819" s="123">
        <v>44430</v>
      </c>
      <c r="B819" s="108">
        <v>5852.94</v>
      </c>
    </row>
    <row r="820" spans="1:2" x14ac:dyDescent="0.55000000000000004">
      <c r="A820" s="123">
        <v>44431</v>
      </c>
      <c r="B820" s="108">
        <v>5852.94</v>
      </c>
    </row>
    <row r="821" spans="1:2" x14ac:dyDescent="0.55000000000000004">
      <c r="A821" s="123">
        <v>44432</v>
      </c>
      <c r="B821" s="108">
        <v>5852.94</v>
      </c>
    </row>
    <row r="822" spans="1:2" x14ac:dyDescent="0.55000000000000004">
      <c r="A822" s="123">
        <v>44433</v>
      </c>
      <c r="B822" s="108">
        <v>5852.94</v>
      </c>
    </row>
    <row r="823" spans="1:2" x14ac:dyDescent="0.55000000000000004">
      <c r="A823" s="123">
        <v>44434</v>
      </c>
      <c r="B823" s="108">
        <v>5852.94</v>
      </c>
    </row>
    <row r="824" spans="1:2" x14ac:dyDescent="0.55000000000000004">
      <c r="A824" s="123">
        <v>44435</v>
      </c>
      <c r="B824" s="108">
        <v>5852.94</v>
      </c>
    </row>
    <row r="825" spans="1:2" x14ac:dyDescent="0.55000000000000004">
      <c r="A825" s="123">
        <v>44436</v>
      </c>
      <c r="B825" s="108">
        <v>5852.94</v>
      </c>
    </row>
    <row r="826" spans="1:2" x14ac:dyDescent="0.55000000000000004">
      <c r="A826" s="123">
        <v>44437</v>
      </c>
      <c r="B826" s="108">
        <v>5852.94</v>
      </c>
    </row>
    <row r="827" spans="1:2" x14ac:dyDescent="0.55000000000000004">
      <c r="A827" s="123">
        <v>44438</v>
      </c>
      <c r="B827" s="108">
        <v>5852.94</v>
      </c>
    </row>
    <row r="828" spans="1:2" x14ac:dyDescent="0.55000000000000004">
      <c r="A828" s="123">
        <v>44439</v>
      </c>
      <c r="B828" s="108">
        <v>5852.94</v>
      </c>
    </row>
    <row r="829" spans="1:2" x14ac:dyDescent="0.55000000000000004">
      <c r="A829" s="123">
        <v>44440</v>
      </c>
      <c r="B829" s="108">
        <v>5852.94</v>
      </c>
    </row>
    <row r="830" spans="1:2" x14ac:dyDescent="0.55000000000000004">
      <c r="A830" s="123">
        <v>44441</v>
      </c>
      <c r="B830" s="108">
        <v>5852.94</v>
      </c>
    </row>
    <row r="831" spans="1:2" x14ac:dyDescent="0.55000000000000004">
      <c r="A831" s="123">
        <v>44442</v>
      </c>
      <c r="B831" s="108">
        <v>5852.94</v>
      </c>
    </row>
    <row r="832" spans="1:2" x14ac:dyDescent="0.55000000000000004">
      <c r="A832" s="123">
        <v>44443</v>
      </c>
      <c r="B832" s="108">
        <v>5852.94</v>
      </c>
    </row>
    <row r="833" spans="1:2" x14ac:dyDescent="0.55000000000000004">
      <c r="A833" s="123">
        <v>44444</v>
      </c>
      <c r="B833" s="108">
        <v>5852.94</v>
      </c>
    </row>
    <row r="834" spans="1:2" x14ac:dyDescent="0.55000000000000004">
      <c r="A834" s="123">
        <v>44445</v>
      </c>
      <c r="B834" s="108">
        <v>5852.94</v>
      </c>
    </row>
    <row r="835" spans="1:2" x14ac:dyDescent="0.55000000000000004">
      <c r="A835" s="123">
        <v>44446</v>
      </c>
      <c r="B835" s="108">
        <v>5852.94</v>
      </c>
    </row>
    <row r="836" spans="1:2" x14ac:dyDescent="0.55000000000000004">
      <c r="A836" s="123">
        <v>44447</v>
      </c>
      <c r="B836" s="108">
        <v>5852.94</v>
      </c>
    </row>
    <row r="837" spans="1:2" x14ac:dyDescent="0.55000000000000004">
      <c r="A837" s="123">
        <v>44448</v>
      </c>
      <c r="B837" s="108">
        <v>5852.94</v>
      </c>
    </row>
    <row r="838" spans="1:2" x14ac:dyDescent="0.55000000000000004">
      <c r="A838" s="123">
        <v>44449</v>
      </c>
      <c r="B838" s="108">
        <v>5852.94</v>
      </c>
    </row>
    <row r="839" spans="1:2" x14ac:dyDescent="0.55000000000000004">
      <c r="A839" s="123">
        <v>44450</v>
      </c>
      <c r="B839" s="108">
        <v>5852.94</v>
      </c>
    </row>
    <row r="840" spans="1:2" x14ac:dyDescent="0.55000000000000004">
      <c r="A840" s="123">
        <v>44451</v>
      </c>
      <c r="B840" s="108">
        <v>5852.94</v>
      </c>
    </row>
    <row r="841" spans="1:2" x14ac:dyDescent="0.55000000000000004">
      <c r="A841" s="123">
        <v>44452</v>
      </c>
      <c r="B841" s="108">
        <v>5852.94</v>
      </c>
    </row>
    <row r="842" spans="1:2" x14ac:dyDescent="0.55000000000000004">
      <c r="A842" s="123">
        <v>44453</v>
      </c>
      <c r="B842" s="108">
        <v>5852.94</v>
      </c>
    </row>
    <row r="843" spans="1:2" x14ac:dyDescent="0.55000000000000004">
      <c r="A843" s="123">
        <v>44454</v>
      </c>
      <c r="B843" s="108">
        <v>5852.94</v>
      </c>
    </row>
    <row r="844" spans="1:2" x14ac:dyDescent="0.55000000000000004">
      <c r="A844" s="123">
        <v>44455</v>
      </c>
      <c r="B844" s="108">
        <v>5852.94</v>
      </c>
    </row>
    <row r="845" spans="1:2" x14ac:dyDescent="0.55000000000000004">
      <c r="A845" s="123">
        <v>44456</v>
      </c>
      <c r="B845" s="108">
        <v>5852.94</v>
      </c>
    </row>
    <row r="846" spans="1:2" x14ac:dyDescent="0.55000000000000004">
      <c r="A846" s="123">
        <v>44457</v>
      </c>
      <c r="B846" s="108">
        <v>5852.94</v>
      </c>
    </row>
    <row r="847" spans="1:2" x14ac:dyDescent="0.55000000000000004">
      <c r="A847" s="123">
        <v>44458</v>
      </c>
      <c r="B847" s="108">
        <v>5852.94</v>
      </c>
    </row>
    <row r="848" spans="1:2" x14ac:dyDescent="0.55000000000000004">
      <c r="A848" s="123">
        <v>44459</v>
      </c>
      <c r="B848" s="108">
        <v>5852.94</v>
      </c>
    </row>
    <row r="849" spans="1:2" x14ac:dyDescent="0.55000000000000004">
      <c r="A849" s="123">
        <v>44460</v>
      </c>
      <c r="B849" s="108">
        <v>5852.94</v>
      </c>
    </row>
    <row r="850" spans="1:2" x14ac:dyDescent="0.55000000000000004">
      <c r="A850" s="123">
        <v>44461</v>
      </c>
      <c r="B850" s="108">
        <v>5852.94</v>
      </c>
    </row>
    <row r="851" spans="1:2" x14ac:dyDescent="0.55000000000000004">
      <c r="A851" s="123">
        <v>44462</v>
      </c>
      <c r="B851" s="108">
        <v>5852.94</v>
      </c>
    </row>
    <row r="852" spans="1:2" x14ac:dyDescent="0.55000000000000004">
      <c r="A852" s="123">
        <v>44463</v>
      </c>
      <c r="B852" s="108">
        <v>6075.8</v>
      </c>
    </row>
    <row r="853" spans="1:2" x14ac:dyDescent="0.55000000000000004">
      <c r="A853" s="123">
        <v>44464</v>
      </c>
      <c r="B853" s="108">
        <v>6075.8</v>
      </c>
    </row>
    <row r="854" spans="1:2" x14ac:dyDescent="0.55000000000000004">
      <c r="A854" s="123">
        <v>44465</v>
      </c>
      <c r="B854" s="108">
        <v>6075.8</v>
      </c>
    </row>
    <row r="855" spans="1:2" x14ac:dyDescent="0.55000000000000004">
      <c r="A855" s="123">
        <v>44466</v>
      </c>
      <c r="B855" s="108">
        <v>6075.8</v>
      </c>
    </row>
    <row r="856" spans="1:2" x14ac:dyDescent="0.55000000000000004">
      <c r="A856" s="123">
        <v>44467</v>
      </c>
      <c r="B856" s="108">
        <v>6075.8</v>
      </c>
    </row>
    <row r="857" spans="1:2" x14ac:dyDescent="0.55000000000000004">
      <c r="A857" s="123">
        <v>44468</v>
      </c>
      <c r="B857" s="108">
        <v>6075.8</v>
      </c>
    </row>
    <row r="858" spans="1:2" x14ac:dyDescent="0.55000000000000004">
      <c r="A858" s="123">
        <v>44469</v>
      </c>
      <c r="B858" s="108">
        <v>6075.8</v>
      </c>
    </row>
    <row r="859" spans="1:2" x14ac:dyDescent="0.55000000000000004">
      <c r="A859" s="123">
        <v>44470</v>
      </c>
      <c r="B859" s="108">
        <v>6075.8</v>
      </c>
    </row>
    <row r="860" spans="1:2" x14ac:dyDescent="0.55000000000000004">
      <c r="A860" s="123">
        <v>44471</v>
      </c>
      <c r="B860" s="108">
        <v>7143.41</v>
      </c>
    </row>
    <row r="861" spans="1:2" x14ac:dyDescent="0.55000000000000004">
      <c r="A861" s="123">
        <v>44472</v>
      </c>
      <c r="B861" s="108">
        <v>7143.41</v>
      </c>
    </row>
    <row r="862" spans="1:2" x14ac:dyDescent="0.55000000000000004">
      <c r="A862" s="123">
        <v>44473</v>
      </c>
      <c r="B862" s="108">
        <v>7143.41</v>
      </c>
    </row>
    <row r="863" spans="1:2" x14ac:dyDescent="0.55000000000000004">
      <c r="A863" s="123">
        <v>44474</v>
      </c>
      <c r="B863" s="108">
        <v>7143.41</v>
      </c>
    </row>
    <row r="864" spans="1:2" x14ac:dyDescent="0.55000000000000004">
      <c r="A864" s="123">
        <v>44475</v>
      </c>
      <c r="B864" s="108">
        <v>7143.41</v>
      </c>
    </row>
    <row r="865" spans="1:2" x14ac:dyDescent="0.55000000000000004">
      <c r="A865" s="123">
        <v>44476</v>
      </c>
      <c r="B865" s="108">
        <v>7143.41</v>
      </c>
    </row>
    <row r="866" spans="1:2" x14ac:dyDescent="0.55000000000000004">
      <c r="A866" s="123">
        <v>44477</v>
      </c>
      <c r="B866" s="108">
        <v>7143.41</v>
      </c>
    </row>
    <row r="867" spans="1:2" x14ac:dyDescent="0.55000000000000004">
      <c r="A867" s="123">
        <v>44478</v>
      </c>
      <c r="B867" s="108">
        <v>7143.41</v>
      </c>
    </row>
    <row r="868" spans="1:2" x14ac:dyDescent="0.55000000000000004">
      <c r="A868" s="123">
        <v>44479</v>
      </c>
      <c r="B868" s="108">
        <v>7143.41</v>
      </c>
    </row>
    <row r="869" spans="1:2" x14ac:dyDescent="0.55000000000000004">
      <c r="A869" s="123">
        <v>44480</v>
      </c>
      <c r="B869" s="108">
        <v>7143.41</v>
      </c>
    </row>
    <row r="870" spans="1:2" x14ac:dyDescent="0.55000000000000004">
      <c r="A870" s="123">
        <v>44481</v>
      </c>
      <c r="B870" s="108">
        <v>7143.41</v>
      </c>
    </row>
    <row r="871" spans="1:2" x14ac:dyDescent="0.55000000000000004">
      <c r="A871" s="123">
        <v>44482</v>
      </c>
      <c r="B871" s="108">
        <v>7143.41</v>
      </c>
    </row>
    <row r="872" spans="1:2" x14ac:dyDescent="0.55000000000000004">
      <c r="A872" s="123">
        <v>44483</v>
      </c>
      <c r="B872" s="108">
        <v>7143.41</v>
      </c>
    </row>
    <row r="873" spans="1:2" x14ac:dyDescent="0.55000000000000004">
      <c r="A873" s="123">
        <v>44484</v>
      </c>
      <c r="B873" s="108">
        <v>7143.41</v>
      </c>
    </row>
    <row r="874" spans="1:2" x14ac:dyDescent="0.55000000000000004">
      <c r="A874" s="123">
        <v>44485</v>
      </c>
      <c r="B874" s="108">
        <v>7143.41</v>
      </c>
    </row>
    <row r="875" spans="1:2" x14ac:dyDescent="0.55000000000000004">
      <c r="A875" s="123">
        <v>44486</v>
      </c>
      <c r="B875" s="108">
        <v>7143.41</v>
      </c>
    </row>
    <row r="876" spans="1:2" x14ac:dyDescent="0.55000000000000004">
      <c r="A876" s="123">
        <v>44487</v>
      </c>
      <c r="B876" s="108">
        <v>7143.41</v>
      </c>
    </row>
    <row r="877" spans="1:2" x14ac:dyDescent="0.55000000000000004">
      <c r="A877" s="123">
        <v>44488</v>
      </c>
      <c r="B877" s="108">
        <v>7143.41</v>
      </c>
    </row>
    <row r="878" spans="1:2" x14ac:dyDescent="0.55000000000000004">
      <c r="A878" s="123">
        <v>44489</v>
      </c>
      <c r="B878" s="108">
        <v>7143.41</v>
      </c>
    </row>
    <row r="879" spans="1:2" x14ac:dyDescent="0.55000000000000004">
      <c r="A879" s="123">
        <v>44490</v>
      </c>
      <c r="B879" s="108">
        <v>7469.5</v>
      </c>
    </row>
    <row r="880" spans="1:2" x14ac:dyDescent="0.55000000000000004">
      <c r="A880" s="123">
        <v>44491</v>
      </c>
      <c r="B880" s="108">
        <v>7469.5</v>
      </c>
    </row>
    <row r="881" spans="1:2" x14ac:dyDescent="0.55000000000000004">
      <c r="A881" s="123">
        <v>44492</v>
      </c>
      <c r="B881" s="108">
        <v>7469.5</v>
      </c>
    </row>
    <row r="882" spans="1:2" x14ac:dyDescent="0.55000000000000004">
      <c r="A882" s="123">
        <v>44493</v>
      </c>
      <c r="B882" s="108">
        <v>7469.5</v>
      </c>
    </row>
    <row r="883" spans="1:2" x14ac:dyDescent="0.55000000000000004">
      <c r="A883" s="123">
        <v>44494</v>
      </c>
      <c r="B883" s="108">
        <v>7469.5</v>
      </c>
    </row>
    <row r="884" spans="1:2" x14ac:dyDescent="0.55000000000000004">
      <c r="A884" s="123">
        <v>44495</v>
      </c>
      <c r="B884" s="108">
        <v>7469.5</v>
      </c>
    </row>
    <row r="885" spans="1:2" x14ac:dyDescent="0.55000000000000004">
      <c r="A885" s="123">
        <v>44496</v>
      </c>
      <c r="B885" s="108">
        <v>7469.5</v>
      </c>
    </row>
    <row r="886" spans="1:2" x14ac:dyDescent="0.55000000000000004">
      <c r="A886" s="123">
        <v>44497</v>
      </c>
      <c r="B886" s="108">
        <v>7469.5</v>
      </c>
    </row>
    <row r="887" spans="1:2" x14ac:dyDescent="0.55000000000000004">
      <c r="A887" s="123">
        <v>44498</v>
      </c>
      <c r="B887" s="108">
        <v>7469.5</v>
      </c>
    </row>
    <row r="888" spans="1:2" x14ac:dyDescent="0.55000000000000004">
      <c r="A888" s="123">
        <v>44499</v>
      </c>
      <c r="B888" s="108">
        <v>7469.5</v>
      </c>
    </row>
    <row r="889" spans="1:2" x14ac:dyDescent="0.55000000000000004">
      <c r="A889" s="123">
        <v>44500</v>
      </c>
      <c r="B889" s="108">
        <v>7469.5</v>
      </c>
    </row>
    <row r="890" spans="1:2" x14ac:dyDescent="0.55000000000000004">
      <c r="A890" s="123">
        <v>44501</v>
      </c>
      <c r="B890" s="108">
        <v>7469.5</v>
      </c>
    </row>
    <row r="891" spans="1:2" x14ac:dyDescent="0.55000000000000004">
      <c r="A891" s="123">
        <v>44502</v>
      </c>
      <c r="B891" s="108">
        <v>8213.67</v>
      </c>
    </row>
    <row r="892" spans="1:2" x14ac:dyDescent="0.55000000000000004">
      <c r="A892" s="123">
        <v>44503</v>
      </c>
      <c r="B892" s="108">
        <v>8213.67</v>
      </c>
    </row>
    <row r="893" spans="1:2" x14ac:dyDescent="0.55000000000000004">
      <c r="A893" s="123">
        <v>44504</v>
      </c>
      <c r="B893" s="108">
        <v>8213.67</v>
      </c>
    </row>
    <row r="894" spans="1:2" x14ac:dyDescent="0.55000000000000004">
      <c r="A894" s="123">
        <v>44505</v>
      </c>
      <c r="B894" s="108">
        <v>8213.67</v>
      </c>
    </row>
    <row r="895" spans="1:2" x14ac:dyDescent="0.55000000000000004">
      <c r="A895" s="123">
        <v>44506</v>
      </c>
      <c r="B895" s="108">
        <v>8213.67</v>
      </c>
    </row>
    <row r="896" spans="1:2" x14ac:dyDescent="0.55000000000000004">
      <c r="A896" s="123">
        <v>44507</v>
      </c>
      <c r="B896" s="108">
        <v>8213.67</v>
      </c>
    </row>
    <row r="897" spans="1:2" x14ac:dyDescent="0.55000000000000004">
      <c r="A897" s="123">
        <v>44508</v>
      </c>
      <c r="B897" s="108">
        <v>8213.67</v>
      </c>
    </row>
    <row r="898" spans="1:2" x14ac:dyDescent="0.55000000000000004">
      <c r="A898" s="123">
        <v>44509</v>
      </c>
      <c r="B898" s="108">
        <v>8213.67</v>
      </c>
    </row>
    <row r="899" spans="1:2" x14ac:dyDescent="0.55000000000000004">
      <c r="A899" s="123">
        <v>44510</v>
      </c>
      <c r="B899" s="108">
        <v>8213.67</v>
      </c>
    </row>
    <row r="900" spans="1:2" x14ac:dyDescent="0.55000000000000004">
      <c r="A900" s="123">
        <v>44511</v>
      </c>
      <c r="B900" s="108">
        <v>8213.67</v>
      </c>
    </row>
    <row r="901" spans="1:2" x14ac:dyDescent="0.55000000000000004">
      <c r="A901" s="123">
        <v>44512</v>
      </c>
      <c r="B901" s="108">
        <v>8213.67</v>
      </c>
    </row>
    <row r="902" spans="1:2" x14ac:dyDescent="0.55000000000000004">
      <c r="A902" s="123">
        <v>44513</v>
      </c>
      <c r="B902" s="108">
        <v>8213.67</v>
      </c>
    </row>
    <row r="903" spans="1:2" x14ac:dyDescent="0.55000000000000004">
      <c r="A903" s="123">
        <v>44514</v>
      </c>
      <c r="B903" s="108">
        <v>8213.67</v>
      </c>
    </row>
    <row r="904" spans="1:2" x14ac:dyDescent="0.55000000000000004">
      <c r="A904" s="123">
        <v>44515</v>
      </c>
      <c r="B904" s="108">
        <v>8213.67</v>
      </c>
    </row>
    <row r="905" spans="1:2" x14ac:dyDescent="0.55000000000000004">
      <c r="A905" s="123">
        <v>44516</v>
      </c>
      <c r="B905" s="108">
        <v>8584.89</v>
      </c>
    </row>
    <row r="906" spans="1:2" x14ac:dyDescent="0.55000000000000004">
      <c r="A906" s="123">
        <v>44517</v>
      </c>
      <c r="B906" s="108">
        <v>8584.89</v>
      </c>
    </row>
    <row r="907" spans="1:2" x14ac:dyDescent="0.55000000000000004">
      <c r="A907" s="123">
        <v>44518</v>
      </c>
      <c r="B907" s="108">
        <v>8584.89</v>
      </c>
    </row>
    <row r="908" spans="1:2" x14ac:dyDescent="0.55000000000000004">
      <c r="A908" s="123">
        <v>44519</v>
      </c>
      <c r="B908" s="108">
        <v>8584.89</v>
      </c>
    </row>
    <row r="909" spans="1:2" x14ac:dyDescent="0.55000000000000004">
      <c r="A909" s="123">
        <v>44520</v>
      </c>
      <c r="B909" s="108">
        <v>9264.6299999999992</v>
      </c>
    </row>
    <row r="910" spans="1:2" x14ac:dyDescent="0.55000000000000004">
      <c r="A910" s="123">
        <v>44521</v>
      </c>
      <c r="B910" s="108">
        <v>9264.6299999999992</v>
      </c>
    </row>
    <row r="911" spans="1:2" x14ac:dyDescent="0.55000000000000004">
      <c r="A911" s="123">
        <v>44522</v>
      </c>
      <c r="B911" s="108">
        <v>9264.6299999999992</v>
      </c>
    </row>
    <row r="912" spans="1:2" x14ac:dyDescent="0.55000000000000004">
      <c r="A912" s="123">
        <v>44523</v>
      </c>
      <c r="B912" s="108">
        <v>9550.4500000000007</v>
      </c>
    </row>
    <row r="913" spans="1:2" x14ac:dyDescent="0.55000000000000004">
      <c r="A913" s="123">
        <v>44524</v>
      </c>
      <c r="B913" s="108">
        <v>9550.4500000000007</v>
      </c>
    </row>
    <row r="914" spans="1:2" x14ac:dyDescent="0.55000000000000004">
      <c r="A914" s="123">
        <v>44525</v>
      </c>
      <c r="B914" s="108">
        <v>10527.07</v>
      </c>
    </row>
    <row r="915" spans="1:2" x14ac:dyDescent="0.55000000000000004">
      <c r="A915" s="123">
        <v>44526</v>
      </c>
      <c r="B915" s="108">
        <v>10527.07</v>
      </c>
    </row>
    <row r="916" spans="1:2" x14ac:dyDescent="0.55000000000000004">
      <c r="A916" s="123">
        <v>44527</v>
      </c>
      <c r="B916" s="108">
        <v>10527.07</v>
      </c>
    </row>
    <row r="917" spans="1:2" x14ac:dyDescent="0.55000000000000004">
      <c r="A917" s="123">
        <v>44528</v>
      </c>
      <c r="B917" s="108">
        <v>10527.07</v>
      </c>
    </row>
    <row r="918" spans="1:2" x14ac:dyDescent="0.55000000000000004">
      <c r="A918" s="123">
        <v>44529</v>
      </c>
      <c r="B918" s="108">
        <v>10527.07</v>
      </c>
    </row>
    <row r="919" spans="1:2" x14ac:dyDescent="0.55000000000000004">
      <c r="A919" s="123">
        <v>44530</v>
      </c>
      <c r="B919" s="108">
        <v>10527.07</v>
      </c>
    </row>
    <row r="920" spans="1:2" x14ac:dyDescent="0.55000000000000004">
      <c r="A920" s="123">
        <v>44531</v>
      </c>
      <c r="B920" s="108">
        <v>10527.07</v>
      </c>
    </row>
    <row r="921" spans="1:2" x14ac:dyDescent="0.55000000000000004">
      <c r="A921" s="123">
        <v>44532</v>
      </c>
      <c r="B921" s="108">
        <v>10527.07</v>
      </c>
    </row>
    <row r="922" spans="1:2" x14ac:dyDescent="0.55000000000000004">
      <c r="A922" s="123">
        <v>44533</v>
      </c>
      <c r="B922" s="108">
        <v>10527.07</v>
      </c>
    </row>
    <row r="923" spans="1:2" x14ac:dyDescent="0.55000000000000004">
      <c r="A923" s="123">
        <v>44534</v>
      </c>
      <c r="B923" s="108">
        <v>10527.07</v>
      </c>
    </row>
    <row r="924" spans="1:2" x14ac:dyDescent="0.55000000000000004">
      <c r="A924" s="123">
        <v>44535</v>
      </c>
      <c r="B924" s="108">
        <v>10527.07</v>
      </c>
    </row>
    <row r="925" spans="1:2" x14ac:dyDescent="0.55000000000000004">
      <c r="A925" s="123">
        <v>44536</v>
      </c>
      <c r="B925" s="108">
        <v>10527.07</v>
      </c>
    </row>
    <row r="926" spans="1:2" x14ac:dyDescent="0.55000000000000004">
      <c r="A926" s="123">
        <v>44537</v>
      </c>
      <c r="B926" s="108">
        <v>10527.07</v>
      </c>
    </row>
    <row r="927" spans="1:2" x14ac:dyDescent="0.55000000000000004">
      <c r="A927" s="123">
        <v>44538</v>
      </c>
      <c r="B927" s="108">
        <v>10527.07</v>
      </c>
    </row>
    <row r="928" spans="1:2" x14ac:dyDescent="0.55000000000000004">
      <c r="A928" s="123">
        <v>44539</v>
      </c>
      <c r="B928" s="108">
        <v>10527.07</v>
      </c>
    </row>
    <row r="929" spans="1:2" x14ac:dyDescent="0.55000000000000004">
      <c r="A929" s="123">
        <v>44540</v>
      </c>
      <c r="B929" s="108">
        <v>10527.07</v>
      </c>
    </row>
    <row r="930" spans="1:2" x14ac:dyDescent="0.55000000000000004">
      <c r="A930" s="123">
        <v>44541</v>
      </c>
      <c r="B930" s="108">
        <v>10527.07</v>
      </c>
    </row>
    <row r="931" spans="1:2" x14ac:dyDescent="0.55000000000000004">
      <c r="A931" s="123">
        <v>44542</v>
      </c>
      <c r="B931" s="108">
        <v>10527.07</v>
      </c>
    </row>
    <row r="932" spans="1:2" x14ac:dyDescent="0.55000000000000004">
      <c r="A932" s="123">
        <v>44543</v>
      </c>
      <c r="B932" s="108">
        <v>10527.07</v>
      </c>
    </row>
    <row r="933" spans="1:2" x14ac:dyDescent="0.55000000000000004">
      <c r="A933" s="123">
        <v>44544</v>
      </c>
      <c r="B933" s="108">
        <v>10527.07</v>
      </c>
    </row>
    <row r="934" spans="1:2" x14ac:dyDescent="0.55000000000000004">
      <c r="A934" s="123">
        <v>44545</v>
      </c>
      <c r="B934" s="108">
        <v>10527.07</v>
      </c>
    </row>
    <row r="935" spans="1:2" x14ac:dyDescent="0.55000000000000004">
      <c r="A935" s="123">
        <v>44546</v>
      </c>
      <c r="B935" s="108">
        <v>10527.07</v>
      </c>
    </row>
    <row r="936" spans="1:2" x14ac:dyDescent="0.55000000000000004">
      <c r="A936" s="123">
        <v>44547</v>
      </c>
      <c r="B936" s="108">
        <v>10527.07</v>
      </c>
    </row>
    <row r="937" spans="1:2" x14ac:dyDescent="0.55000000000000004">
      <c r="A937" s="123">
        <v>44548</v>
      </c>
      <c r="B937" s="108">
        <v>11585.97</v>
      </c>
    </row>
    <row r="938" spans="1:2" x14ac:dyDescent="0.55000000000000004">
      <c r="A938" s="123">
        <v>44549</v>
      </c>
      <c r="B938" s="108">
        <v>11585.97</v>
      </c>
    </row>
    <row r="939" spans="1:2" x14ac:dyDescent="0.55000000000000004">
      <c r="A939" s="123">
        <v>44550</v>
      </c>
      <c r="B939" s="108">
        <v>11585.97</v>
      </c>
    </row>
    <row r="940" spans="1:2" x14ac:dyDescent="0.55000000000000004">
      <c r="A940" s="123">
        <v>44551</v>
      </c>
      <c r="B940" s="108">
        <v>11585.97</v>
      </c>
    </row>
    <row r="941" spans="1:2" x14ac:dyDescent="0.55000000000000004">
      <c r="A941" s="123">
        <v>44552</v>
      </c>
      <c r="B941" s="108">
        <v>11585.97</v>
      </c>
    </row>
    <row r="942" spans="1:2" x14ac:dyDescent="0.55000000000000004">
      <c r="A942" s="123">
        <v>44553</v>
      </c>
      <c r="B942" s="108">
        <v>11585.97</v>
      </c>
    </row>
    <row r="943" spans="1:2" x14ac:dyDescent="0.55000000000000004">
      <c r="A943" s="123">
        <v>44554</v>
      </c>
      <c r="B943" s="108">
        <v>11585.97</v>
      </c>
    </row>
    <row r="944" spans="1:2" x14ac:dyDescent="0.55000000000000004">
      <c r="A944" s="123">
        <v>44555</v>
      </c>
      <c r="B944" s="108">
        <v>10502.33</v>
      </c>
    </row>
    <row r="945" spans="1:2" x14ac:dyDescent="0.55000000000000004">
      <c r="A945" s="123">
        <v>44556</v>
      </c>
      <c r="B945" s="108">
        <v>10502.33</v>
      </c>
    </row>
    <row r="946" spans="1:2" x14ac:dyDescent="0.55000000000000004">
      <c r="A946" s="123">
        <v>44557</v>
      </c>
      <c r="B946" s="108">
        <v>10502.33</v>
      </c>
    </row>
    <row r="947" spans="1:2" x14ac:dyDescent="0.55000000000000004">
      <c r="A947" s="123">
        <v>44558</v>
      </c>
      <c r="B947" s="108">
        <v>10502.33</v>
      </c>
    </row>
    <row r="948" spans="1:2" x14ac:dyDescent="0.55000000000000004">
      <c r="A948" s="123">
        <v>44559</v>
      </c>
      <c r="B948" s="108">
        <v>10502.33</v>
      </c>
    </row>
    <row r="949" spans="1:2" x14ac:dyDescent="0.55000000000000004">
      <c r="A949" s="123">
        <v>44560</v>
      </c>
      <c r="B949" s="108">
        <v>10502.33</v>
      </c>
    </row>
    <row r="950" spans="1:2" x14ac:dyDescent="0.55000000000000004">
      <c r="A950" s="123">
        <v>44561</v>
      </c>
      <c r="B950" s="108">
        <v>10502.33</v>
      </c>
    </row>
    <row r="951" spans="1:2" x14ac:dyDescent="0.55000000000000004">
      <c r="A951" s="123">
        <v>44562</v>
      </c>
      <c r="B951" s="108">
        <v>11681.18</v>
      </c>
    </row>
    <row r="952" spans="1:2" x14ac:dyDescent="0.55000000000000004">
      <c r="A952" s="123">
        <v>44563</v>
      </c>
      <c r="B952" s="108">
        <v>11681.18</v>
      </c>
    </row>
    <row r="953" spans="1:2" x14ac:dyDescent="0.55000000000000004">
      <c r="A953" s="123">
        <v>44564</v>
      </c>
      <c r="B953" s="108">
        <v>11681.18</v>
      </c>
    </row>
    <row r="954" spans="1:2" x14ac:dyDescent="0.55000000000000004">
      <c r="A954" s="123">
        <v>44565</v>
      </c>
      <c r="B954" s="108">
        <v>11681.18</v>
      </c>
    </row>
    <row r="955" spans="1:2" x14ac:dyDescent="0.55000000000000004">
      <c r="A955" s="123">
        <v>44566</v>
      </c>
      <c r="B955" s="108">
        <v>11681.18</v>
      </c>
    </row>
    <row r="956" spans="1:2" x14ac:dyDescent="0.55000000000000004">
      <c r="A956" s="123">
        <v>44567</v>
      </c>
      <c r="B956" s="108">
        <v>11681.18</v>
      </c>
    </row>
    <row r="957" spans="1:2" x14ac:dyDescent="0.55000000000000004">
      <c r="A957" s="123">
        <v>44568</v>
      </c>
      <c r="B957" s="108">
        <v>11681.18</v>
      </c>
    </row>
    <row r="958" spans="1:2" x14ac:dyDescent="0.55000000000000004">
      <c r="A958" s="123">
        <v>44569</v>
      </c>
      <c r="B958" s="108">
        <v>11681.18</v>
      </c>
    </row>
    <row r="959" spans="1:2" x14ac:dyDescent="0.55000000000000004">
      <c r="A959" s="123">
        <v>44570</v>
      </c>
      <c r="B959" s="108">
        <v>11681.18</v>
      </c>
    </row>
    <row r="960" spans="1:2" x14ac:dyDescent="0.55000000000000004">
      <c r="A960" s="123">
        <v>44571</v>
      </c>
      <c r="B960" s="108">
        <v>11681.18</v>
      </c>
    </row>
    <row r="961" spans="1:2" x14ac:dyDescent="0.55000000000000004">
      <c r="A961" s="123">
        <v>44572</v>
      </c>
      <c r="B961" s="108">
        <v>11681.18</v>
      </c>
    </row>
    <row r="962" spans="1:2" x14ac:dyDescent="0.55000000000000004">
      <c r="A962" s="123">
        <v>44573</v>
      </c>
      <c r="B962" s="124">
        <f>11681.18+454</f>
        <v>12135.18</v>
      </c>
    </row>
    <row r="963" spans="1:2" x14ac:dyDescent="0.55000000000000004">
      <c r="A963" s="123">
        <v>44574</v>
      </c>
      <c r="B963" s="124">
        <f t="shared" ref="B963:B981" si="0">11681.18+454</f>
        <v>12135.18</v>
      </c>
    </row>
    <row r="964" spans="1:2" x14ac:dyDescent="0.55000000000000004">
      <c r="A964" s="123">
        <v>44575</v>
      </c>
      <c r="B964" s="124">
        <f t="shared" si="0"/>
        <v>12135.18</v>
      </c>
    </row>
    <row r="965" spans="1:2" x14ac:dyDescent="0.55000000000000004">
      <c r="A965" s="123">
        <v>44576</v>
      </c>
      <c r="B965" s="124">
        <f t="shared" si="0"/>
        <v>12135.18</v>
      </c>
    </row>
    <row r="966" spans="1:2" x14ac:dyDescent="0.55000000000000004">
      <c r="A966" s="123">
        <v>44577</v>
      </c>
      <c r="B966" s="124">
        <f t="shared" si="0"/>
        <v>12135.18</v>
      </c>
    </row>
    <row r="967" spans="1:2" x14ac:dyDescent="0.55000000000000004">
      <c r="A967" s="123">
        <v>44578</v>
      </c>
      <c r="B967" s="124">
        <f t="shared" si="0"/>
        <v>12135.18</v>
      </c>
    </row>
    <row r="968" spans="1:2" x14ac:dyDescent="0.55000000000000004">
      <c r="A968" s="123">
        <v>44579</v>
      </c>
      <c r="B968" s="124">
        <f t="shared" si="0"/>
        <v>12135.18</v>
      </c>
    </row>
    <row r="969" spans="1:2" x14ac:dyDescent="0.55000000000000004">
      <c r="A969" s="123">
        <v>44580</v>
      </c>
      <c r="B969" s="124">
        <f t="shared" si="0"/>
        <v>12135.18</v>
      </c>
    </row>
    <row r="970" spans="1:2" x14ac:dyDescent="0.55000000000000004">
      <c r="A970" s="123">
        <v>44581</v>
      </c>
      <c r="B970" s="124">
        <f t="shared" si="0"/>
        <v>12135.18</v>
      </c>
    </row>
    <row r="971" spans="1:2" x14ac:dyDescent="0.55000000000000004">
      <c r="A971" s="123">
        <v>44582</v>
      </c>
      <c r="B971" s="124">
        <f t="shared" si="0"/>
        <v>12135.18</v>
      </c>
    </row>
    <row r="972" spans="1:2" x14ac:dyDescent="0.55000000000000004">
      <c r="A972" s="123">
        <v>44583</v>
      </c>
      <c r="B972" s="124">
        <f t="shared" si="0"/>
        <v>12135.18</v>
      </c>
    </row>
    <row r="973" spans="1:2" x14ac:dyDescent="0.55000000000000004">
      <c r="A973" s="123">
        <v>44584</v>
      </c>
      <c r="B973" s="124">
        <f t="shared" si="0"/>
        <v>12135.18</v>
      </c>
    </row>
    <row r="974" spans="1:2" x14ac:dyDescent="0.55000000000000004">
      <c r="A974" s="123">
        <v>44585</v>
      </c>
      <c r="B974" s="124">
        <f t="shared" si="0"/>
        <v>12135.18</v>
      </c>
    </row>
    <row r="975" spans="1:2" x14ac:dyDescent="0.55000000000000004">
      <c r="A975" s="123">
        <v>44586</v>
      </c>
      <c r="B975" s="124">
        <f t="shared" si="0"/>
        <v>12135.18</v>
      </c>
    </row>
    <row r="976" spans="1:2" x14ac:dyDescent="0.55000000000000004">
      <c r="A976" s="123">
        <v>44587</v>
      </c>
      <c r="B976" s="124">
        <f t="shared" si="0"/>
        <v>12135.18</v>
      </c>
    </row>
    <row r="977" spans="1:2" x14ac:dyDescent="0.55000000000000004">
      <c r="A977" s="123">
        <v>44588</v>
      </c>
      <c r="B977" s="124">
        <f t="shared" si="0"/>
        <v>12135.18</v>
      </c>
    </row>
    <row r="978" spans="1:2" x14ac:dyDescent="0.55000000000000004">
      <c r="A978" s="123">
        <v>44589</v>
      </c>
      <c r="B978" s="124">
        <f t="shared" si="0"/>
        <v>12135.18</v>
      </c>
    </row>
    <row r="979" spans="1:2" x14ac:dyDescent="0.55000000000000004">
      <c r="A979" s="123">
        <v>44590</v>
      </c>
      <c r="B979" s="124">
        <f t="shared" si="0"/>
        <v>12135.18</v>
      </c>
    </row>
    <row r="980" spans="1:2" x14ac:dyDescent="0.55000000000000004">
      <c r="A980" s="123">
        <v>44591</v>
      </c>
      <c r="B980" s="124">
        <f t="shared" si="0"/>
        <v>12135.18</v>
      </c>
    </row>
    <row r="981" spans="1:2" x14ac:dyDescent="0.55000000000000004">
      <c r="A981" s="123">
        <v>44592</v>
      </c>
      <c r="B981" s="124">
        <f t="shared" si="0"/>
        <v>12135.18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6E46-1AB3-4ED4-A23C-BF3BC8DF2126}">
  <dimension ref="A1:W1586"/>
  <sheetViews>
    <sheetView topLeftCell="D1557" zoomScale="85" zoomScaleNormal="85" workbookViewId="0">
      <selection activeCell="K1575" sqref="K1575"/>
    </sheetView>
  </sheetViews>
  <sheetFormatPr defaultRowHeight="14.4" outlineLevelRow="1" x14ac:dyDescent="0.55000000000000004"/>
  <cols>
    <col min="1" max="1" width="3.734375" hidden="1" customWidth="1"/>
    <col min="2" max="2" width="10.15625" style="72" hidden="1" customWidth="1"/>
    <col min="3" max="3" width="10.47265625" hidden="1" customWidth="1"/>
    <col min="4" max="4" width="26.89453125" bestFit="1" customWidth="1"/>
    <col min="5" max="5" width="12.62890625" style="38" customWidth="1"/>
    <col min="6" max="6" width="15.1015625" style="39" customWidth="1"/>
    <col min="7" max="7" width="13.734375" customWidth="1"/>
    <col min="8" max="8" width="14.7890625" bestFit="1" customWidth="1"/>
    <col min="9" max="9" width="12.5234375" customWidth="1"/>
    <col min="10" max="10" width="14.7890625" bestFit="1" customWidth="1"/>
    <col min="11" max="11" width="13.5234375" bestFit="1" customWidth="1"/>
    <col min="12" max="12" width="8.3671875" customWidth="1"/>
    <col min="13" max="13" width="14" customWidth="1"/>
    <col min="14" max="14" width="16.89453125" style="33" customWidth="1"/>
    <col min="15" max="15" width="11.47265625" bestFit="1" customWidth="1"/>
    <col min="16" max="16" width="17.47265625" bestFit="1" customWidth="1"/>
    <col min="17" max="17" width="14.5234375" customWidth="1"/>
    <col min="18" max="18" width="19.26171875" bestFit="1" customWidth="1"/>
    <col min="19" max="19" width="12.26171875" customWidth="1"/>
    <col min="20" max="20" width="10.47265625" bestFit="1" customWidth="1"/>
    <col min="21" max="21" width="13.5234375" bestFit="1" customWidth="1"/>
    <col min="22" max="22" width="10.734375" bestFit="1" customWidth="1"/>
    <col min="23" max="23" width="19.26171875" bestFit="1" customWidth="1"/>
  </cols>
  <sheetData>
    <row r="1" spans="1:21" ht="43.5" thickBot="1" x14ac:dyDescent="0.6">
      <c r="A1" s="25"/>
      <c r="B1" s="26"/>
      <c r="C1" s="27"/>
      <c r="D1" s="28" t="s">
        <v>23</v>
      </c>
      <c r="E1" s="29" t="s">
        <v>77</v>
      </c>
      <c r="F1" s="30" t="s">
        <v>78</v>
      </c>
      <c r="G1" s="30" t="s">
        <v>79</v>
      </c>
      <c r="H1" s="30" t="s">
        <v>80</v>
      </c>
      <c r="I1" s="31" t="s">
        <v>81</v>
      </c>
      <c r="J1" s="30" t="s">
        <v>82</v>
      </c>
      <c r="K1" s="30" t="s">
        <v>83</v>
      </c>
      <c r="L1" s="31" t="s">
        <v>84</v>
      </c>
      <c r="M1" s="32" t="s">
        <v>85</v>
      </c>
      <c r="N1" s="33" t="s">
        <v>86</v>
      </c>
      <c r="O1" s="34" t="s">
        <v>87</v>
      </c>
      <c r="P1" s="34" t="s">
        <v>88</v>
      </c>
      <c r="Q1" s="34" t="s">
        <v>89</v>
      </c>
      <c r="R1" s="34" t="s">
        <v>90</v>
      </c>
      <c r="S1" s="34" t="s">
        <v>91</v>
      </c>
      <c r="T1" s="34" t="s">
        <v>92</v>
      </c>
      <c r="U1" s="34" t="s">
        <v>93</v>
      </c>
    </row>
    <row r="2" spans="1:21" ht="15" hidden="1" customHeight="1" outlineLevel="1" x14ac:dyDescent="0.55000000000000004">
      <c r="A2" s="167" t="s">
        <v>94</v>
      </c>
      <c r="B2" s="35">
        <f>DAY(D2)</f>
        <v>7</v>
      </c>
      <c r="C2" s="36" t="str">
        <f t="shared" ref="C2:C65" si="0">IF(F2&gt;0,MONTH(D2)&amp;YEAR(D2),"")</f>
        <v/>
      </c>
      <c r="D2" s="37">
        <v>7.7233999999999998</v>
      </c>
      <c r="E2" s="38">
        <v>7.7542999999999997</v>
      </c>
      <c r="G2" s="40"/>
      <c r="H2" s="41"/>
      <c r="I2" s="173" t="s">
        <v>95</v>
      </c>
      <c r="J2" s="42"/>
      <c r="K2" s="33">
        <v>1001.83055</v>
      </c>
      <c r="L2" s="176" t="s">
        <v>95</v>
      </c>
      <c r="M2" s="43"/>
    </row>
    <row r="3" spans="1:21" ht="15.75" hidden="1" customHeight="1" outlineLevel="1" x14ac:dyDescent="0.55000000000000004">
      <c r="A3" s="171"/>
      <c r="B3" s="35">
        <f t="shared" ref="B3:B21" si="1">DAY(D3)</f>
        <v>9</v>
      </c>
      <c r="C3" s="36" t="str">
        <f t="shared" si="0"/>
        <v/>
      </c>
      <c r="D3" s="44">
        <v>9.0534999999999997</v>
      </c>
      <c r="E3" s="38">
        <v>9.0897000000000006</v>
      </c>
      <c r="G3" s="33"/>
      <c r="H3" s="45"/>
      <c r="I3" s="174"/>
      <c r="J3" s="42"/>
      <c r="K3" s="33">
        <v>1001.8305499999999</v>
      </c>
      <c r="L3" s="177"/>
      <c r="M3" s="46"/>
    </row>
    <row r="4" spans="1:21" ht="15.75" hidden="1" customHeight="1" outlineLevel="1" x14ac:dyDescent="0.55000000000000004">
      <c r="A4" s="171"/>
      <c r="B4" s="35">
        <f t="shared" si="1"/>
        <v>0</v>
      </c>
      <c r="C4" s="36" t="str">
        <f t="shared" si="0"/>
        <v/>
      </c>
      <c r="D4" s="44"/>
      <c r="G4" s="33"/>
      <c r="H4" s="45"/>
      <c r="I4" s="174"/>
      <c r="J4" s="42"/>
      <c r="K4" s="33">
        <v>1001.8305499999999</v>
      </c>
      <c r="L4" s="177"/>
      <c r="M4" s="46"/>
    </row>
    <row r="5" spans="1:21" ht="15.75" hidden="1" customHeight="1" outlineLevel="1" x14ac:dyDescent="0.55000000000000004">
      <c r="A5" s="172"/>
      <c r="B5" s="35">
        <f t="shared" si="1"/>
        <v>0</v>
      </c>
      <c r="C5" s="36" t="str">
        <f t="shared" si="0"/>
        <v/>
      </c>
      <c r="D5" s="44"/>
      <c r="G5" s="33"/>
      <c r="H5" s="45"/>
      <c r="I5" s="174"/>
      <c r="J5" s="42"/>
      <c r="K5" s="33">
        <v>1001.8305499999999</v>
      </c>
      <c r="L5" s="177"/>
      <c r="M5" s="46"/>
    </row>
    <row r="6" spans="1:21" ht="15.75" hidden="1" customHeight="1" outlineLevel="1" x14ac:dyDescent="0.55000000000000004">
      <c r="A6" s="171"/>
      <c r="B6" s="35">
        <f t="shared" si="1"/>
        <v>0</v>
      </c>
      <c r="C6" s="36" t="str">
        <f t="shared" si="0"/>
        <v/>
      </c>
      <c r="D6" s="47"/>
      <c r="G6" s="48"/>
      <c r="H6" s="48"/>
      <c r="I6" s="175"/>
      <c r="J6" s="49"/>
      <c r="K6" s="33">
        <v>1001.8305499999999</v>
      </c>
      <c r="L6" s="178"/>
      <c r="M6" s="46"/>
    </row>
    <row r="7" spans="1:21" hidden="1" outlineLevel="1" x14ac:dyDescent="0.55000000000000004">
      <c r="A7" s="165"/>
      <c r="B7" s="35">
        <f t="shared" si="1"/>
        <v>0</v>
      </c>
      <c r="C7" s="36" t="str">
        <f t="shared" si="0"/>
        <v/>
      </c>
      <c r="D7" s="44"/>
      <c r="G7" s="50"/>
      <c r="H7" s="50"/>
      <c r="I7" s="33" t="e">
        <f>AVERAGE(G2:G6)</f>
        <v>#DIV/0!</v>
      </c>
      <c r="J7" s="33"/>
      <c r="K7" s="33">
        <f t="shared" ref="K7:K70" si="2">IF(L6&gt;3%,G5,IF(L6&lt;-3%,G5,K6))</f>
        <v>1001.8305499999999</v>
      </c>
      <c r="L7" s="51" t="e">
        <f t="shared" ref="L7:L70" si="3">(I7-K7)/K7</f>
        <v>#DIV/0!</v>
      </c>
      <c r="M7" s="52" t="str">
        <f>IFERROR(#REF!/1.18*0.845,"")</f>
        <v/>
      </c>
    </row>
    <row r="8" spans="1:21" hidden="1" outlineLevel="1" x14ac:dyDescent="0.55000000000000004">
      <c r="A8" s="165"/>
      <c r="B8" s="35">
        <f t="shared" si="1"/>
        <v>0</v>
      </c>
      <c r="C8" s="36" t="str">
        <f t="shared" si="0"/>
        <v/>
      </c>
      <c r="D8" s="44"/>
      <c r="G8" s="33"/>
      <c r="H8" s="33"/>
      <c r="I8" s="33" t="e">
        <f t="shared" ref="I8:I71" si="4">IF(M7&lt;&gt;"",AVERAGE(G7),IF(M6&lt;&gt;"",AVERAGE(G6:G7),IF(M5&lt;&gt;"",AVERAGE(G5:G7),IF(M4&lt;&gt;"",AVERAGE(G4:G7),AVERAGE(G3:G7)))))</f>
        <v>#DIV/0!</v>
      </c>
      <c r="J8" s="33"/>
      <c r="K8" s="33" t="e">
        <f t="shared" si="2"/>
        <v>#DIV/0!</v>
      </c>
      <c r="L8" s="51" t="e">
        <f t="shared" si="3"/>
        <v>#DIV/0!</v>
      </c>
      <c r="M8" s="52" t="str">
        <f>IFERROR(#REF!/1.18*0.845,"")</f>
        <v/>
      </c>
    </row>
    <row r="9" spans="1:21" hidden="1" outlineLevel="1" x14ac:dyDescent="0.55000000000000004">
      <c r="A9" s="165"/>
      <c r="B9" s="35">
        <f t="shared" si="1"/>
        <v>0</v>
      </c>
      <c r="C9" s="36" t="str">
        <f t="shared" si="0"/>
        <v/>
      </c>
      <c r="D9" s="44"/>
      <c r="G9" s="33"/>
      <c r="H9" s="33"/>
      <c r="I9" s="33" t="e">
        <f t="shared" si="4"/>
        <v>#DIV/0!</v>
      </c>
      <c r="J9" s="33"/>
      <c r="K9" s="33" t="e">
        <f t="shared" si="2"/>
        <v>#DIV/0!</v>
      </c>
      <c r="L9" s="51" t="e">
        <f t="shared" si="3"/>
        <v>#DIV/0!</v>
      </c>
      <c r="M9" s="52" t="str">
        <f>IFERROR(#REF!/1.18*0.845,"")</f>
        <v/>
      </c>
    </row>
    <row r="10" spans="1:21" hidden="1" outlineLevel="1" x14ac:dyDescent="0.55000000000000004">
      <c r="A10" s="165"/>
      <c r="B10" s="35">
        <f t="shared" si="1"/>
        <v>0</v>
      </c>
      <c r="C10" s="36" t="str">
        <f t="shared" si="0"/>
        <v/>
      </c>
      <c r="D10" s="44"/>
      <c r="G10" s="33"/>
      <c r="H10" s="33"/>
      <c r="I10" s="33" t="e">
        <f t="shared" si="4"/>
        <v>#DIV/0!</v>
      </c>
      <c r="J10" s="33"/>
      <c r="K10" s="33" t="e">
        <f t="shared" si="2"/>
        <v>#DIV/0!</v>
      </c>
      <c r="L10" s="51" t="e">
        <f t="shared" si="3"/>
        <v>#DIV/0!</v>
      </c>
      <c r="M10" s="52" t="str">
        <f>IFERROR(#REF!/1.18*0.845,"")</f>
        <v/>
      </c>
    </row>
    <row r="11" spans="1:21" hidden="1" outlineLevel="1" x14ac:dyDescent="0.55000000000000004">
      <c r="A11" s="165"/>
      <c r="B11" s="35">
        <f t="shared" si="1"/>
        <v>0</v>
      </c>
      <c r="C11" s="36" t="str">
        <f t="shared" si="0"/>
        <v/>
      </c>
      <c r="D11" s="44"/>
      <c r="G11" s="33"/>
      <c r="H11" s="33"/>
      <c r="I11" s="33" t="e">
        <f t="shared" si="4"/>
        <v>#DIV/0!</v>
      </c>
      <c r="J11" s="33"/>
      <c r="K11" s="33" t="e">
        <f t="shared" si="2"/>
        <v>#DIV/0!</v>
      </c>
      <c r="L11" s="51" t="e">
        <f t="shared" si="3"/>
        <v>#DIV/0!</v>
      </c>
      <c r="M11" s="52" t="str">
        <f>IFERROR((#REF!/1.18)*1000,"")</f>
        <v/>
      </c>
    </row>
    <row r="12" spans="1:21" hidden="1" outlineLevel="1" x14ac:dyDescent="0.55000000000000004">
      <c r="A12" s="165"/>
      <c r="B12" s="35">
        <f t="shared" si="1"/>
        <v>0</v>
      </c>
      <c r="C12" s="36" t="str">
        <f t="shared" si="0"/>
        <v/>
      </c>
      <c r="D12" s="44"/>
      <c r="G12" s="33"/>
      <c r="H12" s="33"/>
      <c r="I12" s="33" t="e">
        <f t="shared" si="4"/>
        <v>#DIV/0!</v>
      </c>
      <c r="J12" s="33"/>
      <c r="K12" s="33" t="e">
        <f t="shared" si="2"/>
        <v>#DIV/0!</v>
      </c>
      <c r="L12" s="51" t="e">
        <f t="shared" si="3"/>
        <v>#DIV/0!</v>
      </c>
      <c r="M12" s="52" t="str">
        <f>IFERROR((#REF!/1.18)*1000,"")</f>
        <v/>
      </c>
    </row>
    <row r="13" spans="1:21" hidden="1" outlineLevel="1" x14ac:dyDescent="0.55000000000000004">
      <c r="A13" s="165"/>
      <c r="B13" s="35">
        <f t="shared" si="1"/>
        <v>0</v>
      </c>
      <c r="C13" s="36" t="str">
        <f t="shared" si="0"/>
        <v/>
      </c>
      <c r="D13" s="44"/>
      <c r="G13" s="33"/>
      <c r="H13" s="33"/>
      <c r="I13" s="33" t="e">
        <f t="shared" si="4"/>
        <v>#DIV/0!</v>
      </c>
      <c r="J13" s="33"/>
      <c r="K13" s="33" t="e">
        <f t="shared" si="2"/>
        <v>#DIV/0!</v>
      </c>
      <c r="L13" s="51" t="e">
        <f t="shared" si="3"/>
        <v>#DIV/0!</v>
      </c>
      <c r="M13" s="52" t="str">
        <f>IFERROR((#REF!/1.18)*1000,"")</f>
        <v/>
      </c>
    </row>
    <row r="14" spans="1:21" hidden="1" outlineLevel="1" x14ac:dyDescent="0.55000000000000004">
      <c r="A14" s="165"/>
      <c r="B14" s="35">
        <f t="shared" si="1"/>
        <v>0</v>
      </c>
      <c r="C14" s="36" t="str">
        <f t="shared" si="0"/>
        <v/>
      </c>
      <c r="D14" s="44"/>
      <c r="G14" s="33"/>
      <c r="H14" s="33"/>
      <c r="I14" s="33" t="e">
        <f t="shared" si="4"/>
        <v>#DIV/0!</v>
      </c>
      <c r="J14" s="33"/>
      <c r="K14" s="33" t="e">
        <f t="shared" si="2"/>
        <v>#DIV/0!</v>
      </c>
      <c r="L14" s="51" t="e">
        <f t="shared" si="3"/>
        <v>#DIV/0!</v>
      </c>
      <c r="M14" s="52" t="str">
        <f>IFERROR((#REF!/1.18)*1000,"")</f>
        <v/>
      </c>
    </row>
    <row r="15" spans="1:21" hidden="1" outlineLevel="1" x14ac:dyDescent="0.55000000000000004">
      <c r="A15" s="165"/>
      <c r="B15" s="35">
        <f t="shared" si="1"/>
        <v>0</v>
      </c>
      <c r="C15" s="36" t="str">
        <f t="shared" si="0"/>
        <v/>
      </c>
      <c r="D15" s="44"/>
      <c r="G15" s="33"/>
      <c r="H15" s="33"/>
      <c r="I15" s="33" t="e">
        <f t="shared" si="4"/>
        <v>#DIV/0!</v>
      </c>
      <c r="J15" s="33"/>
      <c r="K15" s="33" t="e">
        <f t="shared" si="2"/>
        <v>#DIV/0!</v>
      </c>
      <c r="L15" s="51" t="e">
        <f t="shared" si="3"/>
        <v>#DIV/0!</v>
      </c>
      <c r="M15" s="52" t="str">
        <f>IFERROR((#REF!/1.18)*1000,"")</f>
        <v/>
      </c>
    </row>
    <row r="16" spans="1:21" hidden="1" outlineLevel="1" x14ac:dyDescent="0.55000000000000004">
      <c r="A16" s="165"/>
      <c r="B16" s="35">
        <f t="shared" si="1"/>
        <v>0</v>
      </c>
      <c r="C16" s="36" t="str">
        <f t="shared" si="0"/>
        <v/>
      </c>
      <c r="D16" s="44"/>
      <c r="G16" s="33"/>
      <c r="H16" s="33"/>
      <c r="I16" s="33" t="e">
        <f t="shared" si="4"/>
        <v>#DIV/0!</v>
      </c>
      <c r="J16" s="33"/>
      <c r="K16" s="33" t="e">
        <f t="shared" si="2"/>
        <v>#DIV/0!</v>
      </c>
      <c r="L16" s="51" t="e">
        <f t="shared" si="3"/>
        <v>#DIV/0!</v>
      </c>
      <c r="M16" s="52" t="str">
        <f>IFERROR((#REF!/1.18)*1000,"")</f>
        <v/>
      </c>
    </row>
    <row r="17" spans="1:13" hidden="1" outlineLevel="1" x14ac:dyDescent="0.55000000000000004">
      <c r="A17" s="165"/>
      <c r="B17" s="35">
        <f t="shared" si="1"/>
        <v>0</v>
      </c>
      <c r="C17" s="36" t="str">
        <f t="shared" si="0"/>
        <v/>
      </c>
      <c r="D17" s="44"/>
      <c r="G17" s="33"/>
      <c r="H17" s="33"/>
      <c r="I17" s="33" t="e">
        <f t="shared" si="4"/>
        <v>#DIV/0!</v>
      </c>
      <c r="J17" s="33"/>
      <c r="K17" s="33" t="e">
        <f t="shared" si="2"/>
        <v>#DIV/0!</v>
      </c>
      <c r="L17" s="51" t="e">
        <f t="shared" si="3"/>
        <v>#DIV/0!</v>
      </c>
      <c r="M17" s="52" t="str">
        <f>IFERROR((#REF!/1.18)*1000,"")</f>
        <v/>
      </c>
    </row>
    <row r="18" spans="1:13" hidden="1" outlineLevel="1" x14ac:dyDescent="0.55000000000000004">
      <c r="A18" s="165"/>
      <c r="B18" s="35">
        <f t="shared" si="1"/>
        <v>0</v>
      </c>
      <c r="C18" s="36" t="str">
        <f t="shared" si="0"/>
        <v/>
      </c>
      <c r="D18" s="44"/>
      <c r="G18" s="33"/>
      <c r="H18" s="33"/>
      <c r="I18" s="33" t="e">
        <f t="shared" si="4"/>
        <v>#DIV/0!</v>
      </c>
      <c r="J18" s="33"/>
      <c r="K18" s="33" t="e">
        <f t="shared" si="2"/>
        <v>#DIV/0!</v>
      </c>
      <c r="L18" s="51" t="e">
        <f t="shared" si="3"/>
        <v>#DIV/0!</v>
      </c>
      <c r="M18" s="52" t="str">
        <f>IFERROR((#REF!/1.18)*1000,"")</f>
        <v/>
      </c>
    </row>
    <row r="19" spans="1:13" hidden="1" outlineLevel="1" x14ac:dyDescent="0.55000000000000004">
      <c r="A19" s="165"/>
      <c r="B19" s="35">
        <f t="shared" si="1"/>
        <v>0</v>
      </c>
      <c r="C19" s="36" t="str">
        <f t="shared" si="0"/>
        <v/>
      </c>
      <c r="D19" s="44"/>
      <c r="G19" s="33"/>
      <c r="H19" s="33"/>
      <c r="I19" s="33" t="e">
        <f t="shared" si="4"/>
        <v>#DIV/0!</v>
      </c>
      <c r="J19" s="33"/>
      <c r="K19" s="33" t="e">
        <f t="shared" si="2"/>
        <v>#DIV/0!</v>
      </c>
      <c r="L19" s="51" t="e">
        <f t="shared" si="3"/>
        <v>#DIV/0!</v>
      </c>
      <c r="M19" s="52" t="str">
        <f>IFERROR((#REF!/1.18)*1000,"")</f>
        <v/>
      </c>
    </row>
    <row r="20" spans="1:13" hidden="1" outlineLevel="1" x14ac:dyDescent="0.55000000000000004">
      <c r="A20" s="165"/>
      <c r="B20" s="35">
        <f t="shared" si="1"/>
        <v>0</v>
      </c>
      <c r="C20" s="36" t="str">
        <f t="shared" si="0"/>
        <v/>
      </c>
      <c r="D20" s="44"/>
      <c r="G20" s="33"/>
      <c r="H20" s="33"/>
      <c r="I20" s="33" t="e">
        <f t="shared" si="4"/>
        <v>#DIV/0!</v>
      </c>
      <c r="J20" s="33"/>
      <c r="K20" s="33" t="e">
        <f t="shared" si="2"/>
        <v>#DIV/0!</v>
      </c>
      <c r="L20" s="51" t="e">
        <f t="shared" si="3"/>
        <v>#DIV/0!</v>
      </c>
      <c r="M20" s="52" t="str">
        <f>IFERROR((#REF!/1.18)*1000,"")</f>
        <v/>
      </c>
    </row>
    <row r="21" spans="1:13" hidden="1" outlineLevel="1" x14ac:dyDescent="0.55000000000000004">
      <c r="A21" s="165"/>
      <c r="B21" s="35">
        <f t="shared" si="1"/>
        <v>0</v>
      </c>
      <c r="C21" s="36" t="str">
        <f t="shared" si="0"/>
        <v/>
      </c>
      <c r="D21" s="44"/>
      <c r="G21" s="33"/>
      <c r="H21" s="33"/>
      <c r="I21" s="33" t="e">
        <f t="shared" si="4"/>
        <v>#DIV/0!</v>
      </c>
      <c r="J21" s="33"/>
      <c r="K21" s="33" t="e">
        <f t="shared" si="2"/>
        <v>#DIV/0!</v>
      </c>
      <c r="L21" s="51" t="e">
        <f t="shared" si="3"/>
        <v>#DIV/0!</v>
      </c>
      <c r="M21" s="52" t="str">
        <f>IFERROR((#REF!/1.18)*1000,"")</f>
        <v/>
      </c>
    </row>
    <row r="22" spans="1:13" hidden="1" outlineLevel="1" x14ac:dyDescent="0.55000000000000004">
      <c r="A22" s="165"/>
      <c r="B22" s="35">
        <f>DAY(D22)</f>
        <v>0</v>
      </c>
      <c r="C22" s="36" t="str">
        <f t="shared" si="0"/>
        <v/>
      </c>
      <c r="D22" s="44"/>
      <c r="G22" s="33"/>
      <c r="H22" s="33"/>
      <c r="I22" s="33" t="e">
        <f t="shared" si="4"/>
        <v>#DIV/0!</v>
      </c>
      <c r="J22" s="33"/>
      <c r="K22" s="33" t="e">
        <f t="shared" si="2"/>
        <v>#DIV/0!</v>
      </c>
      <c r="L22" s="51" t="e">
        <f t="shared" si="3"/>
        <v>#DIV/0!</v>
      </c>
      <c r="M22" s="52" t="str">
        <f>IFERROR((#REF!/1.18)*1000,"")</f>
        <v/>
      </c>
    </row>
    <row r="23" spans="1:13" hidden="1" outlineLevel="1" x14ac:dyDescent="0.55000000000000004">
      <c r="A23" s="165"/>
      <c r="B23" s="35">
        <f t="shared" ref="B23:B86" si="5">DAY(D23)</f>
        <v>0</v>
      </c>
      <c r="C23" s="36" t="str">
        <f t="shared" si="0"/>
        <v/>
      </c>
      <c r="D23" s="44"/>
      <c r="G23" s="33"/>
      <c r="H23" s="33"/>
      <c r="I23" s="33" t="e">
        <f t="shared" si="4"/>
        <v>#DIV/0!</v>
      </c>
      <c r="J23" s="33"/>
      <c r="K23" s="33" t="e">
        <f t="shared" si="2"/>
        <v>#DIV/0!</v>
      </c>
      <c r="L23" s="51" t="e">
        <f t="shared" si="3"/>
        <v>#DIV/0!</v>
      </c>
      <c r="M23" s="52" t="str">
        <f>IFERROR((#REF!/1.18)*1000,"")</f>
        <v/>
      </c>
    </row>
    <row r="24" spans="1:13" hidden="1" outlineLevel="1" x14ac:dyDescent="0.55000000000000004">
      <c r="A24" s="165"/>
      <c r="B24" s="35">
        <f t="shared" si="5"/>
        <v>0</v>
      </c>
      <c r="C24" s="36" t="str">
        <f t="shared" si="0"/>
        <v/>
      </c>
      <c r="D24" s="44"/>
      <c r="G24" s="33"/>
      <c r="H24" s="33"/>
      <c r="I24" s="33" t="e">
        <f t="shared" si="4"/>
        <v>#DIV/0!</v>
      </c>
      <c r="J24" s="33"/>
      <c r="K24" s="33" t="e">
        <f t="shared" si="2"/>
        <v>#DIV/0!</v>
      </c>
      <c r="L24" s="51" t="e">
        <f t="shared" si="3"/>
        <v>#DIV/0!</v>
      </c>
      <c r="M24" s="52" t="str">
        <f>IFERROR((#REF!/1.18)*1000,"")</f>
        <v/>
      </c>
    </row>
    <row r="25" spans="1:13" ht="14.7" hidden="1" outlineLevel="1" thickBot="1" x14ac:dyDescent="0.6">
      <c r="A25" s="166"/>
      <c r="B25" s="35">
        <f t="shared" si="5"/>
        <v>0</v>
      </c>
      <c r="C25" s="36" t="str">
        <f t="shared" si="0"/>
        <v/>
      </c>
      <c r="D25" s="53"/>
      <c r="G25" s="54"/>
      <c r="H25" s="54"/>
      <c r="I25" s="54" t="e">
        <f t="shared" si="4"/>
        <v>#DIV/0!</v>
      </c>
      <c r="J25" s="54"/>
      <c r="K25" s="54" t="e">
        <f t="shared" si="2"/>
        <v>#DIV/0!</v>
      </c>
      <c r="L25" s="55" t="e">
        <f t="shared" si="3"/>
        <v>#DIV/0!</v>
      </c>
      <c r="M25" s="56" t="str">
        <f>IFERROR((#REF!/1.18)*1000,"")</f>
        <v/>
      </c>
    </row>
    <row r="26" spans="1:13" hidden="1" outlineLevel="1" x14ac:dyDescent="0.55000000000000004">
      <c r="A26" s="167"/>
      <c r="B26" s="35">
        <f t="shared" si="5"/>
        <v>0</v>
      </c>
      <c r="C26" s="36" t="str">
        <f t="shared" si="0"/>
        <v/>
      </c>
      <c r="D26" s="37"/>
      <c r="G26" s="40"/>
      <c r="H26" s="48"/>
      <c r="I26" s="33" t="e">
        <f t="shared" si="4"/>
        <v>#DIV/0!</v>
      </c>
      <c r="J26" s="48"/>
      <c r="K26" s="40" t="e">
        <f t="shared" si="2"/>
        <v>#DIV/0!</v>
      </c>
      <c r="L26" s="57" t="e">
        <f t="shared" si="3"/>
        <v>#DIV/0!</v>
      </c>
      <c r="M26" s="58" t="str">
        <f>IFERROR((#REF!/1.18)*1000,"")</f>
        <v/>
      </c>
    </row>
    <row r="27" spans="1:13" hidden="1" outlineLevel="1" x14ac:dyDescent="0.55000000000000004">
      <c r="A27" s="165"/>
      <c r="B27" s="35">
        <f t="shared" si="5"/>
        <v>0</v>
      </c>
      <c r="C27" s="36" t="str">
        <f t="shared" si="0"/>
        <v/>
      </c>
      <c r="D27" s="44"/>
      <c r="G27" s="33"/>
      <c r="H27" s="33"/>
      <c r="I27" s="33" t="e">
        <f t="shared" si="4"/>
        <v>#DIV/0!</v>
      </c>
      <c r="J27" s="33"/>
      <c r="K27" s="33" t="e">
        <f t="shared" si="2"/>
        <v>#DIV/0!</v>
      </c>
      <c r="L27" s="59" t="e">
        <f t="shared" si="3"/>
        <v>#DIV/0!</v>
      </c>
      <c r="M27" s="60" t="str">
        <f>IFERROR((#REF!/1.18)*1000,"")</f>
        <v/>
      </c>
    </row>
    <row r="28" spans="1:13" hidden="1" outlineLevel="1" x14ac:dyDescent="0.55000000000000004">
      <c r="A28" s="165"/>
      <c r="B28" s="35">
        <f t="shared" si="5"/>
        <v>0</v>
      </c>
      <c r="C28" s="36" t="str">
        <f t="shared" si="0"/>
        <v/>
      </c>
      <c r="D28" s="44"/>
      <c r="G28" s="33"/>
      <c r="H28" s="33"/>
      <c r="I28" s="33" t="e">
        <f t="shared" si="4"/>
        <v>#DIV/0!</v>
      </c>
      <c r="J28" s="33"/>
      <c r="K28" s="33" t="e">
        <f t="shared" si="2"/>
        <v>#DIV/0!</v>
      </c>
      <c r="L28" s="59" t="e">
        <f t="shared" si="3"/>
        <v>#DIV/0!</v>
      </c>
      <c r="M28" s="60" t="str">
        <f>IFERROR((#REF!/1.18)*1000,"")</f>
        <v/>
      </c>
    </row>
    <row r="29" spans="1:13" hidden="1" outlineLevel="1" x14ac:dyDescent="0.55000000000000004">
      <c r="A29" s="165"/>
      <c r="B29" s="35">
        <f t="shared" si="5"/>
        <v>0</v>
      </c>
      <c r="C29" s="36" t="str">
        <f t="shared" si="0"/>
        <v/>
      </c>
      <c r="D29" s="44"/>
      <c r="G29" s="33"/>
      <c r="H29" s="33"/>
      <c r="I29" s="33" t="e">
        <f t="shared" si="4"/>
        <v>#DIV/0!</v>
      </c>
      <c r="J29" s="33"/>
      <c r="K29" s="33" t="e">
        <f t="shared" si="2"/>
        <v>#DIV/0!</v>
      </c>
      <c r="L29" s="59" t="e">
        <f t="shared" si="3"/>
        <v>#DIV/0!</v>
      </c>
      <c r="M29" s="60" t="str">
        <f>IFERROR((#REF!/1.18)*1000,"")</f>
        <v/>
      </c>
    </row>
    <row r="30" spans="1:13" hidden="1" outlineLevel="1" x14ac:dyDescent="0.55000000000000004">
      <c r="A30" s="165"/>
      <c r="B30" s="35">
        <f t="shared" si="5"/>
        <v>0</v>
      </c>
      <c r="C30" s="36" t="str">
        <f t="shared" si="0"/>
        <v/>
      </c>
      <c r="D30" s="44"/>
      <c r="G30" s="33"/>
      <c r="H30" s="33"/>
      <c r="I30" s="33" t="e">
        <f t="shared" si="4"/>
        <v>#DIV/0!</v>
      </c>
      <c r="J30" s="33"/>
      <c r="K30" s="33" t="e">
        <f t="shared" si="2"/>
        <v>#DIV/0!</v>
      </c>
      <c r="L30" s="59" t="e">
        <f t="shared" si="3"/>
        <v>#DIV/0!</v>
      </c>
      <c r="M30" s="60" t="str">
        <f>IFERROR((#REF!/1.18)*1000,"")</f>
        <v/>
      </c>
    </row>
    <row r="31" spans="1:13" hidden="1" outlineLevel="1" x14ac:dyDescent="0.55000000000000004">
      <c r="A31" s="165"/>
      <c r="B31" s="35">
        <f t="shared" si="5"/>
        <v>0</v>
      </c>
      <c r="C31" s="36" t="str">
        <f t="shared" si="0"/>
        <v/>
      </c>
      <c r="D31" s="44"/>
      <c r="G31" s="33"/>
      <c r="H31" s="33"/>
      <c r="I31" s="33" t="e">
        <f t="shared" si="4"/>
        <v>#DIV/0!</v>
      </c>
      <c r="J31" s="33"/>
      <c r="K31" s="33" t="e">
        <f t="shared" si="2"/>
        <v>#DIV/0!</v>
      </c>
      <c r="L31" s="59" t="e">
        <f t="shared" si="3"/>
        <v>#DIV/0!</v>
      </c>
      <c r="M31" s="60" t="str">
        <f>IFERROR((#REF!/1.18)*1000,"")</f>
        <v/>
      </c>
    </row>
    <row r="32" spans="1:13" hidden="1" outlineLevel="1" x14ac:dyDescent="0.55000000000000004">
      <c r="A32" s="165"/>
      <c r="B32" s="35">
        <f t="shared" si="5"/>
        <v>0</v>
      </c>
      <c r="C32" s="36" t="str">
        <f t="shared" si="0"/>
        <v/>
      </c>
      <c r="D32" s="44"/>
      <c r="G32" s="33"/>
      <c r="H32" s="33"/>
      <c r="I32" s="33" t="e">
        <f t="shared" si="4"/>
        <v>#DIV/0!</v>
      </c>
      <c r="J32" s="33"/>
      <c r="K32" s="33" t="e">
        <f t="shared" si="2"/>
        <v>#DIV/0!</v>
      </c>
      <c r="L32" s="59" t="e">
        <f t="shared" si="3"/>
        <v>#DIV/0!</v>
      </c>
      <c r="M32" s="60" t="str">
        <f>IFERROR((#REF!/1.18)*1000,"")</f>
        <v/>
      </c>
    </row>
    <row r="33" spans="1:13" hidden="1" outlineLevel="1" x14ac:dyDescent="0.55000000000000004">
      <c r="A33" s="165"/>
      <c r="B33" s="35">
        <f t="shared" si="5"/>
        <v>0</v>
      </c>
      <c r="C33" s="36" t="str">
        <f t="shared" si="0"/>
        <v/>
      </c>
      <c r="D33" s="44"/>
      <c r="G33" s="33"/>
      <c r="H33" s="33"/>
      <c r="I33" s="33" t="e">
        <f t="shared" si="4"/>
        <v>#DIV/0!</v>
      </c>
      <c r="J33" s="33"/>
      <c r="K33" s="33" t="e">
        <f t="shared" si="2"/>
        <v>#DIV/0!</v>
      </c>
      <c r="L33" s="59" t="e">
        <f t="shared" si="3"/>
        <v>#DIV/0!</v>
      </c>
      <c r="M33" s="60" t="str">
        <f>IFERROR((#REF!/1.18)*1000,"")</f>
        <v/>
      </c>
    </row>
    <row r="34" spans="1:13" hidden="1" outlineLevel="1" x14ac:dyDescent="0.55000000000000004">
      <c r="A34" s="165"/>
      <c r="B34" s="35">
        <f t="shared" si="5"/>
        <v>0</v>
      </c>
      <c r="C34" s="36" t="str">
        <f t="shared" si="0"/>
        <v/>
      </c>
      <c r="D34" s="44"/>
      <c r="G34" s="33"/>
      <c r="H34" s="33"/>
      <c r="I34" s="33" t="e">
        <f t="shared" si="4"/>
        <v>#DIV/0!</v>
      </c>
      <c r="J34" s="33"/>
      <c r="K34" s="33" t="e">
        <f t="shared" si="2"/>
        <v>#DIV/0!</v>
      </c>
      <c r="L34" s="59" t="e">
        <f t="shared" si="3"/>
        <v>#DIV/0!</v>
      </c>
      <c r="M34" s="60" t="str">
        <f>IFERROR((#REF!/1.18)*1000,"")</f>
        <v/>
      </c>
    </row>
    <row r="35" spans="1:13" hidden="1" outlineLevel="1" x14ac:dyDescent="0.55000000000000004">
      <c r="A35" s="165"/>
      <c r="B35" s="35">
        <f t="shared" si="5"/>
        <v>0</v>
      </c>
      <c r="C35" s="36" t="str">
        <f t="shared" si="0"/>
        <v/>
      </c>
      <c r="D35" s="44"/>
      <c r="G35" s="33"/>
      <c r="H35" s="33"/>
      <c r="I35" s="33" t="e">
        <f t="shared" si="4"/>
        <v>#DIV/0!</v>
      </c>
      <c r="J35" s="33"/>
      <c r="K35" s="33" t="e">
        <f t="shared" si="2"/>
        <v>#DIV/0!</v>
      </c>
      <c r="L35" s="59" t="e">
        <f t="shared" si="3"/>
        <v>#DIV/0!</v>
      </c>
      <c r="M35" s="60" t="str">
        <f>IFERROR((#REF!/1.18)*1000,"")</f>
        <v/>
      </c>
    </row>
    <row r="36" spans="1:13" hidden="1" outlineLevel="1" x14ac:dyDescent="0.55000000000000004">
      <c r="A36" s="165"/>
      <c r="B36" s="35">
        <f t="shared" si="5"/>
        <v>0</v>
      </c>
      <c r="C36" s="36" t="str">
        <f t="shared" si="0"/>
        <v/>
      </c>
      <c r="D36" s="44"/>
      <c r="G36" s="33"/>
      <c r="H36" s="33"/>
      <c r="I36" s="33" t="e">
        <f t="shared" si="4"/>
        <v>#DIV/0!</v>
      </c>
      <c r="J36" s="33"/>
      <c r="K36" s="33" t="e">
        <f t="shared" si="2"/>
        <v>#DIV/0!</v>
      </c>
      <c r="L36" s="59" t="e">
        <f t="shared" si="3"/>
        <v>#DIV/0!</v>
      </c>
      <c r="M36" s="60" t="str">
        <f>IFERROR((#REF!/1.18)*1000,"")</f>
        <v/>
      </c>
    </row>
    <row r="37" spans="1:13" hidden="1" outlineLevel="1" x14ac:dyDescent="0.55000000000000004">
      <c r="A37" s="165"/>
      <c r="B37" s="35">
        <f t="shared" si="5"/>
        <v>0</v>
      </c>
      <c r="C37" s="36" t="str">
        <f t="shared" si="0"/>
        <v/>
      </c>
      <c r="D37" s="44"/>
      <c r="G37" s="33"/>
      <c r="H37" s="33"/>
      <c r="I37" s="33" t="e">
        <f t="shared" si="4"/>
        <v>#DIV/0!</v>
      </c>
      <c r="J37" s="33"/>
      <c r="K37" s="33" t="e">
        <f t="shared" si="2"/>
        <v>#DIV/0!</v>
      </c>
      <c r="L37" s="59" t="e">
        <f t="shared" si="3"/>
        <v>#DIV/0!</v>
      </c>
      <c r="M37" s="60" t="str">
        <f>IFERROR((#REF!/1.18)*1000,"")</f>
        <v/>
      </c>
    </row>
    <row r="38" spans="1:13" hidden="1" outlineLevel="1" x14ac:dyDescent="0.55000000000000004">
      <c r="A38" s="165"/>
      <c r="B38" s="35">
        <f t="shared" si="5"/>
        <v>0</v>
      </c>
      <c r="C38" s="36" t="str">
        <f t="shared" si="0"/>
        <v/>
      </c>
      <c r="D38" s="44"/>
      <c r="G38" s="33"/>
      <c r="H38" s="33"/>
      <c r="I38" s="33" t="e">
        <f t="shared" si="4"/>
        <v>#DIV/0!</v>
      </c>
      <c r="J38" s="33"/>
      <c r="K38" s="33" t="e">
        <f t="shared" si="2"/>
        <v>#DIV/0!</v>
      </c>
      <c r="L38" s="59" t="e">
        <f t="shared" si="3"/>
        <v>#DIV/0!</v>
      </c>
      <c r="M38" s="60" t="str">
        <f>IFERROR((#REF!/1.18)*1000,"")</f>
        <v/>
      </c>
    </row>
    <row r="39" spans="1:13" hidden="1" outlineLevel="1" x14ac:dyDescent="0.55000000000000004">
      <c r="A39" s="165"/>
      <c r="B39" s="35">
        <f t="shared" si="5"/>
        <v>0</v>
      </c>
      <c r="C39" s="36" t="str">
        <f t="shared" si="0"/>
        <v/>
      </c>
      <c r="D39" s="44"/>
      <c r="G39" s="33"/>
      <c r="H39" s="33"/>
      <c r="I39" s="33" t="e">
        <f t="shared" si="4"/>
        <v>#DIV/0!</v>
      </c>
      <c r="J39" s="33"/>
      <c r="K39" s="33" t="e">
        <f t="shared" si="2"/>
        <v>#DIV/0!</v>
      </c>
      <c r="L39" s="59" t="e">
        <f t="shared" si="3"/>
        <v>#DIV/0!</v>
      </c>
      <c r="M39" s="60" t="str">
        <f>IFERROR((#REF!/1.18)*1000,"")</f>
        <v/>
      </c>
    </row>
    <row r="40" spans="1:13" hidden="1" outlineLevel="1" x14ac:dyDescent="0.55000000000000004">
      <c r="A40" s="165"/>
      <c r="B40" s="35">
        <f t="shared" si="5"/>
        <v>0</v>
      </c>
      <c r="C40" s="36" t="str">
        <f t="shared" si="0"/>
        <v/>
      </c>
      <c r="D40" s="44"/>
      <c r="G40" s="33"/>
      <c r="H40" s="33"/>
      <c r="I40" s="33" t="e">
        <f t="shared" si="4"/>
        <v>#DIV/0!</v>
      </c>
      <c r="J40" s="33"/>
      <c r="K40" s="33" t="e">
        <f t="shared" si="2"/>
        <v>#DIV/0!</v>
      </c>
      <c r="L40" s="59" t="e">
        <f t="shared" si="3"/>
        <v>#DIV/0!</v>
      </c>
      <c r="M40" s="60" t="str">
        <f>IFERROR((#REF!/1.18)*1000,"")</f>
        <v/>
      </c>
    </row>
    <row r="41" spans="1:13" hidden="1" outlineLevel="1" x14ac:dyDescent="0.55000000000000004">
      <c r="A41" s="165"/>
      <c r="B41" s="35">
        <f t="shared" si="5"/>
        <v>0</v>
      </c>
      <c r="C41" s="36" t="str">
        <f t="shared" si="0"/>
        <v/>
      </c>
      <c r="D41" s="44"/>
      <c r="G41" s="33"/>
      <c r="H41" s="33"/>
      <c r="I41" s="33" t="e">
        <f t="shared" si="4"/>
        <v>#DIV/0!</v>
      </c>
      <c r="J41" s="33"/>
      <c r="K41" s="33" t="e">
        <f t="shared" si="2"/>
        <v>#DIV/0!</v>
      </c>
      <c r="L41" s="59" t="e">
        <f t="shared" si="3"/>
        <v>#DIV/0!</v>
      </c>
      <c r="M41" s="60" t="str">
        <f>IFERROR((#REF!/1.18)*1000,"")</f>
        <v/>
      </c>
    </row>
    <row r="42" spans="1:13" hidden="1" outlineLevel="1" x14ac:dyDescent="0.55000000000000004">
      <c r="A42" s="165"/>
      <c r="B42" s="35">
        <f t="shared" si="5"/>
        <v>0</v>
      </c>
      <c r="C42" s="36" t="str">
        <f t="shared" si="0"/>
        <v/>
      </c>
      <c r="D42" s="44"/>
      <c r="G42" s="33"/>
      <c r="H42" s="33"/>
      <c r="I42" s="33" t="e">
        <f t="shared" si="4"/>
        <v>#DIV/0!</v>
      </c>
      <c r="J42" s="33"/>
      <c r="K42" s="33" t="e">
        <f t="shared" si="2"/>
        <v>#DIV/0!</v>
      </c>
      <c r="L42" s="59" t="e">
        <f t="shared" si="3"/>
        <v>#DIV/0!</v>
      </c>
      <c r="M42" s="60" t="str">
        <f>IFERROR((#REF!/1.18)*1000,"")</f>
        <v/>
      </c>
    </row>
    <row r="43" spans="1:13" hidden="1" outlineLevel="1" x14ac:dyDescent="0.55000000000000004">
      <c r="A43" s="165"/>
      <c r="B43" s="35">
        <f t="shared" si="5"/>
        <v>0</v>
      </c>
      <c r="C43" s="36" t="str">
        <f t="shared" si="0"/>
        <v/>
      </c>
      <c r="D43" s="44"/>
      <c r="G43" s="33"/>
      <c r="H43" s="33"/>
      <c r="I43" s="33" t="e">
        <f t="shared" si="4"/>
        <v>#DIV/0!</v>
      </c>
      <c r="J43" s="33"/>
      <c r="K43" s="33" t="e">
        <f t="shared" si="2"/>
        <v>#DIV/0!</v>
      </c>
      <c r="L43" s="59" t="e">
        <f t="shared" si="3"/>
        <v>#DIV/0!</v>
      </c>
      <c r="M43" s="60" t="str">
        <f>IFERROR((#REF!/1.18)*1000,"")</f>
        <v/>
      </c>
    </row>
    <row r="44" spans="1:13" hidden="1" outlineLevel="1" x14ac:dyDescent="0.55000000000000004">
      <c r="A44" s="165"/>
      <c r="B44" s="35">
        <f t="shared" si="5"/>
        <v>0</v>
      </c>
      <c r="C44" s="36" t="str">
        <f t="shared" si="0"/>
        <v/>
      </c>
      <c r="D44" s="44"/>
      <c r="G44" s="33"/>
      <c r="H44" s="33"/>
      <c r="I44" s="33" t="e">
        <f t="shared" si="4"/>
        <v>#DIV/0!</v>
      </c>
      <c r="J44" s="33"/>
      <c r="K44" s="33" t="e">
        <f t="shared" si="2"/>
        <v>#DIV/0!</v>
      </c>
      <c r="L44" s="59" t="e">
        <f t="shared" si="3"/>
        <v>#DIV/0!</v>
      </c>
      <c r="M44" s="60" t="str">
        <f>IFERROR((#REF!/1.18)*1000,"")</f>
        <v/>
      </c>
    </row>
    <row r="45" spans="1:13" hidden="1" outlineLevel="1" x14ac:dyDescent="0.55000000000000004">
      <c r="A45" s="165"/>
      <c r="B45" s="35">
        <f t="shared" si="5"/>
        <v>0</v>
      </c>
      <c r="C45" s="36" t="str">
        <f t="shared" si="0"/>
        <v/>
      </c>
      <c r="D45" s="44"/>
      <c r="G45" s="33"/>
      <c r="H45" s="33"/>
      <c r="I45" s="33" t="e">
        <f t="shared" si="4"/>
        <v>#DIV/0!</v>
      </c>
      <c r="J45" s="33"/>
      <c r="K45" s="33" t="e">
        <f t="shared" si="2"/>
        <v>#DIV/0!</v>
      </c>
      <c r="L45" s="59" t="e">
        <f t="shared" si="3"/>
        <v>#DIV/0!</v>
      </c>
      <c r="M45" s="60" t="str">
        <f>IFERROR((#REF!/1.18)*1000,"")</f>
        <v/>
      </c>
    </row>
    <row r="46" spans="1:13" ht="14.7" hidden="1" outlineLevel="1" thickBot="1" x14ac:dyDescent="0.6">
      <c r="A46" s="166"/>
      <c r="B46" s="35">
        <f t="shared" si="5"/>
        <v>0</v>
      </c>
      <c r="C46" s="36" t="str">
        <f t="shared" si="0"/>
        <v/>
      </c>
      <c r="D46" s="53"/>
      <c r="G46" s="33"/>
      <c r="H46" s="33"/>
      <c r="I46" s="33" t="e">
        <f t="shared" si="4"/>
        <v>#DIV/0!</v>
      </c>
      <c r="J46" s="33"/>
      <c r="K46" s="33" t="e">
        <f t="shared" si="2"/>
        <v>#DIV/0!</v>
      </c>
      <c r="L46" s="59" t="e">
        <f t="shared" si="3"/>
        <v>#DIV/0!</v>
      </c>
      <c r="M46" s="60" t="str">
        <f>IFERROR((#REF!/1.18)*1000,"")</f>
        <v/>
      </c>
    </row>
    <row r="47" spans="1:13" hidden="1" outlineLevel="1" x14ac:dyDescent="0.55000000000000004">
      <c r="A47" s="167"/>
      <c r="B47" s="35">
        <f t="shared" si="5"/>
        <v>0</v>
      </c>
      <c r="C47" s="36" t="str">
        <f t="shared" si="0"/>
        <v/>
      </c>
      <c r="D47" s="37"/>
      <c r="G47" s="33"/>
      <c r="H47" s="33"/>
      <c r="I47" s="33" t="e">
        <f t="shared" si="4"/>
        <v>#DIV/0!</v>
      </c>
      <c r="J47" s="33"/>
      <c r="K47" s="33" t="e">
        <f t="shared" si="2"/>
        <v>#DIV/0!</v>
      </c>
      <c r="L47" s="59" t="e">
        <f t="shared" si="3"/>
        <v>#DIV/0!</v>
      </c>
      <c r="M47" s="60" t="str">
        <f>IFERROR((#REF!/1.18)*1000,"")</f>
        <v/>
      </c>
    </row>
    <row r="48" spans="1:13" hidden="1" outlineLevel="1" x14ac:dyDescent="0.55000000000000004">
      <c r="A48" s="165"/>
      <c r="B48" s="35">
        <f t="shared" si="5"/>
        <v>0</v>
      </c>
      <c r="C48" s="36" t="str">
        <f t="shared" si="0"/>
        <v/>
      </c>
      <c r="D48" s="44"/>
      <c r="G48" s="33"/>
      <c r="H48" s="33"/>
      <c r="I48" s="33" t="e">
        <f t="shared" si="4"/>
        <v>#DIV/0!</v>
      </c>
      <c r="J48" s="33"/>
      <c r="K48" s="33" t="e">
        <f t="shared" si="2"/>
        <v>#DIV/0!</v>
      </c>
      <c r="L48" s="59" t="e">
        <f t="shared" si="3"/>
        <v>#DIV/0!</v>
      </c>
      <c r="M48" s="60" t="str">
        <f>IFERROR((#REF!/1.18)*1000,"")</f>
        <v/>
      </c>
    </row>
    <row r="49" spans="1:13" hidden="1" outlineLevel="1" x14ac:dyDescent="0.55000000000000004">
      <c r="A49" s="165"/>
      <c r="B49" s="35">
        <f t="shared" si="5"/>
        <v>0</v>
      </c>
      <c r="C49" s="36" t="str">
        <f t="shared" si="0"/>
        <v/>
      </c>
      <c r="D49" s="44"/>
      <c r="G49" s="33"/>
      <c r="H49" s="33"/>
      <c r="I49" s="33" t="e">
        <f t="shared" si="4"/>
        <v>#DIV/0!</v>
      </c>
      <c r="J49" s="33"/>
      <c r="K49" s="33" t="e">
        <f t="shared" si="2"/>
        <v>#DIV/0!</v>
      </c>
      <c r="L49" s="59" t="e">
        <f t="shared" si="3"/>
        <v>#DIV/0!</v>
      </c>
      <c r="M49" s="60" t="str">
        <f>IFERROR((#REF!/1.18)*1000,"")</f>
        <v/>
      </c>
    </row>
    <row r="50" spans="1:13" hidden="1" outlineLevel="1" x14ac:dyDescent="0.55000000000000004">
      <c r="A50" s="165"/>
      <c r="B50" s="35">
        <f t="shared" si="5"/>
        <v>0</v>
      </c>
      <c r="C50" s="36" t="str">
        <f t="shared" si="0"/>
        <v/>
      </c>
      <c r="D50" s="44"/>
      <c r="G50" s="33"/>
      <c r="H50" s="33"/>
      <c r="I50" s="33" t="e">
        <f t="shared" si="4"/>
        <v>#DIV/0!</v>
      </c>
      <c r="J50" s="33"/>
      <c r="K50" s="33" t="e">
        <f t="shared" si="2"/>
        <v>#DIV/0!</v>
      </c>
      <c r="L50" s="59" t="e">
        <f t="shared" si="3"/>
        <v>#DIV/0!</v>
      </c>
      <c r="M50" s="60" t="str">
        <f>IFERROR((#REF!/1.18)*1000,"")</f>
        <v/>
      </c>
    </row>
    <row r="51" spans="1:13" hidden="1" outlineLevel="1" x14ac:dyDescent="0.55000000000000004">
      <c r="A51" s="165"/>
      <c r="B51" s="35">
        <f t="shared" si="5"/>
        <v>0</v>
      </c>
      <c r="C51" s="36" t="str">
        <f t="shared" si="0"/>
        <v/>
      </c>
      <c r="D51" s="44"/>
      <c r="G51" s="33"/>
      <c r="H51" s="33"/>
      <c r="I51" s="33" t="e">
        <f t="shared" si="4"/>
        <v>#DIV/0!</v>
      </c>
      <c r="J51" s="33"/>
      <c r="K51" s="33" t="e">
        <f t="shared" si="2"/>
        <v>#DIV/0!</v>
      </c>
      <c r="L51" s="59" t="e">
        <f t="shared" si="3"/>
        <v>#DIV/0!</v>
      </c>
      <c r="M51" s="60" t="str">
        <f>IFERROR((#REF!/1.18)*1000,"")</f>
        <v/>
      </c>
    </row>
    <row r="52" spans="1:13" hidden="1" outlineLevel="1" x14ac:dyDescent="0.55000000000000004">
      <c r="A52" s="165"/>
      <c r="B52" s="35">
        <f t="shared" si="5"/>
        <v>0</v>
      </c>
      <c r="C52" s="36" t="str">
        <f t="shared" si="0"/>
        <v/>
      </c>
      <c r="D52" s="44"/>
      <c r="G52" s="33"/>
      <c r="H52" s="33"/>
      <c r="I52" s="33" t="e">
        <f t="shared" si="4"/>
        <v>#DIV/0!</v>
      </c>
      <c r="J52" s="33"/>
      <c r="K52" s="33" t="e">
        <f t="shared" si="2"/>
        <v>#DIV/0!</v>
      </c>
      <c r="L52" s="59" t="e">
        <f t="shared" si="3"/>
        <v>#DIV/0!</v>
      </c>
      <c r="M52" s="60" t="str">
        <f>IFERROR((#REF!/1.18)*1000,"")</f>
        <v/>
      </c>
    </row>
    <row r="53" spans="1:13" hidden="1" outlineLevel="1" x14ac:dyDescent="0.55000000000000004">
      <c r="A53" s="165"/>
      <c r="B53" s="35">
        <f t="shared" si="5"/>
        <v>0</v>
      </c>
      <c r="C53" s="36" t="str">
        <f t="shared" si="0"/>
        <v/>
      </c>
      <c r="D53" s="44"/>
      <c r="G53" s="33"/>
      <c r="H53" s="33"/>
      <c r="I53" s="33" t="e">
        <f t="shared" si="4"/>
        <v>#DIV/0!</v>
      </c>
      <c r="J53" s="33"/>
      <c r="K53" s="33" t="e">
        <f t="shared" si="2"/>
        <v>#DIV/0!</v>
      </c>
      <c r="L53" s="59" t="e">
        <f t="shared" si="3"/>
        <v>#DIV/0!</v>
      </c>
      <c r="M53" s="60" t="str">
        <f>IFERROR((#REF!/1.18)*1000,"")</f>
        <v/>
      </c>
    </row>
    <row r="54" spans="1:13" hidden="1" outlineLevel="1" x14ac:dyDescent="0.55000000000000004">
      <c r="A54" s="165"/>
      <c r="B54" s="35">
        <f t="shared" si="5"/>
        <v>0</v>
      </c>
      <c r="C54" s="36" t="str">
        <f t="shared" si="0"/>
        <v/>
      </c>
      <c r="D54" s="44"/>
      <c r="G54" s="33"/>
      <c r="H54" s="33"/>
      <c r="I54" s="33" t="e">
        <f t="shared" si="4"/>
        <v>#DIV/0!</v>
      </c>
      <c r="J54" s="33"/>
      <c r="K54" s="33" t="e">
        <f t="shared" si="2"/>
        <v>#DIV/0!</v>
      </c>
      <c r="L54" s="59" t="e">
        <f t="shared" si="3"/>
        <v>#DIV/0!</v>
      </c>
      <c r="M54" s="60" t="str">
        <f>IFERROR((#REF!/1.18)*1000,"")</f>
        <v/>
      </c>
    </row>
    <row r="55" spans="1:13" hidden="1" outlineLevel="1" x14ac:dyDescent="0.55000000000000004">
      <c r="A55" s="165"/>
      <c r="B55" s="35">
        <f t="shared" si="5"/>
        <v>0</v>
      </c>
      <c r="C55" s="36" t="str">
        <f t="shared" si="0"/>
        <v/>
      </c>
      <c r="D55" s="44"/>
      <c r="G55" s="33"/>
      <c r="H55" s="33"/>
      <c r="I55" s="33" t="e">
        <f t="shared" si="4"/>
        <v>#DIV/0!</v>
      </c>
      <c r="J55" s="33"/>
      <c r="K55" s="33" t="e">
        <f t="shared" si="2"/>
        <v>#DIV/0!</v>
      </c>
      <c r="L55" s="59" t="e">
        <f t="shared" si="3"/>
        <v>#DIV/0!</v>
      </c>
      <c r="M55" s="60" t="str">
        <f>IFERROR((#REF!/1.18)*1000,"")</f>
        <v/>
      </c>
    </row>
    <row r="56" spans="1:13" hidden="1" outlineLevel="1" x14ac:dyDescent="0.55000000000000004">
      <c r="A56" s="165"/>
      <c r="B56" s="35">
        <f t="shared" si="5"/>
        <v>0</v>
      </c>
      <c r="C56" s="36" t="str">
        <f t="shared" si="0"/>
        <v/>
      </c>
      <c r="D56" s="44"/>
      <c r="G56" s="33"/>
      <c r="H56" s="33"/>
      <c r="I56" s="33" t="e">
        <f t="shared" si="4"/>
        <v>#DIV/0!</v>
      </c>
      <c r="J56" s="33"/>
      <c r="K56" s="33" t="e">
        <f t="shared" si="2"/>
        <v>#DIV/0!</v>
      </c>
      <c r="L56" s="59" t="e">
        <f t="shared" si="3"/>
        <v>#DIV/0!</v>
      </c>
      <c r="M56" s="60" t="str">
        <f>IFERROR((#REF!/1.18)*1000,"")</f>
        <v/>
      </c>
    </row>
    <row r="57" spans="1:13" hidden="1" outlineLevel="1" x14ac:dyDescent="0.55000000000000004">
      <c r="A57" s="165"/>
      <c r="B57" s="35">
        <f t="shared" si="5"/>
        <v>0</v>
      </c>
      <c r="C57" s="36" t="str">
        <f t="shared" si="0"/>
        <v/>
      </c>
      <c r="D57" s="44"/>
      <c r="G57" s="33"/>
      <c r="H57" s="33"/>
      <c r="I57" s="33" t="e">
        <f t="shared" si="4"/>
        <v>#DIV/0!</v>
      </c>
      <c r="J57" s="33"/>
      <c r="K57" s="33" t="e">
        <f t="shared" si="2"/>
        <v>#DIV/0!</v>
      </c>
      <c r="L57" s="59" t="e">
        <f t="shared" si="3"/>
        <v>#DIV/0!</v>
      </c>
      <c r="M57" s="60" t="str">
        <f>IFERROR((#REF!/1.18)*1000,"")</f>
        <v/>
      </c>
    </row>
    <row r="58" spans="1:13" hidden="1" outlineLevel="1" x14ac:dyDescent="0.55000000000000004">
      <c r="A58" s="165"/>
      <c r="B58" s="35">
        <f t="shared" si="5"/>
        <v>0</v>
      </c>
      <c r="C58" s="36" t="str">
        <f t="shared" si="0"/>
        <v/>
      </c>
      <c r="D58" s="44"/>
      <c r="G58" s="33"/>
      <c r="H58" s="33"/>
      <c r="I58" s="33" t="e">
        <f t="shared" si="4"/>
        <v>#DIV/0!</v>
      </c>
      <c r="J58" s="33"/>
      <c r="K58" s="33" t="e">
        <f t="shared" si="2"/>
        <v>#DIV/0!</v>
      </c>
      <c r="L58" s="59" t="e">
        <f t="shared" si="3"/>
        <v>#DIV/0!</v>
      </c>
      <c r="M58" s="60" t="str">
        <f>IFERROR((#REF!/1.18)*1000,"")</f>
        <v/>
      </c>
    </row>
    <row r="59" spans="1:13" hidden="1" outlineLevel="1" x14ac:dyDescent="0.55000000000000004">
      <c r="A59" s="165"/>
      <c r="B59" s="35">
        <f t="shared" si="5"/>
        <v>0</v>
      </c>
      <c r="C59" s="36" t="str">
        <f t="shared" si="0"/>
        <v/>
      </c>
      <c r="D59" s="44"/>
      <c r="G59" s="33"/>
      <c r="H59" s="33"/>
      <c r="I59" s="33" t="e">
        <f t="shared" si="4"/>
        <v>#DIV/0!</v>
      </c>
      <c r="J59" s="33"/>
      <c r="K59" s="33" t="e">
        <f t="shared" si="2"/>
        <v>#DIV/0!</v>
      </c>
      <c r="L59" s="59" t="e">
        <f t="shared" si="3"/>
        <v>#DIV/0!</v>
      </c>
      <c r="M59" s="60" t="str">
        <f>IFERROR((#REF!/1.18)*1000,"")</f>
        <v/>
      </c>
    </row>
    <row r="60" spans="1:13" hidden="1" outlineLevel="1" x14ac:dyDescent="0.55000000000000004">
      <c r="A60" s="165"/>
      <c r="B60" s="35">
        <f t="shared" si="5"/>
        <v>0</v>
      </c>
      <c r="C60" s="36" t="str">
        <f t="shared" si="0"/>
        <v/>
      </c>
      <c r="D60" s="44"/>
      <c r="G60" s="33"/>
      <c r="H60" s="33"/>
      <c r="I60" s="33" t="e">
        <f t="shared" si="4"/>
        <v>#DIV/0!</v>
      </c>
      <c r="J60" s="33"/>
      <c r="K60" s="33" t="e">
        <f t="shared" si="2"/>
        <v>#DIV/0!</v>
      </c>
      <c r="L60" s="59" t="e">
        <f t="shared" si="3"/>
        <v>#DIV/0!</v>
      </c>
      <c r="M60" s="60" t="str">
        <f>IFERROR((#REF!/1.18)*1000,"")</f>
        <v/>
      </c>
    </row>
    <row r="61" spans="1:13" hidden="1" outlineLevel="1" x14ac:dyDescent="0.55000000000000004">
      <c r="A61" s="165"/>
      <c r="B61" s="35">
        <f t="shared" si="5"/>
        <v>0</v>
      </c>
      <c r="C61" s="36" t="str">
        <f t="shared" si="0"/>
        <v/>
      </c>
      <c r="D61" s="44"/>
      <c r="G61" s="33"/>
      <c r="H61" s="33"/>
      <c r="I61" s="33" t="e">
        <f t="shared" si="4"/>
        <v>#DIV/0!</v>
      </c>
      <c r="J61" s="33"/>
      <c r="K61" s="33" t="e">
        <f t="shared" si="2"/>
        <v>#DIV/0!</v>
      </c>
      <c r="L61" s="59" t="e">
        <f t="shared" si="3"/>
        <v>#DIV/0!</v>
      </c>
      <c r="M61" s="60" t="str">
        <f>IFERROR((#REF!/1.18)*1000,"")</f>
        <v/>
      </c>
    </row>
    <row r="62" spans="1:13" hidden="1" outlineLevel="1" x14ac:dyDescent="0.55000000000000004">
      <c r="A62" s="165"/>
      <c r="B62" s="35">
        <f t="shared" si="5"/>
        <v>0</v>
      </c>
      <c r="C62" s="36" t="str">
        <f t="shared" si="0"/>
        <v/>
      </c>
      <c r="D62" s="44"/>
      <c r="G62" s="33"/>
      <c r="H62" s="33"/>
      <c r="I62" s="33" t="e">
        <f t="shared" si="4"/>
        <v>#DIV/0!</v>
      </c>
      <c r="J62" s="33"/>
      <c r="K62" s="33" t="e">
        <f t="shared" si="2"/>
        <v>#DIV/0!</v>
      </c>
      <c r="L62" s="59" t="e">
        <f t="shared" si="3"/>
        <v>#DIV/0!</v>
      </c>
      <c r="M62" s="60" t="str">
        <f>IFERROR((#REF!/1.18)*1000,"")</f>
        <v/>
      </c>
    </row>
    <row r="63" spans="1:13" hidden="1" outlineLevel="1" x14ac:dyDescent="0.55000000000000004">
      <c r="A63" s="165"/>
      <c r="B63" s="35">
        <f t="shared" si="5"/>
        <v>0</v>
      </c>
      <c r="C63" s="36" t="str">
        <f t="shared" si="0"/>
        <v/>
      </c>
      <c r="D63" s="44"/>
      <c r="G63" s="33"/>
      <c r="H63" s="33"/>
      <c r="I63" s="33" t="e">
        <f t="shared" si="4"/>
        <v>#DIV/0!</v>
      </c>
      <c r="J63" s="33"/>
      <c r="K63" s="33" t="e">
        <f t="shared" si="2"/>
        <v>#DIV/0!</v>
      </c>
      <c r="L63" s="59" t="e">
        <f t="shared" si="3"/>
        <v>#DIV/0!</v>
      </c>
      <c r="M63" s="60" t="str">
        <f>IFERROR((#REF!/1.18)*1000,"")</f>
        <v/>
      </c>
    </row>
    <row r="64" spans="1:13" hidden="1" outlineLevel="1" x14ac:dyDescent="0.55000000000000004">
      <c r="A64" s="165"/>
      <c r="B64" s="35">
        <f t="shared" si="5"/>
        <v>0</v>
      </c>
      <c r="C64" s="36" t="str">
        <f t="shared" si="0"/>
        <v/>
      </c>
      <c r="D64" s="44"/>
      <c r="G64" s="33"/>
      <c r="H64" s="33"/>
      <c r="I64" s="33" t="e">
        <f t="shared" si="4"/>
        <v>#DIV/0!</v>
      </c>
      <c r="J64" s="33"/>
      <c r="K64" s="33" t="e">
        <f t="shared" si="2"/>
        <v>#DIV/0!</v>
      </c>
      <c r="L64" s="59" t="e">
        <f t="shared" si="3"/>
        <v>#DIV/0!</v>
      </c>
      <c r="M64" s="60" t="str">
        <f>IFERROR((#REF!/1.18)*1000,"")</f>
        <v/>
      </c>
    </row>
    <row r="65" spans="1:13" hidden="1" outlineLevel="1" x14ac:dyDescent="0.55000000000000004">
      <c r="A65" s="165"/>
      <c r="B65" s="35">
        <f t="shared" si="5"/>
        <v>0</v>
      </c>
      <c r="C65" s="36" t="str">
        <f t="shared" si="0"/>
        <v/>
      </c>
      <c r="D65" s="44"/>
      <c r="G65" s="33"/>
      <c r="H65" s="33"/>
      <c r="I65" s="33" t="e">
        <f t="shared" si="4"/>
        <v>#DIV/0!</v>
      </c>
      <c r="J65" s="33"/>
      <c r="K65" s="33" t="e">
        <f t="shared" si="2"/>
        <v>#DIV/0!</v>
      </c>
      <c r="L65" s="59" t="e">
        <f t="shared" si="3"/>
        <v>#DIV/0!</v>
      </c>
      <c r="M65" s="60" t="str">
        <f>IFERROR((#REF!/1.18)*1000,"")</f>
        <v/>
      </c>
    </row>
    <row r="66" spans="1:13" hidden="1" outlineLevel="1" x14ac:dyDescent="0.55000000000000004">
      <c r="A66" s="165"/>
      <c r="B66" s="35">
        <f t="shared" si="5"/>
        <v>0</v>
      </c>
      <c r="C66" s="36" t="str">
        <f t="shared" ref="C66:C129" si="6">IF(F66&gt;0,MONTH(D66)&amp;YEAR(D66),"")</f>
        <v/>
      </c>
      <c r="D66" s="44"/>
      <c r="G66" s="33"/>
      <c r="H66" s="33"/>
      <c r="I66" s="33" t="e">
        <f t="shared" si="4"/>
        <v>#DIV/0!</v>
      </c>
      <c r="J66" s="33"/>
      <c r="K66" s="33" t="e">
        <f t="shared" si="2"/>
        <v>#DIV/0!</v>
      </c>
      <c r="L66" s="59" t="e">
        <f t="shared" si="3"/>
        <v>#DIV/0!</v>
      </c>
      <c r="M66" s="60" t="str">
        <f>IFERROR((#REF!/1.18)*1000,"")</f>
        <v/>
      </c>
    </row>
    <row r="67" spans="1:13" hidden="1" outlineLevel="1" x14ac:dyDescent="0.55000000000000004">
      <c r="A67" s="165"/>
      <c r="B67" s="35">
        <f t="shared" si="5"/>
        <v>0</v>
      </c>
      <c r="C67" s="36" t="str">
        <f t="shared" si="6"/>
        <v/>
      </c>
      <c r="D67" s="44"/>
      <c r="G67" s="33"/>
      <c r="H67" s="33"/>
      <c r="I67" s="33" t="e">
        <f t="shared" si="4"/>
        <v>#DIV/0!</v>
      </c>
      <c r="J67" s="33"/>
      <c r="K67" s="33" t="e">
        <f t="shared" si="2"/>
        <v>#DIV/0!</v>
      </c>
      <c r="L67" s="59" t="e">
        <f t="shared" si="3"/>
        <v>#DIV/0!</v>
      </c>
      <c r="M67" s="60" t="str">
        <f>IFERROR((#REF!/1.18)*1000,"")</f>
        <v/>
      </c>
    </row>
    <row r="68" spans="1:13" hidden="1" outlineLevel="1" x14ac:dyDescent="0.55000000000000004">
      <c r="A68" s="165"/>
      <c r="B68" s="35">
        <f t="shared" si="5"/>
        <v>0</v>
      </c>
      <c r="C68" s="36" t="str">
        <f t="shared" si="6"/>
        <v/>
      </c>
      <c r="D68" s="44"/>
      <c r="G68" s="33"/>
      <c r="H68" s="33"/>
      <c r="I68" s="33" t="e">
        <f t="shared" si="4"/>
        <v>#DIV/0!</v>
      </c>
      <c r="J68" s="33"/>
      <c r="K68" s="33" t="e">
        <f t="shared" si="2"/>
        <v>#DIV/0!</v>
      </c>
      <c r="L68" s="59" t="e">
        <f t="shared" si="3"/>
        <v>#DIV/0!</v>
      </c>
      <c r="M68" s="60" t="str">
        <f>IFERROR((#REF!/1.18)*1000,"")</f>
        <v/>
      </c>
    </row>
    <row r="69" spans="1:13" ht="14.7" hidden="1" outlineLevel="1" thickBot="1" x14ac:dyDescent="0.6">
      <c r="A69" s="166"/>
      <c r="B69" s="35">
        <f t="shared" si="5"/>
        <v>0</v>
      </c>
      <c r="C69" s="36" t="str">
        <f t="shared" si="6"/>
        <v/>
      </c>
      <c r="D69" s="53"/>
      <c r="G69" s="33"/>
      <c r="H69" s="33"/>
      <c r="I69" s="33" t="e">
        <f t="shared" si="4"/>
        <v>#DIV/0!</v>
      </c>
      <c r="J69" s="33"/>
      <c r="K69" s="33" t="e">
        <f t="shared" si="2"/>
        <v>#DIV/0!</v>
      </c>
      <c r="L69" s="59" t="e">
        <f t="shared" si="3"/>
        <v>#DIV/0!</v>
      </c>
      <c r="M69" s="60" t="str">
        <f>IFERROR((#REF!/1.18)*1000,"")</f>
        <v/>
      </c>
    </row>
    <row r="70" spans="1:13" hidden="1" outlineLevel="1" x14ac:dyDescent="0.55000000000000004">
      <c r="A70" s="167"/>
      <c r="B70" s="35">
        <f t="shared" si="5"/>
        <v>0</v>
      </c>
      <c r="C70" s="36" t="str">
        <f t="shared" si="6"/>
        <v/>
      </c>
      <c r="D70" s="37"/>
      <c r="G70" s="33"/>
      <c r="H70" s="33"/>
      <c r="I70" s="33" t="e">
        <f t="shared" si="4"/>
        <v>#DIV/0!</v>
      </c>
      <c r="J70" s="33"/>
      <c r="K70" s="33" t="e">
        <f t="shared" si="2"/>
        <v>#DIV/0!</v>
      </c>
      <c r="L70" s="59" t="e">
        <f t="shared" si="3"/>
        <v>#DIV/0!</v>
      </c>
      <c r="M70" s="60" t="str">
        <f>IFERROR((#REF!/1.18)*1000,"")</f>
        <v/>
      </c>
    </row>
    <row r="71" spans="1:13" hidden="1" outlineLevel="1" x14ac:dyDescent="0.55000000000000004">
      <c r="A71" s="165"/>
      <c r="B71" s="35">
        <f t="shared" si="5"/>
        <v>0</v>
      </c>
      <c r="C71" s="36" t="str">
        <f t="shared" si="6"/>
        <v/>
      </c>
      <c r="D71" s="44"/>
      <c r="G71" s="33"/>
      <c r="H71" s="33"/>
      <c r="I71" s="33" t="e">
        <f t="shared" si="4"/>
        <v>#DIV/0!</v>
      </c>
      <c r="J71" s="33"/>
      <c r="K71" s="33" t="e">
        <f t="shared" ref="K71:K134" si="7">IF(L70&gt;3%,G69,IF(L70&lt;-3%,G69,K70))</f>
        <v>#DIV/0!</v>
      </c>
      <c r="L71" s="59" t="e">
        <f t="shared" ref="L71:L102" si="8">(I71-K71)/K71</f>
        <v>#DIV/0!</v>
      </c>
      <c r="M71" s="60" t="str">
        <f>IFERROR((#REF!/1.18)*1000,"")</f>
        <v/>
      </c>
    </row>
    <row r="72" spans="1:13" hidden="1" outlineLevel="1" x14ac:dyDescent="0.55000000000000004">
      <c r="A72" s="165"/>
      <c r="B72" s="35">
        <f t="shared" si="5"/>
        <v>0</v>
      </c>
      <c r="C72" s="36" t="str">
        <f t="shared" si="6"/>
        <v/>
      </c>
      <c r="D72" s="44"/>
      <c r="G72" s="33"/>
      <c r="H72" s="33"/>
      <c r="I72" s="33" t="e">
        <f t="shared" ref="I72:I135" si="9">IF(M71&lt;&gt;"",AVERAGE(G71),IF(M70&lt;&gt;"",AVERAGE(G70:G71),IF(M69&lt;&gt;"",AVERAGE(G69:G71),IF(M68&lt;&gt;"",AVERAGE(G68:G71),AVERAGE(G67:G71)))))</f>
        <v>#DIV/0!</v>
      </c>
      <c r="J72" s="33"/>
      <c r="K72" s="33" t="e">
        <f t="shared" si="7"/>
        <v>#DIV/0!</v>
      </c>
      <c r="L72" s="59" t="e">
        <f t="shared" si="8"/>
        <v>#DIV/0!</v>
      </c>
      <c r="M72" s="60" t="str">
        <f>IFERROR((#REF!/1.18)*1000,"")</f>
        <v/>
      </c>
    </row>
    <row r="73" spans="1:13" hidden="1" outlineLevel="1" x14ac:dyDescent="0.55000000000000004">
      <c r="A73" s="165"/>
      <c r="B73" s="35">
        <f t="shared" si="5"/>
        <v>0</v>
      </c>
      <c r="C73" s="36" t="str">
        <f t="shared" si="6"/>
        <v/>
      </c>
      <c r="D73" s="44"/>
      <c r="G73" s="33"/>
      <c r="H73" s="33"/>
      <c r="I73" s="33" t="e">
        <f t="shared" si="9"/>
        <v>#DIV/0!</v>
      </c>
      <c r="J73" s="33"/>
      <c r="K73" s="33" t="e">
        <f t="shared" si="7"/>
        <v>#DIV/0!</v>
      </c>
      <c r="L73" s="59" t="e">
        <f t="shared" si="8"/>
        <v>#DIV/0!</v>
      </c>
      <c r="M73" s="60" t="str">
        <f>IFERROR((#REF!/1.18)*1000,"")</f>
        <v/>
      </c>
    </row>
    <row r="74" spans="1:13" hidden="1" outlineLevel="1" x14ac:dyDescent="0.55000000000000004">
      <c r="A74" s="165"/>
      <c r="B74" s="35">
        <f t="shared" si="5"/>
        <v>0</v>
      </c>
      <c r="C74" s="36" t="str">
        <f t="shared" si="6"/>
        <v/>
      </c>
      <c r="D74" s="44"/>
      <c r="G74" s="33"/>
      <c r="H74" s="33"/>
      <c r="I74" s="33" t="e">
        <f t="shared" si="9"/>
        <v>#DIV/0!</v>
      </c>
      <c r="J74" s="33"/>
      <c r="K74" s="33" t="e">
        <f t="shared" si="7"/>
        <v>#DIV/0!</v>
      </c>
      <c r="L74" s="59" t="e">
        <f t="shared" si="8"/>
        <v>#DIV/0!</v>
      </c>
      <c r="M74" s="60" t="str">
        <f>IFERROR((#REF!/1.18)*1000,"")</f>
        <v/>
      </c>
    </row>
    <row r="75" spans="1:13" hidden="1" outlineLevel="1" x14ac:dyDescent="0.55000000000000004">
      <c r="A75" s="165"/>
      <c r="B75" s="35">
        <f t="shared" si="5"/>
        <v>0</v>
      </c>
      <c r="C75" s="36" t="str">
        <f t="shared" si="6"/>
        <v/>
      </c>
      <c r="D75" s="44"/>
      <c r="G75" s="33"/>
      <c r="H75" s="33"/>
      <c r="I75" s="33" t="e">
        <f t="shared" si="9"/>
        <v>#DIV/0!</v>
      </c>
      <c r="J75" s="33"/>
      <c r="K75" s="33" t="e">
        <f t="shared" si="7"/>
        <v>#DIV/0!</v>
      </c>
      <c r="L75" s="59" t="e">
        <f t="shared" si="8"/>
        <v>#DIV/0!</v>
      </c>
      <c r="M75" s="60" t="str">
        <f>IFERROR((#REF!/1.18)*1000,"")</f>
        <v/>
      </c>
    </row>
    <row r="76" spans="1:13" hidden="1" outlineLevel="1" x14ac:dyDescent="0.55000000000000004">
      <c r="A76" s="165"/>
      <c r="B76" s="35">
        <f t="shared" si="5"/>
        <v>0</v>
      </c>
      <c r="C76" s="36" t="str">
        <f t="shared" si="6"/>
        <v/>
      </c>
      <c r="D76" s="44"/>
      <c r="G76" s="33"/>
      <c r="H76" s="33"/>
      <c r="I76" s="33" t="e">
        <f t="shared" si="9"/>
        <v>#DIV/0!</v>
      </c>
      <c r="J76" s="33"/>
      <c r="K76" s="33" t="e">
        <f t="shared" si="7"/>
        <v>#DIV/0!</v>
      </c>
      <c r="L76" s="59" t="e">
        <f t="shared" si="8"/>
        <v>#DIV/0!</v>
      </c>
      <c r="M76" s="60" t="str">
        <f>IFERROR((#REF!/1.18)*1000,"")</f>
        <v/>
      </c>
    </row>
    <row r="77" spans="1:13" hidden="1" outlineLevel="1" x14ac:dyDescent="0.55000000000000004">
      <c r="A77" s="165"/>
      <c r="B77" s="35">
        <f t="shared" si="5"/>
        <v>0</v>
      </c>
      <c r="C77" s="36" t="str">
        <f t="shared" si="6"/>
        <v/>
      </c>
      <c r="D77" s="44"/>
      <c r="G77" s="33"/>
      <c r="H77" s="33"/>
      <c r="I77" s="33" t="e">
        <f t="shared" si="9"/>
        <v>#DIV/0!</v>
      </c>
      <c r="J77" s="33"/>
      <c r="K77" s="33" t="e">
        <f t="shared" si="7"/>
        <v>#DIV/0!</v>
      </c>
      <c r="L77" s="59" t="e">
        <f t="shared" si="8"/>
        <v>#DIV/0!</v>
      </c>
      <c r="M77" s="60" t="str">
        <f>IFERROR((#REF!/1.18)*1000,"")</f>
        <v/>
      </c>
    </row>
    <row r="78" spans="1:13" hidden="1" outlineLevel="1" x14ac:dyDescent="0.55000000000000004">
      <c r="A78" s="165"/>
      <c r="B78" s="35">
        <f t="shared" si="5"/>
        <v>0</v>
      </c>
      <c r="C78" s="36" t="str">
        <f t="shared" si="6"/>
        <v/>
      </c>
      <c r="D78" s="44"/>
      <c r="G78" s="33"/>
      <c r="H78" s="33"/>
      <c r="I78" s="33" t="e">
        <f t="shared" si="9"/>
        <v>#DIV/0!</v>
      </c>
      <c r="J78" s="33"/>
      <c r="K78" s="33" t="e">
        <f t="shared" si="7"/>
        <v>#DIV/0!</v>
      </c>
      <c r="L78" s="59" t="e">
        <f t="shared" si="8"/>
        <v>#DIV/0!</v>
      </c>
      <c r="M78" s="60" t="str">
        <f>IFERROR((#REF!/1.18)*1000,"")</f>
        <v/>
      </c>
    </row>
    <row r="79" spans="1:13" hidden="1" outlineLevel="1" x14ac:dyDescent="0.55000000000000004">
      <c r="A79" s="165"/>
      <c r="B79" s="35">
        <f t="shared" si="5"/>
        <v>0</v>
      </c>
      <c r="C79" s="36" t="str">
        <f t="shared" si="6"/>
        <v/>
      </c>
      <c r="D79" s="44"/>
      <c r="G79" s="33"/>
      <c r="H79" s="33"/>
      <c r="I79" s="33" t="e">
        <f t="shared" si="9"/>
        <v>#DIV/0!</v>
      </c>
      <c r="J79" s="33"/>
      <c r="K79" s="33" t="e">
        <f t="shared" si="7"/>
        <v>#DIV/0!</v>
      </c>
      <c r="L79" s="59" t="e">
        <f t="shared" si="8"/>
        <v>#DIV/0!</v>
      </c>
      <c r="M79" s="60" t="str">
        <f>IFERROR((#REF!/1.18)*1000,"")</f>
        <v/>
      </c>
    </row>
    <row r="80" spans="1:13" hidden="1" outlineLevel="1" x14ac:dyDescent="0.55000000000000004">
      <c r="A80" s="165"/>
      <c r="B80" s="35">
        <f t="shared" si="5"/>
        <v>0</v>
      </c>
      <c r="C80" s="36" t="str">
        <f t="shared" si="6"/>
        <v/>
      </c>
      <c r="D80" s="44"/>
      <c r="G80" s="33"/>
      <c r="H80" s="33"/>
      <c r="I80" s="33" t="e">
        <f t="shared" si="9"/>
        <v>#DIV/0!</v>
      </c>
      <c r="J80" s="33"/>
      <c r="K80" s="33" t="e">
        <f t="shared" si="7"/>
        <v>#DIV/0!</v>
      </c>
      <c r="L80" s="59" t="e">
        <f t="shared" si="8"/>
        <v>#DIV/0!</v>
      </c>
      <c r="M80" s="60" t="str">
        <f>IFERROR((#REF!/1.18)*1000,"")</f>
        <v/>
      </c>
    </row>
    <row r="81" spans="1:13" hidden="1" outlineLevel="1" x14ac:dyDescent="0.55000000000000004">
      <c r="A81" s="165"/>
      <c r="B81" s="35">
        <f t="shared" si="5"/>
        <v>0</v>
      </c>
      <c r="C81" s="36" t="str">
        <f t="shared" si="6"/>
        <v/>
      </c>
      <c r="D81" s="44"/>
      <c r="G81" s="33"/>
      <c r="H81" s="33"/>
      <c r="I81" s="33" t="e">
        <f t="shared" si="9"/>
        <v>#DIV/0!</v>
      </c>
      <c r="J81" s="33"/>
      <c r="K81" s="33" t="e">
        <f t="shared" si="7"/>
        <v>#DIV/0!</v>
      </c>
      <c r="L81" s="59" t="e">
        <f t="shared" si="8"/>
        <v>#DIV/0!</v>
      </c>
      <c r="M81" s="60" t="str">
        <f>IFERROR((#REF!/1.18)*1000,"")</f>
        <v/>
      </c>
    </row>
    <row r="82" spans="1:13" hidden="1" outlineLevel="1" x14ac:dyDescent="0.55000000000000004">
      <c r="A82" s="165"/>
      <c r="B82" s="35">
        <f t="shared" si="5"/>
        <v>0</v>
      </c>
      <c r="C82" s="36" t="str">
        <f t="shared" si="6"/>
        <v/>
      </c>
      <c r="D82" s="44"/>
      <c r="G82" s="33"/>
      <c r="H82" s="33"/>
      <c r="I82" s="33" t="e">
        <f t="shared" si="9"/>
        <v>#DIV/0!</v>
      </c>
      <c r="J82" s="33"/>
      <c r="K82" s="33" t="e">
        <f t="shared" si="7"/>
        <v>#DIV/0!</v>
      </c>
      <c r="L82" s="59" t="e">
        <f t="shared" si="8"/>
        <v>#DIV/0!</v>
      </c>
      <c r="M82" s="60" t="str">
        <f>IFERROR((#REF!/1.18)*1000,"")</f>
        <v/>
      </c>
    </row>
    <row r="83" spans="1:13" hidden="1" outlineLevel="1" x14ac:dyDescent="0.55000000000000004">
      <c r="A83" s="165"/>
      <c r="B83" s="35">
        <f t="shared" si="5"/>
        <v>0</v>
      </c>
      <c r="C83" s="36" t="str">
        <f t="shared" si="6"/>
        <v/>
      </c>
      <c r="D83" s="44"/>
      <c r="G83" s="33"/>
      <c r="H83" s="33"/>
      <c r="I83" s="33" t="e">
        <f t="shared" si="9"/>
        <v>#DIV/0!</v>
      </c>
      <c r="J83" s="33"/>
      <c r="K83" s="33" t="e">
        <f t="shared" si="7"/>
        <v>#DIV/0!</v>
      </c>
      <c r="L83" s="59" t="e">
        <f t="shared" si="8"/>
        <v>#DIV/0!</v>
      </c>
      <c r="M83" s="60" t="str">
        <f>IFERROR((#REF!/1.18)*1000,"")</f>
        <v/>
      </c>
    </row>
    <row r="84" spans="1:13" hidden="1" outlineLevel="1" x14ac:dyDescent="0.55000000000000004">
      <c r="A84" s="165"/>
      <c r="B84" s="35">
        <f t="shared" si="5"/>
        <v>0</v>
      </c>
      <c r="C84" s="36" t="str">
        <f t="shared" si="6"/>
        <v/>
      </c>
      <c r="D84" s="44"/>
      <c r="G84" s="33"/>
      <c r="H84" s="33"/>
      <c r="I84" s="33" t="e">
        <f t="shared" si="9"/>
        <v>#DIV/0!</v>
      </c>
      <c r="J84" s="33"/>
      <c r="K84" s="33" t="e">
        <f t="shared" si="7"/>
        <v>#DIV/0!</v>
      </c>
      <c r="L84" s="59" t="e">
        <f t="shared" si="8"/>
        <v>#DIV/0!</v>
      </c>
      <c r="M84" s="60" t="str">
        <f>IFERROR((#REF!/1.18)*1000,"")</f>
        <v/>
      </c>
    </row>
    <row r="85" spans="1:13" hidden="1" outlineLevel="1" x14ac:dyDescent="0.55000000000000004">
      <c r="A85" s="165"/>
      <c r="B85" s="35">
        <f t="shared" si="5"/>
        <v>0</v>
      </c>
      <c r="C85" s="36" t="str">
        <f t="shared" si="6"/>
        <v/>
      </c>
      <c r="D85" s="44"/>
      <c r="G85" s="33"/>
      <c r="H85" s="33"/>
      <c r="I85" s="33" t="e">
        <f t="shared" si="9"/>
        <v>#DIV/0!</v>
      </c>
      <c r="J85" s="33"/>
      <c r="K85" s="33" t="e">
        <f t="shared" si="7"/>
        <v>#DIV/0!</v>
      </c>
      <c r="L85" s="59" t="e">
        <f t="shared" si="8"/>
        <v>#DIV/0!</v>
      </c>
      <c r="M85" s="60" t="str">
        <f>IFERROR((#REF!/1.18)*1000,"")</f>
        <v/>
      </c>
    </row>
    <row r="86" spans="1:13" hidden="1" outlineLevel="1" x14ac:dyDescent="0.55000000000000004">
      <c r="A86" s="165"/>
      <c r="B86" s="35">
        <f t="shared" si="5"/>
        <v>0</v>
      </c>
      <c r="C86" s="36" t="str">
        <f t="shared" si="6"/>
        <v/>
      </c>
      <c r="D86" s="44"/>
      <c r="G86" s="33"/>
      <c r="H86" s="33"/>
      <c r="I86" s="33" t="e">
        <f t="shared" si="9"/>
        <v>#DIV/0!</v>
      </c>
      <c r="J86" s="33"/>
      <c r="K86" s="33" t="e">
        <f t="shared" si="7"/>
        <v>#DIV/0!</v>
      </c>
      <c r="L86" s="59" t="e">
        <f t="shared" si="8"/>
        <v>#DIV/0!</v>
      </c>
      <c r="M86" s="60" t="str">
        <f>IFERROR((#REF!/1.18)*1000,"")</f>
        <v/>
      </c>
    </row>
    <row r="87" spans="1:13" hidden="1" outlineLevel="1" x14ac:dyDescent="0.55000000000000004">
      <c r="A87" s="165"/>
      <c r="B87" s="35">
        <f t="shared" ref="B87:B150" si="10">DAY(D87)</f>
        <v>0</v>
      </c>
      <c r="C87" s="36" t="str">
        <f t="shared" si="6"/>
        <v/>
      </c>
      <c r="D87" s="44"/>
      <c r="G87" s="33"/>
      <c r="H87" s="33"/>
      <c r="I87" s="33" t="e">
        <f t="shared" si="9"/>
        <v>#DIV/0!</v>
      </c>
      <c r="J87" s="33"/>
      <c r="K87" s="33" t="e">
        <f t="shared" si="7"/>
        <v>#DIV/0!</v>
      </c>
      <c r="L87" s="59" t="e">
        <f t="shared" si="8"/>
        <v>#DIV/0!</v>
      </c>
      <c r="M87" s="60" t="str">
        <f>IFERROR((#REF!/1.18)*1000,"")</f>
        <v/>
      </c>
    </row>
    <row r="88" spans="1:13" hidden="1" outlineLevel="1" x14ac:dyDescent="0.55000000000000004">
      <c r="A88" s="165"/>
      <c r="B88" s="35">
        <f t="shared" si="10"/>
        <v>0</v>
      </c>
      <c r="C88" s="36" t="str">
        <f t="shared" si="6"/>
        <v/>
      </c>
      <c r="D88" s="44"/>
      <c r="G88" s="33"/>
      <c r="H88" s="33"/>
      <c r="I88" s="33" t="e">
        <f t="shared" si="9"/>
        <v>#DIV/0!</v>
      </c>
      <c r="J88" s="33"/>
      <c r="K88" s="33" t="e">
        <f t="shared" si="7"/>
        <v>#DIV/0!</v>
      </c>
      <c r="L88" s="59" t="e">
        <f t="shared" si="8"/>
        <v>#DIV/0!</v>
      </c>
      <c r="M88" s="60" t="str">
        <f>IFERROR((#REF!/1.18)*1000,"")</f>
        <v/>
      </c>
    </row>
    <row r="89" spans="1:13" hidden="1" outlineLevel="1" x14ac:dyDescent="0.55000000000000004">
      <c r="A89" s="165"/>
      <c r="B89" s="35">
        <f t="shared" si="10"/>
        <v>0</v>
      </c>
      <c r="C89" s="36" t="str">
        <f t="shared" si="6"/>
        <v/>
      </c>
      <c r="D89" s="44"/>
      <c r="G89" s="33"/>
      <c r="H89" s="33"/>
      <c r="I89" s="33" t="e">
        <f t="shared" si="9"/>
        <v>#DIV/0!</v>
      </c>
      <c r="J89" s="33"/>
      <c r="K89" s="33" t="e">
        <f t="shared" si="7"/>
        <v>#DIV/0!</v>
      </c>
      <c r="L89" s="59" t="e">
        <f t="shared" si="8"/>
        <v>#DIV/0!</v>
      </c>
      <c r="M89" s="60" t="str">
        <f>IFERROR((#REF!/1.18)*1000,"")</f>
        <v/>
      </c>
    </row>
    <row r="90" spans="1:13" ht="14.7" hidden="1" outlineLevel="1" thickBot="1" x14ac:dyDescent="0.6">
      <c r="A90" s="166"/>
      <c r="B90" s="35">
        <f t="shared" si="10"/>
        <v>0</v>
      </c>
      <c r="C90" s="36" t="str">
        <f t="shared" si="6"/>
        <v/>
      </c>
      <c r="D90" s="53"/>
      <c r="G90" s="33"/>
      <c r="H90" s="33"/>
      <c r="I90" s="33" t="e">
        <f t="shared" si="9"/>
        <v>#DIV/0!</v>
      </c>
      <c r="J90" s="33"/>
      <c r="K90" s="33" t="e">
        <f t="shared" si="7"/>
        <v>#DIV/0!</v>
      </c>
      <c r="L90" s="59" t="e">
        <f t="shared" si="8"/>
        <v>#DIV/0!</v>
      </c>
      <c r="M90" s="60" t="str">
        <f>IFERROR((#REF!/1.18)*1000,"")</f>
        <v/>
      </c>
    </row>
    <row r="91" spans="1:13" hidden="1" outlineLevel="1" x14ac:dyDescent="0.55000000000000004">
      <c r="A91" s="167"/>
      <c r="B91" s="35">
        <f t="shared" si="10"/>
        <v>0</v>
      </c>
      <c r="C91" s="36" t="str">
        <f t="shared" si="6"/>
        <v/>
      </c>
      <c r="D91" s="37"/>
      <c r="G91" s="33"/>
      <c r="H91" s="33"/>
      <c r="I91" s="33" t="e">
        <f t="shared" si="9"/>
        <v>#DIV/0!</v>
      </c>
      <c r="J91" s="33"/>
      <c r="K91" s="33" t="e">
        <f t="shared" si="7"/>
        <v>#DIV/0!</v>
      </c>
      <c r="L91" s="59" t="e">
        <f t="shared" si="8"/>
        <v>#DIV/0!</v>
      </c>
      <c r="M91" s="60" t="str">
        <f>IFERROR((#REF!/1.18)*1000,"")</f>
        <v/>
      </c>
    </row>
    <row r="92" spans="1:13" hidden="1" outlineLevel="1" x14ac:dyDescent="0.55000000000000004">
      <c r="A92" s="165"/>
      <c r="B92" s="35">
        <f t="shared" si="10"/>
        <v>0</v>
      </c>
      <c r="C92" s="36" t="str">
        <f t="shared" si="6"/>
        <v/>
      </c>
      <c r="D92" s="44"/>
      <c r="G92" s="33"/>
      <c r="H92" s="33"/>
      <c r="I92" s="33" t="e">
        <f t="shared" si="9"/>
        <v>#DIV/0!</v>
      </c>
      <c r="J92" s="33"/>
      <c r="K92" s="33" t="e">
        <f t="shared" si="7"/>
        <v>#DIV/0!</v>
      </c>
      <c r="L92" s="59" t="e">
        <f t="shared" si="8"/>
        <v>#DIV/0!</v>
      </c>
      <c r="M92" s="60" t="str">
        <f>IFERROR((#REF!/1.18)*1000,"")</f>
        <v/>
      </c>
    </row>
    <row r="93" spans="1:13" hidden="1" outlineLevel="1" x14ac:dyDescent="0.55000000000000004">
      <c r="A93" s="165"/>
      <c r="B93" s="35">
        <f t="shared" si="10"/>
        <v>0</v>
      </c>
      <c r="C93" s="36" t="str">
        <f t="shared" si="6"/>
        <v/>
      </c>
      <c r="D93" s="44"/>
      <c r="G93" s="33"/>
      <c r="H93" s="33"/>
      <c r="I93" s="33" t="e">
        <f t="shared" si="9"/>
        <v>#DIV/0!</v>
      </c>
      <c r="J93" s="33"/>
      <c r="K93" s="33" t="e">
        <f t="shared" si="7"/>
        <v>#DIV/0!</v>
      </c>
      <c r="L93" s="59" t="e">
        <f t="shared" si="8"/>
        <v>#DIV/0!</v>
      </c>
      <c r="M93" s="60" t="str">
        <f>IFERROR((#REF!/1.18)*1000,"")</f>
        <v/>
      </c>
    </row>
    <row r="94" spans="1:13" hidden="1" outlineLevel="1" x14ac:dyDescent="0.55000000000000004">
      <c r="A94" s="165"/>
      <c r="B94" s="35">
        <f t="shared" si="10"/>
        <v>0</v>
      </c>
      <c r="C94" s="36" t="str">
        <f t="shared" si="6"/>
        <v/>
      </c>
      <c r="D94" s="44"/>
      <c r="G94" s="33"/>
      <c r="H94" s="33"/>
      <c r="I94" s="33" t="e">
        <f t="shared" si="9"/>
        <v>#DIV/0!</v>
      </c>
      <c r="J94" s="33"/>
      <c r="K94" s="33" t="e">
        <f t="shared" si="7"/>
        <v>#DIV/0!</v>
      </c>
      <c r="L94" s="59" t="e">
        <f t="shared" si="8"/>
        <v>#DIV/0!</v>
      </c>
      <c r="M94" s="60" t="str">
        <f>IFERROR((#REF!/1.18)*1000,"")</f>
        <v/>
      </c>
    </row>
    <row r="95" spans="1:13" hidden="1" outlineLevel="1" x14ac:dyDescent="0.55000000000000004">
      <c r="A95" s="165"/>
      <c r="B95" s="35">
        <f t="shared" si="10"/>
        <v>0</v>
      </c>
      <c r="C95" s="36" t="str">
        <f t="shared" si="6"/>
        <v/>
      </c>
      <c r="D95" s="44"/>
      <c r="G95" s="33"/>
      <c r="H95" s="33"/>
      <c r="I95" s="33" t="e">
        <f t="shared" si="9"/>
        <v>#DIV/0!</v>
      </c>
      <c r="J95" s="33"/>
      <c r="K95" s="33" t="e">
        <f t="shared" si="7"/>
        <v>#DIV/0!</v>
      </c>
      <c r="L95" s="59" t="e">
        <f t="shared" si="8"/>
        <v>#DIV/0!</v>
      </c>
      <c r="M95" s="60" t="str">
        <f>IFERROR((#REF!/1.18)*1000,"")</f>
        <v/>
      </c>
    </row>
    <row r="96" spans="1:13" hidden="1" outlineLevel="1" x14ac:dyDescent="0.55000000000000004">
      <c r="A96" s="165"/>
      <c r="B96" s="35">
        <f t="shared" si="10"/>
        <v>0</v>
      </c>
      <c r="C96" s="36" t="str">
        <f t="shared" si="6"/>
        <v/>
      </c>
      <c r="D96" s="44"/>
      <c r="G96" s="33"/>
      <c r="H96" s="33"/>
      <c r="I96" s="33" t="e">
        <f t="shared" si="9"/>
        <v>#DIV/0!</v>
      </c>
      <c r="J96" s="33"/>
      <c r="K96" s="33" t="e">
        <f t="shared" si="7"/>
        <v>#DIV/0!</v>
      </c>
      <c r="L96" s="59" t="e">
        <f t="shared" si="8"/>
        <v>#DIV/0!</v>
      </c>
      <c r="M96" s="60" t="str">
        <f>IFERROR((#REF!/1.18)*1000,"")</f>
        <v/>
      </c>
    </row>
    <row r="97" spans="1:13" hidden="1" outlineLevel="1" x14ac:dyDescent="0.55000000000000004">
      <c r="A97" s="165"/>
      <c r="B97" s="35">
        <f t="shared" si="10"/>
        <v>0</v>
      </c>
      <c r="C97" s="36" t="str">
        <f t="shared" si="6"/>
        <v/>
      </c>
      <c r="D97" s="44"/>
      <c r="G97" s="33"/>
      <c r="H97" s="33"/>
      <c r="I97" s="33" t="e">
        <f t="shared" si="9"/>
        <v>#DIV/0!</v>
      </c>
      <c r="J97" s="33"/>
      <c r="K97" s="33" t="e">
        <f t="shared" si="7"/>
        <v>#DIV/0!</v>
      </c>
      <c r="L97" s="59" t="e">
        <f t="shared" si="8"/>
        <v>#DIV/0!</v>
      </c>
      <c r="M97" s="60" t="str">
        <f>IFERROR((#REF!/1.18)*1000,"")</f>
        <v/>
      </c>
    </row>
    <row r="98" spans="1:13" hidden="1" outlineLevel="1" x14ac:dyDescent="0.55000000000000004">
      <c r="A98" s="165"/>
      <c r="B98" s="35">
        <f t="shared" si="10"/>
        <v>0</v>
      </c>
      <c r="C98" s="36" t="str">
        <f t="shared" si="6"/>
        <v/>
      </c>
      <c r="D98" s="44"/>
      <c r="G98" s="33"/>
      <c r="H98" s="33"/>
      <c r="I98" s="33" t="e">
        <f t="shared" si="9"/>
        <v>#DIV/0!</v>
      </c>
      <c r="J98" s="33"/>
      <c r="K98" s="33" t="e">
        <f t="shared" si="7"/>
        <v>#DIV/0!</v>
      </c>
      <c r="L98" s="59" t="e">
        <f t="shared" si="8"/>
        <v>#DIV/0!</v>
      </c>
      <c r="M98" s="60" t="str">
        <f>IFERROR((#REF!/1.18)*1000,"")</f>
        <v/>
      </c>
    </row>
    <row r="99" spans="1:13" hidden="1" outlineLevel="1" x14ac:dyDescent="0.55000000000000004">
      <c r="A99" s="165"/>
      <c r="B99" s="35">
        <f t="shared" si="10"/>
        <v>0</v>
      </c>
      <c r="C99" s="36" t="str">
        <f t="shared" si="6"/>
        <v/>
      </c>
      <c r="D99" s="44"/>
      <c r="G99" s="33"/>
      <c r="H99" s="33"/>
      <c r="I99" s="33" t="e">
        <f t="shared" si="9"/>
        <v>#DIV/0!</v>
      </c>
      <c r="J99" s="33"/>
      <c r="K99" s="33" t="e">
        <f t="shared" si="7"/>
        <v>#DIV/0!</v>
      </c>
      <c r="L99" s="59" t="e">
        <f t="shared" si="8"/>
        <v>#DIV/0!</v>
      </c>
      <c r="M99" s="60" t="str">
        <f>IFERROR((#REF!/1.18)*1000,"")</f>
        <v/>
      </c>
    </row>
    <row r="100" spans="1:13" hidden="1" outlineLevel="1" x14ac:dyDescent="0.55000000000000004">
      <c r="A100" s="165"/>
      <c r="B100" s="35">
        <f t="shared" si="10"/>
        <v>0</v>
      </c>
      <c r="C100" s="36" t="str">
        <f t="shared" si="6"/>
        <v/>
      </c>
      <c r="D100" s="44"/>
      <c r="G100" s="33"/>
      <c r="H100" s="33"/>
      <c r="I100" s="33" t="e">
        <f t="shared" si="9"/>
        <v>#DIV/0!</v>
      </c>
      <c r="J100" s="33"/>
      <c r="K100" s="33" t="e">
        <f t="shared" si="7"/>
        <v>#DIV/0!</v>
      </c>
      <c r="L100" s="59" t="e">
        <f t="shared" si="8"/>
        <v>#DIV/0!</v>
      </c>
      <c r="M100" s="60" t="str">
        <f>IFERROR((#REF!/1.18)*1000,"")</f>
        <v/>
      </c>
    </row>
    <row r="101" spans="1:13" hidden="1" outlineLevel="1" x14ac:dyDescent="0.55000000000000004">
      <c r="A101" s="165"/>
      <c r="B101" s="35">
        <f t="shared" si="10"/>
        <v>16</v>
      </c>
      <c r="C101" s="36" t="str">
        <f t="shared" si="6"/>
        <v>52016</v>
      </c>
      <c r="D101" s="44">
        <v>42506</v>
      </c>
      <c r="E101" s="38">
        <v>2.9765000000000001</v>
      </c>
      <c r="F101" s="39">
        <v>299.39999999999998</v>
      </c>
      <c r="G101" s="33">
        <f t="shared" ref="G101:G164" si="11">E101*F101</f>
        <v>891.16409999999996</v>
      </c>
      <c r="H101" s="33"/>
      <c r="I101" s="33" t="e">
        <f t="shared" si="9"/>
        <v>#DIV/0!</v>
      </c>
      <c r="J101" s="33"/>
      <c r="K101" s="33" t="e">
        <f t="shared" si="7"/>
        <v>#DIV/0!</v>
      </c>
      <c r="L101" s="59" t="e">
        <f t="shared" si="8"/>
        <v>#DIV/0!</v>
      </c>
      <c r="M101" s="60" t="str">
        <f>IFERROR((#REF!/1.18)*1000,"")</f>
        <v/>
      </c>
    </row>
    <row r="102" spans="1:13" hidden="1" outlineLevel="1" x14ac:dyDescent="0.55000000000000004">
      <c r="A102" s="165"/>
      <c r="B102" s="35">
        <f t="shared" si="10"/>
        <v>17</v>
      </c>
      <c r="C102" s="36" t="str">
        <f t="shared" si="6"/>
        <v>52016</v>
      </c>
      <c r="D102" s="44">
        <v>42507</v>
      </c>
      <c r="E102" s="38">
        <v>2.9698000000000002</v>
      </c>
      <c r="F102" s="39">
        <v>299.39999999999998</v>
      </c>
      <c r="G102" s="33">
        <f t="shared" si="11"/>
        <v>889.15812000000005</v>
      </c>
      <c r="H102" s="33"/>
      <c r="I102" s="33">
        <f t="shared" si="9"/>
        <v>891.16409999999996</v>
      </c>
      <c r="J102" s="33"/>
      <c r="K102" s="33" t="e">
        <f t="shared" si="7"/>
        <v>#DIV/0!</v>
      </c>
      <c r="L102" s="59" t="e">
        <f t="shared" si="8"/>
        <v>#DIV/0!</v>
      </c>
      <c r="M102" s="60" t="str">
        <f>IFERROR((#REF!/1.18)*1000,"")</f>
        <v/>
      </c>
    </row>
    <row r="103" spans="1:13" hidden="1" outlineLevel="1" x14ac:dyDescent="0.55000000000000004">
      <c r="A103" s="165"/>
      <c r="B103" s="35">
        <f t="shared" si="10"/>
        <v>18</v>
      </c>
      <c r="C103" s="36" t="str">
        <f t="shared" si="6"/>
        <v>52016</v>
      </c>
      <c r="D103" s="44">
        <v>42508</v>
      </c>
      <c r="E103" s="38">
        <v>2.9830000000000001</v>
      </c>
      <c r="F103" s="39">
        <v>299.39999999999998</v>
      </c>
      <c r="G103" s="33">
        <f t="shared" si="11"/>
        <v>893.11019999999996</v>
      </c>
      <c r="H103" s="33"/>
      <c r="I103" s="33">
        <f t="shared" si="9"/>
        <v>890.16111000000001</v>
      </c>
      <c r="J103" s="33"/>
      <c r="K103" s="33" t="e">
        <f t="shared" si="7"/>
        <v>#DIV/0!</v>
      </c>
      <c r="L103" s="59" t="e">
        <f>(I103-K103)/K103</f>
        <v>#DIV/0!</v>
      </c>
      <c r="M103" s="60" t="str">
        <f>IFERROR((#REF!/1.18)*1000,"")</f>
        <v/>
      </c>
    </row>
    <row r="104" spans="1:13" hidden="1" outlineLevel="1" x14ac:dyDescent="0.55000000000000004">
      <c r="A104" s="165"/>
      <c r="B104" s="35">
        <f t="shared" si="10"/>
        <v>19</v>
      </c>
      <c r="C104" s="36" t="str">
        <f t="shared" si="6"/>
        <v>52016</v>
      </c>
      <c r="D104" s="44">
        <v>42509</v>
      </c>
      <c r="E104" s="38">
        <v>2.9830000000000001</v>
      </c>
      <c r="F104" s="39">
        <v>299.39999999999998</v>
      </c>
      <c r="G104" s="33">
        <f t="shared" si="11"/>
        <v>893.11019999999996</v>
      </c>
      <c r="H104" s="33"/>
      <c r="I104" s="33">
        <f t="shared" si="9"/>
        <v>891.14413999999999</v>
      </c>
      <c r="J104" s="33"/>
      <c r="K104" s="33" t="e">
        <f t="shared" si="7"/>
        <v>#DIV/0!</v>
      </c>
      <c r="L104" s="61"/>
      <c r="M104" s="60" t="str">
        <f>IFERROR((#REF!/1.18)*1000,"")</f>
        <v/>
      </c>
    </row>
    <row r="105" spans="1:13" hidden="1" outlineLevel="1" x14ac:dyDescent="0.55000000000000004">
      <c r="A105" s="165"/>
      <c r="B105" s="35">
        <f t="shared" si="10"/>
        <v>20</v>
      </c>
      <c r="C105" s="36" t="str">
        <f t="shared" si="6"/>
        <v>52016</v>
      </c>
      <c r="D105" s="44">
        <v>42510</v>
      </c>
      <c r="E105" s="38">
        <v>2.9821</v>
      </c>
      <c r="F105" s="39">
        <v>299.39999999999998</v>
      </c>
      <c r="G105" s="33">
        <f t="shared" si="11"/>
        <v>892.84073999999987</v>
      </c>
      <c r="H105" s="33"/>
      <c r="I105" s="33">
        <f t="shared" si="9"/>
        <v>891.63565500000004</v>
      </c>
      <c r="J105" s="33"/>
      <c r="K105" s="33" t="e">
        <f t="shared" si="7"/>
        <v>#DIV/0!</v>
      </c>
      <c r="L105" s="59" t="e">
        <f t="shared" ref="L105:L136" si="12">(I105-K105)/K105</f>
        <v>#DIV/0!</v>
      </c>
      <c r="M105" s="60" t="str">
        <f>IFERROR((#REF!/1.18)*1000,"")</f>
        <v/>
      </c>
    </row>
    <row r="106" spans="1:13" hidden="1" outlineLevel="1" x14ac:dyDescent="0.55000000000000004">
      <c r="A106" s="165"/>
      <c r="B106" s="35">
        <f t="shared" si="10"/>
        <v>23</v>
      </c>
      <c r="C106" s="36" t="str">
        <f t="shared" si="6"/>
        <v>52016</v>
      </c>
      <c r="D106" s="44">
        <v>42513</v>
      </c>
      <c r="E106" s="38">
        <v>2.988</v>
      </c>
      <c r="F106" s="39">
        <v>299.39999999999998</v>
      </c>
      <c r="G106" s="33">
        <f t="shared" si="11"/>
        <v>894.60719999999992</v>
      </c>
      <c r="H106" s="33"/>
      <c r="I106" s="33">
        <f t="shared" si="9"/>
        <v>891.87667199999999</v>
      </c>
      <c r="J106" s="33"/>
      <c r="K106" s="33" t="e">
        <f t="shared" si="7"/>
        <v>#DIV/0!</v>
      </c>
      <c r="L106" s="59" t="e">
        <f t="shared" si="12"/>
        <v>#DIV/0!</v>
      </c>
      <c r="M106" s="60" t="str">
        <f>IFERROR((#REF!/1.18)*1000,"")</f>
        <v/>
      </c>
    </row>
    <row r="107" spans="1:13" hidden="1" outlineLevel="1" x14ac:dyDescent="0.55000000000000004">
      <c r="A107" s="165"/>
      <c r="B107" s="35">
        <f t="shared" si="10"/>
        <v>24</v>
      </c>
      <c r="C107" s="36" t="str">
        <f t="shared" si="6"/>
        <v>52016</v>
      </c>
      <c r="D107" s="44">
        <v>42514</v>
      </c>
      <c r="E107" s="38">
        <v>2.9874999999999998</v>
      </c>
      <c r="F107" s="39">
        <v>299.39999999999998</v>
      </c>
      <c r="G107" s="33">
        <f t="shared" si="11"/>
        <v>894.45749999999987</v>
      </c>
      <c r="H107" s="33"/>
      <c r="I107" s="33">
        <f t="shared" si="9"/>
        <v>892.565292</v>
      </c>
      <c r="J107" s="33"/>
      <c r="K107" s="33" t="e">
        <f t="shared" si="7"/>
        <v>#DIV/0!</v>
      </c>
      <c r="L107" s="59" t="e">
        <f t="shared" si="12"/>
        <v>#DIV/0!</v>
      </c>
      <c r="M107" s="60" t="str">
        <f>IFERROR((#REF!/1.18)*1000,"")</f>
        <v/>
      </c>
    </row>
    <row r="108" spans="1:13" hidden="1" outlineLevel="1" x14ac:dyDescent="0.55000000000000004">
      <c r="A108" s="165"/>
      <c r="B108" s="35">
        <f t="shared" si="10"/>
        <v>25</v>
      </c>
      <c r="C108" s="36" t="str">
        <f t="shared" si="6"/>
        <v>52016</v>
      </c>
      <c r="D108" s="44">
        <v>42515</v>
      </c>
      <c r="E108" s="38">
        <v>2.9479000000000002</v>
      </c>
      <c r="F108" s="39">
        <v>299.39999999999998</v>
      </c>
      <c r="G108" s="33">
        <f t="shared" si="11"/>
        <v>882.60126000000002</v>
      </c>
      <c r="H108" s="33"/>
      <c r="I108" s="33">
        <f t="shared" si="9"/>
        <v>893.62516799999992</v>
      </c>
      <c r="J108" s="33"/>
      <c r="K108" s="33" t="e">
        <f t="shared" si="7"/>
        <v>#DIV/0!</v>
      </c>
      <c r="L108" s="59" t="e">
        <f t="shared" si="12"/>
        <v>#DIV/0!</v>
      </c>
      <c r="M108" s="60" t="str">
        <f>IFERROR((#REF!/1.18)*1000,"")</f>
        <v/>
      </c>
    </row>
    <row r="109" spans="1:13" hidden="1" outlineLevel="1" x14ac:dyDescent="0.55000000000000004">
      <c r="A109" s="165"/>
      <c r="B109" s="35">
        <f t="shared" si="10"/>
        <v>26</v>
      </c>
      <c r="C109" s="36" t="str">
        <f t="shared" si="6"/>
        <v>52016</v>
      </c>
      <c r="D109" s="44">
        <v>42516</v>
      </c>
      <c r="E109" s="38">
        <v>2.9401999999999999</v>
      </c>
      <c r="F109" s="39">
        <v>299.39999999999998</v>
      </c>
      <c r="G109" s="33">
        <f t="shared" si="11"/>
        <v>880.2958799999999</v>
      </c>
      <c r="H109" s="33"/>
      <c r="I109" s="33">
        <f t="shared" si="9"/>
        <v>891.52337999999997</v>
      </c>
      <c r="J109" s="33"/>
      <c r="K109" s="33" t="e">
        <f t="shared" si="7"/>
        <v>#DIV/0!</v>
      </c>
      <c r="L109" s="59" t="e">
        <f t="shared" si="12"/>
        <v>#DIV/0!</v>
      </c>
      <c r="M109" s="60" t="str">
        <f>IFERROR((#REF!/1.18)*1000,"")</f>
        <v/>
      </c>
    </row>
    <row r="110" spans="1:13" hidden="1" outlineLevel="1" x14ac:dyDescent="0.55000000000000004">
      <c r="A110" s="165"/>
      <c r="B110" s="35">
        <f t="shared" si="10"/>
        <v>27</v>
      </c>
      <c r="C110" s="36" t="str">
        <f t="shared" si="6"/>
        <v>52016</v>
      </c>
      <c r="D110" s="44">
        <v>42517</v>
      </c>
      <c r="E110" s="38">
        <v>2.9451999999999998</v>
      </c>
      <c r="F110" s="39">
        <v>299.39999999999998</v>
      </c>
      <c r="G110" s="33">
        <f t="shared" si="11"/>
        <v>881.79287999999985</v>
      </c>
      <c r="H110" s="33"/>
      <c r="I110" s="33">
        <f t="shared" si="9"/>
        <v>888.96051599999987</v>
      </c>
      <c r="J110" s="33"/>
      <c r="K110" s="33" t="e">
        <f t="shared" si="7"/>
        <v>#DIV/0!</v>
      </c>
      <c r="L110" s="59" t="e">
        <f t="shared" si="12"/>
        <v>#DIV/0!</v>
      </c>
      <c r="M110" s="60" t="str">
        <f>IFERROR((#REF!/1.18)*1000,"")</f>
        <v/>
      </c>
    </row>
    <row r="111" spans="1:13" hidden="1" outlineLevel="1" x14ac:dyDescent="0.55000000000000004">
      <c r="A111" s="165"/>
      <c r="B111" s="35">
        <f t="shared" si="10"/>
        <v>30</v>
      </c>
      <c r="C111" s="36" t="str">
        <f t="shared" si="6"/>
        <v>52016</v>
      </c>
      <c r="D111" s="44">
        <v>42520</v>
      </c>
      <c r="E111" s="38">
        <v>2.9613</v>
      </c>
      <c r="F111" s="39">
        <v>299.39999999999998</v>
      </c>
      <c r="G111" s="33">
        <f t="shared" si="11"/>
        <v>886.61321999999996</v>
      </c>
      <c r="H111" s="33"/>
      <c r="I111" s="33">
        <f t="shared" si="9"/>
        <v>886.750944</v>
      </c>
      <c r="J111" s="33"/>
      <c r="K111" s="33" t="e">
        <f t="shared" si="7"/>
        <v>#DIV/0!</v>
      </c>
      <c r="L111" s="59" t="e">
        <f t="shared" si="12"/>
        <v>#DIV/0!</v>
      </c>
      <c r="M111" s="60" t="str">
        <f>IFERROR((#REF!/1.18)*1000,"")</f>
        <v/>
      </c>
    </row>
    <row r="112" spans="1:13" ht="14.7" hidden="1" outlineLevel="1" thickBot="1" x14ac:dyDescent="0.6">
      <c r="A112" s="166"/>
      <c r="B112" s="35">
        <f t="shared" si="10"/>
        <v>31</v>
      </c>
      <c r="C112" s="36" t="str">
        <f t="shared" si="6"/>
        <v>52016</v>
      </c>
      <c r="D112" s="53">
        <v>42521</v>
      </c>
      <c r="E112" s="38">
        <v>2.9567999999999999</v>
      </c>
      <c r="F112" s="39">
        <v>299.39999999999998</v>
      </c>
      <c r="G112" s="33">
        <f t="shared" si="11"/>
        <v>885.26591999999994</v>
      </c>
      <c r="H112" s="33"/>
      <c r="I112" s="33">
        <f t="shared" si="9"/>
        <v>885.1521479999999</v>
      </c>
      <c r="J112" s="33"/>
      <c r="K112" s="33" t="e">
        <f t="shared" si="7"/>
        <v>#DIV/0!</v>
      </c>
      <c r="L112" s="59" t="e">
        <f t="shared" si="12"/>
        <v>#DIV/0!</v>
      </c>
      <c r="M112" s="60" t="str">
        <f>IFERROR((#REF!/1.18)*1000,"")</f>
        <v/>
      </c>
    </row>
    <row r="113" spans="1:13" hidden="1" outlineLevel="1" x14ac:dyDescent="0.55000000000000004">
      <c r="A113" s="167">
        <v>42522</v>
      </c>
      <c r="B113" s="35">
        <f t="shared" si="10"/>
        <v>1</v>
      </c>
      <c r="C113" s="36" t="str">
        <f t="shared" si="6"/>
        <v>62016</v>
      </c>
      <c r="D113" s="37">
        <v>42522</v>
      </c>
      <c r="E113" s="38">
        <v>2.9542999999999999</v>
      </c>
      <c r="F113" s="39">
        <v>297</v>
      </c>
      <c r="G113" s="33">
        <f t="shared" si="11"/>
        <v>877.4271</v>
      </c>
      <c r="H113" s="33"/>
      <c r="I113" s="33">
        <f t="shared" si="9"/>
        <v>883.31383200000005</v>
      </c>
      <c r="J113" s="33"/>
      <c r="K113" s="33" t="e">
        <f t="shared" si="7"/>
        <v>#DIV/0!</v>
      </c>
      <c r="L113" s="59" t="e">
        <f t="shared" si="12"/>
        <v>#DIV/0!</v>
      </c>
      <c r="M113" s="60" t="str">
        <f>IFERROR((#REF!/1.18)*1000,"")</f>
        <v/>
      </c>
    </row>
    <row r="114" spans="1:13" hidden="1" outlineLevel="1" x14ac:dyDescent="0.55000000000000004">
      <c r="A114" s="165"/>
      <c r="B114" s="35">
        <f t="shared" si="10"/>
        <v>2</v>
      </c>
      <c r="C114" s="36" t="str">
        <f t="shared" si="6"/>
        <v>62016</v>
      </c>
      <c r="D114" s="44">
        <v>42523</v>
      </c>
      <c r="E114" s="38">
        <v>2.9445999999999999</v>
      </c>
      <c r="F114" s="39">
        <v>297</v>
      </c>
      <c r="G114" s="33">
        <f t="shared" si="11"/>
        <v>874.5462</v>
      </c>
      <c r="H114" s="33"/>
      <c r="I114" s="33">
        <f t="shared" si="9"/>
        <v>882.27899999999988</v>
      </c>
      <c r="J114" s="33"/>
      <c r="K114" s="33" t="e">
        <f t="shared" si="7"/>
        <v>#DIV/0!</v>
      </c>
      <c r="L114" s="59" t="e">
        <f t="shared" si="12"/>
        <v>#DIV/0!</v>
      </c>
      <c r="M114" s="60" t="str">
        <f>IFERROR((#REF!/1.18)*1000,"")</f>
        <v/>
      </c>
    </row>
    <row r="115" spans="1:13" hidden="1" outlineLevel="1" x14ac:dyDescent="0.55000000000000004">
      <c r="A115" s="165"/>
      <c r="B115" s="35">
        <f t="shared" si="10"/>
        <v>3</v>
      </c>
      <c r="C115" s="36" t="str">
        <f t="shared" si="6"/>
        <v>62016</v>
      </c>
      <c r="D115" s="44">
        <v>42524</v>
      </c>
      <c r="E115" s="38">
        <v>2.9514999999999998</v>
      </c>
      <c r="F115" s="39">
        <v>297</v>
      </c>
      <c r="G115" s="33">
        <f t="shared" si="11"/>
        <v>876.5954999999999</v>
      </c>
      <c r="H115" s="33"/>
      <c r="I115" s="33">
        <f t="shared" si="9"/>
        <v>881.12906399999997</v>
      </c>
      <c r="J115" s="33"/>
      <c r="K115" s="33" t="e">
        <f t="shared" si="7"/>
        <v>#DIV/0!</v>
      </c>
      <c r="L115" s="59" t="e">
        <f t="shared" si="12"/>
        <v>#DIV/0!</v>
      </c>
      <c r="M115" s="60" t="str">
        <f>IFERROR((#REF!/1.18)*1000,"")</f>
        <v/>
      </c>
    </row>
    <row r="116" spans="1:13" hidden="1" outlineLevel="1" x14ac:dyDescent="0.55000000000000004">
      <c r="A116" s="165"/>
      <c r="B116" s="35">
        <f t="shared" si="10"/>
        <v>6</v>
      </c>
      <c r="C116" s="36" t="str">
        <f t="shared" si="6"/>
        <v>62016</v>
      </c>
      <c r="D116" s="44">
        <v>42527</v>
      </c>
      <c r="E116" s="38">
        <v>2.9131999999999998</v>
      </c>
      <c r="F116" s="39">
        <v>297</v>
      </c>
      <c r="G116" s="33">
        <f t="shared" si="11"/>
        <v>865.22039999999993</v>
      </c>
      <c r="H116" s="33"/>
      <c r="I116" s="33">
        <f t="shared" si="9"/>
        <v>880.08958800000005</v>
      </c>
      <c r="J116" s="33"/>
      <c r="K116" s="33" t="e">
        <f t="shared" si="7"/>
        <v>#DIV/0!</v>
      </c>
      <c r="L116" s="59" t="e">
        <f t="shared" si="12"/>
        <v>#DIV/0!</v>
      </c>
      <c r="M116" s="60" t="str">
        <f>IFERROR((#REF!/1.18)*1000,"")</f>
        <v/>
      </c>
    </row>
    <row r="117" spans="1:13" hidden="1" outlineLevel="1" x14ac:dyDescent="0.55000000000000004">
      <c r="A117" s="165"/>
      <c r="B117" s="35">
        <f t="shared" si="10"/>
        <v>7</v>
      </c>
      <c r="C117" s="36" t="str">
        <f t="shared" si="6"/>
        <v>62016</v>
      </c>
      <c r="D117" s="44">
        <v>42528</v>
      </c>
      <c r="E117" s="38">
        <v>2.903</v>
      </c>
      <c r="F117" s="39">
        <v>297</v>
      </c>
      <c r="G117" s="33">
        <f t="shared" si="11"/>
        <v>862.19100000000003</v>
      </c>
      <c r="H117" s="33"/>
      <c r="I117" s="33">
        <f t="shared" si="9"/>
        <v>875.81102399999997</v>
      </c>
      <c r="J117" s="33"/>
      <c r="K117" s="33" t="e">
        <f t="shared" si="7"/>
        <v>#DIV/0!</v>
      </c>
      <c r="L117" s="59" t="e">
        <f t="shared" si="12"/>
        <v>#DIV/0!</v>
      </c>
      <c r="M117" s="60" t="str">
        <f>IFERROR((#REF!/1.18)*1000,"")</f>
        <v/>
      </c>
    </row>
    <row r="118" spans="1:13" hidden="1" outlineLevel="1" x14ac:dyDescent="0.55000000000000004">
      <c r="A118" s="165"/>
      <c r="B118" s="35">
        <f t="shared" si="10"/>
        <v>8</v>
      </c>
      <c r="C118" s="36" t="str">
        <f t="shared" si="6"/>
        <v>62016</v>
      </c>
      <c r="D118" s="44">
        <v>42529</v>
      </c>
      <c r="E118" s="38">
        <v>2.8946000000000001</v>
      </c>
      <c r="F118" s="39">
        <v>297</v>
      </c>
      <c r="G118" s="33">
        <f t="shared" si="11"/>
        <v>859.69619999999998</v>
      </c>
      <c r="H118" s="33"/>
      <c r="I118" s="33">
        <f t="shared" si="9"/>
        <v>871.19604000000004</v>
      </c>
      <c r="J118" s="33"/>
      <c r="K118" s="33" t="e">
        <f t="shared" si="7"/>
        <v>#DIV/0!</v>
      </c>
      <c r="L118" s="59" t="e">
        <f t="shared" si="12"/>
        <v>#DIV/0!</v>
      </c>
      <c r="M118" s="60" t="str">
        <f>IFERROR((#REF!/1.18)*1000,"")</f>
        <v/>
      </c>
    </row>
    <row r="119" spans="1:13" hidden="1" outlineLevel="1" x14ac:dyDescent="0.55000000000000004">
      <c r="A119" s="165"/>
      <c r="B119" s="35">
        <f t="shared" si="10"/>
        <v>9</v>
      </c>
      <c r="C119" s="36" t="str">
        <f t="shared" si="6"/>
        <v>62016</v>
      </c>
      <c r="D119" s="44">
        <v>42530</v>
      </c>
      <c r="E119" s="38">
        <v>2.8993000000000002</v>
      </c>
      <c r="F119" s="39">
        <v>297</v>
      </c>
      <c r="G119" s="33">
        <f t="shared" si="11"/>
        <v>861.09210000000007</v>
      </c>
      <c r="H119" s="33"/>
      <c r="I119" s="33">
        <f t="shared" si="9"/>
        <v>867.6498600000001</v>
      </c>
      <c r="J119" s="33"/>
      <c r="K119" s="33" t="e">
        <f t="shared" si="7"/>
        <v>#DIV/0!</v>
      </c>
      <c r="L119" s="59" t="e">
        <f t="shared" si="12"/>
        <v>#DIV/0!</v>
      </c>
      <c r="M119" s="60" t="str">
        <f>IFERROR((#REF!/1.18)*1000,"")</f>
        <v/>
      </c>
    </row>
    <row r="120" spans="1:13" hidden="1" outlineLevel="1" x14ac:dyDescent="0.55000000000000004">
      <c r="A120" s="165"/>
      <c r="B120" s="35">
        <f t="shared" si="10"/>
        <v>10</v>
      </c>
      <c r="C120" s="36" t="str">
        <f t="shared" si="6"/>
        <v>62016</v>
      </c>
      <c r="D120" s="44">
        <v>42531</v>
      </c>
      <c r="E120" s="38">
        <v>2.9152</v>
      </c>
      <c r="F120" s="39">
        <v>297</v>
      </c>
      <c r="G120" s="33">
        <f t="shared" si="11"/>
        <v>865.81439999999998</v>
      </c>
      <c r="H120" s="33"/>
      <c r="I120" s="33">
        <f t="shared" si="9"/>
        <v>864.95903999999996</v>
      </c>
      <c r="J120" s="33"/>
      <c r="K120" s="33" t="e">
        <f t="shared" si="7"/>
        <v>#DIV/0!</v>
      </c>
      <c r="L120" s="59" t="e">
        <f t="shared" si="12"/>
        <v>#DIV/0!</v>
      </c>
      <c r="M120" s="60" t="str">
        <f>IFERROR((#REF!/1.18)*1000,"")</f>
        <v/>
      </c>
    </row>
    <row r="121" spans="1:13" hidden="1" outlineLevel="1" x14ac:dyDescent="0.55000000000000004">
      <c r="A121" s="165"/>
      <c r="B121" s="35">
        <f t="shared" si="10"/>
        <v>13</v>
      </c>
      <c r="C121" s="36" t="str">
        <f t="shared" si="6"/>
        <v>62016</v>
      </c>
      <c r="D121" s="44">
        <v>42534</v>
      </c>
      <c r="E121" s="38">
        <v>2.9270999999999998</v>
      </c>
      <c r="F121" s="39">
        <v>297</v>
      </c>
      <c r="G121" s="33">
        <f t="shared" si="11"/>
        <v>869.34869999999989</v>
      </c>
      <c r="H121" s="33"/>
      <c r="I121" s="33">
        <f t="shared" si="9"/>
        <v>862.80282000000011</v>
      </c>
      <c r="J121" s="33"/>
      <c r="K121" s="33" t="e">
        <f t="shared" si="7"/>
        <v>#DIV/0!</v>
      </c>
      <c r="L121" s="59" t="e">
        <f t="shared" si="12"/>
        <v>#DIV/0!</v>
      </c>
      <c r="M121" s="60" t="str">
        <f>IFERROR((#REF!/1.18)*1000,"")</f>
        <v/>
      </c>
    </row>
    <row r="122" spans="1:13" hidden="1" outlineLevel="1" x14ac:dyDescent="0.55000000000000004">
      <c r="A122" s="165"/>
      <c r="B122" s="35">
        <f t="shared" si="10"/>
        <v>14</v>
      </c>
      <c r="C122" s="36" t="str">
        <f t="shared" si="6"/>
        <v>62016</v>
      </c>
      <c r="D122" s="44">
        <v>42535</v>
      </c>
      <c r="E122" s="38">
        <v>2.9357000000000002</v>
      </c>
      <c r="F122" s="39">
        <v>297</v>
      </c>
      <c r="G122" s="33">
        <f t="shared" si="11"/>
        <v>871.90290000000005</v>
      </c>
      <c r="H122" s="33"/>
      <c r="I122" s="33">
        <f t="shared" si="9"/>
        <v>863.62847999999997</v>
      </c>
      <c r="J122" s="33"/>
      <c r="K122" s="33" t="e">
        <f t="shared" si="7"/>
        <v>#DIV/0!</v>
      </c>
      <c r="L122" s="59" t="e">
        <f t="shared" si="12"/>
        <v>#DIV/0!</v>
      </c>
      <c r="M122" s="60" t="str">
        <f>IFERROR((#REF!/1.18)*1000,"")</f>
        <v/>
      </c>
    </row>
    <row r="123" spans="1:13" hidden="1" outlineLevel="1" x14ac:dyDescent="0.55000000000000004">
      <c r="A123" s="165"/>
      <c r="B123" s="35">
        <f t="shared" si="10"/>
        <v>15</v>
      </c>
      <c r="C123" s="36" t="str">
        <f t="shared" si="6"/>
        <v>62016</v>
      </c>
      <c r="D123" s="44">
        <v>42536</v>
      </c>
      <c r="E123" s="38">
        <v>2.9321999999999999</v>
      </c>
      <c r="F123" s="39">
        <v>297</v>
      </c>
      <c r="G123" s="33">
        <f t="shared" si="11"/>
        <v>870.86339999999996</v>
      </c>
      <c r="H123" s="33"/>
      <c r="I123" s="33">
        <f t="shared" si="9"/>
        <v>865.57086000000015</v>
      </c>
      <c r="J123" s="33"/>
      <c r="K123" s="33" t="e">
        <f t="shared" si="7"/>
        <v>#DIV/0!</v>
      </c>
      <c r="L123" s="59" t="e">
        <f t="shared" si="12"/>
        <v>#DIV/0!</v>
      </c>
      <c r="M123" s="60" t="str">
        <f>IFERROR((#REF!/1.18)*1000,"")</f>
        <v/>
      </c>
    </row>
    <row r="124" spans="1:13" hidden="1" outlineLevel="1" x14ac:dyDescent="0.55000000000000004">
      <c r="A124" s="165"/>
      <c r="B124" s="35">
        <f t="shared" si="10"/>
        <v>16</v>
      </c>
      <c r="C124" s="36" t="str">
        <f t="shared" si="6"/>
        <v>62016</v>
      </c>
      <c r="D124" s="44">
        <v>42537</v>
      </c>
      <c r="E124" s="38">
        <v>2.9348999999999998</v>
      </c>
      <c r="F124" s="39">
        <v>297</v>
      </c>
      <c r="G124" s="33">
        <f t="shared" si="11"/>
        <v>871.6653</v>
      </c>
      <c r="H124" s="33"/>
      <c r="I124" s="33">
        <f t="shared" si="9"/>
        <v>867.80430000000001</v>
      </c>
      <c r="J124" s="33"/>
      <c r="K124" s="33" t="e">
        <f t="shared" si="7"/>
        <v>#DIV/0!</v>
      </c>
      <c r="L124" s="59" t="e">
        <f t="shared" si="12"/>
        <v>#DIV/0!</v>
      </c>
      <c r="M124" s="60" t="str">
        <f>IFERROR((#REF!/1.18)*1000,"")</f>
        <v/>
      </c>
    </row>
    <row r="125" spans="1:13" hidden="1" outlineLevel="1" x14ac:dyDescent="0.55000000000000004">
      <c r="A125" s="165"/>
      <c r="B125" s="35">
        <f t="shared" si="10"/>
        <v>17</v>
      </c>
      <c r="C125" s="36" t="str">
        <f t="shared" si="6"/>
        <v>62016</v>
      </c>
      <c r="D125" s="44">
        <v>42538</v>
      </c>
      <c r="E125" s="38">
        <v>2.9352999999999998</v>
      </c>
      <c r="F125" s="39">
        <v>297</v>
      </c>
      <c r="G125" s="33">
        <f t="shared" si="11"/>
        <v>871.78409999999997</v>
      </c>
      <c r="H125" s="33"/>
      <c r="I125" s="33">
        <f t="shared" si="9"/>
        <v>869.91893999999991</v>
      </c>
      <c r="J125" s="33"/>
      <c r="K125" s="33" t="e">
        <f t="shared" si="7"/>
        <v>#DIV/0!</v>
      </c>
      <c r="L125" s="59" t="e">
        <f t="shared" si="12"/>
        <v>#DIV/0!</v>
      </c>
      <c r="M125" s="60" t="str">
        <f>IFERROR((#REF!/1.18)*1000,"")</f>
        <v/>
      </c>
    </row>
    <row r="126" spans="1:13" hidden="1" outlineLevel="1" x14ac:dyDescent="0.55000000000000004">
      <c r="A126" s="165"/>
      <c r="B126" s="35">
        <f t="shared" si="10"/>
        <v>20</v>
      </c>
      <c r="C126" s="36" t="str">
        <f t="shared" si="6"/>
        <v>62016</v>
      </c>
      <c r="D126" s="44">
        <v>42541</v>
      </c>
      <c r="E126" s="38">
        <v>2.9037000000000002</v>
      </c>
      <c r="F126" s="39">
        <v>297</v>
      </c>
      <c r="G126" s="33">
        <f t="shared" si="11"/>
        <v>862.39890000000003</v>
      </c>
      <c r="H126" s="33"/>
      <c r="I126" s="33">
        <f t="shared" si="9"/>
        <v>871.11288000000002</v>
      </c>
      <c r="J126" s="33"/>
      <c r="K126" s="33" t="e">
        <f t="shared" si="7"/>
        <v>#DIV/0!</v>
      </c>
      <c r="L126" s="59" t="e">
        <f t="shared" si="12"/>
        <v>#DIV/0!</v>
      </c>
      <c r="M126" s="60" t="str">
        <f>IFERROR((#REF!/1.18)*1000,"")</f>
        <v/>
      </c>
    </row>
    <row r="127" spans="1:13" hidden="1" outlineLevel="1" x14ac:dyDescent="0.55000000000000004">
      <c r="A127" s="165"/>
      <c r="B127" s="35">
        <f t="shared" si="10"/>
        <v>21</v>
      </c>
      <c r="C127" s="36" t="str">
        <f t="shared" si="6"/>
        <v>62016</v>
      </c>
      <c r="D127" s="44">
        <v>42542</v>
      </c>
      <c r="E127" s="38">
        <v>2.9015</v>
      </c>
      <c r="F127" s="39">
        <v>297</v>
      </c>
      <c r="G127" s="33">
        <f t="shared" si="11"/>
        <v>861.74549999999999</v>
      </c>
      <c r="H127" s="33"/>
      <c r="I127" s="33">
        <f t="shared" si="9"/>
        <v>869.72291999999993</v>
      </c>
      <c r="J127" s="33"/>
      <c r="K127" s="33" t="e">
        <f t="shared" si="7"/>
        <v>#DIV/0!</v>
      </c>
      <c r="L127" s="59" t="e">
        <f t="shared" si="12"/>
        <v>#DIV/0!</v>
      </c>
      <c r="M127" s="60" t="str">
        <f>IFERROR((#REF!/1.18)*1000,"")</f>
        <v/>
      </c>
    </row>
    <row r="128" spans="1:13" hidden="1" outlineLevel="1" x14ac:dyDescent="0.55000000000000004">
      <c r="A128" s="165"/>
      <c r="B128" s="35">
        <f t="shared" si="10"/>
        <v>22</v>
      </c>
      <c r="C128" s="36" t="str">
        <f t="shared" si="6"/>
        <v>62016</v>
      </c>
      <c r="D128" s="44">
        <v>42543</v>
      </c>
      <c r="E128" s="38">
        <v>2.9106999999999998</v>
      </c>
      <c r="F128" s="39">
        <v>297</v>
      </c>
      <c r="G128" s="33">
        <f t="shared" si="11"/>
        <v>864.47789999999998</v>
      </c>
      <c r="H128" s="33"/>
      <c r="I128" s="33">
        <f t="shared" si="9"/>
        <v>867.69143999999994</v>
      </c>
      <c r="J128" s="33"/>
      <c r="K128" s="33" t="e">
        <f t="shared" si="7"/>
        <v>#DIV/0!</v>
      </c>
      <c r="L128" s="59" t="e">
        <f t="shared" si="12"/>
        <v>#DIV/0!</v>
      </c>
      <c r="M128" s="60" t="str">
        <f>IFERROR((#REF!/1.18)*1000,"")</f>
        <v/>
      </c>
    </row>
    <row r="129" spans="1:13" hidden="1" outlineLevel="1" x14ac:dyDescent="0.55000000000000004">
      <c r="A129" s="165"/>
      <c r="B129" s="35">
        <f t="shared" si="10"/>
        <v>23</v>
      </c>
      <c r="C129" s="36" t="str">
        <f t="shared" si="6"/>
        <v>62016</v>
      </c>
      <c r="D129" s="44">
        <v>42544</v>
      </c>
      <c r="E129" s="38">
        <v>2.8851</v>
      </c>
      <c r="F129" s="39">
        <v>297</v>
      </c>
      <c r="G129" s="33">
        <f t="shared" si="11"/>
        <v>856.87469999999996</v>
      </c>
      <c r="H129" s="33"/>
      <c r="I129" s="33">
        <f t="shared" si="9"/>
        <v>866.41434000000004</v>
      </c>
      <c r="J129" s="33"/>
      <c r="K129" s="33" t="e">
        <f t="shared" si="7"/>
        <v>#DIV/0!</v>
      </c>
      <c r="L129" s="59" t="e">
        <f t="shared" si="12"/>
        <v>#DIV/0!</v>
      </c>
      <c r="M129" s="60" t="str">
        <f>IFERROR((#REF!/1.18)*1000,"")</f>
        <v/>
      </c>
    </row>
    <row r="130" spans="1:13" hidden="1" outlineLevel="1" x14ac:dyDescent="0.55000000000000004">
      <c r="A130" s="165"/>
      <c r="B130" s="35">
        <f t="shared" si="10"/>
        <v>24</v>
      </c>
      <c r="C130" s="36" t="str">
        <f t="shared" ref="C130:C193" si="13">IF(F130&gt;0,MONTH(D130)&amp;YEAR(D130),"")</f>
        <v>62016</v>
      </c>
      <c r="D130" s="44">
        <v>42545</v>
      </c>
      <c r="E130" s="38">
        <v>2.9318</v>
      </c>
      <c r="F130" s="39">
        <v>297</v>
      </c>
      <c r="G130" s="33">
        <f t="shared" si="11"/>
        <v>870.74459999999999</v>
      </c>
      <c r="H130" s="33"/>
      <c r="I130" s="33">
        <f t="shared" si="9"/>
        <v>863.45622000000003</v>
      </c>
      <c r="J130" s="33"/>
      <c r="K130" s="33" t="e">
        <f t="shared" si="7"/>
        <v>#DIV/0!</v>
      </c>
      <c r="L130" s="59" t="e">
        <f t="shared" si="12"/>
        <v>#DIV/0!</v>
      </c>
      <c r="M130" s="60" t="str">
        <f>IFERROR((#REF!/1.18)*1000,"")</f>
        <v/>
      </c>
    </row>
    <row r="131" spans="1:13" hidden="1" outlineLevel="1" x14ac:dyDescent="0.55000000000000004">
      <c r="A131" s="165"/>
      <c r="B131" s="35">
        <f t="shared" si="10"/>
        <v>27</v>
      </c>
      <c r="C131" s="36" t="str">
        <f t="shared" si="13"/>
        <v>62016</v>
      </c>
      <c r="D131" s="44">
        <v>42548</v>
      </c>
      <c r="E131" s="38">
        <v>2.9417</v>
      </c>
      <c r="F131" s="39">
        <v>297</v>
      </c>
      <c r="G131" s="33">
        <f t="shared" si="11"/>
        <v>873.68489999999997</v>
      </c>
      <c r="H131" s="33"/>
      <c r="I131" s="33">
        <f t="shared" si="9"/>
        <v>863.24831999999992</v>
      </c>
      <c r="J131" s="33"/>
      <c r="K131" s="33" t="e">
        <f t="shared" si="7"/>
        <v>#DIV/0!</v>
      </c>
      <c r="L131" s="59" t="e">
        <f t="shared" si="12"/>
        <v>#DIV/0!</v>
      </c>
      <c r="M131" s="60" t="str">
        <f>IFERROR((#REF!/1.18)*1000,"")</f>
        <v/>
      </c>
    </row>
    <row r="132" spans="1:13" hidden="1" outlineLevel="1" x14ac:dyDescent="0.55000000000000004">
      <c r="A132" s="165"/>
      <c r="B132" s="35">
        <f t="shared" si="10"/>
        <v>28</v>
      </c>
      <c r="C132" s="36" t="str">
        <f t="shared" si="13"/>
        <v>62016</v>
      </c>
      <c r="D132" s="44">
        <v>42549</v>
      </c>
      <c r="E132" s="38">
        <v>2.9182000000000001</v>
      </c>
      <c r="F132" s="39">
        <v>297</v>
      </c>
      <c r="G132" s="33">
        <f t="shared" si="11"/>
        <v>866.70540000000005</v>
      </c>
      <c r="H132" s="33"/>
      <c r="I132" s="33">
        <f t="shared" si="9"/>
        <v>865.50551999999993</v>
      </c>
      <c r="J132" s="33"/>
      <c r="K132" s="33" t="e">
        <f t="shared" si="7"/>
        <v>#DIV/0!</v>
      </c>
      <c r="L132" s="59" t="e">
        <f t="shared" si="12"/>
        <v>#DIV/0!</v>
      </c>
      <c r="M132" s="60" t="str">
        <f>IFERROR((#REF!/1.18)*1000,"")</f>
        <v/>
      </c>
    </row>
    <row r="133" spans="1:13" hidden="1" outlineLevel="1" x14ac:dyDescent="0.55000000000000004">
      <c r="A133" s="165"/>
      <c r="B133" s="35">
        <f t="shared" si="10"/>
        <v>29</v>
      </c>
      <c r="C133" s="36" t="str">
        <f t="shared" si="13"/>
        <v>62016</v>
      </c>
      <c r="D133" s="44">
        <v>42550</v>
      </c>
      <c r="E133" s="38">
        <v>2.8988</v>
      </c>
      <c r="F133" s="39">
        <v>297</v>
      </c>
      <c r="G133" s="33">
        <f t="shared" si="11"/>
        <v>860.94360000000006</v>
      </c>
      <c r="H133" s="33"/>
      <c r="I133" s="33">
        <f t="shared" si="9"/>
        <v>866.49750000000006</v>
      </c>
      <c r="J133" s="33"/>
      <c r="K133" s="33" t="e">
        <f t="shared" si="7"/>
        <v>#DIV/0!</v>
      </c>
      <c r="L133" s="59" t="e">
        <f t="shared" si="12"/>
        <v>#DIV/0!</v>
      </c>
      <c r="M133" s="60" t="str">
        <f>IFERROR((#REF!/1.18)*1000,"")</f>
        <v/>
      </c>
    </row>
    <row r="134" spans="1:13" ht="14.7" hidden="1" outlineLevel="1" thickBot="1" x14ac:dyDescent="0.6">
      <c r="A134" s="166"/>
      <c r="B134" s="35">
        <f t="shared" si="10"/>
        <v>30</v>
      </c>
      <c r="C134" s="36" t="str">
        <f t="shared" si="13"/>
        <v>62016</v>
      </c>
      <c r="D134" s="53">
        <v>42551</v>
      </c>
      <c r="E134" s="38">
        <v>2.89</v>
      </c>
      <c r="F134" s="39">
        <v>297</v>
      </c>
      <c r="G134" s="33">
        <f t="shared" si="11"/>
        <v>858.33</v>
      </c>
      <c r="H134" s="33"/>
      <c r="I134" s="33">
        <f t="shared" si="9"/>
        <v>865.79063999999994</v>
      </c>
      <c r="J134" s="33"/>
      <c r="K134" s="33" t="e">
        <f t="shared" si="7"/>
        <v>#DIV/0!</v>
      </c>
      <c r="L134" s="59" t="e">
        <f t="shared" si="12"/>
        <v>#DIV/0!</v>
      </c>
      <c r="M134" s="60" t="str">
        <f>IFERROR((#REF!/1.18)*1000,"")</f>
        <v/>
      </c>
    </row>
    <row r="135" spans="1:13" hidden="1" outlineLevel="1" x14ac:dyDescent="0.55000000000000004">
      <c r="A135" s="167">
        <v>42552</v>
      </c>
      <c r="B135" s="35">
        <f t="shared" si="10"/>
        <v>1</v>
      </c>
      <c r="C135" s="36" t="str">
        <f t="shared" si="13"/>
        <v>72016</v>
      </c>
      <c r="D135" s="37">
        <v>42552</v>
      </c>
      <c r="E135" s="38">
        <v>2.8898000000000001</v>
      </c>
      <c r="F135" s="39">
        <v>304</v>
      </c>
      <c r="G135" s="33">
        <f t="shared" si="11"/>
        <v>878.49920000000009</v>
      </c>
      <c r="H135" s="33"/>
      <c r="I135" s="33">
        <f t="shared" si="9"/>
        <v>866.08170000000007</v>
      </c>
      <c r="J135" s="33"/>
      <c r="K135" s="33" t="e">
        <f t="shared" ref="K135:K198" si="14">IF(L134&gt;3%,G133,IF(L134&lt;-3%,G133,K134))</f>
        <v>#DIV/0!</v>
      </c>
      <c r="L135" s="59" t="e">
        <f t="shared" si="12"/>
        <v>#DIV/0!</v>
      </c>
      <c r="M135" s="60" t="str">
        <f>IFERROR((#REF!/1.18)*1000,"")</f>
        <v/>
      </c>
    </row>
    <row r="136" spans="1:13" hidden="1" outlineLevel="1" x14ac:dyDescent="0.55000000000000004">
      <c r="A136" s="165"/>
      <c r="B136" s="35">
        <f t="shared" si="10"/>
        <v>4</v>
      </c>
      <c r="C136" s="36" t="str">
        <f t="shared" si="13"/>
        <v>72016</v>
      </c>
      <c r="D136" s="44">
        <v>42555</v>
      </c>
      <c r="E136" s="38">
        <v>2.8898000000000001</v>
      </c>
      <c r="F136" s="39">
        <v>304</v>
      </c>
      <c r="G136" s="33">
        <f t="shared" si="11"/>
        <v>878.49920000000009</v>
      </c>
      <c r="H136" s="33"/>
      <c r="I136" s="33">
        <f t="shared" ref="I136:I199" si="15">IF(M135&lt;&gt;"",AVERAGE(G135),IF(M134&lt;&gt;"",AVERAGE(G134:G135),IF(M133&lt;&gt;"",AVERAGE(G133:G135),IF(M132&lt;&gt;"",AVERAGE(G132:G135),AVERAGE(G131:G135)))))</f>
        <v>867.63261999999997</v>
      </c>
      <c r="J136" s="33"/>
      <c r="K136" s="33" t="e">
        <f t="shared" si="14"/>
        <v>#DIV/0!</v>
      </c>
      <c r="L136" s="59" t="e">
        <f t="shared" si="12"/>
        <v>#DIV/0!</v>
      </c>
      <c r="M136" s="60" t="str">
        <f>IFERROR((#REF!/1.18)*1000,"")</f>
        <v/>
      </c>
    </row>
    <row r="137" spans="1:13" hidden="1" outlineLevel="1" x14ac:dyDescent="0.55000000000000004">
      <c r="A137" s="165"/>
      <c r="B137" s="35">
        <f t="shared" si="10"/>
        <v>5</v>
      </c>
      <c r="C137" s="36" t="str">
        <f t="shared" si="13"/>
        <v>72016</v>
      </c>
      <c r="D137" s="44">
        <v>42556</v>
      </c>
      <c r="E137" s="38">
        <v>2.8898000000000001</v>
      </c>
      <c r="F137" s="39">
        <v>304</v>
      </c>
      <c r="G137" s="33">
        <f t="shared" si="11"/>
        <v>878.49920000000009</v>
      </c>
      <c r="H137" s="33"/>
      <c r="I137" s="33">
        <f t="shared" si="15"/>
        <v>868.59548000000018</v>
      </c>
      <c r="J137" s="33"/>
      <c r="K137" s="33" t="e">
        <f t="shared" si="14"/>
        <v>#DIV/0!</v>
      </c>
      <c r="L137" s="61"/>
      <c r="M137" s="60" t="str">
        <f>IFERROR((#REF!/1.18)*1000,"")</f>
        <v/>
      </c>
    </row>
    <row r="138" spans="1:13" hidden="1" outlineLevel="1" x14ac:dyDescent="0.55000000000000004">
      <c r="A138" s="165"/>
      <c r="B138" s="35">
        <f t="shared" si="10"/>
        <v>6</v>
      </c>
      <c r="C138" s="36" t="str">
        <f t="shared" si="13"/>
        <v>72016</v>
      </c>
      <c r="D138" s="44">
        <v>42557</v>
      </c>
      <c r="E138" s="38">
        <v>2.8898000000000001</v>
      </c>
      <c r="F138" s="39">
        <v>304</v>
      </c>
      <c r="G138" s="33">
        <f t="shared" si="11"/>
        <v>878.49920000000009</v>
      </c>
      <c r="H138" s="33"/>
      <c r="I138" s="33">
        <f t="shared" si="15"/>
        <v>870.95424000000003</v>
      </c>
      <c r="J138" s="33"/>
      <c r="K138" s="33" t="e">
        <f t="shared" si="14"/>
        <v>#DIV/0!</v>
      </c>
      <c r="L138" s="61"/>
      <c r="M138" s="60" t="str">
        <f>IFERROR((#REF!/1.18)*1000,"")</f>
        <v/>
      </c>
    </row>
    <row r="139" spans="1:13" hidden="1" outlineLevel="1" x14ac:dyDescent="0.55000000000000004">
      <c r="A139" s="165"/>
      <c r="B139" s="35">
        <f t="shared" si="10"/>
        <v>7</v>
      </c>
      <c r="C139" s="36" t="str">
        <f t="shared" si="13"/>
        <v>72016</v>
      </c>
      <c r="D139" s="44">
        <v>42558</v>
      </c>
      <c r="E139" s="38">
        <v>2.8898000000000001</v>
      </c>
      <c r="F139" s="39">
        <v>304</v>
      </c>
      <c r="G139" s="33">
        <f t="shared" si="11"/>
        <v>878.49920000000009</v>
      </c>
      <c r="H139" s="33"/>
      <c r="I139" s="33">
        <f t="shared" si="15"/>
        <v>874.46536000000015</v>
      </c>
      <c r="J139" s="33"/>
      <c r="K139" s="33" t="e">
        <f t="shared" si="14"/>
        <v>#DIV/0!</v>
      </c>
      <c r="L139" s="61"/>
      <c r="M139" s="60" t="str">
        <f>IFERROR((#REF!/1.18)*1000,"")</f>
        <v/>
      </c>
    </row>
    <row r="140" spans="1:13" hidden="1" outlineLevel="1" x14ac:dyDescent="0.55000000000000004">
      <c r="A140" s="165"/>
      <c r="B140" s="35">
        <f t="shared" si="10"/>
        <v>8</v>
      </c>
      <c r="C140" s="36" t="str">
        <f t="shared" si="13"/>
        <v>72016</v>
      </c>
      <c r="D140" s="44">
        <v>42559</v>
      </c>
      <c r="E140" s="38">
        <v>2.9266000000000001</v>
      </c>
      <c r="F140" s="39">
        <v>304</v>
      </c>
      <c r="G140" s="33">
        <f t="shared" si="11"/>
        <v>889.68640000000005</v>
      </c>
      <c r="H140" s="33"/>
      <c r="I140" s="33">
        <f t="shared" si="15"/>
        <v>878.49919999999997</v>
      </c>
      <c r="J140" s="33"/>
      <c r="K140" s="33" t="e">
        <f t="shared" si="14"/>
        <v>#DIV/0!</v>
      </c>
      <c r="L140" s="59" t="e">
        <f t="shared" ref="L140:L203" si="16">(I140-K140)/K140</f>
        <v>#DIV/0!</v>
      </c>
      <c r="M140" s="60" t="str">
        <f>IFERROR((#REF!/1.18)*1000,"")</f>
        <v/>
      </c>
    </row>
    <row r="141" spans="1:13" hidden="1" outlineLevel="1" x14ac:dyDescent="0.55000000000000004">
      <c r="A141" s="165"/>
      <c r="B141" s="35">
        <f t="shared" si="10"/>
        <v>11</v>
      </c>
      <c r="C141" s="36" t="str">
        <f t="shared" si="13"/>
        <v>72016</v>
      </c>
      <c r="D141" s="44">
        <v>42562</v>
      </c>
      <c r="E141" s="38">
        <v>2.9033000000000002</v>
      </c>
      <c r="F141" s="39">
        <v>304</v>
      </c>
      <c r="G141" s="33">
        <f t="shared" si="11"/>
        <v>882.60320000000002</v>
      </c>
      <c r="H141" s="33"/>
      <c r="I141" s="33">
        <f t="shared" si="15"/>
        <v>880.73664000000008</v>
      </c>
      <c r="J141" s="33"/>
      <c r="K141" s="33" t="e">
        <f t="shared" si="14"/>
        <v>#DIV/0!</v>
      </c>
      <c r="L141" s="59" t="e">
        <f t="shared" si="16"/>
        <v>#DIV/0!</v>
      </c>
      <c r="M141" s="60" t="str">
        <f>IFERROR((#REF!/1.18)*1000,"")</f>
        <v/>
      </c>
    </row>
    <row r="142" spans="1:13" hidden="1" outlineLevel="1" x14ac:dyDescent="0.55000000000000004">
      <c r="A142" s="165"/>
      <c r="B142" s="35">
        <f t="shared" si="10"/>
        <v>12</v>
      </c>
      <c r="C142" s="36" t="str">
        <f t="shared" si="13"/>
        <v>72016</v>
      </c>
      <c r="D142" s="44">
        <v>42563</v>
      </c>
      <c r="E142" s="38">
        <v>2.8936999999999999</v>
      </c>
      <c r="F142" s="39">
        <v>304</v>
      </c>
      <c r="G142" s="33">
        <f t="shared" si="11"/>
        <v>879.6848</v>
      </c>
      <c r="H142" s="33"/>
      <c r="I142" s="33">
        <f t="shared" si="15"/>
        <v>881.55744000000016</v>
      </c>
      <c r="J142" s="33"/>
      <c r="K142" s="33" t="e">
        <f t="shared" si="14"/>
        <v>#DIV/0!</v>
      </c>
      <c r="L142" s="59" t="e">
        <f t="shared" si="16"/>
        <v>#DIV/0!</v>
      </c>
      <c r="M142" s="60" t="str">
        <f>IFERROR((#REF!/1.18)*1000,"")</f>
        <v/>
      </c>
    </row>
    <row r="143" spans="1:13" hidden="1" outlineLevel="1" x14ac:dyDescent="0.55000000000000004">
      <c r="A143" s="165"/>
      <c r="B143" s="35">
        <f t="shared" si="10"/>
        <v>13</v>
      </c>
      <c r="C143" s="36" t="str">
        <f t="shared" si="13"/>
        <v>72016</v>
      </c>
      <c r="D143" s="44">
        <v>42564</v>
      </c>
      <c r="E143" s="38">
        <v>2.8999000000000001</v>
      </c>
      <c r="F143" s="39">
        <v>304</v>
      </c>
      <c r="G143" s="33">
        <f t="shared" si="11"/>
        <v>881.56960000000004</v>
      </c>
      <c r="H143" s="33"/>
      <c r="I143" s="33">
        <f t="shared" si="15"/>
        <v>881.79455999999993</v>
      </c>
      <c r="J143" s="33"/>
      <c r="K143" s="33" t="e">
        <f t="shared" si="14"/>
        <v>#DIV/0!</v>
      </c>
      <c r="L143" s="59" t="e">
        <f t="shared" si="16"/>
        <v>#DIV/0!</v>
      </c>
      <c r="M143" s="60" t="str">
        <f>IFERROR((#REF!/1.18)*1000,"")</f>
        <v/>
      </c>
    </row>
    <row r="144" spans="1:13" hidden="1" outlineLevel="1" x14ac:dyDescent="0.55000000000000004">
      <c r="A144" s="165"/>
      <c r="B144" s="35">
        <f t="shared" si="10"/>
        <v>14</v>
      </c>
      <c r="C144" s="36" t="str">
        <f t="shared" si="13"/>
        <v>72016</v>
      </c>
      <c r="D144" s="44">
        <v>42565</v>
      </c>
      <c r="E144" s="38">
        <v>2.8965000000000001</v>
      </c>
      <c r="F144" s="39">
        <v>304</v>
      </c>
      <c r="G144" s="33">
        <f t="shared" si="11"/>
        <v>880.53600000000006</v>
      </c>
      <c r="H144" s="33"/>
      <c r="I144" s="33">
        <f t="shared" si="15"/>
        <v>882.40863999999999</v>
      </c>
      <c r="J144" s="33"/>
      <c r="K144" s="33" t="e">
        <f t="shared" si="14"/>
        <v>#DIV/0!</v>
      </c>
      <c r="L144" s="59" t="e">
        <f t="shared" si="16"/>
        <v>#DIV/0!</v>
      </c>
      <c r="M144" s="60" t="str">
        <f>IFERROR((#REF!/1.18)*1000,"")</f>
        <v/>
      </c>
    </row>
    <row r="145" spans="1:13" hidden="1" outlineLevel="1" x14ac:dyDescent="0.55000000000000004">
      <c r="A145" s="165"/>
      <c r="B145" s="35">
        <f t="shared" si="10"/>
        <v>15</v>
      </c>
      <c r="C145" s="36" t="str">
        <f t="shared" si="13"/>
        <v>72016</v>
      </c>
      <c r="D145" s="44">
        <v>42566</v>
      </c>
      <c r="E145" s="38">
        <v>2.8885999999999998</v>
      </c>
      <c r="F145" s="39">
        <v>304</v>
      </c>
      <c r="G145" s="33">
        <f t="shared" si="11"/>
        <v>878.13439999999991</v>
      </c>
      <c r="H145" s="33"/>
      <c r="I145" s="33">
        <f t="shared" si="15"/>
        <v>882.81600000000003</v>
      </c>
      <c r="J145" s="33"/>
      <c r="K145" s="33" t="e">
        <f t="shared" si="14"/>
        <v>#DIV/0!</v>
      </c>
      <c r="L145" s="59" t="e">
        <f t="shared" si="16"/>
        <v>#DIV/0!</v>
      </c>
      <c r="M145" s="60" t="str">
        <f>IFERROR((#REF!/1.18)*1000,"")</f>
        <v/>
      </c>
    </row>
    <row r="146" spans="1:13" hidden="1" outlineLevel="1" x14ac:dyDescent="0.55000000000000004">
      <c r="A146" s="165"/>
      <c r="B146" s="35">
        <f t="shared" si="10"/>
        <v>18</v>
      </c>
      <c r="C146" s="36" t="str">
        <f t="shared" si="13"/>
        <v>72016</v>
      </c>
      <c r="D146" s="44">
        <v>42569</v>
      </c>
      <c r="E146" s="38">
        <v>2.9539</v>
      </c>
      <c r="F146" s="39">
        <v>304</v>
      </c>
      <c r="G146" s="33">
        <f t="shared" si="11"/>
        <v>897.98559999999998</v>
      </c>
      <c r="H146" s="33"/>
      <c r="I146" s="33">
        <f t="shared" si="15"/>
        <v>880.50560000000007</v>
      </c>
      <c r="J146" s="33"/>
      <c r="K146" s="33" t="e">
        <f t="shared" si="14"/>
        <v>#DIV/0!</v>
      </c>
      <c r="L146" s="59" t="e">
        <f t="shared" si="16"/>
        <v>#DIV/0!</v>
      </c>
      <c r="M146" s="60" t="str">
        <f>IFERROR((#REF!/1.18)*1000,"")</f>
        <v/>
      </c>
    </row>
    <row r="147" spans="1:13" hidden="1" outlineLevel="1" x14ac:dyDescent="0.55000000000000004">
      <c r="A147" s="165"/>
      <c r="B147" s="35">
        <f t="shared" si="10"/>
        <v>19</v>
      </c>
      <c r="C147" s="36" t="str">
        <f t="shared" si="13"/>
        <v>72016</v>
      </c>
      <c r="D147" s="44">
        <v>42570</v>
      </c>
      <c r="E147" s="38">
        <v>2.9820000000000002</v>
      </c>
      <c r="F147" s="39">
        <v>304</v>
      </c>
      <c r="G147" s="33">
        <f t="shared" si="11"/>
        <v>906.52800000000002</v>
      </c>
      <c r="H147" s="33"/>
      <c r="I147" s="33">
        <f t="shared" si="15"/>
        <v>883.58207999999991</v>
      </c>
      <c r="J147" s="33"/>
      <c r="K147" s="33" t="e">
        <f t="shared" si="14"/>
        <v>#DIV/0!</v>
      </c>
      <c r="L147" s="59" t="e">
        <f t="shared" si="16"/>
        <v>#DIV/0!</v>
      </c>
      <c r="M147" s="60" t="str">
        <f>IFERROR((#REF!/1.18)*1000,"")</f>
        <v/>
      </c>
    </row>
    <row r="148" spans="1:13" hidden="1" outlineLevel="1" x14ac:dyDescent="0.55000000000000004">
      <c r="A148" s="165"/>
      <c r="B148" s="35">
        <f t="shared" si="10"/>
        <v>20</v>
      </c>
      <c r="C148" s="36" t="str">
        <f t="shared" si="13"/>
        <v>72016</v>
      </c>
      <c r="D148" s="44">
        <v>42571</v>
      </c>
      <c r="E148" s="38">
        <v>3.0335999999999999</v>
      </c>
      <c r="F148" s="39">
        <v>304</v>
      </c>
      <c r="G148" s="33">
        <f t="shared" si="11"/>
        <v>922.21439999999996</v>
      </c>
      <c r="H148" s="33"/>
      <c r="I148" s="33">
        <f t="shared" si="15"/>
        <v>888.95072000000005</v>
      </c>
      <c r="J148" s="33"/>
      <c r="K148" s="33" t="e">
        <f t="shared" si="14"/>
        <v>#DIV/0!</v>
      </c>
      <c r="L148" s="59" t="e">
        <f t="shared" si="16"/>
        <v>#DIV/0!</v>
      </c>
      <c r="M148" s="60" t="str">
        <f>IFERROR((#REF!/1.18)*1000,"")</f>
        <v/>
      </c>
    </row>
    <row r="149" spans="1:13" hidden="1" outlineLevel="1" x14ac:dyDescent="0.55000000000000004">
      <c r="A149" s="165"/>
      <c r="B149" s="35">
        <f t="shared" si="10"/>
        <v>21</v>
      </c>
      <c r="C149" s="36" t="str">
        <f t="shared" si="13"/>
        <v>72016</v>
      </c>
      <c r="D149" s="44">
        <v>42572</v>
      </c>
      <c r="E149" s="38">
        <v>3.0783</v>
      </c>
      <c r="F149" s="39">
        <v>304</v>
      </c>
      <c r="G149" s="33">
        <f t="shared" si="11"/>
        <v>935.80320000000006</v>
      </c>
      <c r="H149" s="33"/>
      <c r="I149" s="33">
        <f t="shared" si="15"/>
        <v>897.07968000000005</v>
      </c>
      <c r="J149" s="33"/>
      <c r="K149" s="33" t="e">
        <f t="shared" si="14"/>
        <v>#DIV/0!</v>
      </c>
      <c r="L149" s="59" t="e">
        <f t="shared" si="16"/>
        <v>#DIV/0!</v>
      </c>
      <c r="M149" s="60" t="str">
        <f>IFERROR((#REF!/1.18)*1000,"")</f>
        <v/>
      </c>
    </row>
    <row r="150" spans="1:13" hidden="1" outlineLevel="1" x14ac:dyDescent="0.55000000000000004">
      <c r="A150" s="165"/>
      <c r="B150" s="35">
        <f t="shared" si="10"/>
        <v>22</v>
      </c>
      <c r="C150" s="36" t="str">
        <f t="shared" si="13"/>
        <v>72016</v>
      </c>
      <c r="D150" s="44">
        <v>42573</v>
      </c>
      <c r="E150" s="38">
        <v>3.0628000000000002</v>
      </c>
      <c r="F150" s="39">
        <v>304</v>
      </c>
      <c r="G150" s="33">
        <f t="shared" si="11"/>
        <v>931.09120000000007</v>
      </c>
      <c r="H150" s="33"/>
      <c r="I150" s="33">
        <f t="shared" si="15"/>
        <v>908.13312000000008</v>
      </c>
      <c r="J150" s="33"/>
      <c r="K150" s="33" t="e">
        <f t="shared" si="14"/>
        <v>#DIV/0!</v>
      </c>
      <c r="L150" s="59" t="e">
        <f t="shared" si="16"/>
        <v>#DIV/0!</v>
      </c>
      <c r="M150" s="60" t="str">
        <f>IFERROR((#REF!/1.18)*1000,"")</f>
        <v/>
      </c>
    </row>
    <row r="151" spans="1:13" hidden="1" outlineLevel="1" x14ac:dyDescent="0.55000000000000004">
      <c r="A151" s="165"/>
      <c r="B151" s="35">
        <f t="shared" ref="B151:B214" si="17">DAY(D151)</f>
        <v>25</v>
      </c>
      <c r="C151" s="36" t="str">
        <f t="shared" si="13"/>
        <v>72016</v>
      </c>
      <c r="D151" s="44">
        <v>42576</v>
      </c>
      <c r="E151" s="38">
        <v>3.0371000000000001</v>
      </c>
      <c r="F151" s="39">
        <v>304</v>
      </c>
      <c r="G151" s="33">
        <f t="shared" si="11"/>
        <v>923.27840000000003</v>
      </c>
      <c r="H151" s="33"/>
      <c r="I151" s="33">
        <f t="shared" si="15"/>
        <v>918.72448000000009</v>
      </c>
      <c r="J151" s="33"/>
      <c r="K151" s="33" t="e">
        <f t="shared" si="14"/>
        <v>#DIV/0!</v>
      </c>
      <c r="L151" s="59" t="e">
        <f t="shared" si="16"/>
        <v>#DIV/0!</v>
      </c>
      <c r="M151" s="60" t="str">
        <f>IFERROR((#REF!/1.18)*1000,"")</f>
        <v/>
      </c>
    </row>
    <row r="152" spans="1:13" hidden="1" outlineLevel="1" x14ac:dyDescent="0.55000000000000004">
      <c r="A152" s="165"/>
      <c r="B152" s="35">
        <f t="shared" si="17"/>
        <v>26</v>
      </c>
      <c r="C152" s="36" t="str">
        <f t="shared" si="13"/>
        <v>72016</v>
      </c>
      <c r="D152" s="44">
        <v>42577</v>
      </c>
      <c r="E152" s="38">
        <v>3.0407000000000002</v>
      </c>
      <c r="F152" s="39">
        <v>304</v>
      </c>
      <c r="G152" s="33">
        <f t="shared" si="11"/>
        <v>924.3728000000001</v>
      </c>
      <c r="H152" s="33"/>
      <c r="I152" s="33">
        <f t="shared" si="15"/>
        <v>923.78304000000003</v>
      </c>
      <c r="J152" s="33"/>
      <c r="K152" s="33" t="e">
        <f t="shared" si="14"/>
        <v>#DIV/0!</v>
      </c>
      <c r="L152" s="59" t="e">
        <f t="shared" si="16"/>
        <v>#DIV/0!</v>
      </c>
      <c r="M152" s="60" t="str">
        <f>IFERROR((#REF!/1.18)*1000,"")</f>
        <v/>
      </c>
    </row>
    <row r="153" spans="1:13" hidden="1" outlineLevel="1" x14ac:dyDescent="0.55000000000000004">
      <c r="A153" s="165"/>
      <c r="B153" s="35">
        <f t="shared" si="17"/>
        <v>27</v>
      </c>
      <c r="C153" s="36" t="str">
        <f t="shared" si="13"/>
        <v>72016</v>
      </c>
      <c r="D153" s="44">
        <v>42578</v>
      </c>
      <c r="E153" s="38">
        <v>3.0430999999999999</v>
      </c>
      <c r="F153" s="39">
        <v>304</v>
      </c>
      <c r="G153" s="33">
        <f t="shared" si="11"/>
        <v>925.10239999999999</v>
      </c>
      <c r="H153" s="33"/>
      <c r="I153" s="33">
        <f t="shared" si="15"/>
        <v>927.35200000000009</v>
      </c>
      <c r="J153" s="33"/>
      <c r="K153" s="33" t="e">
        <f t="shared" si="14"/>
        <v>#DIV/0!</v>
      </c>
      <c r="L153" s="59" t="e">
        <f t="shared" si="16"/>
        <v>#DIV/0!</v>
      </c>
      <c r="M153" s="60" t="str">
        <f>IFERROR((#REF!/1.18)*1000,"")</f>
        <v/>
      </c>
    </row>
    <row r="154" spans="1:13" hidden="1" outlineLevel="1" x14ac:dyDescent="0.55000000000000004">
      <c r="A154" s="165"/>
      <c r="B154" s="35">
        <f t="shared" si="17"/>
        <v>28</v>
      </c>
      <c r="C154" s="36" t="str">
        <f t="shared" si="13"/>
        <v>72016</v>
      </c>
      <c r="D154" s="44">
        <v>42579</v>
      </c>
      <c r="E154" s="38">
        <v>3.0221</v>
      </c>
      <c r="F154" s="39">
        <v>304</v>
      </c>
      <c r="G154" s="33">
        <f t="shared" si="11"/>
        <v>918.71839999999997</v>
      </c>
      <c r="H154" s="33"/>
      <c r="I154" s="33">
        <f t="shared" si="15"/>
        <v>927.92960000000005</v>
      </c>
      <c r="J154" s="33"/>
      <c r="K154" s="33" t="e">
        <f t="shared" si="14"/>
        <v>#DIV/0!</v>
      </c>
      <c r="L154" s="59" t="e">
        <f t="shared" si="16"/>
        <v>#DIV/0!</v>
      </c>
      <c r="M154" s="60" t="str">
        <f>IFERROR((#REF!/1.18)*1000,"")</f>
        <v/>
      </c>
    </row>
    <row r="155" spans="1:13" ht="14.7" hidden="1" outlineLevel="1" thickBot="1" x14ac:dyDescent="0.6">
      <c r="A155" s="166"/>
      <c r="B155" s="35">
        <f t="shared" si="17"/>
        <v>29</v>
      </c>
      <c r="C155" s="36" t="str">
        <f t="shared" si="13"/>
        <v>72016</v>
      </c>
      <c r="D155" s="53">
        <v>42580</v>
      </c>
      <c r="E155" s="38">
        <v>3.0179999999999998</v>
      </c>
      <c r="F155" s="39">
        <v>304</v>
      </c>
      <c r="G155" s="33">
        <f t="shared" si="11"/>
        <v>917.47199999999998</v>
      </c>
      <c r="H155" s="33"/>
      <c r="I155" s="33">
        <f t="shared" si="15"/>
        <v>924.51263999999992</v>
      </c>
      <c r="J155" s="33"/>
      <c r="K155" s="33" t="e">
        <f t="shared" si="14"/>
        <v>#DIV/0!</v>
      </c>
      <c r="L155" s="59" t="e">
        <f t="shared" si="16"/>
        <v>#DIV/0!</v>
      </c>
      <c r="M155" s="60" t="str">
        <f>IFERROR((#REF!/1.18)*1000,"")</f>
        <v/>
      </c>
    </row>
    <row r="156" spans="1:13" hidden="1" outlineLevel="1" x14ac:dyDescent="0.55000000000000004">
      <c r="A156" s="167">
        <v>42583</v>
      </c>
      <c r="B156" s="35">
        <f t="shared" si="17"/>
        <v>1</v>
      </c>
      <c r="C156" s="36" t="str">
        <f t="shared" si="13"/>
        <v>82016</v>
      </c>
      <c r="D156" s="37">
        <v>42583</v>
      </c>
      <c r="E156" s="38">
        <v>2.9849999999999999</v>
      </c>
      <c r="F156" s="39">
        <v>259</v>
      </c>
      <c r="G156" s="33">
        <f t="shared" si="11"/>
        <v>773.11500000000001</v>
      </c>
      <c r="H156" s="33"/>
      <c r="I156" s="33">
        <f t="shared" si="15"/>
        <v>921.78879999999992</v>
      </c>
      <c r="J156" s="33"/>
      <c r="K156" s="33" t="e">
        <f t="shared" si="14"/>
        <v>#DIV/0!</v>
      </c>
      <c r="L156" s="59" t="e">
        <f t="shared" si="16"/>
        <v>#DIV/0!</v>
      </c>
      <c r="M156" s="60" t="str">
        <f>IFERROR((#REF!/1.18)*1000,"")</f>
        <v/>
      </c>
    </row>
    <row r="157" spans="1:13" hidden="1" outlineLevel="1" x14ac:dyDescent="0.55000000000000004">
      <c r="A157" s="165"/>
      <c r="B157" s="35">
        <f t="shared" si="17"/>
        <v>2</v>
      </c>
      <c r="C157" s="36" t="str">
        <f t="shared" si="13"/>
        <v>82016</v>
      </c>
      <c r="D157" s="44">
        <v>42584</v>
      </c>
      <c r="E157" s="38">
        <v>2.9980000000000002</v>
      </c>
      <c r="F157" s="39">
        <v>259</v>
      </c>
      <c r="G157" s="33">
        <f t="shared" si="11"/>
        <v>776.48200000000008</v>
      </c>
      <c r="H157" s="33"/>
      <c r="I157" s="33">
        <f t="shared" si="15"/>
        <v>891.75612000000001</v>
      </c>
      <c r="J157" s="33"/>
      <c r="K157" s="33" t="e">
        <f t="shared" si="14"/>
        <v>#DIV/0!</v>
      </c>
      <c r="L157" s="59" t="e">
        <f t="shared" si="16"/>
        <v>#DIV/0!</v>
      </c>
      <c r="M157" s="60" t="str">
        <f>IFERROR((#REF!/1.18)*1000,"")</f>
        <v/>
      </c>
    </row>
    <row r="158" spans="1:13" hidden="1" outlineLevel="1" x14ac:dyDescent="0.55000000000000004">
      <c r="A158" s="165"/>
      <c r="B158" s="35">
        <f t="shared" si="17"/>
        <v>3</v>
      </c>
      <c r="C158" s="36" t="str">
        <f t="shared" si="13"/>
        <v>82016</v>
      </c>
      <c r="D158" s="44">
        <v>42585</v>
      </c>
      <c r="E158" s="38">
        <v>3.0129000000000001</v>
      </c>
      <c r="F158" s="39">
        <v>259</v>
      </c>
      <c r="G158" s="33">
        <f t="shared" si="11"/>
        <v>780.34109999999998</v>
      </c>
      <c r="H158" s="33"/>
      <c r="I158" s="33">
        <f t="shared" si="15"/>
        <v>862.17795999999998</v>
      </c>
      <c r="J158" s="33"/>
      <c r="K158" s="33" t="e">
        <f t="shared" si="14"/>
        <v>#DIV/0!</v>
      </c>
      <c r="L158" s="59" t="e">
        <f t="shared" si="16"/>
        <v>#DIV/0!</v>
      </c>
      <c r="M158" s="60" t="str">
        <f>IFERROR((#REF!/1.18)*1000,"")</f>
        <v/>
      </c>
    </row>
    <row r="159" spans="1:13" hidden="1" outlineLevel="1" x14ac:dyDescent="0.55000000000000004">
      <c r="A159" s="165"/>
      <c r="B159" s="35">
        <f t="shared" si="17"/>
        <v>4</v>
      </c>
      <c r="C159" s="36" t="str">
        <f t="shared" si="13"/>
        <v>82016</v>
      </c>
      <c r="D159" s="44">
        <v>42586</v>
      </c>
      <c r="E159" s="38">
        <v>3.0266999999999999</v>
      </c>
      <c r="F159" s="39">
        <v>259</v>
      </c>
      <c r="G159" s="33">
        <f t="shared" si="11"/>
        <v>783.9153</v>
      </c>
      <c r="H159" s="33"/>
      <c r="I159" s="33">
        <f t="shared" si="15"/>
        <v>833.22569999999996</v>
      </c>
      <c r="J159" s="33"/>
      <c r="K159" s="33" t="e">
        <f t="shared" si="14"/>
        <v>#DIV/0!</v>
      </c>
      <c r="L159" s="59" t="e">
        <f t="shared" si="16"/>
        <v>#DIV/0!</v>
      </c>
      <c r="M159" s="60" t="str">
        <f>IFERROR((#REF!/1.18)*1000,"")</f>
        <v/>
      </c>
    </row>
    <row r="160" spans="1:13" hidden="1" outlineLevel="1" x14ac:dyDescent="0.55000000000000004">
      <c r="A160" s="165"/>
      <c r="B160" s="35">
        <f t="shared" si="17"/>
        <v>5</v>
      </c>
      <c r="C160" s="36" t="str">
        <f t="shared" si="13"/>
        <v>82016</v>
      </c>
      <c r="D160" s="44">
        <v>42587</v>
      </c>
      <c r="E160" s="38">
        <v>3.0049999999999999</v>
      </c>
      <c r="F160" s="39">
        <v>259</v>
      </c>
      <c r="G160" s="33">
        <f t="shared" si="11"/>
        <v>778.29499999999996</v>
      </c>
      <c r="H160" s="33"/>
      <c r="I160" s="33">
        <f t="shared" si="15"/>
        <v>806.26508000000001</v>
      </c>
      <c r="J160" s="33"/>
      <c r="K160" s="33" t="e">
        <f t="shared" si="14"/>
        <v>#DIV/0!</v>
      </c>
      <c r="L160" s="59" t="e">
        <f t="shared" si="16"/>
        <v>#DIV/0!</v>
      </c>
      <c r="M160" s="60" t="str">
        <f>IFERROR((#REF!/1.18)*1000,"")</f>
        <v/>
      </c>
    </row>
    <row r="161" spans="1:13" hidden="1" outlineLevel="1" x14ac:dyDescent="0.55000000000000004">
      <c r="A161" s="165"/>
      <c r="B161" s="35">
        <f t="shared" si="17"/>
        <v>8</v>
      </c>
      <c r="C161" s="36" t="str">
        <f t="shared" si="13"/>
        <v>82016</v>
      </c>
      <c r="D161" s="44">
        <v>42590</v>
      </c>
      <c r="E161" s="38">
        <v>2.9899</v>
      </c>
      <c r="F161" s="39">
        <v>259</v>
      </c>
      <c r="G161" s="33">
        <f t="shared" si="11"/>
        <v>774.38409999999999</v>
      </c>
      <c r="H161" s="33"/>
      <c r="I161" s="33">
        <f t="shared" si="15"/>
        <v>778.42968000000008</v>
      </c>
      <c r="J161" s="33"/>
      <c r="K161" s="33" t="e">
        <f t="shared" si="14"/>
        <v>#DIV/0!</v>
      </c>
      <c r="L161" s="59" t="e">
        <f t="shared" si="16"/>
        <v>#DIV/0!</v>
      </c>
      <c r="M161" s="60" t="str">
        <f>IFERROR((#REF!/1.18)*1000,"")</f>
        <v/>
      </c>
    </row>
    <row r="162" spans="1:13" hidden="1" outlineLevel="1" x14ac:dyDescent="0.55000000000000004">
      <c r="A162" s="165"/>
      <c r="B162" s="35">
        <f t="shared" si="17"/>
        <v>9</v>
      </c>
      <c r="C162" s="36" t="str">
        <f t="shared" si="13"/>
        <v>82016</v>
      </c>
      <c r="D162" s="44">
        <v>42591</v>
      </c>
      <c r="E162" s="38">
        <v>2.9834999999999998</v>
      </c>
      <c r="F162" s="39">
        <v>259</v>
      </c>
      <c r="G162" s="33">
        <f t="shared" si="11"/>
        <v>772.72649999999999</v>
      </c>
      <c r="H162" s="33"/>
      <c r="I162" s="33">
        <f t="shared" si="15"/>
        <v>778.68350000000009</v>
      </c>
      <c r="J162" s="33"/>
      <c r="K162" s="33" t="e">
        <f t="shared" si="14"/>
        <v>#DIV/0!</v>
      </c>
      <c r="L162" s="59" t="e">
        <f t="shared" si="16"/>
        <v>#DIV/0!</v>
      </c>
      <c r="M162" s="60" t="str">
        <f>IFERROR((#REF!/1.18)*1000,"")</f>
        <v/>
      </c>
    </row>
    <row r="163" spans="1:13" hidden="1" outlineLevel="1" x14ac:dyDescent="0.55000000000000004">
      <c r="A163" s="165"/>
      <c r="B163" s="35">
        <f t="shared" si="17"/>
        <v>10</v>
      </c>
      <c r="C163" s="36" t="str">
        <f t="shared" si="13"/>
        <v>82016</v>
      </c>
      <c r="D163" s="44">
        <v>42592</v>
      </c>
      <c r="E163" s="38">
        <v>2.9605999999999999</v>
      </c>
      <c r="F163" s="39">
        <v>259</v>
      </c>
      <c r="G163" s="33">
        <f t="shared" si="11"/>
        <v>766.79539999999997</v>
      </c>
      <c r="H163" s="33"/>
      <c r="I163" s="33">
        <f t="shared" si="15"/>
        <v>777.93239999999992</v>
      </c>
      <c r="J163" s="33"/>
      <c r="K163" s="33" t="e">
        <f t="shared" si="14"/>
        <v>#DIV/0!</v>
      </c>
      <c r="L163" s="59" t="e">
        <f t="shared" si="16"/>
        <v>#DIV/0!</v>
      </c>
      <c r="M163" s="60" t="str">
        <f>IFERROR((#REF!/1.18)*1000,"")</f>
        <v/>
      </c>
    </row>
    <row r="164" spans="1:13" hidden="1" outlineLevel="1" x14ac:dyDescent="0.55000000000000004">
      <c r="A164" s="165"/>
      <c r="B164" s="35">
        <f t="shared" si="17"/>
        <v>11</v>
      </c>
      <c r="C164" s="36" t="str">
        <f t="shared" si="13"/>
        <v>82016</v>
      </c>
      <c r="D164" s="44">
        <v>42593</v>
      </c>
      <c r="E164" s="38">
        <v>2.9674999999999998</v>
      </c>
      <c r="F164" s="39">
        <v>259</v>
      </c>
      <c r="G164" s="33">
        <f t="shared" si="11"/>
        <v>768.58249999999998</v>
      </c>
      <c r="H164" s="33"/>
      <c r="I164" s="33">
        <f t="shared" si="15"/>
        <v>775.22325999999998</v>
      </c>
      <c r="J164" s="33"/>
      <c r="K164" s="33" t="e">
        <f t="shared" si="14"/>
        <v>#DIV/0!</v>
      </c>
      <c r="L164" s="59" t="e">
        <f t="shared" si="16"/>
        <v>#DIV/0!</v>
      </c>
      <c r="M164" s="60" t="str">
        <f>IFERROR((#REF!/1.18)*1000,"")</f>
        <v/>
      </c>
    </row>
    <row r="165" spans="1:13" hidden="1" outlineLevel="1" x14ac:dyDescent="0.55000000000000004">
      <c r="A165" s="165"/>
      <c r="B165" s="35">
        <f t="shared" si="17"/>
        <v>12</v>
      </c>
      <c r="C165" s="36" t="str">
        <f t="shared" si="13"/>
        <v>82016</v>
      </c>
      <c r="D165" s="44">
        <v>42594</v>
      </c>
      <c r="E165" s="38">
        <v>2.9611000000000001</v>
      </c>
      <c r="F165" s="39">
        <v>259</v>
      </c>
      <c r="G165" s="33">
        <f t="shared" ref="G165:G228" si="18">E165*F165</f>
        <v>766.92489999999998</v>
      </c>
      <c r="H165" s="33"/>
      <c r="I165" s="33">
        <f t="shared" si="15"/>
        <v>772.1567</v>
      </c>
      <c r="J165" s="33"/>
      <c r="K165" s="33" t="e">
        <f t="shared" si="14"/>
        <v>#DIV/0!</v>
      </c>
      <c r="L165" s="59" t="e">
        <f t="shared" si="16"/>
        <v>#DIV/0!</v>
      </c>
      <c r="M165" s="60" t="str">
        <f>IFERROR((#REF!/1.18)*1000,"")</f>
        <v/>
      </c>
    </row>
    <row r="166" spans="1:13" hidden="1" outlineLevel="1" x14ac:dyDescent="0.55000000000000004">
      <c r="A166" s="165"/>
      <c r="B166" s="35">
        <f t="shared" si="17"/>
        <v>15</v>
      </c>
      <c r="C166" s="36" t="str">
        <f t="shared" si="13"/>
        <v>82016</v>
      </c>
      <c r="D166" s="44">
        <v>42597</v>
      </c>
      <c r="E166" s="38">
        <v>2.9563000000000001</v>
      </c>
      <c r="F166" s="39">
        <v>259</v>
      </c>
      <c r="G166" s="33">
        <f t="shared" si="18"/>
        <v>765.68170000000009</v>
      </c>
      <c r="H166" s="33"/>
      <c r="I166" s="33">
        <f t="shared" si="15"/>
        <v>769.88267999999994</v>
      </c>
      <c r="J166" s="33"/>
      <c r="K166" s="33" t="e">
        <f t="shared" si="14"/>
        <v>#DIV/0!</v>
      </c>
      <c r="L166" s="59" t="e">
        <f t="shared" si="16"/>
        <v>#DIV/0!</v>
      </c>
      <c r="M166" s="60" t="str">
        <f>IFERROR((#REF!/1.18)*1000,"")</f>
        <v/>
      </c>
    </row>
    <row r="167" spans="1:13" hidden="1" outlineLevel="1" x14ac:dyDescent="0.55000000000000004">
      <c r="A167" s="165"/>
      <c r="B167" s="35">
        <f t="shared" si="17"/>
        <v>16</v>
      </c>
      <c r="C167" s="36" t="str">
        <f t="shared" si="13"/>
        <v>82016</v>
      </c>
      <c r="D167" s="44">
        <v>42598</v>
      </c>
      <c r="E167" s="38">
        <v>2.9350000000000001</v>
      </c>
      <c r="F167" s="39">
        <v>259</v>
      </c>
      <c r="G167" s="33">
        <f t="shared" si="18"/>
        <v>760.16499999999996</v>
      </c>
      <c r="H167" s="33"/>
      <c r="I167" s="33">
        <f t="shared" si="15"/>
        <v>768.1422</v>
      </c>
      <c r="J167" s="33"/>
      <c r="K167" s="33" t="e">
        <f t="shared" si="14"/>
        <v>#DIV/0!</v>
      </c>
      <c r="L167" s="59" t="e">
        <f t="shared" si="16"/>
        <v>#DIV/0!</v>
      </c>
      <c r="M167" s="60" t="str">
        <f>IFERROR((#REF!/1.18)*1000,"")</f>
        <v/>
      </c>
    </row>
    <row r="168" spans="1:13" hidden="1" outlineLevel="1" x14ac:dyDescent="0.55000000000000004">
      <c r="A168" s="165"/>
      <c r="B168" s="35">
        <f t="shared" si="17"/>
        <v>17</v>
      </c>
      <c r="C168" s="36" t="str">
        <f t="shared" si="13"/>
        <v>82016</v>
      </c>
      <c r="D168" s="44">
        <v>42599</v>
      </c>
      <c r="E168" s="38">
        <v>2.9392</v>
      </c>
      <c r="F168" s="39">
        <v>259</v>
      </c>
      <c r="G168" s="33">
        <f t="shared" si="18"/>
        <v>761.25279999999998</v>
      </c>
      <c r="H168" s="33"/>
      <c r="I168" s="33">
        <f t="shared" si="15"/>
        <v>765.62990000000002</v>
      </c>
      <c r="J168" s="33"/>
      <c r="K168" s="33" t="e">
        <f t="shared" si="14"/>
        <v>#DIV/0!</v>
      </c>
      <c r="L168" s="59" t="e">
        <f t="shared" si="16"/>
        <v>#DIV/0!</v>
      </c>
      <c r="M168" s="60" t="str">
        <f>IFERROR((#REF!/1.18)*1000,"")</f>
        <v/>
      </c>
    </row>
    <row r="169" spans="1:13" hidden="1" outlineLevel="1" x14ac:dyDescent="0.55000000000000004">
      <c r="A169" s="165"/>
      <c r="B169" s="35">
        <f t="shared" si="17"/>
        <v>18</v>
      </c>
      <c r="C169" s="36" t="str">
        <f t="shared" si="13"/>
        <v>82016</v>
      </c>
      <c r="D169" s="44">
        <v>42600</v>
      </c>
      <c r="E169" s="38">
        <v>2.9283000000000001</v>
      </c>
      <c r="F169" s="39">
        <v>259</v>
      </c>
      <c r="G169" s="33">
        <f t="shared" si="18"/>
        <v>758.42970000000003</v>
      </c>
      <c r="H169" s="33"/>
      <c r="I169" s="33">
        <f t="shared" si="15"/>
        <v>764.52137999999991</v>
      </c>
      <c r="J169" s="33"/>
      <c r="K169" s="33" t="e">
        <f t="shared" si="14"/>
        <v>#DIV/0!</v>
      </c>
      <c r="L169" s="59" t="e">
        <f t="shared" si="16"/>
        <v>#DIV/0!</v>
      </c>
      <c r="M169" s="60" t="str">
        <f>IFERROR((#REF!/1.18)*1000,"")</f>
        <v/>
      </c>
    </row>
    <row r="170" spans="1:13" hidden="1" outlineLevel="1" x14ac:dyDescent="0.55000000000000004">
      <c r="A170" s="165"/>
      <c r="B170" s="35">
        <f t="shared" si="17"/>
        <v>19</v>
      </c>
      <c r="C170" s="36" t="str">
        <f t="shared" si="13"/>
        <v>82016</v>
      </c>
      <c r="D170" s="44">
        <v>42601</v>
      </c>
      <c r="E170" s="38">
        <v>2.9407999999999999</v>
      </c>
      <c r="F170" s="39">
        <v>259</v>
      </c>
      <c r="G170" s="33">
        <f t="shared" si="18"/>
        <v>761.66719999999998</v>
      </c>
      <c r="H170" s="33"/>
      <c r="I170" s="33">
        <f t="shared" si="15"/>
        <v>762.4908200000001</v>
      </c>
      <c r="J170" s="33"/>
      <c r="K170" s="33" t="e">
        <f t="shared" si="14"/>
        <v>#DIV/0!</v>
      </c>
      <c r="L170" s="59" t="e">
        <f t="shared" si="16"/>
        <v>#DIV/0!</v>
      </c>
      <c r="M170" s="60" t="str">
        <f>IFERROR((#REF!/1.18)*1000,"")</f>
        <v/>
      </c>
    </row>
    <row r="171" spans="1:13" hidden="1" outlineLevel="1" x14ac:dyDescent="0.55000000000000004">
      <c r="A171" s="165"/>
      <c r="B171" s="35">
        <f t="shared" si="17"/>
        <v>22</v>
      </c>
      <c r="C171" s="36" t="str">
        <f t="shared" si="13"/>
        <v>82016</v>
      </c>
      <c r="D171" s="44">
        <v>42604</v>
      </c>
      <c r="E171" s="38">
        <v>2.9497</v>
      </c>
      <c r="F171" s="39">
        <v>259</v>
      </c>
      <c r="G171" s="33">
        <f t="shared" si="18"/>
        <v>763.97230000000002</v>
      </c>
      <c r="H171" s="33"/>
      <c r="I171" s="33">
        <f t="shared" si="15"/>
        <v>761.43928000000005</v>
      </c>
      <c r="J171" s="33"/>
      <c r="K171" s="33" t="e">
        <f t="shared" si="14"/>
        <v>#DIV/0!</v>
      </c>
      <c r="L171" s="59" t="e">
        <f t="shared" si="16"/>
        <v>#DIV/0!</v>
      </c>
      <c r="M171" s="60" t="str">
        <f>IFERROR((#REF!/1.18)*1000,"")</f>
        <v/>
      </c>
    </row>
    <row r="172" spans="1:13" hidden="1" outlineLevel="1" x14ac:dyDescent="0.55000000000000004">
      <c r="A172" s="165"/>
      <c r="B172" s="35">
        <f t="shared" si="17"/>
        <v>23</v>
      </c>
      <c r="C172" s="36" t="str">
        <f t="shared" si="13"/>
        <v>82016</v>
      </c>
      <c r="D172" s="44">
        <v>42605</v>
      </c>
      <c r="E172" s="38">
        <v>2.9411999999999998</v>
      </c>
      <c r="F172" s="39">
        <v>259</v>
      </c>
      <c r="G172" s="33">
        <f t="shared" si="18"/>
        <v>761.77080000000001</v>
      </c>
      <c r="H172" s="33"/>
      <c r="I172" s="33">
        <f t="shared" si="15"/>
        <v>761.09739999999988</v>
      </c>
      <c r="J172" s="33"/>
      <c r="K172" s="33" t="e">
        <f t="shared" si="14"/>
        <v>#DIV/0!</v>
      </c>
      <c r="L172" s="59" t="e">
        <f t="shared" si="16"/>
        <v>#DIV/0!</v>
      </c>
      <c r="M172" s="60" t="str">
        <f>IFERROR((#REF!/1.18)*1000,"")</f>
        <v/>
      </c>
    </row>
    <row r="173" spans="1:13" hidden="1" outlineLevel="1" x14ac:dyDescent="0.55000000000000004">
      <c r="A173" s="165"/>
      <c r="B173" s="35">
        <f t="shared" si="17"/>
        <v>24</v>
      </c>
      <c r="C173" s="36" t="str">
        <f t="shared" si="13"/>
        <v>82016</v>
      </c>
      <c r="D173" s="44">
        <v>42606</v>
      </c>
      <c r="E173" s="38">
        <v>2.9586999999999999</v>
      </c>
      <c r="F173" s="39">
        <v>259</v>
      </c>
      <c r="G173" s="33">
        <f t="shared" si="18"/>
        <v>766.30329999999992</v>
      </c>
      <c r="H173" s="33"/>
      <c r="I173" s="33">
        <f t="shared" si="15"/>
        <v>761.41855999999984</v>
      </c>
      <c r="J173" s="33"/>
      <c r="K173" s="33" t="e">
        <f t="shared" si="14"/>
        <v>#DIV/0!</v>
      </c>
      <c r="L173" s="59" t="e">
        <f t="shared" si="16"/>
        <v>#DIV/0!</v>
      </c>
      <c r="M173" s="60" t="str">
        <f>IFERROR((#REF!/1.18)*1000,"")</f>
        <v/>
      </c>
    </row>
    <row r="174" spans="1:13" hidden="1" outlineLevel="1" x14ac:dyDescent="0.55000000000000004">
      <c r="A174" s="165"/>
      <c r="B174" s="35">
        <f t="shared" si="17"/>
        <v>25</v>
      </c>
      <c r="C174" s="36" t="str">
        <f t="shared" si="13"/>
        <v>82016</v>
      </c>
      <c r="D174" s="44">
        <v>42607</v>
      </c>
      <c r="E174" s="38">
        <v>2.9443000000000001</v>
      </c>
      <c r="F174" s="39">
        <v>259</v>
      </c>
      <c r="G174" s="33">
        <f t="shared" si="18"/>
        <v>762.57370000000003</v>
      </c>
      <c r="H174" s="33"/>
      <c r="I174" s="33">
        <f t="shared" si="15"/>
        <v>762.42866000000004</v>
      </c>
      <c r="J174" s="33"/>
      <c r="K174" s="33" t="e">
        <f t="shared" si="14"/>
        <v>#DIV/0!</v>
      </c>
      <c r="L174" s="59" t="e">
        <f t="shared" si="16"/>
        <v>#DIV/0!</v>
      </c>
      <c r="M174" s="60" t="str">
        <f>IFERROR((#REF!/1.18)*1000,"")</f>
        <v/>
      </c>
    </row>
    <row r="175" spans="1:13" hidden="1" outlineLevel="1" x14ac:dyDescent="0.55000000000000004">
      <c r="A175" s="165"/>
      <c r="B175" s="35">
        <f t="shared" si="17"/>
        <v>26</v>
      </c>
      <c r="C175" s="36" t="str">
        <f t="shared" si="13"/>
        <v>82016</v>
      </c>
      <c r="D175" s="44">
        <v>42608</v>
      </c>
      <c r="E175" s="38">
        <v>2.9388999999999998</v>
      </c>
      <c r="F175" s="39">
        <v>259</v>
      </c>
      <c r="G175" s="33">
        <f t="shared" si="18"/>
        <v>761.17509999999993</v>
      </c>
      <c r="H175" s="33"/>
      <c r="I175" s="33">
        <f t="shared" si="15"/>
        <v>763.25746000000004</v>
      </c>
      <c r="J175" s="33"/>
      <c r="K175" s="33" t="e">
        <f t="shared" si="14"/>
        <v>#DIV/0!</v>
      </c>
      <c r="L175" s="59" t="e">
        <f t="shared" si="16"/>
        <v>#DIV/0!</v>
      </c>
      <c r="M175" s="60" t="str">
        <f>IFERROR((#REF!/1.18)*1000,"")</f>
        <v/>
      </c>
    </row>
    <row r="176" spans="1:13" hidden="1" outlineLevel="1" x14ac:dyDescent="0.55000000000000004">
      <c r="A176" s="165"/>
      <c r="B176" s="35">
        <f t="shared" si="17"/>
        <v>29</v>
      </c>
      <c r="C176" s="36" t="str">
        <f t="shared" si="13"/>
        <v>82016</v>
      </c>
      <c r="D176" s="44">
        <v>42611</v>
      </c>
      <c r="E176" s="38">
        <v>2.9598</v>
      </c>
      <c r="F176" s="39">
        <v>259</v>
      </c>
      <c r="G176" s="33">
        <f t="shared" si="18"/>
        <v>766.58820000000003</v>
      </c>
      <c r="H176" s="33"/>
      <c r="I176" s="33">
        <f t="shared" si="15"/>
        <v>763.15904</v>
      </c>
      <c r="J176" s="33"/>
      <c r="K176" s="33" t="e">
        <f t="shared" si="14"/>
        <v>#DIV/0!</v>
      </c>
      <c r="L176" s="59" t="e">
        <f t="shared" si="16"/>
        <v>#DIV/0!</v>
      </c>
      <c r="M176" s="60" t="str">
        <f>IFERROR((#REF!/1.18)*1000,"")</f>
        <v/>
      </c>
    </row>
    <row r="177" spans="1:13" hidden="1" outlineLevel="1" x14ac:dyDescent="0.55000000000000004">
      <c r="A177" s="165"/>
      <c r="B177" s="35">
        <f t="shared" si="17"/>
        <v>30</v>
      </c>
      <c r="C177" s="36" t="str">
        <f t="shared" si="13"/>
        <v>82016</v>
      </c>
      <c r="D177" s="44">
        <v>42612</v>
      </c>
      <c r="E177" s="38">
        <v>2.9598</v>
      </c>
      <c r="F177" s="39">
        <v>259</v>
      </c>
      <c r="G177" s="33">
        <f t="shared" si="18"/>
        <v>766.58820000000003</v>
      </c>
      <c r="H177" s="33"/>
      <c r="I177" s="33">
        <f t="shared" si="15"/>
        <v>763.68221999999992</v>
      </c>
      <c r="J177" s="33"/>
      <c r="K177" s="33" t="e">
        <f t="shared" si="14"/>
        <v>#DIV/0!</v>
      </c>
      <c r="L177" s="59" t="e">
        <f t="shared" si="16"/>
        <v>#DIV/0!</v>
      </c>
      <c r="M177" s="60" t="str">
        <f>IFERROR((#REF!/1.18)*1000,"")</f>
        <v/>
      </c>
    </row>
    <row r="178" spans="1:13" ht="14.7" hidden="1" outlineLevel="1" thickBot="1" x14ac:dyDescent="0.6">
      <c r="A178" s="166"/>
      <c r="B178" s="35">
        <f t="shared" si="17"/>
        <v>31</v>
      </c>
      <c r="C178" s="36" t="str">
        <f t="shared" si="13"/>
        <v>82016</v>
      </c>
      <c r="D178" s="53">
        <v>42613</v>
      </c>
      <c r="E178" s="38">
        <v>2.9597000000000002</v>
      </c>
      <c r="F178" s="39">
        <v>259</v>
      </c>
      <c r="G178" s="33">
        <f t="shared" si="18"/>
        <v>766.56230000000005</v>
      </c>
      <c r="H178" s="33"/>
      <c r="I178" s="33">
        <f t="shared" si="15"/>
        <v>764.64570000000003</v>
      </c>
      <c r="J178" s="33"/>
      <c r="K178" s="33" t="e">
        <f t="shared" si="14"/>
        <v>#DIV/0!</v>
      </c>
      <c r="L178" s="59" t="e">
        <f t="shared" si="16"/>
        <v>#DIV/0!</v>
      </c>
      <c r="M178" s="60" t="str">
        <f>IFERROR((#REF!/1.18)*1000,"")</f>
        <v/>
      </c>
    </row>
    <row r="179" spans="1:13" hidden="1" outlineLevel="1" x14ac:dyDescent="0.55000000000000004">
      <c r="A179" s="167">
        <v>42614</v>
      </c>
      <c r="B179" s="35">
        <f t="shared" si="17"/>
        <v>1</v>
      </c>
      <c r="C179" s="36" t="str">
        <f t="shared" si="13"/>
        <v>92016</v>
      </c>
      <c r="D179" s="37">
        <v>42614</v>
      </c>
      <c r="E179" s="38">
        <v>2.9611000000000001</v>
      </c>
      <c r="F179" s="39">
        <v>311.5</v>
      </c>
      <c r="G179" s="33">
        <f t="shared" si="18"/>
        <v>922.38265000000001</v>
      </c>
      <c r="H179" s="33"/>
      <c r="I179" s="33">
        <f t="shared" si="15"/>
        <v>764.69749999999999</v>
      </c>
      <c r="J179" s="33"/>
      <c r="K179" s="33" t="e">
        <f t="shared" si="14"/>
        <v>#DIV/0!</v>
      </c>
      <c r="L179" s="59" t="e">
        <f t="shared" si="16"/>
        <v>#DIV/0!</v>
      </c>
      <c r="M179" s="60" t="str">
        <f>IFERROR((#REF!/1.18)*1000,"")</f>
        <v/>
      </c>
    </row>
    <row r="180" spans="1:13" hidden="1" outlineLevel="1" x14ac:dyDescent="0.55000000000000004">
      <c r="A180" s="165"/>
      <c r="B180" s="35">
        <f t="shared" si="17"/>
        <v>2</v>
      </c>
      <c r="C180" s="36" t="str">
        <f t="shared" si="13"/>
        <v>92016</v>
      </c>
      <c r="D180" s="44">
        <v>42615</v>
      </c>
      <c r="E180" s="38">
        <v>2.9639000000000002</v>
      </c>
      <c r="F180" s="39">
        <v>311.5</v>
      </c>
      <c r="G180" s="33">
        <f t="shared" si="18"/>
        <v>923.25485000000003</v>
      </c>
      <c r="H180" s="33"/>
      <c r="I180" s="33">
        <f t="shared" si="15"/>
        <v>796.65929000000006</v>
      </c>
      <c r="J180" s="33"/>
      <c r="K180" s="33" t="e">
        <f t="shared" si="14"/>
        <v>#DIV/0!</v>
      </c>
      <c r="L180" s="59" t="e">
        <f t="shared" si="16"/>
        <v>#DIV/0!</v>
      </c>
      <c r="M180" s="60" t="str">
        <f>IFERROR((#REF!/1.18)*1000,"")</f>
        <v/>
      </c>
    </row>
    <row r="181" spans="1:13" hidden="1" outlineLevel="1" x14ac:dyDescent="0.55000000000000004">
      <c r="A181" s="165"/>
      <c r="B181" s="35">
        <f t="shared" si="17"/>
        <v>5</v>
      </c>
      <c r="C181" s="36" t="str">
        <f t="shared" si="13"/>
        <v>92016</v>
      </c>
      <c r="D181" s="44">
        <v>42618</v>
      </c>
      <c r="E181" s="38">
        <v>2.9493999999999998</v>
      </c>
      <c r="F181" s="39">
        <v>311.5</v>
      </c>
      <c r="G181" s="33">
        <f t="shared" si="18"/>
        <v>918.73809999999992</v>
      </c>
      <c r="H181" s="33"/>
      <c r="I181" s="33">
        <f t="shared" si="15"/>
        <v>829.07523999999989</v>
      </c>
      <c r="J181" s="33"/>
      <c r="K181" s="33" t="e">
        <f t="shared" si="14"/>
        <v>#DIV/0!</v>
      </c>
      <c r="L181" s="59" t="e">
        <f t="shared" si="16"/>
        <v>#DIV/0!</v>
      </c>
      <c r="M181" s="60" t="str">
        <f>IFERROR((#REF!/1.18)*1000,"")</f>
        <v/>
      </c>
    </row>
    <row r="182" spans="1:13" hidden="1" outlineLevel="1" x14ac:dyDescent="0.55000000000000004">
      <c r="A182" s="165"/>
      <c r="B182" s="35">
        <f t="shared" si="17"/>
        <v>6</v>
      </c>
      <c r="C182" s="36" t="str">
        <f t="shared" si="13"/>
        <v>92016</v>
      </c>
      <c r="D182" s="44">
        <v>42619</v>
      </c>
      <c r="E182" s="38">
        <v>2.9441999999999999</v>
      </c>
      <c r="F182" s="39">
        <v>311.5</v>
      </c>
      <c r="G182" s="33">
        <f t="shared" si="18"/>
        <v>917.11829999999998</v>
      </c>
      <c r="H182" s="33"/>
      <c r="I182" s="33">
        <f t="shared" si="15"/>
        <v>859.50522000000001</v>
      </c>
      <c r="J182" s="33"/>
      <c r="K182" s="33" t="e">
        <f t="shared" si="14"/>
        <v>#DIV/0!</v>
      </c>
      <c r="L182" s="59" t="e">
        <f t="shared" si="16"/>
        <v>#DIV/0!</v>
      </c>
      <c r="M182" s="60" t="str">
        <f>IFERROR((#REF!/1.18)*1000,"")</f>
        <v/>
      </c>
    </row>
    <row r="183" spans="1:13" hidden="1" outlineLevel="1" x14ac:dyDescent="0.55000000000000004">
      <c r="A183" s="165"/>
      <c r="B183" s="35">
        <f t="shared" si="17"/>
        <v>7</v>
      </c>
      <c r="C183" s="36" t="str">
        <f t="shared" si="13"/>
        <v>92016</v>
      </c>
      <c r="D183" s="44">
        <v>42620</v>
      </c>
      <c r="E183" s="38">
        <v>2.9339</v>
      </c>
      <c r="F183" s="39">
        <v>311.5</v>
      </c>
      <c r="G183" s="33">
        <f t="shared" si="18"/>
        <v>913.90985000000001</v>
      </c>
      <c r="H183" s="33"/>
      <c r="I183" s="33">
        <f t="shared" si="15"/>
        <v>889.61123999999995</v>
      </c>
      <c r="J183" s="33"/>
      <c r="K183" s="33" t="e">
        <f t="shared" si="14"/>
        <v>#DIV/0!</v>
      </c>
      <c r="L183" s="59" t="e">
        <f t="shared" si="16"/>
        <v>#DIV/0!</v>
      </c>
      <c r="M183" s="60" t="str">
        <f>IFERROR((#REF!/1.18)*1000,"")</f>
        <v/>
      </c>
    </row>
    <row r="184" spans="1:13" hidden="1" outlineLevel="1" x14ac:dyDescent="0.55000000000000004">
      <c r="A184" s="165"/>
      <c r="B184" s="35">
        <f t="shared" si="17"/>
        <v>8</v>
      </c>
      <c r="C184" s="36" t="str">
        <f t="shared" si="13"/>
        <v>92016</v>
      </c>
      <c r="D184" s="44">
        <v>42621</v>
      </c>
      <c r="E184" s="38">
        <v>2.9397000000000002</v>
      </c>
      <c r="F184" s="39">
        <v>311.5</v>
      </c>
      <c r="G184" s="33">
        <f t="shared" si="18"/>
        <v>915.7165500000001</v>
      </c>
      <c r="H184" s="33"/>
      <c r="I184" s="33">
        <f t="shared" si="15"/>
        <v>919.08074999999985</v>
      </c>
      <c r="J184" s="33"/>
      <c r="K184" s="33" t="e">
        <f t="shared" si="14"/>
        <v>#DIV/0!</v>
      </c>
      <c r="L184" s="59" t="e">
        <f t="shared" si="16"/>
        <v>#DIV/0!</v>
      </c>
      <c r="M184" s="60" t="str">
        <f>IFERROR((#REF!/1.18)*1000,"")</f>
        <v/>
      </c>
    </row>
    <row r="185" spans="1:13" hidden="1" outlineLevel="1" x14ac:dyDescent="0.55000000000000004">
      <c r="A185" s="165"/>
      <c r="B185" s="35">
        <f t="shared" si="17"/>
        <v>9</v>
      </c>
      <c r="C185" s="36" t="str">
        <f t="shared" si="13"/>
        <v>92016</v>
      </c>
      <c r="D185" s="44">
        <v>42622</v>
      </c>
      <c r="E185" s="38">
        <v>2.9605000000000001</v>
      </c>
      <c r="F185" s="39">
        <v>311.5</v>
      </c>
      <c r="G185" s="33">
        <f t="shared" si="18"/>
        <v>922.19575000000009</v>
      </c>
      <c r="H185" s="33"/>
      <c r="I185" s="33">
        <f t="shared" si="15"/>
        <v>917.74752999999998</v>
      </c>
      <c r="J185" s="33"/>
      <c r="K185" s="33" t="e">
        <f t="shared" si="14"/>
        <v>#DIV/0!</v>
      </c>
      <c r="L185" s="59" t="e">
        <f t="shared" si="16"/>
        <v>#DIV/0!</v>
      </c>
      <c r="M185" s="60" t="str">
        <f>IFERROR((#REF!/1.18)*1000,"")</f>
        <v/>
      </c>
    </row>
    <row r="186" spans="1:13" hidden="1" outlineLevel="1" x14ac:dyDescent="0.55000000000000004">
      <c r="A186" s="165"/>
      <c r="B186" s="35">
        <f t="shared" si="17"/>
        <v>12</v>
      </c>
      <c r="C186" s="36" t="str">
        <f t="shared" si="13"/>
        <v>92016</v>
      </c>
      <c r="D186" s="44">
        <v>42625</v>
      </c>
      <c r="E186" s="38">
        <v>2.9605000000000001</v>
      </c>
      <c r="F186" s="39">
        <v>311.5</v>
      </c>
      <c r="G186" s="33">
        <f t="shared" si="18"/>
        <v>922.19575000000009</v>
      </c>
      <c r="H186" s="33"/>
      <c r="I186" s="33">
        <f t="shared" si="15"/>
        <v>917.53570999999988</v>
      </c>
      <c r="J186" s="33"/>
      <c r="K186" s="33" t="e">
        <f t="shared" si="14"/>
        <v>#DIV/0!</v>
      </c>
      <c r="L186" s="59" t="e">
        <f t="shared" si="16"/>
        <v>#DIV/0!</v>
      </c>
      <c r="M186" s="60" t="str">
        <f>IFERROR((#REF!/1.18)*1000,"")</f>
        <v/>
      </c>
    </row>
    <row r="187" spans="1:13" hidden="1" outlineLevel="1" x14ac:dyDescent="0.55000000000000004">
      <c r="A187" s="165"/>
      <c r="B187" s="35">
        <f t="shared" si="17"/>
        <v>13</v>
      </c>
      <c r="C187" s="36" t="str">
        <f t="shared" si="13"/>
        <v>92016</v>
      </c>
      <c r="D187" s="44">
        <v>42626</v>
      </c>
      <c r="E187" s="38">
        <v>2.9605000000000001</v>
      </c>
      <c r="F187" s="39">
        <v>311.5</v>
      </c>
      <c r="G187" s="33">
        <f t="shared" si="18"/>
        <v>922.19575000000009</v>
      </c>
      <c r="H187" s="33"/>
      <c r="I187" s="33">
        <f t="shared" si="15"/>
        <v>918.22723999999994</v>
      </c>
      <c r="J187" s="33"/>
      <c r="K187" s="33" t="e">
        <f t="shared" si="14"/>
        <v>#DIV/0!</v>
      </c>
      <c r="L187" s="59" t="e">
        <f t="shared" si="16"/>
        <v>#DIV/0!</v>
      </c>
      <c r="M187" s="60" t="str">
        <f>IFERROR((#REF!/1.18)*1000,"")</f>
        <v/>
      </c>
    </row>
    <row r="188" spans="1:13" hidden="1" outlineLevel="1" x14ac:dyDescent="0.55000000000000004">
      <c r="A188" s="165"/>
      <c r="B188" s="35">
        <f t="shared" si="17"/>
        <v>14</v>
      </c>
      <c r="C188" s="36" t="str">
        <f t="shared" si="13"/>
        <v>92016</v>
      </c>
      <c r="D188" s="44">
        <v>42627</v>
      </c>
      <c r="E188" s="38">
        <v>2.9605000000000001</v>
      </c>
      <c r="F188" s="39">
        <v>311.5</v>
      </c>
      <c r="G188" s="33">
        <f t="shared" si="18"/>
        <v>922.19575000000009</v>
      </c>
      <c r="H188" s="33"/>
      <c r="I188" s="33">
        <f t="shared" si="15"/>
        <v>919.24272999999994</v>
      </c>
      <c r="J188" s="33"/>
      <c r="K188" s="33" t="e">
        <f t="shared" si="14"/>
        <v>#DIV/0!</v>
      </c>
      <c r="L188" s="59" t="e">
        <f t="shared" si="16"/>
        <v>#DIV/0!</v>
      </c>
      <c r="M188" s="60" t="str">
        <f>IFERROR((#REF!/1.18)*1000,"")</f>
        <v/>
      </c>
    </row>
    <row r="189" spans="1:13" hidden="1" outlineLevel="1" x14ac:dyDescent="0.55000000000000004">
      <c r="A189" s="165"/>
      <c r="B189" s="35">
        <f t="shared" si="17"/>
        <v>15</v>
      </c>
      <c r="C189" s="36" t="str">
        <f t="shared" si="13"/>
        <v>92016</v>
      </c>
      <c r="D189" s="44">
        <v>42628</v>
      </c>
      <c r="E189" s="38">
        <v>2.9605000000000001</v>
      </c>
      <c r="F189" s="39">
        <v>311.5</v>
      </c>
      <c r="G189" s="33">
        <f t="shared" si="18"/>
        <v>922.19575000000009</v>
      </c>
      <c r="H189" s="33"/>
      <c r="I189" s="33">
        <f t="shared" si="15"/>
        <v>920.89991000000009</v>
      </c>
      <c r="J189" s="33"/>
      <c r="K189" s="33" t="e">
        <f t="shared" si="14"/>
        <v>#DIV/0!</v>
      </c>
      <c r="L189" s="59" t="e">
        <f t="shared" si="16"/>
        <v>#DIV/0!</v>
      </c>
      <c r="M189" s="60" t="str">
        <f>IFERROR((#REF!/1.18)*1000,"")</f>
        <v/>
      </c>
    </row>
    <row r="190" spans="1:13" hidden="1" outlineLevel="1" x14ac:dyDescent="0.55000000000000004">
      <c r="A190" s="165"/>
      <c r="B190" s="35">
        <f t="shared" si="17"/>
        <v>16</v>
      </c>
      <c r="C190" s="36" t="str">
        <f t="shared" si="13"/>
        <v>92016</v>
      </c>
      <c r="D190" s="44">
        <v>42629</v>
      </c>
      <c r="E190" s="38">
        <v>2.9731000000000001</v>
      </c>
      <c r="F190" s="39">
        <v>311.5</v>
      </c>
      <c r="G190" s="33">
        <f t="shared" si="18"/>
        <v>926.12065000000007</v>
      </c>
      <c r="H190" s="33"/>
      <c r="I190" s="33">
        <f t="shared" si="15"/>
        <v>922.19575000000009</v>
      </c>
      <c r="J190" s="33"/>
      <c r="K190" s="33" t="e">
        <f t="shared" si="14"/>
        <v>#DIV/0!</v>
      </c>
      <c r="L190" s="59" t="e">
        <f t="shared" si="16"/>
        <v>#DIV/0!</v>
      </c>
      <c r="M190" s="60" t="str">
        <f>IFERROR((#REF!/1.18)*1000,"")</f>
        <v/>
      </c>
    </row>
    <row r="191" spans="1:13" hidden="1" outlineLevel="1" x14ac:dyDescent="0.55000000000000004">
      <c r="A191" s="165"/>
      <c r="B191" s="35">
        <f t="shared" si="17"/>
        <v>19</v>
      </c>
      <c r="C191" s="36" t="str">
        <f t="shared" si="13"/>
        <v>92016</v>
      </c>
      <c r="D191" s="44">
        <v>42632</v>
      </c>
      <c r="E191" s="38">
        <v>2.9792999999999998</v>
      </c>
      <c r="F191" s="39">
        <v>311.5</v>
      </c>
      <c r="G191" s="33">
        <f t="shared" si="18"/>
        <v>928.05194999999992</v>
      </c>
      <c r="H191" s="33"/>
      <c r="I191" s="33">
        <f t="shared" si="15"/>
        <v>922.98072999999999</v>
      </c>
      <c r="J191" s="33"/>
      <c r="K191" s="33" t="e">
        <f t="shared" si="14"/>
        <v>#DIV/0!</v>
      </c>
      <c r="L191" s="59" t="e">
        <f t="shared" si="16"/>
        <v>#DIV/0!</v>
      </c>
      <c r="M191" s="60" t="str">
        <f>IFERROR((#REF!/1.18)*1000,"")</f>
        <v/>
      </c>
    </row>
    <row r="192" spans="1:13" hidden="1" outlineLevel="1" x14ac:dyDescent="0.55000000000000004">
      <c r="A192" s="165"/>
      <c r="B192" s="35">
        <f t="shared" si="17"/>
        <v>20</v>
      </c>
      <c r="C192" s="36" t="str">
        <f t="shared" si="13"/>
        <v>92016</v>
      </c>
      <c r="D192" s="44">
        <v>42633</v>
      </c>
      <c r="E192" s="38">
        <v>2.9794</v>
      </c>
      <c r="F192" s="39">
        <v>311.5</v>
      </c>
      <c r="G192" s="33">
        <f t="shared" si="18"/>
        <v>928.08310000000006</v>
      </c>
      <c r="H192" s="33"/>
      <c r="I192" s="33">
        <f t="shared" si="15"/>
        <v>924.15197000000012</v>
      </c>
      <c r="J192" s="33"/>
      <c r="K192" s="33" t="e">
        <f t="shared" si="14"/>
        <v>#DIV/0!</v>
      </c>
      <c r="L192" s="59" t="e">
        <f t="shared" si="16"/>
        <v>#DIV/0!</v>
      </c>
      <c r="M192" s="60" t="str">
        <f>IFERROR((#REF!/1.18)*1000,"")</f>
        <v/>
      </c>
    </row>
    <row r="193" spans="1:13" hidden="1" outlineLevel="1" x14ac:dyDescent="0.55000000000000004">
      <c r="A193" s="165"/>
      <c r="B193" s="35">
        <f t="shared" si="17"/>
        <v>21</v>
      </c>
      <c r="C193" s="36" t="str">
        <f t="shared" si="13"/>
        <v>92016</v>
      </c>
      <c r="D193" s="44">
        <v>42634</v>
      </c>
      <c r="E193" s="38">
        <v>2.9792000000000001</v>
      </c>
      <c r="F193" s="39">
        <v>311.5</v>
      </c>
      <c r="G193" s="33">
        <f t="shared" si="18"/>
        <v>928.02080000000001</v>
      </c>
      <c r="H193" s="33"/>
      <c r="I193" s="33">
        <f t="shared" si="15"/>
        <v>925.32944000000009</v>
      </c>
      <c r="J193" s="33"/>
      <c r="K193" s="33" t="e">
        <f t="shared" si="14"/>
        <v>#DIV/0!</v>
      </c>
      <c r="L193" s="59" t="e">
        <f t="shared" si="16"/>
        <v>#DIV/0!</v>
      </c>
      <c r="M193" s="60" t="str">
        <f>IFERROR((#REF!/1.18)*1000,"")</f>
        <v/>
      </c>
    </row>
    <row r="194" spans="1:13" hidden="1" outlineLevel="1" x14ac:dyDescent="0.55000000000000004">
      <c r="A194" s="165"/>
      <c r="B194" s="35">
        <f t="shared" si="17"/>
        <v>22</v>
      </c>
      <c r="C194" s="36" t="str">
        <f t="shared" ref="C194:C257" si="19">IF(F194&gt;0,MONTH(D194)&amp;YEAR(D194),"")</f>
        <v>92016</v>
      </c>
      <c r="D194" s="44">
        <v>42635</v>
      </c>
      <c r="E194" s="38">
        <v>2.9521000000000002</v>
      </c>
      <c r="F194" s="39">
        <v>311.5</v>
      </c>
      <c r="G194" s="33">
        <f t="shared" si="18"/>
        <v>919.57915000000003</v>
      </c>
      <c r="H194" s="33"/>
      <c r="I194" s="33">
        <f t="shared" si="15"/>
        <v>926.49445000000014</v>
      </c>
      <c r="J194" s="33"/>
      <c r="K194" s="33" t="e">
        <f t="shared" si="14"/>
        <v>#DIV/0!</v>
      </c>
      <c r="L194" s="59" t="e">
        <f t="shared" si="16"/>
        <v>#DIV/0!</v>
      </c>
      <c r="M194" s="60" t="str">
        <f>IFERROR((#REF!/1.18)*1000,"")</f>
        <v/>
      </c>
    </row>
    <row r="195" spans="1:13" hidden="1" outlineLevel="1" x14ac:dyDescent="0.55000000000000004">
      <c r="A195" s="165"/>
      <c r="B195" s="35">
        <f t="shared" si="17"/>
        <v>23</v>
      </c>
      <c r="C195" s="36" t="str">
        <f t="shared" si="19"/>
        <v>92016</v>
      </c>
      <c r="D195" s="44">
        <v>42636</v>
      </c>
      <c r="E195" s="38">
        <v>2.9527000000000001</v>
      </c>
      <c r="F195" s="39">
        <v>311.5</v>
      </c>
      <c r="G195" s="33">
        <f t="shared" si="18"/>
        <v>919.76605000000006</v>
      </c>
      <c r="H195" s="33"/>
      <c r="I195" s="33">
        <f t="shared" si="15"/>
        <v>925.9711299999999</v>
      </c>
      <c r="J195" s="33"/>
      <c r="K195" s="33" t="e">
        <f t="shared" si="14"/>
        <v>#DIV/0!</v>
      </c>
      <c r="L195" s="59" t="e">
        <f t="shared" si="16"/>
        <v>#DIV/0!</v>
      </c>
      <c r="M195" s="60" t="str">
        <f>IFERROR((#REF!/1.18)*1000,"")</f>
        <v/>
      </c>
    </row>
    <row r="196" spans="1:13" hidden="1" outlineLevel="1" x14ac:dyDescent="0.55000000000000004">
      <c r="A196" s="165"/>
      <c r="B196" s="35">
        <f t="shared" si="17"/>
        <v>26</v>
      </c>
      <c r="C196" s="36" t="str">
        <f t="shared" si="19"/>
        <v>92016</v>
      </c>
      <c r="D196" s="44">
        <v>42639</v>
      </c>
      <c r="E196" s="38">
        <v>2.99</v>
      </c>
      <c r="F196" s="39">
        <v>311.5</v>
      </c>
      <c r="G196" s="33">
        <f t="shared" si="18"/>
        <v>931.3850000000001</v>
      </c>
      <c r="H196" s="33"/>
      <c r="I196" s="33">
        <f t="shared" si="15"/>
        <v>924.70020999999997</v>
      </c>
      <c r="J196" s="33"/>
      <c r="K196" s="33" t="e">
        <f t="shared" si="14"/>
        <v>#DIV/0!</v>
      </c>
      <c r="L196" s="59" t="e">
        <f t="shared" si="16"/>
        <v>#DIV/0!</v>
      </c>
      <c r="M196" s="60" t="str">
        <f>IFERROR((#REF!/1.18)*1000,"")</f>
        <v/>
      </c>
    </row>
    <row r="197" spans="1:13" hidden="1" outlineLevel="1" x14ac:dyDescent="0.55000000000000004">
      <c r="A197" s="165"/>
      <c r="B197" s="35">
        <f t="shared" si="17"/>
        <v>27</v>
      </c>
      <c r="C197" s="36" t="str">
        <f t="shared" si="19"/>
        <v>92016</v>
      </c>
      <c r="D197" s="44">
        <v>42640</v>
      </c>
      <c r="E197" s="38">
        <v>2.9763000000000002</v>
      </c>
      <c r="F197" s="39">
        <v>311.5</v>
      </c>
      <c r="G197" s="33">
        <f t="shared" si="18"/>
        <v>927.11745000000008</v>
      </c>
      <c r="H197" s="33"/>
      <c r="I197" s="33">
        <f t="shared" si="15"/>
        <v>925.36681999999996</v>
      </c>
      <c r="J197" s="33"/>
      <c r="K197" s="33" t="e">
        <f t="shared" si="14"/>
        <v>#DIV/0!</v>
      </c>
      <c r="L197" s="59" t="e">
        <f t="shared" si="16"/>
        <v>#DIV/0!</v>
      </c>
      <c r="M197" s="60" t="str">
        <f>IFERROR((#REF!/1.18)*1000,"")</f>
        <v/>
      </c>
    </row>
    <row r="198" spans="1:13" hidden="1" outlineLevel="1" x14ac:dyDescent="0.55000000000000004">
      <c r="A198" s="165"/>
      <c r="B198" s="35">
        <f t="shared" si="17"/>
        <v>28</v>
      </c>
      <c r="C198" s="36" t="str">
        <f t="shared" si="19"/>
        <v>92016</v>
      </c>
      <c r="D198" s="44">
        <v>42641</v>
      </c>
      <c r="E198" s="38">
        <v>2.9817999999999998</v>
      </c>
      <c r="F198" s="39">
        <v>311.5</v>
      </c>
      <c r="G198" s="33">
        <f t="shared" si="18"/>
        <v>928.83069999999998</v>
      </c>
      <c r="H198" s="33"/>
      <c r="I198" s="33">
        <f t="shared" si="15"/>
        <v>925.17368999999997</v>
      </c>
      <c r="J198" s="33"/>
      <c r="K198" s="33" t="e">
        <f t="shared" si="14"/>
        <v>#DIV/0!</v>
      </c>
      <c r="L198" s="59" t="e">
        <f t="shared" si="16"/>
        <v>#DIV/0!</v>
      </c>
      <c r="M198" s="60" t="str">
        <f>IFERROR((#REF!/1.18)*1000,"")</f>
        <v/>
      </c>
    </row>
    <row r="199" spans="1:13" hidden="1" outlineLevel="1" x14ac:dyDescent="0.55000000000000004">
      <c r="A199" s="165"/>
      <c r="B199" s="35">
        <f t="shared" si="17"/>
        <v>29</v>
      </c>
      <c r="C199" s="36" t="str">
        <f t="shared" si="19"/>
        <v>92016</v>
      </c>
      <c r="D199" s="44">
        <v>42642</v>
      </c>
      <c r="E199" s="38">
        <v>3.0013000000000001</v>
      </c>
      <c r="F199" s="39">
        <v>311.5</v>
      </c>
      <c r="G199" s="33">
        <f t="shared" si="18"/>
        <v>934.90494999999999</v>
      </c>
      <c r="H199" s="33"/>
      <c r="I199" s="33">
        <f t="shared" si="15"/>
        <v>925.33567000000005</v>
      </c>
      <c r="J199" s="33"/>
      <c r="K199" s="33" t="e">
        <f t="shared" ref="K199:K262" si="20">IF(L198&gt;3%,G197,IF(L198&lt;-3%,G197,K198))</f>
        <v>#DIV/0!</v>
      </c>
      <c r="L199" s="59" t="e">
        <f t="shared" si="16"/>
        <v>#DIV/0!</v>
      </c>
      <c r="M199" s="60" t="str">
        <f>IFERROR((#REF!/1.18)*1000,"")</f>
        <v/>
      </c>
    </row>
    <row r="200" spans="1:13" ht="14.7" hidden="1" outlineLevel="1" thickBot="1" x14ac:dyDescent="0.6">
      <c r="A200" s="166"/>
      <c r="B200" s="35">
        <f t="shared" si="17"/>
        <v>30</v>
      </c>
      <c r="C200" s="36" t="str">
        <f t="shared" si="19"/>
        <v>92016</v>
      </c>
      <c r="D200" s="53">
        <v>42643</v>
      </c>
      <c r="E200" s="38">
        <v>3.0057999999999998</v>
      </c>
      <c r="F200" s="39">
        <v>311.5</v>
      </c>
      <c r="G200" s="33">
        <f t="shared" si="18"/>
        <v>936.30669999999998</v>
      </c>
      <c r="H200" s="33"/>
      <c r="I200" s="33">
        <f t="shared" ref="I200:I263" si="21">IF(M199&lt;&gt;"",AVERAGE(G199),IF(M198&lt;&gt;"",AVERAGE(G198:G199),IF(M197&lt;&gt;"",AVERAGE(G197:G199),IF(M196&lt;&gt;"",AVERAGE(G196:G199),AVERAGE(G195:G199)))))</f>
        <v>928.40082999999993</v>
      </c>
      <c r="J200" s="33"/>
      <c r="K200" s="33" t="e">
        <f t="shared" si="20"/>
        <v>#DIV/0!</v>
      </c>
      <c r="L200" s="59" t="e">
        <f t="shared" si="16"/>
        <v>#DIV/0!</v>
      </c>
      <c r="M200" s="60" t="str">
        <f>IFERROR((#REF!/1.18)*1000,"")</f>
        <v/>
      </c>
    </row>
    <row r="201" spans="1:13" hidden="1" outlineLevel="1" x14ac:dyDescent="0.55000000000000004">
      <c r="A201" s="167">
        <v>42644</v>
      </c>
      <c r="B201" s="35">
        <f t="shared" si="17"/>
        <v>3</v>
      </c>
      <c r="C201" s="36" t="str">
        <f t="shared" si="19"/>
        <v>102016</v>
      </c>
      <c r="D201" s="37">
        <v>42646</v>
      </c>
      <c r="E201" s="38">
        <v>3.0089999999999999</v>
      </c>
      <c r="F201" s="39">
        <v>343.5</v>
      </c>
      <c r="G201" s="33">
        <f t="shared" si="18"/>
        <v>1033.5915</v>
      </c>
      <c r="H201" s="33"/>
      <c r="I201" s="33">
        <f t="shared" si="21"/>
        <v>931.70896000000016</v>
      </c>
      <c r="J201" s="33"/>
      <c r="K201" s="33" t="e">
        <f t="shared" si="20"/>
        <v>#DIV/0!</v>
      </c>
      <c r="L201" s="59" t="e">
        <f t="shared" si="16"/>
        <v>#DIV/0!</v>
      </c>
      <c r="M201" s="60" t="str">
        <f>IFERROR((#REF!/1.18)*1000,"")</f>
        <v/>
      </c>
    </row>
    <row r="202" spans="1:13" hidden="1" outlineLevel="1" x14ac:dyDescent="0.55000000000000004">
      <c r="A202" s="165"/>
      <c r="B202" s="35">
        <f t="shared" si="17"/>
        <v>4</v>
      </c>
      <c r="C202" s="36" t="str">
        <f t="shared" si="19"/>
        <v>102016</v>
      </c>
      <c r="D202" s="44">
        <v>42647</v>
      </c>
      <c r="E202" s="38">
        <v>3.0348000000000002</v>
      </c>
      <c r="F202" s="39">
        <v>343.5</v>
      </c>
      <c r="G202" s="33">
        <f t="shared" si="18"/>
        <v>1042.4538</v>
      </c>
      <c r="H202" s="33"/>
      <c r="I202" s="33">
        <f t="shared" si="21"/>
        <v>952.15026</v>
      </c>
      <c r="J202" s="33"/>
      <c r="K202" s="33" t="e">
        <f t="shared" si="20"/>
        <v>#DIV/0!</v>
      </c>
      <c r="L202" s="59" t="e">
        <f t="shared" si="16"/>
        <v>#DIV/0!</v>
      </c>
      <c r="M202" s="60" t="str">
        <f>IFERROR((#REF!/1.18)*1000,"")</f>
        <v/>
      </c>
    </row>
    <row r="203" spans="1:13" hidden="1" outlineLevel="1" x14ac:dyDescent="0.55000000000000004">
      <c r="A203" s="165"/>
      <c r="B203" s="35">
        <f t="shared" si="17"/>
        <v>5</v>
      </c>
      <c r="C203" s="36" t="str">
        <f t="shared" si="19"/>
        <v>102016</v>
      </c>
      <c r="D203" s="44">
        <v>42648</v>
      </c>
      <c r="E203" s="38">
        <v>3.0592000000000001</v>
      </c>
      <c r="F203" s="39">
        <v>343.5</v>
      </c>
      <c r="G203" s="33">
        <f t="shared" si="18"/>
        <v>1050.8352</v>
      </c>
      <c r="H203" s="33"/>
      <c r="I203" s="33">
        <f t="shared" si="21"/>
        <v>975.21753000000012</v>
      </c>
      <c r="J203" s="33"/>
      <c r="K203" s="33" t="e">
        <f t="shared" si="20"/>
        <v>#DIV/0!</v>
      </c>
      <c r="L203" s="59" t="e">
        <f t="shared" si="16"/>
        <v>#DIV/0!</v>
      </c>
      <c r="M203" s="60" t="str">
        <f>IFERROR((#REF!/1.18)*1000,"")</f>
        <v/>
      </c>
    </row>
    <row r="204" spans="1:13" hidden="1" outlineLevel="1" x14ac:dyDescent="0.55000000000000004">
      <c r="A204" s="165"/>
      <c r="B204" s="35">
        <f t="shared" si="17"/>
        <v>6</v>
      </c>
      <c r="C204" s="36" t="str">
        <f t="shared" si="19"/>
        <v>102016</v>
      </c>
      <c r="D204" s="44">
        <v>42649</v>
      </c>
      <c r="E204" s="38">
        <v>3.0560999999999998</v>
      </c>
      <c r="F204" s="39">
        <v>343.5</v>
      </c>
      <c r="G204" s="33">
        <f t="shared" si="18"/>
        <v>1049.77035</v>
      </c>
      <c r="H204" s="33"/>
      <c r="I204" s="33">
        <f t="shared" si="21"/>
        <v>999.6184300000001</v>
      </c>
      <c r="J204" s="33"/>
      <c r="K204" s="33" t="e">
        <f t="shared" si="20"/>
        <v>#DIV/0!</v>
      </c>
      <c r="L204" s="59" t="e">
        <f t="shared" ref="L204:L267" si="22">(I204-K204)/K204</f>
        <v>#DIV/0!</v>
      </c>
      <c r="M204" s="60" t="str">
        <f>IFERROR((#REF!/1.18)*1000,"")</f>
        <v/>
      </c>
    </row>
    <row r="205" spans="1:13" hidden="1" outlineLevel="1" x14ac:dyDescent="0.55000000000000004">
      <c r="A205" s="165"/>
      <c r="B205" s="35">
        <f t="shared" si="17"/>
        <v>7</v>
      </c>
      <c r="C205" s="36" t="str">
        <f t="shared" si="19"/>
        <v>102016</v>
      </c>
      <c r="D205" s="44">
        <v>42650</v>
      </c>
      <c r="E205" s="38">
        <v>3.056</v>
      </c>
      <c r="F205" s="39">
        <v>343.5</v>
      </c>
      <c r="G205" s="33">
        <f t="shared" si="18"/>
        <v>1049.7360000000001</v>
      </c>
      <c r="H205" s="33"/>
      <c r="I205" s="33">
        <f t="shared" si="21"/>
        <v>1022.59151</v>
      </c>
      <c r="J205" s="33"/>
      <c r="K205" s="33" t="e">
        <f t="shared" si="20"/>
        <v>#DIV/0!</v>
      </c>
      <c r="L205" s="59" t="e">
        <f t="shared" si="22"/>
        <v>#DIV/0!</v>
      </c>
      <c r="M205" s="60" t="str">
        <f>IFERROR((#REF!/1.18)*1000,"")</f>
        <v/>
      </c>
    </row>
    <row r="206" spans="1:13" hidden="1" outlineLevel="1" x14ac:dyDescent="0.55000000000000004">
      <c r="A206" s="165"/>
      <c r="B206" s="35">
        <f t="shared" si="17"/>
        <v>10</v>
      </c>
      <c r="C206" s="36" t="str">
        <f t="shared" si="19"/>
        <v>102016</v>
      </c>
      <c r="D206" s="44">
        <v>42653</v>
      </c>
      <c r="E206" s="38">
        <v>3.0640000000000001</v>
      </c>
      <c r="F206" s="39">
        <v>343.5</v>
      </c>
      <c r="G206" s="33">
        <f t="shared" si="18"/>
        <v>1052.4839999999999</v>
      </c>
      <c r="H206" s="33"/>
      <c r="I206" s="33">
        <f t="shared" si="21"/>
        <v>1045.27737</v>
      </c>
      <c r="J206" s="33"/>
      <c r="K206" s="33" t="e">
        <f t="shared" si="20"/>
        <v>#DIV/0!</v>
      </c>
      <c r="L206" s="59" t="e">
        <f t="shared" si="22"/>
        <v>#DIV/0!</v>
      </c>
      <c r="M206" s="60" t="str">
        <f>IFERROR((#REF!/1.18)*1000,"")</f>
        <v/>
      </c>
    </row>
    <row r="207" spans="1:13" hidden="1" outlineLevel="1" x14ac:dyDescent="0.55000000000000004">
      <c r="A207" s="165"/>
      <c r="B207" s="35">
        <f t="shared" si="17"/>
        <v>11</v>
      </c>
      <c r="C207" s="36" t="str">
        <f t="shared" si="19"/>
        <v>102016</v>
      </c>
      <c r="D207" s="44">
        <v>42654</v>
      </c>
      <c r="E207" s="38">
        <v>3.0863999999999998</v>
      </c>
      <c r="F207" s="39">
        <v>343.5</v>
      </c>
      <c r="G207" s="33">
        <f t="shared" si="18"/>
        <v>1060.1784</v>
      </c>
      <c r="H207" s="33"/>
      <c r="I207" s="33">
        <f t="shared" si="21"/>
        <v>1049.0558699999997</v>
      </c>
      <c r="J207" s="33"/>
      <c r="K207" s="33" t="e">
        <f t="shared" si="20"/>
        <v>#DIV/0!</v>
      </c>
      <c r="L207" s="59" t="e">
        <f t="shared" si="22"/>
        <v>#DIV/0!</v>
      </c>
      <c r="M207" s="60" t="str">
        <f>IFERROR((#REF!/1.18)*1000,"")</f>
        <v/>
      </c>
    </row>
    <row r="208" spans="1:13" hidden="1" outlineLevel="1" x14ac:dyDescent="0.55000000000000004">
      <c r="A208" s="165"/>
      <c r="B208" s="35">
        <f t="shared" si="17"/>
        <v>12</v>
      </c>
      <c r="C208" s="36" t="str">
        <f t="shared" si="19"/>
        <v>102016</v>
      </c>
      <c r="D208" s="44">
        <v>42655</v>
      </c>
      <c r="E208" s="38">
        <v>3.0861000000000001</v>
      </c>
      <c r="F208" s="39">
        <v>343.5</v>
      </c>
      <c r="G208" s="33">
        <f t="shared" si="18"/>
        <v>1060.0753500000001</v>
      </c>
      <c r="H208" s="33"/>
      <c r="I208" s="33">
        <f t="shared" si="21"/>
        <v>1052.60079</v>
      </c>
      <c r="J208" s="33"/>
      <c r="K208" s="33" t="e">
        <f t="shared" si="20"/>
        <v>#DIV/0!</v>
      </c>
      <c r="L208" s="59" t="e">
        <f t="shared" si="22"/>
        <v>#DIV/0!</v>
      </c>
      <c r="M208" s="60" t="str">
        <f>IFERROR((#REF!/1.18)*1000,"")</f>
        <v/>
      </c>
    </row>
    <row r="209" spans="1:13" hidden="1" outlineLevel="1" x14ac:dyDescent="0.55000000000000004">
      <c r="A209" s="165"/>
      <c r="B209" s="35">
        <f t="shared" si="17"/>
        <v>13</v>
      </c>
      <c r="C209" s="36" t="str">
        <f t="shared" si="19"/>
        <v>102016</v>
      </c>
      <c r="D209" s="44">
        <v>42656</v>
      </c>
      <c r="E209" s="38">
        <v>3.1023000000000001</v>
      </c>
      <c r="F209" s="39">
        <v>343.5</v>
      </c>
      <c r="G209" s="33">
        <f t="shared" si="18"/>
        <v>1065.64005</v>
      </c>
      <c r="H209" s="33"/>
      <c r="I209" s="33">
        <f t="shared" si="21"/>
        <v>1054.4488200000001</v>
      </c>
      <c r="J209" s="33"/>
      <c r="K209" s="33" t="e">
        <f t="shared" si="20"/>
        <v>#DIV/0!</v>
      </c>
      <c r="L209" s="59" t="e">
        <f t="shared" si="22"/>
        <v>#DIV/0!</v>
      </c>
      <c r="M209" s="60" t="str">
        <f>IFERROR((#REF!/1.18)*1000,"")</f>
        <v/>
      </c>
    </row>
    <row r="210" spans="1:13" hidden="1" outlineLevel="1" x14ac:dyDescent="0.55000000000000004">
      <c r="A210" s="165"/>
      <c r="B210" s="35">
        <f t="shared" si="17"/>
        <v>14</v>
      </c>
      <c r="C210" s="36" t="str">
        <f t="shared" si="19"/>
        <v>102016</v>
      </c>
      <c r="D210" s="44">
        <v>42657</v>
      </c>
      <c r="E210" s="38">
        <v>3.0922000000000001</v>
      </c>
      <c r="F210" s="39">
        <v>343.5</v>
      </c>
      <c r="G210" s="33">
        <f t="shared" si="18"/>
        <v>1062.1707000000001</v>
      </c>
      <c r="H210" s="33"/>
      <c r="I210" s="33">
        <f t="shared" si="21"/>
        <v>1057.62276</v>
      </c>
      <c r="J210" s="33"/>
      <c r="K210" s="33" t="e">
        <f t="shared" si="20"/>
        <v>#DIV/0!</v>
      </c>
      <c r="L210" s="59" t="e">
        <f t="shared" si="22"/>
        <v>#DIV/0!</v>
      </c>
      <c r="M210" s="60" t="str">
        <f>IFERROR((#REF!/1.18)*1000,"")</f>
        <v/>
      </c>
    </row>
    <row r="211" spans="1:13" hidden="1" outlineLevel="1" x14ac:dyDescent="0.55000000000000004">
      <c r="A211" s="165"/>
      <c r="B211" s="35">
        <f t="shared" si="17"/>
        <v>17</v>
      </c>
      <c r="C211" s="36" t="str">
        <f t="shared" si="19"/>
        <v>102016</v>
      </c>
      <c r="D211" s="44">
        <v>42660</v>
      </c>
      <c r="E211" s="38">
        <v>3.1013000000000002</v>
      </c>
      <c r="F211" s="39">
        <v>343.5</v>
      </c>
      <c r="G211" s="33">
        <f t="shared" si="18"/>
        <v>1065.29655</v>
      </c>
      <c r="H211" s="33"/>
      <c r="I211" s="33">
        <f t="shared" si="21"/>
        <v>1060.1097000000002</v>
      </c>
      <c r="J211" s="33"/>
      <c r="K211" s="33" t="e">
        <f t="shared" si="20"/>
        <v>#DIV/0!</v>
      </c>
      <c r="L211" s="59" t="e">
        <f t="shared" si="22"/>
        <v>#DIV/0!</v>
      </c>
      <c r="M211" s="60" t="str">
        <f>IFERROR((#REF!/1.18)*1000,"")</f>
        <v/>
      </c>
    </row>
    <row r="212" spans="1:13" hidden="1" outlineLevel="1" x14ac:dyDescent="0.55000000000000004">
      <c r="A212" s="165"/>
      <c r="B212" s="35">
        <f t="shared" si="17"/>
        <v>18</v>
      </c>
      <c r="C212" s="36" t="str">
        <f t="shared" si="19"/>
        <v>102016</v>
      </c>
      <c r="D212" s="44">
        <v>42661</v>
      </c>
      <c r="E212" s="38">
        <v>3.0983999999999998</v>
      </c>
      <c r="F212" s="39">
        <v>343.5</v>
      </c>
      <c r="G212" s="33">
        <f t="shared" si="18"/>
        <v>1064.3003999999999</v>
      </c>
      <c r="H212" s="33"/>
      <c r="I212" s="33">
        <f t="shared" si="21"/>
        <v>1062.6722100000002</v>
      </c>
      <c r="J212" s="33"/>
      <c r="K212" s="33" t="e">
        <f t="shared" si="20"/>
        <v>#DIV/0!</v>
      </c>
      <c r="L212" s="59" t="e">
        <f t="shared" si="22"/>
        <v>#DIV/0!</v>
      </c>
      <c r="M212" s="60" t="str">
        <f>IFERROR((#REF!/1.18)*1000,"")</f>
        <v/>
      </c>
    </row>
    <row r="213" spans="1:13" hidden="1" outlineLevel="1" x14ac:dyDescent="0.55000000000000004">
      <c r="A213" s="165"/>
      <c r="B213" s="35">
        <f t="shared" si="17"/>
        <v>19</v>
      </c>
      <c r="C213" s="36" t="str">
        <f t="shared" si="19"/>
        <v>102016</v>
      </c>
      <c r="D213" s="44">
        <v>42662</v>
      </c>
      <c r="E213" s="38">
        <v>3.0840999999999998</v>
      </c>
      <c r="F213" s="39">
        <v>343.5</v>
      </c>
      <c r="G213" s="33">
        <f t="shared" si="18"/>
        <v>1059.3883499999999</v>
      </c>
      <c r="H213" s="33"/>
      <c r="I213" s="33">
        <f t="shared" si="21"/>
        <v>1063.4966100000001</v>
      </c>
      <c r="J213" s="33"/>
      <c r="K213" s="33" t="e">
        <f t="shared" si="20"/>
        <v>#DIV/0!</v>
      </c>
      <c r="L213" s="59" t="e">
        <f t="shared" si="22"/>
        <v>#DIV/0!</v>
      </c>
      <c r="M213" s="60" t="str">
        <f>IFERROR((#REF!/1.18)*1000,"")</f>
        <v/>
      </c>
    </row>
    <row r="214" spans="1:13" hidden="1" outlineLevel="1" x14ac:dyDescent="0.55000000000000004">
      <c r="A214" s="165"/>
      <c r="B214" s="35">
        <f t="shared" si="17"/>
        <v>20</v>
      </c>
      <c r="C214" s="36" t="str">
        <f t="shared" si="19"/>
        <v>102016</v>
      </c>
      <c r="D214" s="44">
        <v>42663</v>
      </c>
      <c r="E214" s="38">
        <v>3.0731000000000002</v>
      </c>
      <c r="F214" s="39">
        <v>343.5</v>
      </c>
      <c r="G214" s="33">
        <f t="shared" si="18"/>
        <v>1055.6098500000001</v>
      </c>
      <c r="H214" s="33"/>
      <c r="I214" s="33">
        <f t="shared" si="21"/>
        <v>1063.3592100000001</v>
      </c>
      <c r="J214" s="33"/>
      <c r="K214" s="33" t="e">
        <f t="shared" si="20"/>
        <v>#DIV/0!</v>
      </c>
      <c r="L214" s="59" t="e">
        <f t="shared" si="22"/>
        <v>#DIV/0!</v>
      </c>
      <c r="M214" s="60" t="str">
        <f>IFERROR((#REF!/1.18)*1000,"")</f>
        <v/>
      </c>
    </row>
    <row r="215" spans="1:13" hidden="1" outlineLevel="1" x14ac:dyDescent="0.55000000000000004">
      <c r="A215" s="165"/>
      <c r="B215" s="35">
        <f t="shared" ref="B215:B278" si="23">DAY(D215)</f>
        <v>21</v>
      </c>
      <c r="C215" s="36" t="str">
        <f t="shared" si="19"/>
        <v>102016</v>
      </c>
      <c r="D215" s="44">
        <v>42664</v>
      </c>
      <c r="E215" s="38">
        <v>3.0790999999999999</v>
      </c>
      <c r="F215" s="39">
        <v>343.5</v>
      </c>
      <c r="G215" s="33">
        <f t="shared" si="18"/>
        <v>1057.67085</v>
      </c>
      <c r="H215" s="33"/>
      <c r="I215" s="33">
        <f t="shared" si="21"/>
        <v>1061.3531699999999</v>
      </c>
      <c r="J215" s="33"/>
      <c r="K215" s="33" t="e">
        <f t="shared" si="20"/>
        <v>#DIV/0!</v>
      </c>
      <c r="L215" s="59" t="e">
        <f t="shared" si="22"/>
        <v>#DIV/0!</v>
      </c>
      <c r="M215" s="60" t="str">
        <f>IFERROR((#REF!/1.18)*1000,"")</f>
        <v/>
      </c>
    </row>
    <row r="216" spans="1:13" hidden="1" outlineLevel="1" x14ac:dyDescent="0.55000000000000004">
      <c r="A216" s="165"/>
      <c r="B216" s="35">
        <f t="shared" si="23"/>
        <v>24</v>
      </c>
      <c r="C216" s="36" t="str">
        <f t="shared" si="19"/>
        <v>102016</v>
      </c>
      <c r="D216" s="44">
        <v>42667</v>
      </c>
      <c r="E216" s="38">
        <v>3.0779999999999998</v>
      </c>
      <c r="F216" s="39">
        <v>343.5</v>
      </c>
      <c r="G216" s="33">
        <f t="shared" si="18"/>
        <v>1057.2929999999999</v>
      </c>
      <c r="H216" s="33"/>
      <c r="I216" s="33">
        <f t="shared" si="21"/>
        <v>1060.4531999999999</v>
      </c>
      <c r="J216" s="33"/>
      <c r="K216" s="33" t="e">
        <f t="shared" si="20"/>
        <v>#DIV/0!</v>
      </c>
      <c r="L216" s="59" t="e">
        <f t="shared" si="22"/>
        <v>#DIV/0!</v>
      </c>
      <c r="M216" s="60" t="str">
        <f>IFERROR((#REF!/1.18)*1000,"")</f>
        <v/>
      </c>
    </row>
    <row r="217" spans="1:13" hidden="1" outlineLevel="1" x14ac:dyDescent="0.55000000000000004">
      <c r="A217" s="165"/>
      <c r="B217" s="35">
        <f t="shared" si="23"/>
        <v>25</v>
      </c>
      <c r="C217" s="36" t="str">
        <f t="shared" si="19"/>
        <v>102016</v>
      </c>
      <c r="D217" s="44">
        <v>42668</v>
      </c>
      <c r="E217" s="38">
        <v>3.0834999999999999</v>
      </c>
      <c r="F217" s="39">
        <v>343.5</v>
      </c>
      <c r="G217" s="33">
        <f t="shared" si="18"/>
        <v>1059.1822500000001</v>
      </c>
      <c r="H217" s="33"/>
      <c r="I217" s="33">
        <f t="shared" si="21"/>
        <v>1058.85249</v>
      </c>
      <c r="J217" s="33"/>
      <c r="K217" s="33" t="e">
        <f t="shared" si="20"/>
        <v>#DIV/0!</v>
      </c>
      <c r="L217" s="59" t="e">
        <f t="shared" si="22"/>
        <v>#DIV/0!</v>
      </c>
      <c r="M217" s="60" t="str">
        <f>IFERROR((#REF!/1.18)*1000,"")</f>
        <v/>
      </c>
    </row>
    <row r="218" spans="1:13" hidden="1" outlineLevel="1" x14ac:dyDescent="0.55000000000000004">
      <c r="A218" s="165"/>
      <c r="B218" s="35">
        <f t="shared" si="23"/>
        <v>26</v>
      </c>
      <c r="C218" s="36" t="str">
        <f t="shared" si="19"/>
        <v>102016</v>
      </c>
      <c r="D218" s="44">
        <v>42669</v>
      </c>
      <c r="E218" s="38">
        <v>3.0831</v>
      </c>
      <c r="F218" s="39">
        <v>343.5</v>
      </c>
      <c r="G218" s="33">
        <f t="shared" si="18"/>
        <v>1059.04485</v>
      </c>
      <c r="H218" s="33"/>
      <c r="I218" s="33">
        <f t="shared" si="21"/>
        <v>1057.8288600000001</v>
      </c>
      <c r="J218" s="33"/>
      <c r="K218" s="33" t="e">
        <f t="shared" si="20"/>
        <v>#DIV/0!</v>
      </c>
      <c r="L218" s="59" t="e">
        <f t="shared" si="22"/>
        <v>#DIV/0!</v>
      </c>
      <c r="M218" s="60" t="str">
        <f>IFERROR((#REF!/1.18)*1000,"")</f>
        <v/>
      </c>
    </row>
    <row r="219" spans="1:13" hidden="1" outlineLevel="1" x14ac:dyDescent="0.55000000000000004">
      <c r="A219" s="165"/>
      <c r="B219" s="35">
        <f t="shared" si="23"/>
        <v>27</v>
      </c>
      <c r="C219" s="36" t="str">
        <f t="shared" si="19"/>
        <v>102016</v>
      </c>
      <c r="D219" s="44">
        <v>42670</v>
      </c>
      <c r="E219" s="38">
        <v>3.1053999999999999</v>
      </c>
      <c r="F219" s="39">
        <v>343.5</v>
      </c>
      <c r="G219" s="33">
        <f t="shared" si="18"/>
        <v>1066.7049</v>
      </c>
      <c r="H219" s="33"/>
      <c r="I219" s="33">
        <f t="shared" si="21"/>
        <v>1057.76016</v>
      </c>
      <c r="J219" s="33"/>
      <c r="K219" s="33" t="e">
        <f t="shared" si="20"/>
        <v>#DIV/0!</v>
      </c>
      <c r="L219" s="59" t="e">
        <f t="shared" si="22"/>
        <v>#DIV/0!</v>
      </c>
      <c r="M219" s="60" t="str">
        <f>IFERROR((#REF!/1.18)*1000,"")</f>
        <v/>
      </c>
    </row>
    <row r="220" spans="1:13" hidden="1" outlineLevel="1" x14ac:dyDescent="0.55000000000000004">
      <c r="A220" s="165"/>
      <c r="B220" s="35">
        <f t="shared" si="23"/>
        <v>28</v>
      </c>
      <c r="C220" s="36" t="str">
        <f t="shared" si="19"/>
        <v>102016</v>
      </c>
      <c r="D220" s="44">
        <v>42671</v>
      </c>
      <c r="E220" s="38">
        <v>3.1053999999999999</v>
      </c>
      <c r="F220" s="39">
        <v>343.5</v>
      </c>
      <c r="G220" s="33">
        <f t="shared" si="18"/>
        <v>1066.7049</v>
      </c>
      <c r="H220" s="33"/>
      <c r="I220" s="33">
        <f t="shared" si="21"/>
        <v>1059.9791700000001</v>
      </c>
      <c r="J220" s="33"/>
      <c r="K220" s="33" t="e">
        <f t="shared" si="20"/>
        <v>#DIV/0!</v>
      </c>
      <c r="L220" s="59" t="e">
        <f t="shared" si="22"/>
        <v>#DIV/0!</v>
      </c>
      <c r="M220" s="60" t="str">
        <f>IFERROR((#REF!/1.18)*1000,"")</f>
        <v/>
      </c>
    </row>
    <row r="221" spans="1:13" ht="14.7" hidden="1" outlineLevel="1" thickBot="1" x14ac:dyDescent="0.6">
      <c r="A221" s="166"/>
      <c r="B221" s="35">
        <f t="shared" si="23"/>
        <v>31</v>
      </c>
      <c r="C221" s="36" t="str">
        <f t="shared" si="19"/>
        <v>102016</v>
      </c>
      <c r="D221" s="53">
        <v>42674</v>
      </c>
      <c r="E221" s="38">
        <v>3.1080000000000001</v>
      </c>
      <c r="F221" s="39">
        <v>343.5</v>
      </c>
      <c r="G221" s="33">
        <f t="shared" si="18"/>
        <v>1067.598</v>
      </c>
      <c r="H221" s="33"/>
      <c r="I221" s="33">
        <f t="shared" si="21"/>
        <v>1061.7859799999999</v>
      </c>
      <c r="J221" s="33"/>
      <c r="K221" s="33" t="e">
        <f t="shared" si="20"/>
        <v>#DIV/0!</v>
      </c>
      <c r="L221" s="59" t="e">
        <f t="shared" si="22"/>
        <v>#DIV/0!</v>
      </c>
      <c r="M221" s="60" t="str">
        <f>IFERROR((#REF!/1.18)*1000,"")</f>
        <v/>
      </c>
    </row>
    <row r="222" spans="1:13" hidden="1" outlineLevel="1" x14ac:dyDescent="0.55000000000000004">
      <c r="A222" s="167">
        <v>42675</v>
      </c>
      <c r="B222" s="35">
        <f t="shared" si="23"/>
        <v>1</v>
      </c>
      <c r="C222" s="36" t="str">
        <f t="shared" si="19"/>
        <v>112016</v>
      </c>
      <c r="D222" s="37">
        <v>42675</v>
      </c>
      <c r="E222" s="38">
        <v>3.1036999999999999</v>
      </c>
      <c r="F222" s="39">
        <v>373.09999999999997</v>
      </c>
      <c r="G222" s="33">
        <f t="shared" si="18"/>
        <v>1157.99047</v>
      </c>
      <c r="H222" s="33"/>
      <c r="I222" s="33">
        <f t="shared" si="21"/>
        <v>1063.8469799999998</v>
      </c>
      <c r="J222" s="33"/>
      <c r="K222" s="33" t="e">
        <f t="shared" si="20"/>
        <v>#DIV/0!</v>
      </c>
      <c r="L222" s="59" t="e">
        <f t="shared" si="22"/>
        <v>#DIV/0!</v>
      </c>
      <c r="M222" s="60" t="str">
        <f>IFERROR((#REF!/1.18)*1000,"")</f>
        <v/>
      </c>
    </row>
    <row r="223" spans="1:13" hidden="1" outlineLevel="1" x14ac:dyDescent="0.55000000000000004">
      <c r="A223" s="165"/>
      <c r="B223" s="35">
        <f t="shared" si="23"/>
        <v>2</v>
      </c>
      <c r="C223" s="36" t="str">
        <f t="shared" si="19"/>
        <v>112016</v>
      </c>
      <c r="D223" s="44">
        <v>42676</v>
      </c>
      <c r="E223" s="38">
        <v>3.1173000000000002</v>
      </c>
      <c r="F223" s="39">
        <v>373.09999999999997</v>
      </c>
      <c r="G223" s="33">
        <f t="shared" si="18"/>
        <v>1163.0646299999999</v>
      </c>
      <c r="H223" s="33"/>
      <c r="I223" s="33">
        <f t="shared" si="21"/>
        <v>1083.608624</v>
      </c>
      <c r="J223" s="33"/>
      <c r="K223" s="33" t="e">
        <f t="shared" si="20"/>
        <v>#DIV/0!</v>
      </c>
      <c r="L223" s="59" t="e">
        <f t="shared" si="22"/>
        <v>#DIV/0!</v>
      </c>
      <c r="M223" s="60" t="str">
        <f>IFERROR((#REF!/1.18)*1000,"")</f>
        <v/>
      </c>
    </row>
    <row r="224" spans="1:13" hidden="1" outlineLevel="1" x14ac:dyDescent="0.55000000000000004">
      <c r="A224" s="165"/>
      <c r="B224" s="35">
        <f t="shared" si="23"/>
        <v>3</v>
      </c>
      <c r="C224" s="36" t="str">
        <f t="shared" si="19"/>
        <v>112016</v>
      </c>
      <c r="D224" s="44">
        <v>42677</v>
      </c>
      <c r="E224" s="38">
        <v>3.1181000000000001</v>
      </c>
      <c r="F224" s="39">
        <v>373.09999999999997</v>
      </c>
      <c r="G224" s="33">
        <f t="shared" si="18"/>
        <v>1163.36311</v>
      </c>
      <c r="H224" s="33"/>
      <c r="I224" s="33">
        <f t="shared" si="21"/>
        <v>1104.4125799999999</v>
      </c>
      <c r="J224" s="33"/>
      <c r="K224" s="33" t="e">
        <f t="shared" si="20"/>
        <v>#DIV/0!</v>
      </c>
      <c r="L224" s="59" t="e">
        <f t="shared" si="22"/>
        <v>#DIV/0!</v>
      </c>
      <c r="M224" s="60" t="str">
        <f>IFERROR((#REF!/1.18)*1000,"")</f>
        <v/>
      </c>
    </row>
    <row r="225" spans="1:13" hidden="1" outlineLevel="1" x14ac:dyDescent="0.55000000000000004">
      <c r="A225" s="165"/>
      <c r="B225" s="35">
        <f t="shared" si="23"/>
        <v>4</v>
      </c>
      <c r="C225" s="36" t="str">
        <f t="shared" si="19"/>
        <v>112016</v>
      </c>
      <c r="D225" s="44">
        <v>42678</v>
      </c>
      <c r="E225" s="38">
        <v>3.1404999999999998</v>
      </c>
      <c r="F225" s="39">
        <v>373.09999999999997</v>
      </c>
      <c r="G225" s="33">
        <f t="shared" si="18"/>
        <v>1171.7205499999998</v>
      </c>
      <c r="H225" s="33"/>
      <c r="I225" s="33">
        <f t="shared" si="21"/>
        <v>1123.7442219999998</v>
      </c>
      <c r="J225" s="33"/>
      <c r="K225" s="33" t="e">
        <f t="shared" si="20"/>
        <v>#DIV/0!</v>
      </c>
      <c r="L225" s="59" t="e">
        <f t="shared" si="22"/>
        <v>#DIV/0!</v>
      </c>
      <c r="M225" s="60" t="str">
        <f>IFERROR((#REF!/1.18)*1000,"")</f>
        <v/>
      </c>
    </row>
    <row r="226" spans="1:13" hidden="1" outlineLevel="1" x14ac:dyDescent="0.55000000000000004">
      <c r="A226" s="165"/>
      <c r="B226" s="35">
        <f t="shared" si="23"/>
        <v>7</v>
      </c>
      <c r="C226" s="36" t="str">
        <f t="shared" si="19"/>
        <v>112016</v>
      </c>
      <c r="D226" s="44">
        <v>42681</v>
      </c>
      <c r="E226" s="38">
        <v>3.1589</v>
      </c>
      <c r="F226" s="39">
        <v>373.09999999999997</v>
      </c>
      <c r="G226" s="33">
        <f t="shared" si="18"/>
        <v>1178.5855899999999</v>
      </c>
      <c r="H226" s="33"/>
      <c r="I226" s="33">
        <f t="shared" si="21"/>
        <v>1144.7473519999999</v>
      </c>
      <c r="J226" s="33"/>
      <c r="K226" s="33" t="e">
        <f t="shared" si="20"/>
        <v>#DIV/0!</v>
      </c>
      <c r="L226" s="59" t="e">
        <f t="shared" si="22"/>
        <v>#DIV/0!</v>
      </c>
      <c r="M226" s="60" t="str">
        <f>IFERROR((#REF!/1.18)*1000,"")</f>
        <v/>
      </c>
    </row>
    <row r="227" spans="1:13" hidden="1" outlineLevel="1" x14ac:dyDescent="0.55000000000000004">
      <c r="A227" s="165"/>
      <c r="B227" s="35">
        <f t="shared" si="23"/>
        <v>8</v>
      </c>
      <c r="C227" s="36" t="str">
        <f t="shared" si="19"/>
        <v>112016</v>
      </c>
      <c r="D227" s="44">
        <v>42682</v>
      </c>
      <c r="E227" s="38">
        <v>3.1793</v>
      </c>
      <c r="F227" s="39">
        <v>373.09999999999997</v>
      </c>
      <c r="G227" s="33">
        <f t="shared" si="18"/>
        <v>1186.1968299999999</v>
      </c>
      <c r="H227" s="33"/>
      <c r="I227" s="33">
        <f t="shared" si="21"/>
        <v>1166.9448699999998</v>
      </c>
      <c r="J227" s="33"/>
      <c r="K227" s="33" t="e">
        <f t="shared" si="20"/>
        <v>#DIV/0!</v>
      </c>
      <c r="L227" s="59" t="e">
        <f t="shared" si="22"/>
        <v>#DIV/0!</v>
      </c>
      <c r="M227" s="60" t="str">
        <f>IFERROR((#REF!/1.18)*1000,"")</f>
        <v/>
      </c>
    </row>
    <row r="228" spans="1:13" hidden="1" outlineLevel="1" x14ac:dyDescent="0.55000000000000004">
      <c r="A228" s="165"/>
      <c r="B228" s="35">
        <f t="shared" si="23"/>
        <v>9</v>
      </c>
      <c r="C228" s="36" t="str">
        <f t="shared" si="19"/>
        <v>112016</v>
      </c>
      <c r="D228" s="44">
        <v>42683</v>
      </c>
      <c r="E228" s="38">
        <v>3.1922000000000001</v>
      </c>
      <c r="F228" s="39">
        <v>373.09999999999997</v>
      </c>
      <c r="G228" s="33">
        <f t="shared" si="18"/>
        <v>1191.00982</v>
      </c>
      <c r="H228" s="33"/>
      <c r="I228" s="33">
        <f t="shared" si="21"/>
        <v>1172.5861419999999</v>
      </c>
      <c r="J228" s="33"/>
      <c r="K228" s="33" t="e">
        <f t="shared" si="20"/>
        <v>#DIV/0!</v>
      </c>
      <c r="L228" s="59" t="e">
        <f t="shared" si="22"/>
        <v>#DIV/0!</v>
      </c>
      <c r="M228" s="60" t="str">
        <f>IFERROR((#REF!/1.18)*1000,"")</f>
        <v/>
      </c>
    </row>
    <row r="229" spans="1:13" hidden="1" outlineLevel="1" x14ac:dyDescent="0.55000000000000004">
      <c r="A229" s="165"/>
      <c r="B229" s="35">
        <f t="shared" si="23"/>
        <v>10</v>
      </c>
      <c r="C229" s="36" t="str">
        <f t="shared" si="19"/>
        <v>112016</v>
      </c>
      <c r="D229" s="44">
        <v>42684</v>
      </c>
      <c r="E229" s="38">
        <v>3.2105000000000001</v>
      </c>
      <c r="F229" s="39">
        <v>373.09999999999997</v>
      </c>
      <c r="G229" s="33">
        <f t="shared" ref="G229:G292" si="24">E229*F229</f>
        <v>1197.83755</v>
      </c>
      <c r="H229" s="33"/>
      <c r="I229" s="33">
        <f t="shared" si="21"/>
        <v>1178.17518</v>
      </c>
      <c r="J229" s="33"/>
      <c r="K229" s="33" t="e">
        <f t="shared" si="20"/>
        <v>#DIV/0!</v>
      </c>
      <c r="L229" s="59" t="e">
        <f t="shared" si="22"/>
        <v>#DIV/0!</v>
      </c>
      <c r="M229" s="60" t="str">
        <f>IFERROR((#REF!/1.18)*1000,"")</f>
        <v/>
      </c>
    </row>
    <row r="230" spans="1:13" hidden="1" outlineLevel="1" x14ac:dyDescent="0.55000000000000004">
      <c r="A230" s="165"/>
      <c r="B230" s="35">
        <f t="shared" si="23"/>
        <v>11</v>
      </c>
      <c r="C230" s="36" t="str">
        <f t="shared" si="19"/>
        <v>112016</v>
      </c>
      <c r="D230" s="44">
        <v>42685</v>
      </c>
      <c r="E230" s="38">
        <v>3.2646000000000002</v>
      </c>
      <c r="F230" s="39">
        <v>373.09999999999997</v>
      </c>
      <c r="G230" s="33">
        <f t="shared" si="24"/>
        <v>1218.02226</v>
      </c>
      <c r="H230" s="33"/>
      <c r="I230" s="33">
        <f t="shared" si="21"/>
        <v>1185.070068</v>
      </c>
      <c r="J230" s="33"/>
      <c r="K230" s="33" t="e">
        <f t="shared" si="20"/>
        <v>#DIV/0!</v>
      </c>
      <c r="L230" s="59" t="e">
        <f t="shared" si="22"/>
        <v>#DIV/0!</v>
      </c>
      <c r="M230" s="60" t="str">
        <f>IFERROR((#REF!/1.18)*1000,"")</f>
        <v/>
      </c>
    </row>
    <row r="231" spans="1:13" hidden="1" outlineLevel="1" x14ac:dyDescent="0.55000000000000004">
      <c r="A231" s="165"/>
      <c r="B231" s="35">
        <f t="shared" si="23"/>
        <v>14</v>
      </c>
      <c r="C231" s="36" t="str">
        <f t="shared" si="19"/>
        <v>112016</v>
      </c>
      <c r="D231" s="44">
        <v>42688</v>
      </c>
      <c r="E231" s="38">
        <v>3.2846000000000002</v>
      </c>
      <c r="F231" s="39">
        <v>373.09999999999997</v>
      </c>
      <c r="G231" s="33">
        <f t="shared" si="24"/>
        <v>1225.4842599999999</v>
      </c>
      <c r="H231" s="33"/>
      <c r="I231" s="33">
        <f t="shared" si="21"/>
        <v>1194.33041</v>
      </c>
      <c r="J231" s="33"/>
      <c r="K231" s="33" t="e">
        <f t="shared" si="20"/>
        <v>#DIV/0!</v>
      </c>
      <c r="L231" s="59" t="e">
        <f t="shared" si="22"/>
        <v>#DIV/0!</v>
      </c>
      <c r="M231" s="60" t="str">
        <f>IFERROR((#REF!/1.18)*1000,"")</f>
        <v/>
      </c>
    </row>
    <row r="232" spans="1:13" hidden="1" outlineLevel="1" x14ac:dyDescent="0.55000000000000004">
      <c r="A232" s="165"/>
      <c r="B232" s="35">
        <f t="shared" si="23"/>
        <v>15</v>
      </c>
      <c r="C232" s="36" t="str">
        <f t="shared" si="19"/>
        <v>112016</v>
      </c>
      <c r="D232" s="44">
        <v>42689</v>
      </c>
      <c r="E232" s="38">
        <v>3.2772000000000001</v>
      </c>
      <c r="F232" s="39">
        <v>373.09999999999997</v>
      </c>
      <c r="G232" s="33">
        <f t="shared" si="24"/>
        <v>1222.7233199999998</v>
      </c>
      <c r="H232" s="33"/>
      <c r="I232" s="33">
        <f t="shared" si="21"/>
        <v>1203.7101440000001</v>
      </c>
      <c r="J232" s="33"/>
      <c r="K232" s="33" t="e">
        <f t="shared" si="20"/>
        <v>#DIV/0!</v>
      </c>
      <c r="L232" s="59" t="e">
        <f t="shared" si="22"/>
        <v>#DIV/0!</v>
      </c>
      <c r="M232" s="60" t="str">
        <f>IFERROR((#REF!/1.18)*1000,"")</f>
        <v/>
      </c>
    </row>
    <row r="233" spans="1:13" hidden="1" outlineLevel="1" x14ac:dyDescent="0.55000000000000004">
      <c r="A233" s="165"/>
      <c r="B233" s="35">
        <f t="shared" si="23"/>
        <v>16</v>
      </c>
      <c r="C233" s="36" t="str">
        <f t="shared" si="19"/>
        <v>112016</v>
      </c>
      <c r="D233" s="44">
        <v>42690</v>
      </c>
      <c r="E233" s="38">
        <v>3.3115000000000001</v>
      </c>
      <c r="F233" s="39">
        <v>373.09999999999997</v>
      </c>
      <c r="G233" s="33">
        <f t="shared" si="24"/>
        <v>1235.5206499999999</v>
      </c>
      <c r="H233" s="33"/>
      <c r="I233" s="33">
        <f t="shared" si="21"/>
        <v>1211.0154420000001</v>
      </c>
      <c r="J233" s="33"/>
      <c r="K233" s="33" t="e">
        <f t="shared" si="20"/>
        <v>#DIV/0!</v>
      </c>
      <c r="L233" s="59" t="e">
        <f t="shared" si="22"/>
        <v>#DIV/0!</v>
      </c>
      <c r="M233" s="60" t="str">
        <f>IFERROR((#REF!/1.18)*1000,"")</f>
        <v/>
      </c>
    </row>
    <row r="234" spans="1:13" hidden="1" outlineLevel="1" x14ac:dyDescent="0.55000000000000004">
      <c r="A234" s="165"/>
      <c r="B234" s="35">
        <f t="shared" si="23"/>
        <v>17</v>
      </c>
      <c r="C234" s="36" t="str">
        <f t="shared" si="19"/>
        <v>112016</v>
      </c>
      <c r="D234" s="44">
        <v>42691</v>
      </c>
      <c r="E234" s="38">
        <v>3.3163999999999998</v>
      </c>
      <c r="F234" s="39">
        <v>373.09999999999997</v>
      </c>
      <c r="G234" s="33">
        <f t="shared" si="24"/>
        <v>1237.3488399999999</v>
      </c>
      <c r="H234" s="33"/>
      <c r="I234" s="33">
        <f t="shared" si="21"/>
        <v>1219.9176080000002</v>
      </c>
      <c r="J234" s="33"/>
      <c r="K234" s="33" t="e">
        <f t="shared" si="20"/>
        <v>#DIV/0!</v>
      </c>
      <c r="L234" s="59" t="e">
        <f t="shared" si="22"/>
        <v>#DIV/0!</v>
      </c>
      <c r="M234" s="60" t="str">
        <f>IFERROR((#REF!/1.18)*1000,"")</f>
        <v/>
      </c>
    </row>
    <row r="235" spans="1:13" hidden="1" outlineLevel="1" x14ac:dyDescent="0.55000000000000004">
      <c r="A235" s="165"/>
      <c r="B235" s="35">
        <f t="shared" si="23"/>
        <v>18</v>
      </c>
      <c r="C235" s="36" t="str">
        <f t="shared" si="19"/>
        <v>112016</v>
      </c>
      <c r="D235" s="44">
        <v>42692</v>
      </c>
      <c r="E235" s="38">
        <v>3.3896000000000002</v>
      </c>
      <c r="F235" s="39">
        <v>373.09999999999997</v>
      </c>
      <c r="G235" s="33">
        <f t="shared" si="24"/>
        <v>1264.65976</v>
      </c>
      <c r="H235" s="33"/>
      <c r="I235" s="33">
        <f t="shared" si="21"/>
        <v>1227.819866</v>
      </c>
      <c r="J235" s="33"/>
      <c r="K235" s="33" t="e">
        <f t="shared" si="20"/>
        <v>#DIV/0!</v>
      </c>
      <c r="L235" s="59" t="e">
        <f t="shared" si="22"/>
        <v>#DIV/0!</v>
      </c>
      <c r="M235" s="60" t="str">
        <f>IFERROR((#REF!/1.18)*1000,"")</f>
        <v/>
      </c>
    </row>
    <row r="236" spans="1:13" hidden="1" outlineLevel="1" x14ac:dyDescent="0.55000000000000004">
      <c r="A236" s="165"/>
      <c r="B236" s="35">
        <f t="shared" si="23"/>
        <v>21</v>
      </c>
      <c r="C236" s="36" t="str">
        <f t="shared" si="19"/>
        <v>112016</v>
      </c>
      <c r="D236" s="44">
        <v>42695</v>
      </c>
      <c r="E236" s="38">
        <v>3.3803000000000001</v>
      </c>
      <c r="F236" s="39">
        <v>373.09999999999997</v>
      </c>
      <c r="G236" s="33">
        <f t="shared" si="24"/>
        <v>1261.18993</v>
      </c>
      <c r="H236" s="33"/>
      <c r="I236" s="33">
        <f t="shared" si="21"/>
        <v>1237.1473659999999</v>
      </c>
      <c r="J236" s="33"/>
      <c r="K236" s="33" t="e">
        <f t="shared" si="20"/>
        <v>#DIV/0!</v>
      </c>
      <c r="L236" s="59" t="e">
        <f t="shared" si="22"/>
        <v>#DIV/0!</v>
      </c>
      <c r="M236" s="60" t="str">
        <f>IFERROR((#REF!/1.18)*1000,"")</f>
        <v/>
      </c>
    </row>
    <row r="237" spans="1:13" hidden="1" outlineLevel="1" x14ac:dyDescent="0.55000000000000004">
      <c r="A237" s="165"/>
      <c r="B237" s="35">
        <f t="shared" si="23"/>
        <v>22</v>
      </c>
      <c r="C237" s="36" t="str">
        <f t="shared" si="19"/>
        <v>112016</v>
      </c>
      <c r="D237" s="44">
        <v>42696</v>
      </c>
      <c r="E237" s="38">
        <v>3.3643999999999998</v>
      </c>
      <c r="F237" s="39">
        <v>373.09999999999997</v>
      </c>
      <c r="G237" s="33">
        <f t="shared" si="24"/>
        <v>1255.2576399999998</v>
      </c>
      <c r="H237" s="33"/>
      <c r="I237" s="33">
        <f t="shared" si="21"/>
        <v>1244.2884999999999</v>
      </c>
      <c r="J237" s="33"/>
      <c r="K237" s="33" t="e">
        <f t="shared" si="20"/>
        <v>#DIV/0!</v>
      </c>
      <c r="L237" s="59" t="e">
        <f t="shared" si="22"/>
        <v>#DIV/0!</v>
      </c>
      <c r="M237" s="60" t="str">
        <f>IFERROR((#REF!/1.18)*1000,"")</f>
        <v/>
      </c>
    </row>
    <row r="238" spans="1:13" hidden="1" outlineLevel="1" x14ac:dyDescent="0.55000000000000004">
      <c r="A238" s="165"/>
      <c r="B238" s="35">
        <f t="shared" si="23"/>
        <v>23</v>
      </c>
      <c r="C238" s="36" t="str">
        <f t="shared" si="19"/>
        <v>112016</v>
      </c>
      <c r="D238" s="44">
        <v>42697</v>
      </c>
      <c r="E238" s="38">
        <v>3.3885000000000001</v>
      </c>
      <c r="F238" s="39">
        <v>373.09999999999997</v>
      </c>
      <c r="G238" s="33">
        <f t="shared" si="24"/>
        <v>1264.2493499999998</v>
      </c>
      <c r="H238" s="33"/>
      <c r="I238" s="33">
        <f t="shared" si="21"/>
        <v>1250.7953640000001</v>
      </c>
      <c r="J238" s="33"/>
      <c r="K238" s="33" t="e">
        <f t="shared" si="20"/>
        <v>#DIV/0!</v>
      </c>
      <c r="L238" s="59" t="e">
        <f t="shared" si="22"/>
        <v>#DIV/0!</v>
      </c>
      <c r="M238" s="60" t="str">
        <f>IFERROR((#REF!/1.18)*1000,"")</f>
        <v/>
      </c>
    </row>
    <row r="239" spans="1:13" hidden="1" outlineLevel="1" x14ac:dyDescent="0.55000000000000004">
      <c r="A239" s="165"/>
      <c r="B239" s="35">
        <f t="shared" si="23"/>
        <v>24</v>
      </c>
      <c r="C239" s="36" t="str">
        <f t="shared" si="19"/>
        <v>112016</v>
      </c>
      <c r="D239" s="44">
        <v>42698</v>
      </c>
      <c r="E239" s="38">
        <v>3.4108000000000001</v>
      </c>
      <c r="F239" s="39">
        <v>373.09999999999997</v>
      </c>
      <c r="G239" s="33">
        <f t="shared" si="24"/>
        <v>1272.5694799999999</v>
      </c>
      <c r="H239" s="33"/>
      <c r="I239" s="33">
        <f t="shared" si="21"/>
        <v>1256.5411039999999</v>
      </c>
      <c r="J239" s="33"/>
      <c r="K239" s="33" t="e">
        <f t="shared" si="20"/>
        <v>#DIV/0!</v>
      </c>
      <c r="L239" s="59" t="e">
        <f t="shared" si="22"/>
        <v>#DIV/0!</v>
      </c>
      <c r="M239" s="60" t="str">
        <f>IFERROR((#REF!/1.18)*1000,"")</f>
        <v/>
      </c>
    </row>
    <row r="240" spans="1:13" hidden="1" outlineLevel="1" x14ac:dyDescent="0.55000000000000004">
      <c r="A240" s="165"/>
      <c r="B240" s="35">
        <f t="shared" si="23"/>
        <v>25</v>
      </c>
      <c r="C240" s="36" t="str">
        <f t="shared" si="19"/>
        <v>112016</v>
      </c>
      <c r="D240" s="44">
        <v>42699</v>
      </c>
      <c r="E240" s="38">
        <v>3.4464999999999999</v>
      </c>
      <c r="F240" s="39">
        <v>373.09999999999997</v>
      </c>
      <c r="G240" s="33">
        <f t="shared" si="24"/>
        <v>1285.8891499999997</v>
      </c>
      <c r="H240" s="33"/>
      <c r="I240" s="33">
        <f t="shared" si="21"/>
        <v>1263.5852319999999</v>
      </c>
      <c r="J240" s="33"/>
      <c r="K240" s="33" t="e">
        <f t="shared" si="20"/>
        <v>#DIV/0!</v>
      </c>
      <c r="L240" s="59" t="e">
        <f t="shared" si="22"/>
        <v>#DIV/0!</v>
      </c>
      <c r="M240" s="60" t="str">
        <f>IFERROR((#REF!/1.18)*1000,"")</f>
        <v/>
      </c>
    </row>
    <row r="241" spans="1:13" hidden="1" outlineLevel="1" x14ac:dyDescent="0.55000000000000004">
      <c r="A241" s="165"/>
      <c r="B241" s="35">
        <f t="shared" si="23"/>
        <v>28</v>
      </c>
      <c r="C241" s="36" t="str">
        <f t="shared" si="19"/>
        <v>112016</v>
      </c>
      <c r="D241" s="44">
        <v>42702</v>
      </c>
      <c r="E241" s="38">
        <v>3.4241000000000001</v>
      </c>
      <c r="F241" s="39">
        <v>373.09999999999997</v>
      </c>
      <c r="G241" s="33">
        <f t="shared" si="24"/>
        <v>1277.53171</v>
      </c>
      <c r="H241" s="33"/>
      <c r="I241" s="33">
        <f t="shared" si="21"/>
        <v>1267.8311099999999</v>
      </c>
      <c r="J241" s="33"/>
      <c r="K241" s="33" t="e">
        <f t="shared" si="20"/>
        <v>#DIV/0!</v>
      </c>
      <c r="L241" s="59" t="e">
        <f t="shared" si="22"/>
        <v>#DIV/0!</v>
      </c>
      <c r="M241" s="60" t="str">
        <f>IFERROR((#REF!/1.18)*1000,"")</f>
        <v/>
      </c>
    </row>
    <row r="242" spans="1:13" hidden="1" outlineLevel="1" x14ac:dyDescent="0.55000000000000004">
      <c r="A242" s="165"/>
      <c r="B242" s="35">
        <f t="shared" si="23"/>
        <v>29</v>
      </c>
      <c r="C242" s="36" t="str">
        <f t="shared" si="19"/>
        <v>112016</v>
      </c>
      <c r="D242" s="44">
        <v>42703</v>
      </c>
      <c r="E242" s="38">
        <v>3.4260999999999999</v>
      </c>
      <c r="F242" s="39">
        <v>373.09999999999997</v>
      </c>
      <c r="G242" s="33">
        <f t="shared" si="24"/>
        <v>1278.2779099999998</v>
      </c>
      <c r="H242" s="33"/>
      <c r="I242" s="33">
        <f t="shared" si="21"/>
        <v>1271.0994660000001</v>
      </c>
      <c r="J242" s="33"/>
      <c r="K242" s="33" t="e">
        <f t="shared" si="20"/>
        <v>#DIV/0!</v>
      </c>
      <c r="L242" s="59" t="e">
        <f t="shared" si="22"/>
        <v>#DIV/0!</v>
      </c>
      <c r="M242" s="60" t="str">
        <f>IFERROR((#REF!/1.18)*1000,"")</f>
        <v/>
      </c>
    </row>
    <row r="243" spans="1:13" ht="14.7" hidden="1" outlineLevel="1" thickBot="1" x14ac:dyDescent="0.6">
      <c r="A243" s="166"/>
      <c r="B243" s="35">
        <f t="shared" si="23"/>
        <v>30</v>
      </c>
      <c r="C243" s="36" t="str">
        <f t="shared" si="19"/>
        <v>112016</v>
      </c>
      <c r="D243" s="53">
        <v>42704</v>
      </c>
      <c r="E243" s="38">
        <v>3.4236</v>
      </c>
      <c r="F243" s="39">
        <v>373.09999999999997</v>
      </c>
      <c r="G243" s="33">
        <f t="shared" si="24"/>
        <v>1277.3451599999999</v>
      </c>
      <c r="H243" s="33"/>
      <c r="I243" s="33">
        <f t="shared" si="21"/>
        <v>1275.7035199999998</v>
      </c>
      <c r="J243" s="33"/>
      <c r="K243" s="33" t="e">
        <f t="shared" si="20"/>
        <v>#DIV/0!</v>
      </c>
      <c r="L243" s="59" t="e">
        <f t="shared" si="22"/>
        <v>#DIV/0!</v>
      </c>
      <c r="M243" s="60" t="str">
        <f>IFERROR((#REF!/1.18)*1000,"")</f>
        <v/>
      </c>
    </row>
    <row r="244" spans="1:13" hidden="1" outlineLevel="1" x14ac:dyDescent="0.55000000000000004">
      <c r="A244" s="167">
        <v>42705</v>
      </c>
      <c r="B244" s="35">
        <f t="shared" si="23"/>
        <v>1</v>
      </c>
      <c r="C244" s="36" t="str">
        <f t="shared" si="19"/>
        <v>122016</v>
      </c>
      <c r="D244" s="37">
        <v>42705</v>
      </c>
      <c r="E244" s="38">
        <v>3.4546000000000001</v>
      </c>
      <c r="F244" s="39">
        <v>369.5</v>
      </c>
      <c r="G244" s="33">
        <f t="shared" si="24"/>
        <v>1276.4747</v>
      </c>
      <c r="H244" s="33"/>
      <c r="I244" s="33">
        <f t="shared" si="21"/>
        <v>1278.3226819999998</v>
      </c>
      <c r="J244" s="33"/>
      <c r="K244" s="33" t="e">
        <f t="shared" si="20"/>
        <v>#DIV/0!</v>
      </c>
      <c r="L244" s="59" t="e">
        <f t="shared" si="22"/>
        <v>#DIV/0!</v>
      </c>
      <c r="M244" s="60" t="str">
        <f>IFERROR((#REF!/1.18)*1000,"")</f>
        <v/>
      </c>
    </row>
    <row r="245" spans="1:13" hidden="1" outlineLevel="1" x14ac:dyDescent="0.55000000000000004">
      <c r="A245" s="165"/>
      <c r="B245" s="35">
        <f t="shared" si="23"/>
        <v>2</v>
      </c>
      <c r="C245" s="36" t="str">
        <f t="shared" si="19"/>
        <v>122016</v>
      </c>
      <c r="D245" s="44">
        <v>42706</v>
      </c>
      <c r="E245" s="38">
        <v>3.5129999999999999</v>
      </c>
      <c r="F245" s="39">
        <v>369.5</v>
      </c>
      <c r="G245" s="33">
        <f t="shared" si="24"/>
        <v>1298.0535</v>
      </c>
      <c r="H245" s="33"/>
      <c r="I245" s="33">
        <f t="shared" si="21"/>
        <v>1279.1037259999998</v>
      </c>
      <c r="J245" s="33"/>
      <c r="K245" s="33" t="e">
        <f t="shared" si="20"/>
        <v>#DIV/0!</v>
      </c>
      <c r="L245" s="59" t="e">
        <f t="shared" si="22"/>
        <v>#DIV/0!</v>
      </c>
      <c r="M245" s="60" t="str">
        <f>IFERROR((#REF!/1.18)*1000,"")</f>
        <v/>
      </c>
    </row>
    <row r="246" spans="1:13" hidden="1" outlineLevel="1" x14ac:dyDescent="0.55000000000000004">
      <c r="A246" s="165"/>
      <c r="B246" s="35">
        <f t="shared" si="23"/>
        <v>5</v>
      </c>
      <c r="C246" s="36" t="str">
        <f t="shared" si="19"/>
        <v>122016</v>
      </c>
      <c r="D246" s="44">
        <v>42709</v>
      </c>
      <c r="E246" s="38">
        <v>3.5407999999999999</v>
      </c>
      <c r="F246" s="39">
        <v>369.5</v>
      </c>
      <c r="G246" s="33">
        <f t="shared" si="24"/>
        <v>1308.3255999999999</v>
      </c>
      <c r="H246" s="33"/>
      <c r="I246" s="33">
        <f t="shared" si="21"/>
        <v>1281.5365959999999</v>
      </c>
      <c r="J246" s="33"/>
      <c r="K246" s="33" t="e">
        <f t="shared" si="20"/>
        <v>#DIV/0!</v>
      </c>
      <c r="L246" s="59" t="e">
        <f t="shared" si="22"/>
        <v>#DIV/0!</v>
      </c>
      <c r="M246" s="60" t="str">
        <f>IFERROR((#REF!/1.18)*1000,"")</f>
        <v/>
      </c>
    </row>
    <row r="247" spans="1:13" hidden="1" outlineLevel="1" x14ac:dyDescent="0.55000000000000004">
      <c r="A247" s="165"/>
      <c r="B247" s="35">
        <f t="shared" si="23"/>
        <v>6</v>
      </c>
      <c r="C247" s="36" t="str">
        <f t="shared" si="19"/>
        <v>122016</v>
      </c>
      <c r="D247" s="44">
        <v>42710</v>
      </c>
      <c r="E247" s="38">
        <v>3.5165000000000002</v>
      </c>
      <c r="F247" s="39">
        <v>369.5</v>
      </c>
      <c r="G247" s="33">
        <f t="shared" si="24"/>
        <v>1299.3467500000002</v>
      </c>
      <c r="H247" s="33"/>
      <c r="I247" s="33">
        <f t="shared" si="21"/>
        <v>1287.6953739999999</v>
      </c>
      <c r="J247" s="33"/>
      <c r="K247" s="33" t="e">
        <f t="shared" si="20"/>
        <v>#DIV/0!</v>
      </c>
      <c r="L247" s="59" t="e">
        <f t="shared" si="22"/>
        <v>#DIV/0!</v>
      </c>
      <c r="M247" s="60" t="str">
        <f>IFERROR((#REF!/1.18)*1000,"")</f>
        <v/>
      </c>
    </row>
    <row r="248" spans="1:13" hidden="1" outlineLevel="1" x14ac:dyDescent="0.55000000000000004">
      <c r="A248" s="165"/>
      <c r="B248" s="35">
        <f t="shared" si="23"/>
        <v>7</v>
      </c>
      <c r="C248" s="36" t="str">
        <f t="shared" si="19"/>
        <v>122016</v>
      </c>
      <c r="D248" s="44">
        <v>42711</v>
      </c>
      <c r="E248" s="38">
        <v>3.4369000000000001</v>
      </c>
      <c r="F248" s="39">
        <v>369.5</v>
      </c>
      <c r="G248" s="33">
        <f t="shared" si="24"/>
        <v>1269.9345499999999</v>
      </c>
      <c r="H248" s="33"/>
      <c r="I248" s="33">
        <f t="shared" si="21"/>
        <v>1291.909142</v>
      </c>
      <c r="J248" s="33"/>
      <c r="K248" s="33" t="e">
        <f t="shared" si="20"/>
        <v>#DIV/0!</v>
      </c>
      <c r="L248" s="59" t="e">
        <f t="shared" si="22"/>
        <v>#DIV/0!</v>
      </c>
      <c r="M248" s="60" t="str">
        <f>IFERROR((#REF!/1.18)*1000,"")</f>
        <v/>
      </c>
    </row>
    <row r="249" spans="1:13" hidden="1" outlineLevel="1" x14ac:dyDescent="0.55000000000000004">
      <c r="A249" s="165"/>
      <c r="B249" s="35">
        <f t="shared" si="23"/>
        <v>8</v>
      </c>
      <c r="C249" s="36" t="str">
        <f t="shared" si="19"/>
        <v>122016</v>
      </c>
      <c r="D249" s="44">
        <v>42712</v>
      </c>
      <c r="E249" s="38">
        <v>3.3730000000000002</v>
      </c>
      <c r="F249" s="39">
        <v>369.5</v>
      </c>
      <c r="G249" s="33">
        <f t="shared" si="24"/>
        <v>1246.3235000000002</v>
      </c>
      <c r="H249" s="33"/>
      <c r="I249" s="33">
        <f t="shared" si="21"/>
        <v>1290.4270199999999</v>
      </c>
      <c r="J249" s="33"/>
      <c r="K249" s="33" t="e">
        <f t="shared" si="20"/>
        <v>#DIV/0!</v>
      </c>
      <c r="L249" s="59" t="e">
        <f t="shared" si="22"/>
        <v>#DIV/0!</v>
      </c>
      <c r="M249" s="60" t="str">
        <f>IFERROR((#REF!/1.18)*1000,"")</f>
        <v/>
      </c>
    </row>
    <row r="250" spans="1:13" hidden="1" outlineLevel="1" x14ac:dyDescent="0.55000000000000004">
      <c r="A250" s="165"/>
      <c r="B250" s="35">
        <f t="shared" si="23"/>
        <v>9</v>
      </c>
      <c r="C250" s="36" t="str">
        <f t="shared" si="19"/>
        <v>122016</v>
      </c>
      <c r="D250" s="44">
        <v>42713</v>
      </c>
      <c r="E250" s="38">
        <v>3.4586000000000001</v>
      </c>
      <c r="F250" s="39">
        <v>369.5</v>
      </c>
      <c r="G250" s="33">
        <f t="shared" si="24"/>
        <v>1277.9527</v>
      </c>
      <c r="H250" s="33"/>
      <c r="I250" s="33">
        <f t="shared" si="21"/>
        <v>1284.3967800000003</v>
      </c>
      <c r="J250" s="33"/>
      <c r="K250" s="33" t="e">
        <f t="shared" si="20"/>
        <v>#DIV/0!</v>
      </c>
      <c r="L250" s="59" t="e">
        <f t="shared" si="22"/>
        <v>#DIV/0!</v>
      </c>
      <c r="M250" s="60" t="str">
        <f>IFERROR((#REF!/1.18)*1000,"")</f>
        <v/>
      </c>
    </row>
    <row r="251" spans="1:13" hidden="1" outlineLevel="1" x14ac:dyDescent="0.55000000000000004">
      <c r="A251" s="165"/>
      <c r="B251" s="35">
        <f t="shared" si="23"/>
        <v>12</v>
      </c>
      <c r="C251" s="36" t="str">
        <f t="shared" si="19"/>
        <v>122016</v>
      </c>
      <c r="D251" s="44">
        <v>42716</v>
      </c>
      <c r="E251" s="38">
        <v>3.5236000000000001</v>
      </c>
      <c r="F251" s="39">
        <v>369.5</v>
      </c>
      <c r="G251" s="33">
        <f t="shared" si="24"/>
        <v>1301.9702</v>
      </c>
      <c r="H251" s="33"/>
      <c r="I251" s="33">
        <f t="shared" si="21"/>
        <v>1280.37662</v>
      </c>
      <c r="J251" s="33"/>
      <c r="K251" s="33" t="e">
        <f t="shared" si="20"/>
        <v>#DIV/0!</v>
      </c>
      <c r="L251" s="59" t="e">
        <f t="shared" si="22"/>
        <v>#DIV/0!</v>
      </c>
      <c r="M251" s="60" t="str">
        <f>IFERROR((#REF!/1.18)*1000,"")</f>
        <v/>
      </c>
    </row>
    <row r="252" spans="1:13" hidden="1" outlineLevel="1" x14ac:dyDescent="0.55000000000000004">
      <c r="A252" s="165"/>
      <c r="B252" s="35">
        <f t="shared" si="23"/>
        <v>13</v>
      </c>
      <c r="C252" s="36" t="str">
        <f t="shared" si="19"/>
        <v>122016</v>
      </c>
      <c r="D252" s="44">
        <v>42717</v>
      </c>
      <c r="E252" s="38">
        <v>3.4784000000000002</v>
      </c>
      <c r="F252" s="39">
        <v>369.5</v>
      </c>
      <c r="G252" s="33">
        <f t="shared" si="24"/>
        <v>1285.2688000000001</v>
      </c>
      <c r="H252" s="33"/>
      <c r="I252" s="33">
        <f t="shared" si="21"/>
        <v>1279.10554</v>
      </c>
      <c r="J252" s="33"/>
      <c r="K252" s="33" t="e">
        <f t="shared" si="20"/>
        <v>#DIV/0!</v>
      </c>
      <c r="L252" s="59" t="e">
        <f t="shared" si="22"/>
        <v>#DIV/0!</v>
      </c>
      <c r="M252" s="60" t="str">
        <f>IFERROR((#REF!/1.18)*1000,"")</f>
        <v/>
      </c>
    </row>
    <row r="253" spans="1:13" hidden="1" outlineLevel="1" x14ac:dyDescent="0.55000000000000004">
      <c r="A253" s="165"/>
      <c r="B253" s="35">
        <f t="shared" si="23"/>
        <v>14</v>
      </c>
      <c r="C253" s="36" t="str">
        <f t="shared" si="19"/>
        <v>122016</v>
      </c>
      <c r="D253" s="44">
        <v>42718</v>
      </c>
      <c r="E253" s="38">
        <v>3.4847999999999999</v>
      </c>
      <c r="F253" s="39">
        <v>369.5</v>
      </c>
      <c r="G253" s="33">
        <f t="shared" si="24"/>
        <v>1287.6335999999999</v>
      </c>
      <c r="H253" s="33"/>
      <c r="I253" s="33">
        <f t="shared" si="21"/>
        <v>1276.2899499999999</v>
      </c>
      <c r="J253" s="33"/>
      <c r="K253" s="33" t="e">
        <f t="shared" si="20"/>
        <v>#DIV/0!</v>
      </c>
      <c r="L253" s="59" t="e">
        <f t="shared" si="22"/>
        <v>#DIV/0!</v>
      </c>
      <c r="M253" s="60" t="str">
        <f>IFERROR((#REF!/1.18)*1000,"")</f>
        <v/>
      </c>
    </row>
    <row r="254" spans="1:13" hidden="1" outlineLevel="1" x14ac:dyDescent="0.55000000000000004">
      <c r="A254" s="165"/>
      <c r="B254" s="35">
        <f t="shared" si="23"/>
        <v>15</v>
      </c>
      <c r="C254" s="36" t="str">
        <f t="shared" si="19"/>
        <v>122016</v>
      </c>
      <c r="D254" s="44">
        <v>42719</v>
      </c>
      <c r="E254" s="38">
        <v>3.5219999999999998</v>
      </c>
      <c r="F254" s="39">
        <v>369.5</v>
      </c>
      <c r="G254" s="33">
        <f t="shared" si="24"/>
        <v>1301.3789999999999</v>
      </c>
      <c r="H254" s="33"/>
      <c r="I254" s="33">
        <f t="shared" si="21"/>
        <v>1279.8297600000001</v>
      </c>
      <c r="J254" s="33"/>
      <c r="K254" s="33" t="e">
        <f t="shared" si="20"/>
        <v>#DIV/0!</v>
      </c>
      <c r="L254" s="59" t="e">
        <f t="shared" si="22"/>
        <v>#DIV/0!</v>
      </c>
      <c r="M254" s="60" t="str">
        <f>IFERROR((#REF!/1.18)*1000,"")</f>
        <v/>
      </c>
    </row>
    <row r="255" spans="1:13" hidden="1" outlineLevel="1" x14ac:dyDescent="0.55000000000000004">
      <c r="A255" s="165"/>
      <c r="B255" s="35">
        <f t="shared" si="23"/>
        <v>16</v>
      </c>
      <c r="C255" s="36" t="str">
        <f t="shared" si="19"/>
        <v>122016</v>
      </c>
      <c r="D255" s="44">
        <v>42720</v>
      </c>
      <c r="E255" s="38">
        <v>3.5003000000000002</v>
      </c>
      <c r="F255" s="39">
        <v>369.5</v>
      </c>
      <c r="G255" s="33">
        <f t="shared" si="24"/>
        <v>1293.36085</v>
      </c>
      <c r="H255" s="33"/>
      <c r="I255" s="33">
        <f t="shared" si="21"/>
        <v>1290.84086</v>
      </c>
      <c r="J255" s="33"/>
      <c r="K255" s="33" t="e">
        <f t="shared" si="20"/>
        <v>#DIV/0!</v>
      </c>
      <c r="L255" s="59" t="e">
        <f t="shared" si="22"/>
        <v>#DIV/0!</v>
      </c>
      <c r="M255" s="60" t="str">
        <f>IFERROR((#REF!/1.18)*1000,"")</f>
        <v/>
      </c>
    </row>
    <row r="256" spans="1:13" hidden="1" outlineLevel="1" x14ac:dyDescent="0.55000000000000004">
      <c r="A256" s="165"/>
      <c r="B256" s="35">
        <f t="shared" si="23"/>
        <v>19</v>
      </c>
      <c r="C256" s="36" t="str">
        <f t="shared" si="19"/>
        <v>122016</v>
      </c>
      <c r="D256" s="44">
        <v>42723</v>
      </c>
      <c r="E256" s="38">
        <v>3.5009999999999999</v>
      </c>
      <c r="F256" s="39">
        <v>369.5</v>
      </c>
      <c r="G256" s="33">
        <f t="shared" si="24"/>
        <v>1293.6195</v>
      </c>
      <c r="H256" s="33"/>
      <c r="I256" s="33">
        <f t="shared" si="21"/>
        <v>1293.9224899999999</v>
      </c>
      <c r="J256" s="33"/>
      <c r="K256" s="33" t="e">
        <f t="shared" si="20"/>
        <v>#DIV/0!</v>
      </c>
      <c r="L256" s="59" t="e">
        <f t="shared" si="22"/>
        <v>#DIV/0!</v>
      </c>
      <c r="M256" s="60" t="str">
        <f>IFERROR((#REF!/1.18)*1000,"")</f>
        <v/>
      </c>
    </row>
    <row r="257" spans="1:13" hidden="1" outlineLevel="1" x14ac:dyDescent="0.55000000000000004">
      <c r="A257" s="165"/>
      <c r="B257" s="35">
        <f t="shared" si="23"/>
        <v>20</v>
      </c>
      <c r="C257" s="36" t="str">
        <f t="shared" si="19"/>
        <v>122016</v>
      </c>
      <c r="D257" s="44">
        <v>42724</v>
      </c>
      <c r="E257" s="38">
        <v>3.5179999999999998</v>
      </c>
      <c r="F257" s="39">
        <v>369.5</v>
      </c>
      <c r="G257" s="33">
        <f t="shared" si="24"/>
        <v>1299.9009999999998</v>
      </c>
      <c r="H257" s="33"/>
      <c r="I257" s="33">
        <f t="shared" si="21"/>
        <v>1292.25235</v>
      </c>
      <c r="J257" s="33"/>
      <c r="K257" s="33" t="e">
        <f t="shared" si="20"/>
        <v>#DIV/0!</v>
      </c>
      <c r="L257" s="59" t="e">
        <f t="shared" si="22"/>
        <v>#DIV/0!</v>
      </c>
      <c r="M257" s="60" t="str">
        <f>IFERROR((#REF!/1.18)*1000,"")</f>
        <v/>
      </c>
    </row>
    <row r="258" spans="1:13" hidden="1" outlineLevel="1" x14ac:dyDescent="0.55000000000000004">
      <c r="A258" s="165"/>
      <c r="B258" s="35">
        <f t="shared" si="23"/>
        <v>21</v>
      </c>
      <c r="C258" s="36" t="str">
        <f t="shared" ref="C258:C321" si="25">IF(F258&gt;0,MONTH(D258)&amp;YEAR(D258),"")</f>
        <v>122016</v>
      </c>
      <c r="D258" s="44">
        <v>42725</v>
      </c>
      <c r="E258" s="38">
        <v>3.5163000000000002</v>
      </c>
      <c r="F258" s="39">
        <v>369.5</v>
      </c>
      <c r="G258" s="33">
        <f t="shared" si="24"/>
        <v>1299.2728500000001</v>
      </c>
      <c r="H258" s="33"/>
      <c r="I258" s="33">
        <f t="shared" si="21"/>
        <v>1295.1787899999999</v>
      </c>
      <c r="J258" s="33"/>
      <c r="K258" s="33" t="e">
        <f t="shared" si="20"/>
        <v>#DIV/0!</v>
      </c>
      <c r="L258" s="59" t="e">
        <f t="shared" si="22"/>
        <v>#DIV/0!</v>
      </c>
      <c r="M258" s="60" t="str">
        <f>IFERROR((#REF!/1.18)*1000,"")</f>
        <v/>
      </c>
    </row>
    <row r="259" spans="1:13" hidden="1" outlineLevel="1" x14ac:dyDescent="0.55000000000000004">
      <c r="A259" s="165"/>
      <c r="B259" s="35">
        <f t="shared" si="23"/>
        <v>22</v>
      </c>
      <c r="C259" s="36" t="str">
        <f t="shared" si="25"/>
        <v>122016</v>
      </c>
      <c r="D259" s="44">
        <v>42726</v>
      </c>
      <c r="E259" s="38">
        <v>3.5118</v>
      </c>
      <c r="F259" s="39">
        <v>369.5</v>
      </c>
      <c r="G259" s="33">
        <f t="shared" si="24"/>
        <v>1297.6101000000001</v>
      </c>
      <c r="H259" s="33"/>
      <c r="I259" s="33">
        <f t="shared" si="21"/>
        <v>1297.5066400000001</v>
      </c>
      <c r="J259" s="33"/>
      <c r="K259" s="33" t="e">
        <f t="shared" si="20"/>
        <v>#DIV/0!</v>
      </c>
      <c r="L259" s="59" t="e">
        <f t="shared" si="22"/>
        <v>#DIV/0!</v>
      </c>
      <c r="M259" s="60" t="str">
        <f>IFERROR((#REF!/1.18)*1000,"")</f>
        <v/>
      </c>
    </row>
    <row r="260" spans="1:13" hidden="1" outlineLevel="1" x14ac:dyDescent="0.55000000000000004">
      <c r="A260" s="165"/>
      <c r="B260" s="35">
        <f t="shared" si="23"/>
        <v>23</v>
      </c>
      <c r="C260" s="36" t="str">
        <f t="shared" si="25"/>
        <v>122016</v>
      </c>
      <c r="D260" s="44">
        <v>42727</v>
      </c>
      <c r="E260" s="38">
        <v>3.5139999999999998</v>
      </c>
      <c r="F260" s="39">
        <v>369.5</v>
      </c>
      <c r="G260" s="33">
        <f t="shared" si="24"/>
        <v>1298.423</v>
      </c>
      <c r="H260" s="33"/>
      <c r="I260" s="33">
        <f t="shared" si="21"/>
        <v>1296.7528600000001</v>
      </c>
      <c r="J260" s="33"/>
      <c r="K260" s="33" t="e">
        <f t="shared" si="20"/>
        <v>#DIV/0!</v>
      </c>
      <c r="L260" s="59" t="e">
        <f t="shared" si="22"/>
        <v>#DIV/0!</v>
      </c>
      <c r="M260" s="60" t="str">
        <f>IFERROR((#REF!/1.18)*1000,"")</f>
        <v/>
      </c>
    </row>
    <row r="261" spans="1:13" hidden="1" outlineLevel="1" x14ac:dyDescent="0.55000000000000004">
      <c r="A261" s="165"/>
      <c r="B261" s="35">
        <f t="shared" si="23"/>
        <v>26</v>
      </c>
      <c r="C261" s="36" t="str">
        <f t="shared" si="25"/>
        <v>122016</v>
      </c>
      <c r="D261" s="44">
        <v>42730</v>
      </c>
      <c r="E261" s="38">
        <v>3.5104000000000002</v>
      </c>
      <c r="F261" s="39">
        <v>369.5</v>
      </c>
      <c r="G261" s="33">
        <f t="shared" si="24"/>
        <v>1297.0928000000001</v>
      </c>
      <c r="H261" s="33"/>
      <c r="I261" s="33">
        <f t="shared" si="21"/>
        <v>1297.7652899999998</v>
      </c>
      <c r="J261" s="33"/>
      <c r="K261" s="33" t="e">
        <f t="shared" si="20"/>
        <v>#DIV/0!</v>
      </c>
      <c r="L261" s="59" t="e">
        <f t="shared" si="22"/>
        <v>#DIV/0!</v>
      </c>
      <c r="M261" s="60" t="str">
        <f>IFERROR((#REF!/1.18)*1000,"")</f>
        <v/>
      </c>
    </row>
    <row r="262" spans="1:13" hidden="1" outlineLevel="1" x14ac:dyDescent="0.55000000000000004">
      <c r="A262" s="165"/>
      <c r="B262" s="35">
        <f t="shared" si="23"/>
        <v>27</v>
      </c>
      <c r="C262" s="36" t="str">
        <f t="shared" si="25"/>
        <v>122016</v>
      </c>
      <c r="D262" s="44">
        <v>42731</v>
      </c>
      <c r="E262" s="38">
        <v>3.5198</v>
      </c>
      <c r="F262" s="39">
        <v>369.5</v>
      </c>
      <c r="G262" s="33">
        <f t="shared" si="24"/>
        <v>1300.5661</v>
      </c>
      <c r="H262" s="33"/>
      <c r="I262" s="33">
        <f t="shared" si="21"/>
        <v>1298.4599499999999</v>
      </c>
      <c r="J262" s="33"/>
      <c r="K262" s="33" t="e">
        <f t="shared" si="20"/>
        <v>#DIV/0!</v>
      </c>
      <c r="L262" s="59" t="e">
        <f t="shared" si="22"/>
        <v>#DIV/0!</v>
      </c>
      <c r="M262" s="60" t="str">
        <f>IFERROR((#REF!/1.18)*1000,"")</f>
        <v/>
      </c>
    </row>
    <row r="263" spans="1:13" hidden="1" outlineLevel="1" x14ac:dyDescent="0.55000000000000004">
      <c r="A263" s="165"/>
      <c r="B263" s="35">
        <f t="shared" si="23"/>
        <v>28</v>
      </c>
      <c r="C263" s="36" t="str">
        <f t="shared" si="25"/>
        <v>122016</v>
      </c>
      <c r="D263" s="44">
        <v>42732</v>
      </c>
      <c r="E263" s="38">
        <v>3.5392999999999999</v>
      </c>
      <c r="F263" s="39">
        <v>369.5</v>
      </c>
      <c r="G263" s="33">
        <f t="shared" si="24"/>
        <v>1307.77135</v>
      </c>
      <c r="H263" s="33"/>
      <c r="I263" s="33">
        <f t="shared" si="21"/>
        <v>1298.5929700000002</v>
      </c>
      <c r="J263" s="33"/>
      <c r="K263" s="33" t="e">
        <f t="shared" ref="K263:K326" si="26">IF(L262&gt;3%,G261,IF(L262&lt;-3%,G261,K262))</f>
        <v>#DIV/0!</v>
      </c>
      <c r="L263" s="59" t="e">
        <f t="shared" si="22"/>
        <v>#DIV/0!</v>
      </c>
      <c r="M263" s="60" t="str">
        <f>IFERROR((#REF!/1.18)*1000,"")</f>
        <v/>
      </c>
    </row>
    <row r="264" spans="1:13" hidden="1" outlineLevel="1" x14ac:dyDescent="0.55000000000000004">
      <c r="A264" s="165"/>
      <c r="B264" s="35">
        <f t="shared" si="23"/>
        <v>29</v>
      </c>
      <c r="C264" s="36" t="str">
        <f t="shared" si="25"/>
        <v>122016</v>
      </c>
      <c r="D264" s="44">
        <v>42733</v>
      </c>
      <c r="E264" s="38">
        <v>3.5381999999999998</v>
      </c>
      <c r="F264" s="39">
        <v>369.5</v>
      </c>
      <c r="G264" s="33">
        <f t="shared" si="24"/>
        <v>1307.3649</v>
      </c>
      <c r="H264" s="33"/>
      <c r="I264" s="33">
        <f t="shared" ref="I264:I327" si="27">IF(M263&lt;&gt;"",AVERAGE(G263),IF(M262&lt;&gt;"",AVERAGE(G262:G263),IF(M261&lt;&gt;"",AVERAGE(G261:G263),IF(M260&lt;&gt;"",AVERAGE(G260:G263),AVERAGE(G259:G263)))))</f>
        <v>1300.29267</v>
      </c>
      <c r="J264" s="33"/>
      <c r="K264" s="33" t="e">
        <f t="shared" si="26"/>
        <v>#DIV/0!</v>
      </c>
      <c r="L264" s="59" t="e">
        <f t="shared" si="22"/>
        <v>#DIV/0!</v>
      </c>
      <c r="M264" s="60" t="str">
        <f>IFERROR((#REF!/1.18)*1000,"")</f>
        <v/>
      </c>
    </row>
    <row r="265" spans="1:13" ht="14.7" hidden="1" outlineLevel="1" thickBot="1" x14ac:dyDescent="0.6">
      <c r="A265" s="166"/>
      <c r="B265" s="35">
        <f t="shared" si="23"/>
        <v>30</v>
      </c>
      <c r="C265" s="36" t="str">
        <f t="shared" si="25"/>
        <v>122016</v>
      </c>
      <c r="D265" s="53">
        <v>42734</v>
      </c>
      <c r="E265" s="38">
        <v>3.5255000000000001</v>
      </c>
      <c r="F265" s="39">
        <v>369.5</v>
      </c>
      <c r="G265" s="33">
        <f t="shared" si="24"/>
        <v>1302.6722500000001</v>
      </c>
      <c r="H265" s="33"/>
      <c r="I265" s="33">
        <f t="shared" si="27"/>
        <v>1302.2436300000002</v>
      </c>
      <c r="J265" s="33"/>
      <c r="K265" s="33" t="e">
        <f t="shared" si="26"/>
        <v>#DIV/0!</v>
      </c>
      <c r="L265" s="59" t="e">
        <f t="shared" si="22"/>
        <v>#DIV/0!</v>
      </c>
      <c r="M265" s="60" t="str">
        <f>IFERROR((#REF!/1.18)*1000,"")</f>
        <v/>
      </c>
    </row>
    <row r="266" spans="1:13" ht="15" hidden="1" customHeight="1" outlineLevel="1" x14ac:dyDescent="0.55000000000000004">
      <c r="A266" s="168">
        <v>42736</v>
      </c>
      <c r="B266" s="35">
        <f t="shared" si="23"/>
        <v>2</v>
      </c>
      <c r="C266" s="36" t="str">
        <f t="shared" si="25"/>
        <v>12017</v>
      </c>
      <c r="D266" s="37">
        <v>42737</v>
      </c>
      <c r="E266" s="38">
        <v>3.5402</v>
      </c>
      <c r="F266" s="39">
        <v>421</v>
      </c>
      <c r="G266" s="33">
        <f t="shared" si="24"/>
        <v>1490.4241999999999</v>
      </c>
      <c r="H266" s="33"/>
      <c r="I266" s="33">
        <f t="shared" si="27"/>
        <v>1303.09348</v>
      </c>
      <c r="J266" s="33"/>
      <c r="K266" s="33" t="e">
        <f t="shared" si="26"/>
        <v>#DIV/0!</v>
      </c>
      <c r="L266" s="59" t="e">
        <f t="shared" si="22"/>
        <v>#DIV/0!</v>
      </c>
      <c r="M266" s="60" t="str">
        <f>IFERROR((#REF!/1.18)*1000,"")</f>
        <v/>
      </c>
    </row>
    <row r="267" spans="1:13" hidden="1" outlineLevel="1" x14ac:dyDescent="0.55000000000000004">
      <c r="A267" s="169"/>
      <c r="B267" s="35">
        <f t="shared" si="23"/>
        <v>3</v>
      </c>
      <c r="C267" s="36" t="str">
        <f t="shared" si="25"/>
        <v>12017</v>
      </c>
      <c r="D267" s="44">
        <f t="shared" ref="D267:D287" si="28">WORKDAY(D266,1)</f>
        <v>42738</v>
      </c>
      <c r="E267" s="38">
        <v>3.5802</v>
      </c>
      <c r="F267" s="39">
        <v>421</v>
      </c>
      <c r="G267" s="33">
        <f t="shared" si="24"/>
        <v>1507.2642000000001</v>
      </c>
      <c r="H267" s="33"/>
      <c r="I267" s="33">
        <f t="shared" si="27"/>
        <v>1341.7597600000001</v>
      </c>
      <c r="J267" s="33"/>
      <c r="K267" s="33" t="e">
        <f t="shared" si="26"/>
        <v>#DIV/0!</v>
      </c>
      <c r="L267" s="59" t="e">
        <f t="shared" si="22"/>
        <v>#DIV/0!</v>
      </c>
      <c r="M267" s="60" t="str">
        <f>IFERROR((#REF!/1.18)*1000,"")</f>
        <v/>
      </c>
    </row>
    <row r="268" spans="1:13" hidden="1" outlineLevel="1" x14ac:dyDescent="0.55000000000000004">
      <c r="A268" s="169"/>
      <c r="B268" s="35">
        <f t="shared" si="23"/>
        <v>4</v>
      </c>
      <c r="C268" s="36" t="str">
        <f t="shared" si="25"/>
        <v>12017</v>
      </c>
      <c r="D268" s="44">
        <f t="shared" si="28"/>
        <v>42739</v>
      </c>
      <c r="E268" s="38">
        <v>3.5829</v>
      </c>
      <c r="F268" s="39">
        <v>421</v>
      </c>
      <c r="G268" s="33">
        <f t="shared" si="24"/>
        <v>1508.4009000000001</v>
      </c>
      <c r="H268" s="33"/>
      <c r="I268" s="33">
        <f t="shared" si="27"/>
        <v>1383.0993800000001</v>
      </c>
      <c r="J268" s="33"/>
      <c r="K268" s="33" t="e">
        <f t="shared" si="26"/>
        <v>#DIV/0!</v>
      </c>
      <c r="L268" s="59" t="e">
        <f t="shared" ref="L268:L331" si="29">(I268-K268)/K268</f>
        <v>#DIV/0!</v>
      </c>
      <c r="M268" s="60" t="str">
        <f>IFERROR((#REF!/1.18)*1000,"")</f>
        <v/>
      </c>
    </row>
    <row r="269" spans="1:13" hidden="1" outlineLevel="1" x14ac:dyDescent="0.55000000000000004">
      <c r="A269" s="169"/>
      <c r="B269" s="35">
        <f t="shared" si="23"/>
        <v>5</v>
      </c>
      <c r="C269" s="36" t="str">
        <f t="shared" si="25"/>
        <v>12017</v>
      </c>
      <c r="D269" s="44">
        <f t="shared" si="28"/>
        <v>42740</v>
      </c>
      <c r="E269" s="38">
        <v>3.5998999999999999</v>
      </c>
      <c r="F269" s="39">
        <v>421</v>
      </c>
      <c r="G269" s="33">
        <f t="shared" si="24"/>
        <v>1515.5579</v>
      </c>
      <c r="H269" s="33"/>
      <c r="I269" s="33">
        <f t="shared" si="27"/>
        <v>1423.2252899999999</v>
      </c>
      <c r="J269" s="33"/>
      <c r="K269" s="33" t="e">
        <f t="shared" si="26"/>
        <v>#DIV/0!</v>
      </c>
      <c r="L269" s="59" t="e">
        <f t="shared" si="29"/>
        <v>#DIV/0!</v>
      </c>
      <c r="M269" s="60" t="str">
        <f>IFERROR((#REF!/1.18)*1000,"")</f>
        <v/>
      </c>
    </row>
    <row r="270" spans="1:13" hidden="1" outlineLevel="1" x14ac:dyDescent="0.55000000000000004">
      <c r="A270" s="169"/>
      <c r="B270" s="35">
        <f t="shared" si="23"/>
        <v>6</v>
      </c>
      <c r="C270" s="36" t="str">
        <f t="shared" si="25"/>
        <v>12017</v>
      </c>
      <c r="D270" s="44">
        <f t="shared" si="28"/>
        <v>42741</v>
      </c>
      <c r="E270" s="38">
        <v>3.6198999999999999</v>
      </c>
      <c r="F270" s="39">
        <v>421</v>
      </c>
      <c r="G270" s="33">
        <f t="shared" si="24"/>
        <v>1523.9778999999999</v>
      </c>
      <c r="H270" s="33"/>
      <c r="I270" s="33">
        <f t="shared" si="27"/>
        <v>1464.8638900000001</v>
      </c>
      <c r="J270" s="33"/>
      <c r="K270" s="33" t="e">
        <f t="shared" si="26"/>
        <v>#DIV/0!</v>
      </c>
      <c r="L270" s="59" t="e">
        <f t="shared" si="29"/>
        <v>#DIV/0!</v>
      </c>
      <c r="M270" s="60" t="str">
        <f>IFERROR((#REF!/1.18)*1000,"")</f>
        <v/>
      </c>
    </row>
    <row r="271" spans="1:13" hidden="1" outlineLevel="1" x14ac:dyDescent="0.55000000000000004">
      <c r="A271" s="169"/>
      <c r="B271" s="35">
        <f t="shared" si="23"/>
        <v>9</v>
      </c>
      <c r="C271" s="36" t="str">
        <f t="shared" si="25"/>
        <v>12017</v>
      </c>
      <c r="D271" s="44">
        <f t="shared" si="28"/>
        <v>42744</v>
      </c>
      <c r="E271" s="38">
        <v>3.7086999999999999</v>
      </c>
      <c r="F271" s="39">
        <v>421</v>
      </c>
      <c r="G271" s="33">
        <f t="shared" si="24"/>
        <v>1561.3626999999999</v>
      </c>
      <c r="H271" s="33"/>
      <c r="I271" s="33">
        <f t="shared" si="27"/>
        <v>1509.1250199999999</v>
      </c>
      <c r="J271" s="33"/>
      <c r="K271" s="33" t="e">
        <f t="shared" si="26"/>
        <v>#DIV/0!</v>
      </c>
      <c r="L271" s="59" t="e">
        <f t="shared" si="29"/>
        <v>#DIV/0!</v>
      </c>
      <c r="M271" s="60" t="str">
        <f>IFERROR((#REF!/1.18)*1000,"")</f>
        <v/>
      </c>
    </row>
    <row r="272" spans="1:13" hidden="1" outlineLevel="1" x14ac:dyDescent="0.55000000000000004">
      <c r="A272" s="169"/>
      <c r="B272" s="35">
        <f t="shared" si="23"/>
        <v>10</v>
      </c>
      <c r="C272" s="36" t="str">
        <f t="shared" si="25"/>
        <v>12017</v>
      </c>
      <c r="D272" s="44">
        <f t="shared" si="28"/>
        <v>42745</v>
      </c>
      <c r="E272" s="38">
        <v>3.7688000000000001</v>
      </c>
      <c r="F272" s="39">
        <v>421</v>
      </c>
      <c r="G272" s="33">
        <f t="shared" si="24"/>
        <v>1586.6648</v>
      </c>
      <c r="H272" s="33"/>
      <c r="I272" s="33">
        <f t="shared" si="27"/>
        <v>1523.3127199999999</v>
      </c>
      <c r="J272" s="33"/>
      <c r="K272" s="33" t="e">
        <f t="shared" si="26"/>
        <v>#DIV/0!</v>
      </c>
      <c r="L272" s="59" t="e">
        <f t="shared" si="29"/>
        <v>#DIV/0!</v>
      </c>
      <c r="M272" s="60" t="str">
        <f>IFERROR((#REF!/1.18)*1000,"")</f>
        <v/>
      </c>
    </row>
    <row r="273" spans="1:13" hidden="1" outlineLevel="1" x14ac:dyDescent="0.55000000000000004">
      <c r="A273" s="169"/>
      <c r="B273" s="35">
        <f t="shared" si="23"/>
        <v>11</v>
      </c>
      <c r="C273" s="36" t="str">
        <f t="shared" si="25"/>
        <v>12017</v>
      </c>
      <c r="D273" s="44">
        <f t="shared" si="28"/>
        <v>42746</v>
      </c>
      <c r="E273" s="38">
        <v>3.8571</v>
      </c>
      <c r="F273" s="39">
        <v>421</v>
      </c>
      <c r="G273" s="33">
        <f t="shared" si="24"/>
        <v>1623.8390999999999</v>
      </c>
      <c r="H273" s="33"/>
      <c r="I273" s="33">
        <f t="shared" si="27"/>
        <v>1539.1928400000002</v>
      </c>
      <c r="J273" s="33"/>
      <c r="K273" s="33" t="e">
        <f t="shared" si="26"/>
        <v>#DIV/0!</v>
      </c>
      <c r="L273" s="59" t="e">
        <f t="shared" si="29"/>
        <v>#DIV/0!</v>
      </c>
      <c r="M273" s="60" t="str">
        <f>IFERROR((#REF!/1.18)*1000,"")</f>
        <v/>
      </c>
    </row>
    <row r="274" spans="1:13" hidden="1" outlineLevel="1" x14ac:dyDescent="0.55000000000000004">
      <c r="A274" s="169"/>
      <c r="B274" s="35">
        <f t="shared" si="23"/>
        <v>12</v>
      </c>
      <c r="C274" s="36" t="str">
        <f t="shared" si="25"/>
        <v>12017</v>
      </c>
      <c r="D274" s="44">
        <f t="shared" si="28"/>
        <v>42747</v>
      </c>
      <c r="E274" s="38">
        <v>3.8498999999999999</v>
      </c>
      <c r="F274" s="39">
        <v>421</v>
      </c>
      <c r="G274" s="33">
        <f t="shared" si="24"/>
        <v>1620.8079</v>
      </c>
      <c r="H274" s="33"/>
      <c r="I274" s="33">
        <f t="shared" si="27"/>
        <v>1562.2804799999999</v>
      </c>
      <c r="J274" s="33"/>
      <c r="K274" s="33" t="e">
        <f t="shared" si="26"/>
        <v>#DIV/0!</v>
      </c>
      <c r="L274" s="59" t="e">
        <f t="shared" si="29"/>
        <v>#DIV/0!</v>
      </c>
      <c r="M274" s="60" t="str">
        <f>IFERROR((#REF!/1.18)*1000,"")</f>
        <v/>
      </c>
    </row>
    <row r="275" spans="1:13" hidden="1" outlineLevel="1" x14ac:dyDescent="0.55000000000000004">
      <c r="A275" s="169"/>
      <c r="B275" s="35">
        <f t="shared" si="23"/>
        <v>13</v>
      </c>
      <c r="C275" s="36" t="str">
        <f t="shared" si="25"/>
        <v>12017</v>
      </c>
      <c r="D275" s="44">
        <f t="shared" si="28"/>
        <v>42748</v>
      </c>
      <c r="E275" s="38">
        <v>3.8062</v>
      </c>
      <c r="F275" s="39">
        <v>421</v>
      </c>
      <c r="G275" s="33">
        <f t="shared" si="24"/>
        <v>1602.4102</v>
      </c>
      <c r="H275" s="33"/>
      <c r="I275" s="33">
        <f t="shared" si="27"/>
        <v>1583.3304800000001</v>
      </c>
      <c r="J275" s="33"/>
      <c r="K275" s="33" t="e">
        <f t="shared" si="26"/>
        <v>#DIV/0!</v>
      </c>
      <c r="L275" s="59" t="e">
        <f t="shared" si="29"/>
        <v>#DIV/0!</v>
      </c>
      <c r="M275" s="60" t="str">
        <f>IFERROR((#REF!/1.18)*1000,"")</f>
        <v/>
      </c>
    </row>
    <row r="276" spans="1:13" hidden="1" outlineLevel="1" x14ac:dyDescent="0.55000000000000004">
      <c r="A276" s="169"/>
      <c r="B276" s="35">
        <f t="shared" si="23"/>
        <v>16</v>
      </c>
      <c r="C276" s="36" t="str">
        <f t="shared" si="25"/>
        <v>12017</v>
      </c>
      <c r="D276" s="44">
        <f t="shared" si="28"/>
        <v>42751</v>
      </c>
      <c r="E276" s="38">
        <v>3.7684000000000002</v>
      </c>
      <c r="F276" s="39">
        <v>421</v>
      </c>
      <c r="G276" s="33">
        <f t="shared" si="24"/>
        <v>1586.4964</v>
      </c>
      <c r="H276" s="33"/>
      <c r="I276" s="33">
        <f t="shared" si="27"/>
        <v>1599.01694</v>
      </c>
      <c r="J276" s="33"/>
      <c r="K276" s="33" t="e">
        <f t="shared" si="26"/>
        <v>#DIV/0!</v>
      </c>
      <c r="L276" s="59" t="e">
        <f t="shared" si="29"/>
        <v>#DIV/0!</v>
      </c>
      <c r="M276" s="60" t="str">
        <f>IFERROR((#REF!/1.18)*1000,"")</f>
        <v/>
      </c>
    </row>
    <row r="277" spans="1:13" hidden="1" outlineLevel="1" x14ac:dyDescent="0.55000000000000004">
      <c r="A277" s="169"/>
      <c r="B277" s="35">
        <f t="shared" si="23"/>
        <v>17</v>
      </c>
      <c r="C277" s="36" t="str">
        <f t="shared" si="25"/>
        <v>12017</v>
      </c>
      <c r="D277" s="44">
        <f t="shared" si="28"/>
        <v>42752</v>
      </c>
      <c r="E277" s="38">
        <v>3.7894000000000001</v>
      </c>
      <c r="F277" s="39">
        <v>421</v>
      </c>
      <c r="G277" s="33">
        <f t="shared" si="24"/>
        <v>1595.3374000000001</v>
      </c>
      <c r="H277" s="33"/>
      <c r="I277" s="33">
        <f t="shared" si="27"/>
        <v>1604.04368</v>
      </c>
      <c r="J277" s="33"/>
      <c r="K277" s="33" t="e">
        <f t="shared" si="26"/>
        <v>#DIV/0!</v>
      </c>
      <c r="L277" s="59" t="e">
        <f t="shared" si="29"/>
        <v>#DIV/0!</v>
      </c>
      <c r="M277" s="60" t="str">
        <f>IFERROR((#REF!/1.18)*1000,"")</f>
        <v/>
      </c>
    </row>
    <row r="278" spans="1:13" hidden="1" outlineLevel="1" x14ac:dyDescent="0.55000000000000004">
      <c r="A278" s="169"/>
      <c r="B278" s="35">
        <f t="shared" si="23"/>
        <v>18</v>
      </c>
      <c r="C278" s="36" t="str">
        <f t="shared" si="25"/>
        <v>12017</v>
      </c>
      <c r="D278" s="44">
        <f t="shared" si="28"/>
        <v>42753</v>
      </c>
      <c r="E278" s="38">
        <v>3.7839999999999998</v>
      </c>
      <c r="F278" s="39">
        <v>421</v>
      </c>
      <c r="G278" s="33">
        <f t="shared" si="24"/>
        <v>1593.0639999999999</v>
      </c>
      <c r="H278" s="33"/>
      <c r="I278" s="33">
        <f t="shared" si="27"/>
        <v>1605.7782000000002</v>
      </c>
      <c r="J278" s="33"/>
      <c r="K278" s="33" t="e">
        <f t="shared" si="26"/>
        <v>#DIV/0!</v>
      </c>
      <c r="L278" s="59" t="e">
        <f t="shared" si="29"/>
        <v>#DIV/0!</v>
      </c>
      <c r="M278" s="60" t="str">
        <f>IFERROR((#REF!/1.18)*1000,"")</f>
        <v/>
      </c>
    </row>
    <row r="279" spans="1:13" hidden="1" outlineLevel="1" x14ac:dyDescent="0.55000000000000004">
      <c r="A279" s="169"/>
      <c r="B279" s="35">
        <f t="shared" ref="B279:B342" si="30">DAY(D279)</f>
        <v>19</v>
      </c>
      <c r="C279" s="36" t="str">
        <f t="shared" si="25"/>
        <v>12017</v>
      </c>
      <c r="D279" s="44">
        <f t="shared" si="28"/>
        <v>42754</v>
      </c>
      <c r="E279" s="38">
        <v>3.8008999999999999</v>
      </c>
      <c r="F279" s="39">
        <v>421</v>
      </c>
      <c r="G279" s="33">
        <f t="shared" si="24"/>
        <v>1600.1788999999999</v>
      </c>
      <c r="H279" s="33"/>
      <c r="I279" s="33">
        <f t="shared" si="27"/>
        <v>1599.62318</v>
      </c>
      <c r="J279" s="33"/>
      <c r="K279" s="33" t="e">
        <f t="shared" si="26"/>
        <v>#DIV/0!</v>
      </c>
      <c r="L279" s="59" t="e">
        <f t="shared" si="29"/>
        <v>#DIV/0!</v>
      </c>
      <c r="M279" s="60" t="str">
        <f>IFERROR((#REF!/1.18)*1000,"")</f>
        <v/>
      </c>
    </row>
    <row r="280" spans="1:13" hidden="1" outlineLevel="1" x14ac:dyDescent="0.55000000000000004">
      <c r="A280" s="169"/>
      <c r="B280" s="35">
        <f t="shared" si="30"/>
        <v>20</v>
      </c>
      <c r="C280" s="36" t="str">
        <f t="shared" si="25"/>
        <v>12017</v>
      </c>
      <c r="D280" s="44">
        <f t="shared" si="28"/>
        <v>42755</v>
      </c>
      <c r="E280" s="38">
        <v>3.8243999999999998</v>
      </c>
      <c r="F280" s="39">
        <v>421</v>
      </c>
      <c r="G280" s="33">
        <f t="shared" si="24"/>
        <v>1610.0724</v>
      </c>
      <c r="H280" s="33"/>
      <c r="I280" s="33">
        <f t="shared" si="27"/>
        <v>1595.4973800000002</v>
      </c>
      <c r="J280" s="33"/>
      <c r="K280" s="33" t="e">
        <f t="shared" si="26"/>
        <v>#DIV/0!</v>
      </c>
      <c r="L280" s="59" t="e">
        <f t="shared" si="29"/>
        <v>#DIV/0!</v>
      </c>
      <c r="M280" s="60" t="str">
        <f>IFERROR((#REF!/1.18)*1000,"")</f>
        <v/>
      </c>
    </row>
    <row r="281" spans="1:13" hidden="1" outlineLevel="1" x14ac:dyDescent="0.55000000000000004">
      <c r="A281" s="169"/>
      <c r="B281" s="35">
        <f t="shared" si="30"/>
        <v>23</v>
      </c>
      <c r="C281" s="36" t="str">
        <f t="shared" si="25"/>
        <v>12017</v>
      </c>
      <c r="D281" s="44">
        <f t="shared" si="28"/>
        <v>42758</v>
      </c>
      <c r="E281" s="38">
        <v>3.7746</v>
      </c>
      <c r="F281" s="39">
        <v>421</v>
      </c>
      <c r="G281" s="33">
        <f t="shared" si="24"/>
        <v>1589.1066000000001</v>
      </c>
      <c r="H281" s="33"/>
      <c r="I281" s="33">
        <f t="shared" si="27"/>
        <v>1597.0298200000002</v>
      </c>
      <c r="J281" s="33"/>
      <c r="K281" s="33" t="e">
        <f t="shared" si="26"/>
        <v>#DIV/0!</v>
      </c>
      <c r="L281" s="59" t="e">
        <f t="shared" si="29"/>
        <v>#DIV/0!</v>
      </c>
      <c r="M281" s="60" t="str">
        <f>IFERROR((#REF!/1.18)*1000,"")</f>
        <v/>
      </c>
    </row>
    <row r="282" spans="1:13" hidden="1" outlineLevel="1" x14ac:dyDescent="0.55000000000000004">
      <c r="A282" s="169"/>
      <c r="B282" s="35">
        <f t="shared" si="30"/>
        <v>24</v>
      </c>
      <c r="C282" s="36" t="str">
        <f t="shared" si="25"/>
        <v>12017</v>
      </c>
      <c r="D282" s="44">
        <f t="shared" si="28"/>
        <v>42759</v>
      </c>
      <c r="E282" s="38">
        <v>3.7589999999999999</v>
      </c>
      <c r="F282" s="39">
        <v>421</v>
      </c>
      <c r="G282" s="33">
        <f t="shared" si="24"/>
        <v>1582.539</v>
      </c>
      <c r="H282" s="33"/>
      <c r="I282" s="33">
        <f t="shared" si="27"/>
        <v>1597.55186</v>
      </c>
      <c r="J282" s="33"/>
      <c r="K282" s="33" t="e">
        <f t="shared" si="26"/>
        <v>#DIV/0!</v>
      </c>
      <c r="L282" s="59" t="e">
        <f t="shared" si="29"/>
        <v>#DIV/0!</v>
      </c>
      <c r="M282" s="60" t="str">
        <f>IFERROR((#REF!/1.18)*1000,"")</f>
        <v/>
      </c>
    </row>
    <row r="283" spans="1:13" hidden="1" outlineLevel="1" x14ac:dyDescent="0.55000000000000004">
      <c r="A283" s="169"/>
      <c r="B283" s="35">
        <f t="shared" si="30"/>
        <v>25</v>
      </c>
      <c r="C283" s="36" t="str">
        <f t="shared" si="25"/>
        <v>12017</v>
      </c>
      <c r="D283" s="44">
        <f t="shared" si="28"/>
        <v>42760</v>
      </c>
      <c r="E283" s="38">
        <v>3.8102</v>
      </c>
      <c r="F283" s="39">
        <v>421</v>
      </c>
      <c r="G283" s="33">
        <f t="shared" si="24"/>
        <v>1604.0942</v>
      </c>
      <c r="H283" s="33"/>
      <c r="I283" s="33">
        <f t="shared" si="27"/>
        <v>1594.99218</v>
      </c>
      <c r="J283" s="33"/>
      <c r="K283" s="33" t="e">
        <f t="shared" si="26"/>
        <v>#DIV/0!</v>
      </c>
      <c r="L283" s="59" t="e">
        <f t="shared" si="29"/>
        <v>#DIV/0!</v>
      </c>
      <c r="M283" s="60" t="str">
        <f>IFERROR((#REF!/1.18)*1000,"")</f>
        <v/>
      </c>
    </row>
    <row r="284" spans="1:13" hidden="1" outlineLevel="1" x14ac:dyDescent="0.55000000000000004">
      <c r="A284" s="169"/>
      <c r="B284" s="35">
        <f t="shared" si="30"/>
        <v>26</v>
      </c>
      <c r="C284" s="36" t="str">
        <f t="shared" si="25"/>
        <v>12017</v>
      </c>
      <c r="D284" s="44">
        <f t="shared" si="28"/>
        <v>42761</v>
      </c>
      <c r="E284" s="38">
        <v>3.8412000000000002</v>
      </c>
      <c r="F284" s="39">
        <v>421</v>
      </c>
      <c r="G284" s="33">
        <f t="shared" si="24"/>
        <v>1617.1452000000002</v>
      </c>
      <c r="H284" s="33"/>
      <c r="I284" s="33">
        <f t="shared" si="27"/>
        <v>1597.1982199999998</v>
      </c>
      <c r="J284" s="33"/>
      <c r="K284" s="33" t="e">
        <f t="shared" si="26"/>
        <v>#DIV/0!</v>
      </c>
      <c r="L284" s="59" t="e">
        <f t="shared" si="29"/>
        <v>#DIV/0!</v>
      </c>
      <c r="M284" s="60" t="str">
        <f>IFERROR((#REF!/1.18)*1000,"")</f>
        <v/>
      </c>
    </row>
    <row r="285" spans="1:13" hidden="1" outlineLevel="1" x14ac:dyDescent="0.55000000000000004">
      <c r="A285" s="169"/>
      <c r="B285" s="35">
        <f t="shared" si="30"/>
        <v>27</v>
      </c>
      <c r="C285" s="36" t="str">
        <f t="shared" si="25"/>
        <v>12017</v>
      </c>
      <c r="D285" s="44">
        <f t="shared" si="28"/>
        <v>42762</v>
      </c>
      <c r="E285" s="38">
        <v>3.8847999999999998</v>
      </c>
      <c r="F285" s="39">
        <v>421</v>
      </c>
      <c r="G285" s="33">
        <f t="shared" si="24"/>
        <v>1635.5008</v>
      </c>
      <c r="H285" s="33"/>
      <c r="I285" s="33">
        <f t="shared" si="27"/>
        <v>1600.59148</v>
      </c>
      <c r="J285" s="33"/>
      <c r="K285" s="33" t="e">
        <f t="shared" si="26"/>
        <v>#DIV/0!</v>
      </c>
      <c r="L285" s="59" t="e">
        <f t="shared" si="29"/>
        <v>#DIV/0!</v>
      </c>
      <c r="M285" s="60" t="str">
        <f>IFERROR((#REF!/1.18)*1000,"")</f>
        <v/>
      </c>
    </row>
    <row r="286" spans="1:13" hidden="1" outlineLevel="1" x14ac:dyDescent="0.55000000000000004">
      <c r="A286" s="169"/>
      <c r="B286" s="35">
        <f t="shared" si="30"/>
        <v>30</v>
      </c>
      <c r="C286" s="36" t="str">
        <f t="shared" si="25"/>
        <v>12017</v>
      </c>
      <c r="D286" s="44">
        <f t="shared" si="28"/>
        <v>42765</v>
      </c>
      <c r="E286" s="38">
        <v>3.8393000000000002</v>
      </c>
      <c r="F286" s="39">
        <v>421</v>
      </c>
      <c r="G286" s="33">
        <f t="shared" si="24"/>
        <v>1616.3453000000002</v>
      </c>
      <c r="H286" s="33"/>
      <c r="I286" s="33">
        <f t="shared" si="27"/>
        <v>1605.6771599999997</v>
      </c>
      <c r="J286" s="33"/>
      <c r="K286" s="33" t="e">
        <f t="shared" si="26"/>
        <v>#DIV/0!</v>
      </c>
      <c r="L286" s="59" t="e">
        <f t="shared" si="29"/>
        <v>#DIV/0!</v>
      </c>
      <c r="M286" s="60" t="str">
        <f>IFERROR((#REF!/1.18)*1000,"")</f>
        <v/>
      </c>
    </row>
    <row r="287" spans="1:13" ht="14.7" hidden="1" outlineLevel="1" thickBot="1" x14ac:dyDescent="0.6">
      <c r="A287" s="170"/>
      <c r="B287" s="35">
        <f t="shared" si="30"/>
        <v>31</v>
      </c>
      <c r="C287" s="36" t="str">
        <f t="shared" si="25"/>
        <v>12017</v>
      </c>
      <c r="D287" s="53">
        <f t="shared" si="28"/>
        <v>42766</v>
      </c>
      <c r="E287" s="38">
        <v>3.7942</v>
      </c>
      <c r="F287" s="39">
        <v>421</v>
      </c>
      <c r="G287" s="33">
        <f t="shared" si="24"/>
        <v>1597.3581999999999</v>
      </c>
      <c r="H287" s="33"/>
      <c r="I287" s="33">
        <f t="shared" si="27"/>
        <v>1611.1249</v>
      </c>
      <c r="J287" s="33"/>
      <c r="K287" s="33" t="e">
        <f t="shared" si="26"/>
        <v>#DIV/0!</v>
      </c>
      <c r="L287" s="59" t="e">
        <f t="shared" si="29"/>
        <v>#DIV/0!</v>
      </c>
      <c r="M287" s="60" t="str">
        <f>IFERROR((#REF!/1.18)*1000,"")</f>
        <v/>
      </c>
    </row>
    <row r="288" spans="1:13" ht="15" hidden="1" customHeight="1" outlineLevel="1" x14ac:dyDescent="0.55000000000000004">
      <c r="A288" s="167">
        <v>42767</v>
      </c>
      <c r="B288" s="35">
        <f t="shared" si="30"/>
        <v>1</v>
      </c>
      <c r="C288" s="36" t="str">
        <f t="shared" si="25"/>
        <v>22017</v>
      </c>
      <c r="D288" s="37">
        <f>WORKDAY(D287,1)</f>
        <v>42767</v>
      </c>
      <c r="E288" s="38">
        <v>3.7814000000000001</v>
      </c>
      <c r="F288" s="39">
        <v>482</v>
      </c>
      <c r="G288" s="33">
        <f t="shared" si="24"/>
        <v>1822.6348</v>
      </c>
      <c r="H288" s="33"/>
      <c r="I288" s="33">
        <f t="shared" si="27"/>
        <v>1614.0887399999999</v>
      </c>
      <c r="J288" s="33"/>
      <c r="K288" s="33" t="e">
        <f t="shared" si="26"/>
        <v>#DIV/0!</v>
      </c>
      <c r="L288" s="59" t="e">
        <f t="shared" si="29"/>
        <v>#DIV/0!</v>
      </c>
      <c r="M288" s="60" t="str">
        <f>IFERROR((#REF!/1.18)*1000,"")</f>
        <v/>
      </c>
    </row>
    <row r="289" spans="1:13" hidden="1" outlineLevel="1" x14ac:dyDescent="0.55000000000000004">
      <c r="A289" s="165"/>
      <c r="B289" s="35">
        <f t="shared" si="30"/>
        <v>2</v>
      </c>
      <c r="C289" s="36" t="str">
        <f t="shared" si="25"/>
        <v>22017</v>
      </c>
      <c r="D289" s="44">
        <f t="shared" ref="D289:D306" si="31">WORKDAY(D288,1)</f>
        <v>42768</v>
      </c>
      <c r="E289" s="38">
        <v>3.7404000000000002</v>
      </c>
      <c r="F289" s="39">
        <v>482</v>
      </c>
      <c r="G289" s="33">
        <f t="shared" si="24"/>
        <v>1802.8728000000001</v>
      </c>
      <c r="H289" s="33"/>
      <c r="I289" s="33">
        <f t="shared" si="27"/>
        <v>1657.7968599999999</v>
      </c>
      <c r="J289" s="33"/>
      <c r="K289" s="33" t="e">
        <f t="shared" si="26"/>
        <v>#DIV/0!</v>
      </c>
      <c r="L289" s="59" t="e">
        <f t="shared" si="29"/>
        <v>#DIV/0!</v>
      </c>
      <c r="M289" s="60" t="str">
        <f>IFERROR((#REF!/1.18)*1000,"")</f>
        <v/>
      </c>
    </row>
    <row r="290" spans="1:13" hidden="1" outlineLevel="1" x14ac:dyDescent="0.55000000000000004">
      <c r="A290" s="165"/>
      <c r="B290" s="35">
        <f t="shared" si="30"/>
        <v>3</v>
      </c>
      <c r="C290" s="36" t="str">
        <f t="shared" si="25"/>
        <v>22017</v>
      </c>
      <c r="D290" s="44">
        <f t="shared" si="31"/>
        <v>42769</v>
      </c>
      <c r="E290" s="38">
        <v>3.7488999999999999</v>
      </c>
      <c r="F290" s="39">
        <v>482</v>
      </c>
      <c r="G290" s="33">
        <f t="shared" si="24"/>
        <v>1806.9697999999999</v>
      </c>
      <c r="H290" s="33"/>
      <c r="I290" s="33">
        <f t="shared" si="27"/>
        <v>1694.94238</v>
      </c>
      <c r="J290" s="33"/>
      <c r="K290" s="33" t="e">
        <f t="shared" si="26"/>
        <v>#DIV/0!</v>
      </c>
      <c r="L290" s="59" t="e">
        <f t="shared" si="29"/>
        <v>#DIV/0!</v>
      </c>
      <c r="M290" s="60" t="str">
        <f>IFERROR((#REF!/1.18)*1000,"")</f>
        <v/>
      </c>
    </row>
    <row r="291" spans="1:13" hidden="1" outlineLevel="1" x14ac:dyDescent="0.55000000000000004">
      <c r="A291" s="165"/>
      <c r="B291" s="35">
        <f t="shared" si="30"/>
        <v>6</v>
      </c>
      <c r="C291" s="36" t="str">
        <f t="shared" si="25"/>
        <v>22017</v>
      </c>
      <c r="D291" s="44">
        <f t="shared" si="31"/>
        <v>42772</v>
      </c>
      <c r="E291" s="38">
        <v>3.6850999999999998</v>
      </c>
      <c r="F291" s="39">
        <v>482</v>
      </c>
      <c r="G291" s="33">
        <f t="shared" si="24"/>
        <v>1776.2182</v>
      </c>
      <c r="H291" s="33"/>
      <c r="I291" s="33">
        <f t="shared" si="27"/>
        <v>1729.2361799999999</v>
      </c>
      <c r="J291" s="33"/>
      <c r="K291" s="33" t="e">
        <f t="shared" si="26"/>
        <v>#DIV/0!</v>
      </c>
      <c r="L291" s="59" t="e">
        <f t="shared" si="29"/>
        <v>#DIV/0!</v>
      </c>
      <c r="M291" s="60" t="str">
        <f>IFERROR((#REF!/1.18)*1000,"")</f>
        <v/>
      </c>
    </row>
    <row r="292" spans="1:13" hidden="1" outlineLevel="1" x14ac:dyDescent="0.55000000000000004">
      <c r="A292" s="165"/>
      <c r="B292" s="35">
        <f t="shared" si="30"/>
        <v>7</v>
      </c>
      <c r="C292" s="36" t="str">
        <f t="shared" si="25"/>
        <v>22017</v>
      </c>
      <c r="D292" s="44">
        <f t="shared" si="31"/>
        <v>42773</v>
      </c>
      <c r="E292" s="38">
        <v>3.7162000000000002</v>
      </c>
      <c r="F292" s="39">
        <v>482</v>
      </c>
      <c r="G292" s="33">
        <f t="shared" si="24"/>
        <v>1791.2084</v>
      </c>
      <c r="H292" s="33"/>
      <c r="I292" s="33">
        <f t="shared" si="27"/>
        <v>1761.2107599999999</v>
      </c>
      <c r="J292" s="33"/>
      <c r="K292" s="33" t="e">
        <f t="shared" si="26"/>
        <v>#DIV/0!</v>
      </c>
      <c r="L292" s="59" t="e">
        <f t="shared" si="29"/>
        <v>#DIV/0!</v>
      </c>
      <c r="M292" s="60" t="str">
        <f>IFERROR((#REF!/1.18)*1000,"")</f>
        <v/>
      </c>
    </row>
    <row r="293" spans="1:13" hidden="1" outlineLevel="1" x14ac:dyDescent="0.55000000000000004">
      <c r="A293" s="165"/>
      <c r="B293" s="35">
        <f t="shared" si="30"/>
        <v>8</v>
      </c>
      <c r="C293" s="36" t="str">
        <f t="shared" si="25"/>
        <v>22017</v>
      </c>
      <c r="D293" s="44">
        <f t="shared" si="31"/>
        <v>42774</v>
      </c>
      <c r="E293" s="38">
        <v>3.7477999999999998</v>
      </c>
      <c r="F293" s="39">
        <v>482</v>
      </c>
      <c r="G293" s="33">
        <f t="shared" ref="G293:G356" si="32">E293*F293</f>
        <v>1806.4395999999999</v>
      </c>
      <c r="H293" s="33"/>
      <c r="I293" s="33">
        <f t="shared" si="27"/>
        <v>1799.9808</v>
      </c>
      <c r="J293" s="33"/>
      <c r="K293" s="33" t="e">
        <f t="shared" si="26"/>
        <v>#DIV/0!</v>
      </c>
      <c r="L293" s="59" t="e">
        <f t="shared" si="29"/>
        <v>#DIV/0!</v>
      </c>
      <c r="M293" s="60" t="str">
        <f>IFERROR((#REF!/1.18)*1000,"")</f>
        <v/>
      </c>
    </row>
    <row r="294" spans="1:13" hidden="1" outlineLevel="1" x14ac:dyDescent="0.55000000000000004">
      <c r="A294" s="165"/>
      <c r="B294" s="35">
        <f t="shared" si="30"/>
        <v>9</v>
      </c>
      <c r="C294" s="36" t="str">
        <f t="shared" si="25"/>
        <v>22017</v>
      </c>
      <c r="D294" s="44">
        <f t="shared" si="31"/>
        <v>42775</v>
      </c>
      <c r="E294" s="38">
        <v>3.7113999999999998</v>
      </c>
      <c r="F294" s="39">
        <v>482</v>
      </c>
      <c r="G294" s="33">
        <f t="shared" si="32"/>
        <v>1788.8947999999998</v>
      </c>
      <c r="H294" s="33"/>
      <c r="I294" s="33">
        <f t="shared" si="27"/>
        <v>1796.7417600000001</v>
      </c>
      <c r="J294" s="33"/>
      <c r="K294" s="33" t="e">
        <f t="shared" si="26"/>
        <v>#DIV/0!</v>
      </c>
      <c r="L294" s="59" t="e">
        <f t="shared" si="29"/>
        <v>#DIV/0!</v>
      </c>
      <c r="M294" s="60" t="str">
        <f>IFERROR((#REF!/1.18)*1000,"")</f>
        <v/>
      </c>
    </row>
    <row r="295" spans="1:13" hidden="1" outlineLevel="1" x14ac:dyDescent="0.55000000000000004">
      <c r="A295" s="165"/>
      <c r="B295" s="35">
        <f t="shared" si="30"/>
        <v>10</v>
      </c>
      <c r="C295" s="36" t="str">
        <f t="shared" si="25"/>
        <v>22017</v>
      </c>
      <c r="D295" s="44">
        <f t="shared" si="31"/>
        <v>42776</v>
      </c>
      <c r="E295" s="38">
        <v>3.6815000000000002</v>
      </c>
      <c r="F295" s="39">
        <v>482</v>
      </c>
      <c r="G295" s="33">
        <f t="shared" si="32"/>
        <v>1774.4830000000002</v>
      </c>
      <c r="H295" s="33"/>
      <c r="I295" s="33">
        <f t="shared" si="27"/>
        <v>1793.94616</v>
      </c>
      <c r="J295" s="33"/>
      <c r="K295" s="33" t="e">
        <f t="shared" si="26"/>
        <v>#DIV/0!</v>
      </c>
      <c r="L295" s="59" t="e">
        <f t="shared" si="29"/>
        <v>#DIV/0!</v>
      </c>
      <c r="M295" s="60" t="str">
        <f>IFERROR((#REF!/1.18)*1000,"")</f>
        <v/>
      </c>
    </row>
    <row r="296" spans="1:13" hidden="1" outlineLevel="1" x14ac:dyDescent="0.55000000000000004">
      <c r="A296" s="165"/>
      <c r="B296" s="35">
        <f t="shared" si="30"/>
        <v>13</v>
      </c>
      <c r="C296" s="36" t="str">
        <f t="shared" si="25"/>
        <v>22017</v>
      </c>
      <c r="D296" s="44">
        <f t="shared" si="31"/>
        <v>42779</v>
      </c>
      <c r="E296" s="38">
        <v>3.6934999999999998</v>
      </c>
      <c r="F296" s="39">
        <v>482</v>
      </c>
      <c r="G296" s="33">
        <f t="shared" si="32"/>
        <v>1780.2669999999998</v>
      </c>
      <c r="H296" s="33"/>
      <c r="I296" s="33">
        <f t="shared" si="27"/>
        <v>1787.4487999999997</v>
      </c>
      <c r="J296" s="33"/>
      <c r="K296" s="33" t="e">
        <f t="shared" si="26"/>
        <v>#DIV/0!</v>
      </c>
      <c r="L296" s="59" t="e">
        <f t="shared" si="29"/>
        <v>#DIV/0!</v>
      </c>
      <c r="M296" s="60" t="str">
        <f>IFERROR((#REF!/1.18)*1000,"")</f>
        <v/>
      </c>
    </row>
    <row r="297" spans="1:13" hidden="1" outlineLevel="1" x14ac:dyDescent="0.55000000000000004">
      <c r="A297" s="165"/>
      <c r="B297" s="35">
        <f t="shared" si="30"/>
        <v>14</v>
      </c>
      <c r="C297" s="36" t="str">
        <f t="shared" si="25"/>
        <v>22017</v>
      </c>
      <c r="D297" s="44">
        <f t="shared" si="31"/>
        <v>42780</v>
      </c>
      <c r="E297" s="38">
        <v>3.6560000000000001</v>
      </c>
      <c r="F297" s="39">
        <v>482</v>
      </c>
      <c r="G297" s="33">
        <f t="shared" si="32"/>
        <v>1762.192</v>
      </c>
      <c r="H297" s="33"/>
      <c r="I297" s="33">
        <f t="shared" si="27"/>
        <v>1788.2585599999998</v>
      </c>
      <c r="J297" s="33"/>
      <c r="K297" s="33" t="e">
        <f t="shared" si="26"/>
        <v>#DIV/0!</v>
      </c>
      <c r="L297" s="59" t="e">
        <f t="shared" si="29"/>
        <v>#DIV/0!</v>
      </c>
      <c r="M297" s="60" t="str">
        <f>IFERROR((#REF!/1.18)*1000,"")</f>
        <v/>
      </c>
    </row>
    <row r="298" spans="1:13" hidden="1" outlineLevel="1" x14ac:dyDescent="0.55000000000000004">
      <c r="A298" s="165"/>
      <c r="B298" s="35">
        <f t="shared" si="30"/>
        <v>15</v>
      </c>
      <c r="C298" s="36" t="str">
        <f t="shared" si="25"/>
        <v>22017</v>
      </c>
      <c r="D298" s="44">
        <f t="shared" si="31"/>
        <v>42781</v>
      </c>
      <c r="E298" s="38">
        <v>3.6528</v>
      </c>
      <c r="F298" s="39">
        <v>482</v>
      </c>
      <c r="G298" s="33">
        <f t="shared" si="32"/>
        <v>1760.6496</v>
      </c>
      <c r="H298" s="33"/>
      <c r="I298" s="33">
        <f t="shared" si="27"/>
        <v>1782.4552799999997</v>
      </c>
      <c r="J298" s="33"/>
      <c r="K298" s="33" t="e">
        <f t="shared" si="26"/>
        <v>#DIV/0!</v>
      </c>
      <c r="L298" s="59" t="e">
        <f t="shared" si="29"/>
        <v>#DIV/0!</v>
      </c>
      <c r="M298" s="60" t="str">
        <f>IFERROR((#REF!/1.18)*1000,"")</f>
        <v/>
      </c>
    </row>
    <row r="299" spans="1:13" hidden="1" outlineLevel="1" x14ac:dyDescent="0.55000000000000004">
      <c r="A299" s="165"/>
      <c r="B299" s="35">
        <f t="shared" si="30"/>
        <v>16</v>
      </c>
      <c r="C299" s="36" t="str">
        <f t="shared" si="25"/>
        <v>22017</v>
      </c>
      <c r="D299" s="44">
        <f t="shared" si="31"/>
        <v>42782</v>
      </c>
      <c r="E299" s="38">
        <v>3.677</v>
      </c>
      <c r="F299" s="39">
        <v>482</v>
      </c>
      <c r="G299" s="33">
        <f t="shared" si="32"/>
        <v>1772.3140000000001</v>
      </c>
      <c r="H299" s="33"/>
      <c r="I299" s="33">
        <f t="shared" si="27"/>
        <v>1773.29728</v>
      </c>
      <c r="J299" s="33"/>
      <c r="K299" s="33" t="e">
        <f t="shared" si="26"/>
        <v>#DIV/0!</v>
      </c>
      <c r="L299" s="59" t="e">
        <f t="shared" si="29"/>
        <v>#DIV/0!</v>
      </c>
      <c r="M299" s="60" t="str">
        <f>IFERROR((#REF!/1.18)*1000,"")</f>
        <v/>
      </c>
    </row>
    <row r="300" spans="1:13" hidden="1" outlineLevel="1" x14ac:dyDescent="0.55000000000000004">
      <c r="A300" s="165"/>
      <c r="B300" s="35">
        <f t="shared" si="30"/>
        <v>17</v>
      </c>
      <c r="C300" s="36" t="str">
        <f t="shared" si="25"/>
        <v>22017</v>
      </c>
      <c r="D300" s="44">
        <f t="shared" si="31"/>
        <v>42783</v>
      </c>
      <c r="E300" s="38">
        <v>3.6728000000000001</v>
      </c>
      <c r="F300" s="39">
        <v>482</v>
      </c>
      <c r="G300" s="33">
        <f t="shared" si="32"/>
        <v>1770.2896000000001</v>
      </c>
      <c r="H300" s="33"/>
      <c r="I300" s="33">
        <f t="shared" si="27"/>
        <v>1769.9811199999999</v>
      </c>
      <c r="J300" s="33"/>
      <c r="K300" s="33" t="e">
        <f t="shared" si="26"/>
        <v>#DIV/0!</v>
      </c>
      <c r="L300" s="59" t="e">
        <f t="shared" si="29"/>
        <v>#DIV/0!</v>
      </c>
      <c r="M300" s="60" t="str">
        <f>IFERROR((#REF!/1.18)*1000,"")</f>
        <v/>
      </c>
    </row>
    <row r="301" spans="1:13" hidden="1" outlineLevel="1" x14ac:dyDescent="0.55000000000000004">
      <c r="A301" s="165"/>
      <c r="B301" s="35">
        <f t="shared" si="30"/>
        <v>20</v>
      </c>
      <c r="C301" s="36" t="str">
        <f t="shared" si="25"/>
        <v>22017</v>
      </c>
      <c r="D301" s="44">
        <f t="shared" si="31"/>
        <v>42786</v>
      </c>
      <c r="E301" s="38">
        <v>3.6276999999999999</v>
      </c>
      <c r="F301" s="39">
        <v>482</v>
      </c>
      <c r="G301" s="33">
        <f t="shared" si="32"/>
        <v>1748.5514000000001</v>
      </c>
      <c r="H301" s="33"/>
      <c r="I301" s="33">
        <f t="shared" si="27"/>
        <v>1769.1424400000001</v>
      </c>
      <c r="J301" s="33"/>
      <c r="K301" s="33" t="e">
        <f t="shared" si="26"/>
        <v>#DIV/0!</v>
      </c>
      <c r="L301" s="59" t="e">
        <f t="shared" si="29"/>
        <v>#DIV/0!</v>
      </c>
      <c r="M301" s="60" t="str">
        <f>IFERROR((#REF!/1.18)*1000,"")</f>
        <v/>
      </c>
    </row>
    <row r="302" spans="1:13" hidden="1" outlineLevel="1" x14ac:dyDescent="0.55000000000000004">
      <c r="A302" s="165"/>
      <c r="B302" s="35">
        <f t="shared" si="30"/>
        <v>21</v>
      </c>
      <c r="C302" s="36" t="str">
        <f t="shared" si="25"/>
        <v>22017</v>
      </c>
      <c r="D302" s="44">
        <f t="shared" si="31"/>
        <v>42787</v>
      </c>
      <c r="E302" s="38">
        <v>3.6251000000000002</v>
      </c>
      <c r="F302" s="39">
        <v>482</v>
      </c>
      <c r="G302" s="33">
        <f t="shared" si="32"/>
        <v>1747.2982000000002</v>
      </c>
      <c r="H302" s="33"/>
      <c r="I302" s="33">
        <f t="shared" si="27"/>
        <v>1762.7993200000001</v>
      </c>
      <c r="J302" s="33"/>
      <c r="K302" s="33" t="e">
        <f t="shared" si="26"/>
        <v>#DIV/0!</v>
      </c>
      <c r="L302" s="59" t="e">
        <f t="shared" si="29"/>
        <v>#DIV/0!</v>
      </c>
      <c r="M302" s="60" t="str">
        <f>IFERROR((#REF!/1.18)*1000,"")</f>
        <v/>
      </c>
    </row>
    <row r="303" spans="1:13" hidden="1" outlineLevel="1" x14ac:dyDescent="0.55000000000000004">
      <c r="A303" s="165"/>
      <c r="B303" s="35">
        <f t="shared" si="30"/>
        <v>22</v>
      </c>
      <c r="C303" s="36" t="str">
        <f t="shared" si="25"/>
        <v>22017</v>
      </c>
      <c r="D303" s="44">
        <f t="shared" si="31"/>
        <v>42788</v>
      </c>
      <c r="E303" s="38">
        <v>3.6168999999999998</v>
      </c>
      <c r="F303" s="39">
        <v>482</v>
      </c>
      <c r="G303" s="33">
        <f t="shared" si="32"/>
        <v>1743.3457999999998</v>
      </c>
      <c r="H303" s="33"/>
      <c r="I303" s="33">
        <f t="shared" si="27"/>
        <v>1759.8205600000001</v>
      </c>
      <c r="J303" s="33"/>
      <c r="K303" s="33" t="e">
        <f t="shared" si="26"/>
        <v>#DIV/0!</v>
      </c>
      <c r="L303" s="59" t="e">
        <f t="shared" si="29"/>
        <v>#DIV/0!</v>
      </c>
      <c r="M303" s="60" t="str">
        <f>IFERROR((#REF!/1.18)*1000,"")</f>
        <v/>
      </c>
    </row>
    <row r="304" spans="1:13" hidden="1" outlineLevel="1" x14ac:dyDescent="0.55000000000000004">
      <c r="A304" s="165"/>
      <c r="B304" s="35">
        <f t="shared" si="30"/>
        <v>23</v>
      </c>
      <c r="C304" s="36" t="str">
        <f t="shared" si="25"/>
        <v>22017</v>
      </c>
      <c r="D304" s="44">
        <f t="shared" si="31"/>
        <v>42789</v>
      </c>
      <c r="E304" s="38">
        <v>3.5811000000000002</v>
      </c>
      <c r="F304" s="39">
        <v>482</v>
      </c>
      <c r="G304" s="33">
        <f t="shared" si="32"/>
        <v>1726.0902000000001</v>
      </c>
      <c r="H304" s="33"/>
      <c r="I304" s="33">
        <f t="shared" si="27"/>
        <v>1756.3598000000002</v>
      </c>
      <c r="J304" s="33"/>
      <c r="K304" s="33" t="e">
        <f t="shared" si="26"/>
        <v>#DIV/0!</v>
      </c>
      <c r="L304" s="59" t="e">
        <f t="shared" si="29"/>
        <v>#DIV/0!</v>
      </c>
      <c r="M304" s="60" t="str">
        <f>IFERROR((#REF!/1.18)*1000,"")</f>
        <v/>
      </c>
    </row>
    <row r="305" spans="1:13" hidden="1" outlineLevel="1" x14ac:dyDescent="0.55000000000000004">
      <c r="A305" s="165"/>
      <c r="B305" s="35">
        <f t="shared" si="30"/>
        <v>24</v>
      </c>
      <c r="C305" s="36" t="str">
        <f t="shared" si="25"/>
        <v>22017</v>
      </c>
      <c r="D305" s="44">
        <f t="shared" si="31"/>
        <v>42790</v>
      </c>
      <c r="E305" s="38">
        <v>3.5752999999999999</v>
      </c>
      <c r="F305" s="39">
        <v>482</v>
      </c>
      <c r="G305" s="33">
        <f t="shared" si="32"/>
        <v>1723.2945999999999</v>
      </c>
      <c r="H305" s="33"/>
      <c r="I305" s="33">
        <f t="shared" si="27"/>
        <v>1747.1150400000001</v>
      </c>
      <c r="J305" s="33"/>
      <c r="K305" s="33" t="e">
        <f t="shared" si="26"/>
        <v>#DIV/0!</v>
      </c>
      <c r="L305" s="59" t="e">
        <f t="shared" si="29"/>
        <v>#DIV/0!</v>
      </c>
      <c r="M305" s="60" t="str">
        <f>IFERROR((#REF!/1.18)*1000,"")</f>
        <v/>
      </c>
    </row>
    <row r="306" spans="1:13" hidden="1" outlineLevel="1" x14ac:dyDescent="0.55000000000000004">
      <c r="A306" s="165"/>
      <c r="B306" s="35">
        <f t="shared" si="30"/>
        <v>27</v>
      </c>
      <c r="C306" s="36" t="str">
        <f t="shared" si="25"/>
        <v>22017</v>
      </c>
      <c r="D306" s="44">
        <f t="shared" si="31"/>
        <v>42793</v>
      </c>
      <c r="E306" s="38">
        <v>3.5945999999999998</v>
      </c>
      <c r="F306" s="39">
        <v>482</v>
      </c>
      <c r="G306" s="33">
        <f t="shared" si="32"/>
        <v>1732.5971999999999</v>
      </c>
      <c r="H306" s="33"/>
      <c r="I306" s="33">
        <f t="shared" si="27"/>
        <v>1737.71604</v>
      </c>
      <c r="J306" s="33"/>
      <c r="K306" s="33" t="e">
        <f t="shared" si="26"/>
        <v>#DIV/0!</v>
      </c>
      <c r="L306" s="59" t="e">
        <f t="shared" si="29"/>
        <v>#DIV/0!</v>
      </c>
      <c r="M306" s="60" t="str">
        <f>IFERROR((#REF!/1.18)*1000,"")</f>
        <v/>
      </c>
    </row>
    <row r="307" spans="1:13" ht="14.7" hidden="1" outlineLevel="1" thickBot="1" x14ac:dyDescent="0.6">
      <c r="A307" s="166"/>
      <c r="B307" s="35">
        <f t="shared" si="30"/>
        <v>28</v>
      </c>
      <c r="C307" s="36" t="str">
        <f t="shared" si="25"/>
        <v>22017</v>
      </c>
      <c r="D307" s="53">
        <f>WORKDAY(D306,1)</f>
        <v>42794</v>
      </c>
      <c r="E307" s="38">
        <v>3.6143000000000001</v>
      </c>
      <c r="F307" s="39">
        <v>482</v>
      </c>
      <c r="G307" s="33">
        <f t="shared" si="32"/>
        <v>1742.0925999999999</v>
      </c>
      <c r="H307" s="33"/>
      <c r="I307" s="33">
        <f t="shared" si="27"/>
        <v>1734.5252</v>
      </c>
      <c r="J307" s="33"/>
      <c r="K307" s="33" t="e">
        <f t="shared" si="26"/>
        <v>#DIV/0!</v>
      </c>
      <c r="L307" s="59" t="e">
        <f t="shared" si="29"/>
        <v>#DIV/0!</v>
      </c>
      <c r="M307" s="60" t="str">
        <f>IFERROR((#REF!/1.18)*1000,"")</f>
        <v/>
      </c>
    </row>
    <row r="308" spans="1:13" hidden="1" outlineLevel="1" x14ac:dyDescent="0.55000000000000004">
      <c r="A308" s="167">
        <v>42795</v>
      </c>
      <c r="B308" s="35">
        <f t="shared" si="30"/>
        <v>1</v>
      </c>
      <c r="C308" s="36" t="str">
        <f t="shared" si="25"/>
        <v>32017</v>
      </c>
      <c r="D308" s="37">
        <f>WORKDAY(D307,1)</f>
        <v>42795</v>
      </c>
      <c r="E308" s="38">
        <v>3.6377999999999999</v>
      </c>
      <c r="F308" s="39">
        <v>464.5</v>
      </c>
      <c r="G308" s="33">
        <f t="shared" si="32"/>
        <v>1689.7581</v>
      </c>
      <c r="H308" s="33"/>
      <c r="I308" s="33">
        <f t="shared" si="27"/>
        <v>1733.4840799999997</v>
      </c>
      <c r="J308" s="33"/>
      <c r="K308" s="33" t="e">
        <f t="shared" si="26"/>
        <v>#DIV/0!</v>
      </c>
      <c r="L308" s="59" t="e">
        <f t="shared" si="29"/>
        <v>#DIV/0!</v>
      </c>
      <c r="M308" s="60" t="str">
        <f>IFERROR((#REF!/1.18)*1000,"")</f>
        <v/>
      </c>
    </row>
    <row r="309" spans="1:13" hidden="1" outlineLevel="1" x14ac:dyDescent="0.55000000000000004">
      <c r="A309" s="165"/>
      <c r="B309" s="35">
        <f t="shared" si="30"/>
        <v>2</v>
      </c>
      <c r="C309" s="36" t="str">
        <f t="shared" si="25"/>
        <v>32017</v>
      </c>
      <c r="D309" s="44">
        <f t="shared" ref="D309:D330" si="33">WORKDAY(D308,1)</f>
        <v>42796</v>
      </c>
      <c r="E309" s="38">
        <v>3.6882000000000001</v>
      </c>
      <c r="F309" s="39">
        <v>464.5</v>
      </c>
      <c r="G309" s="33">
        <f t="shared" si="32"/>
        <v>1713.1689000000001</v>
      </c>
      <c r="H309" s="33"/>
      <c r="I309" s="33">
        <f t="shared" si="27"/>
        <v>1722.7665399999998</v>
      </c>
      <c r="J309" s="33"/>
      <c r="K309" s="33" t="e">
        <f t="shared" si="26"/>
        <v>#DIV/0!</v>
      </c>
      <c r="L309" s="59" t="e">
        <f t="shared" si="29"/>
        <v>#DIV/0!</v>
      </c>
      <c r="M309" s="60" t="str">
        <f>IFERROR((#REF!/1.18)*1000,"")</f>
        <v/>
      </c>
    </row>
    <row r="310" spans="1:13" hidden="1" outlineLevel="1" x14ac:dyDescent="0.55000000000000004">
      <c r="A310" s="165"/>
      <c r="B310" s="35">
        <f t="shared" si="30"/>
        <v>3</v>
      </c>
      <c r="C310" s="36" t="str">
        <f t="shared" si="25"/>
        <v>32017</v>
      </c>
      <c r="D310" s="44">
        <f t="shared" si="33"/>
        <v>42797</v>
      </c>
      <c r="E310" s="38">
        <v>3.7282000000000002</v>
      </c>
      <c r="F310" s="39">
        <v>464.5</v>
      </c>
      <c r="G310" s="33">
        <f t="shared" si="32"/>
        <v>1731.7489</v>
      </c>
      <c r="H310" s="33"/>
      <c r="I310" s="33">
        <f t="shared" si="27"/>
        <v>1720.1822799999998</v>
      </c>
      <c r="J310" s="33"/>
      <c r="K310" s="33" t="e">
        <f t="shared" si="26"/>
        <v>#DIV/0!</v>
      </c>
      <c r="L310" s="59" t="e">
        <f t="shared" si="29"/>
        <v>#DIV/0!</v>
      </c>
      <c r="M310" s="60" t="str">
        <f>IFERROR((#REF!/1.18)*1000,"")</f>
        <v/>
      </c>
    </row>
    <row r="311" spans="1:13" hidden="1" outlineLevel="1" x14ac:dyDescent="0.55000000000000004">
      <c r="A311" s="165"/>
      <c r="B311" s="35">
        <f t="shared" si="30"/>
        <v>6</v>
      </c>
      <c r="C311" s="36" t="str">
        <f t="shared" si="25"/>
        <v>32017</v>
      </c>
      <c r="D311" s="44">
        <f t="shared" si="33"/>
        <v>42800</v>
      </c>
      <c r="E311" s="38">
        <v>3.7181000000000002</v>
      </c>
      <c r="F311" s="39">
        <v>464.5</v>
      </c>
      <c r="G311" s="33">
        <f t="shared" si="32"/>
        <v>1727.05745</v>
      </c>
      <c r="H311" s="33"/>
      <c r="I311" s="33">
        <f t="shared" si="27"/>
        <v>1721.8731400000001</v>
      </c>
      <c r="J311" s="33"/>
      <c r="K311" s="33" t="e">
        <f t="shared" si="26"/>
        <v>#DIV/0!</v>
      </c>
      <c r="L311" s="59" t="e">
        <f t="shared" si="29"/>
        <v>#DIV/0!</v>
      </c>
      <c r="M311" s="60" t="str">
        <f>IFERROR((#REF!/1.18)*1000,"")</f>
        <v/>
      </c>
    </row>
    <row r="312" spans="1:13" hidden="1" outlineLevel="1" x14ac:dyDescent="0.55000000000000004">
      <c r="A312" s="165"/>
      <c r="B312" s="35">
        <f t="shared" si="30"/>
        <v>7</v>
      </c>
      <c r="C312" s="36" t="str">
        <f t="shared" si="25"/>
        <v>32017</v>
      </c>
      <c r="D312" s="44">
        <f t="shared" si="33"/>
        <v>42801</v>
      </c>
      <c r="E312" s="38">
        <v>3.6907999999999999</v>
      </c>
      <c r="F312" s="39">
        <v>464.5</v>
      </c>
      <c r="G312" s="33">
        <f t="shared" si="32"/>
        <v>1714.3765999999998</v>
      </c>
      <c r="H312" s="33"/>
      <c r="I312" s="33">
        <f t="shared" si="27"/>
        <v>1720.7651900000001</v>
      </c>
      <c r="J312" s="33"/>
      <c r="K312" s="33" t="e">
        <f t="shared" si="26"/>
        <v>#DIV/0!</v>
      </c>
      <c r="L312" s="59" t="e">
        <f t="shared" si="29"/>
        <v>#DIV/0!</v>
      </c>
      <c r="M312" s="60" t="str">
        <f>IFERROR((#REF!/1.18)*1000,"")</f>
        <v/>
      </c>
    </row>
    <row r="313" spans="1:13" hidden="1" outlineLevel="1" x14ac:dyDescent="0.55000000000000004">
      <c r="A313" s="165"/>
      <c r="B313" s="35">
        <f t="shared" si="30"/>
        <v>8</v>
      </c>
      <c r="C313" s="36" t="str">
        <f t="shared" si="25"/>
        <v>32017</v>
      </c>
      <c r="D313" s="44">
        <f t="shared" si="33"/>
        <v>42802</v>
      </c>
      <c r="E313" s="38">
        <v>3.7097000000000002</v>
      </c>
      <c r="F313" s="39">
        <v>464.5</v>
      </c>
      <c r="G313" s="33">
        <f t="shared" si="32"/>
        <v>1723.1556500000002</v>
      </c>
      <c r="H313" s="33"/>
      <c r="I313" s="33">
        <f t="shared" si="27"/>
        <v>1715.22199</v>
      </c>
      <c r="J313" s="33"/>
      <c r="K313" s="33" t="e">
        <f t="shared" si="26"/>
        <v>#DIV/0!</v>
      </c>
      <c r="L313" s="59" t="e">
        <f t="shared" si="29"/>
        <v>#DIV/0!</v>
      </c>
      <c r="M313" s="60" t="str">
        <f>IFERROR((#REF!/1.18)*1000,"")</f>
        <v/>
      </c>
    </row>
    <row r="314" spans="1:13" hidden="1" outlineLevel="1" x14ac:dyDescent="0.55000000000000004">
      <c r="A314" s="165"/>
      <c r="B314" s="35">
        <f t="shared" si="30"/>
        <v>9</v>
      </c>
      <c r="C314" s="36" t="str">
        <f t="shared" si="25"/>
        <v>32017</v>
      </c>
      <c r="D314" s="44">
        <f t="shared" si="33"/>
        <v>42803</v>
      </c>
      <c r="E314" s="38">
        <v>3.7589000000000001</v>
      </c>
      <c r="F314" s="39">
        <v>464.5</v>
      </c>
      <c r="G314" s="33">
        <f t="shared" si="32"/>
        <v>1746.0090500000001</v>
      </c>
      <c r="H314" s="33"/>
      <c r="I314" s="33">
        <f t="shared" si="27"/>
        <v>1721.9014999999999</v>
      </c>
      <c r="J314" s="33"/>
      <c r="K314" s="33" t="e">
        <f t="shared" si="26"/>
        <v>#DIV/0!</v>
      </c>
      <c r="L314" s="59" t="e">
        <f t="shared" si="29"/>
        <v>#DIV/0!</v>
      </c>
      <c r="M314" s="60" t="str">
        <f>IFERROR((#REF!/1.18)*1000,"")</f>
        <v/>
      </c>
    </row>
    <row r="315" spans="1:13" hidden="1" outlineLevel="1" x14ac:dyDescent="0.55000000000000004">
      <c r="A315" s="165"/>
      <c r="B315" s="35">
        <f t="shared" si="30"/>
        <v>10</v>
      </c>
      <c r="C315" s="36" t="str">
        <f t="shared" si="25"/>
        <v>32017</v>
      </c>
      <c r="D315" s="44">
        <f t="shared" si="33"/>
        <v>42804</v>
      </c>
      <c r="E315" s="38">
        <v>3.7532000000000001</v>
      </c>
      <c r="F315" s="39">
        <v>464.5</v>
      </c>
      <c r="G315" s="33">
        <f t="shared" si="32"/>
        <v>1743.3614</v>
      </c>
      <c r="H315" s="33"/>
      <c r="I315" s="33">
        <f t="shared" si="27"/>
        <v>1728.4695299999998</v>
      </c>
      <c r="J315" s="33"/>
      <c r="K315" s="33" t="e">
        <f t="shared" si="26"/>
        <v>#DIV/0!</v>
      </c>
      <c r="L315" s="59" t="e">
        <f t="shared" si="29"/>
        <v>#DIV/0!</v>
      </c>
      <c r="M315" s="60" t="str">
        <f>IFERROR((#REF!/1.18)*1000,"")</f>
        <v/>
      </c>
    </row>
    <row r="316" spans="1:13" hidden="1" outlineLevel="1" x14ac:dyDescent="0.55000000000000004">
      <c r="A316" s="165"/>
      <c r="B316" s="35">
        <f t="shared" si="30"/>
        <v>13</v>
      </c>
      <c r="C316" s="36" t="str">
        <f t="shared" si="25"/>
        <v>32017</v>
      </c>
      <c r="D316" s="44">
        <f t="shared" si="33"/>
        <v>42807</v>
      </c>
      <c r="E316" s="38">
        <v>3.7462</v>
      </c>
      <c r="F316" s="39">
        <v>464.5</v>
      </c>
      <c r="G316" s="33">
        <f t="shared" si="32"/>
        <v>1740.1098999999999</v>
      </c>
      <c r="H316" s="33"/>
      <c r="I316" s="33">
        <f t="shared" si="27"/>
        <v>1730.7920300000001</v>
      </c>
      <c r="J316" s="33"/>
      <c r="K316" s="33" t="e">
        <f t="shared" si="26"/>
        <v>#DIV/0!</v>
      </c>
      <c r="L316" s="59" t="e">
        <f t="shared" si="29"/>
        <v>#DIV/0!</v>
      </c>
      <c r="M316" s="60" t="str">
        <f>IFERROR((#REF!/1.18)*1000,"")</f>
        <v/>
      </c>
    </row>
    <row r="317" spans="1:13" hidden="1" outlineLevel="1" x14ac:dyDescent="0.55000000000000004">
      <c r="A317" s="165"/>
      <c r="B317" s="35">
        <f t="shared" si="30"/>
        <v>14</v>
      </c>
      <c r="C317" s="36" t="str">
        <f t="shared" si="25"/>
        <v>32017</v>
      </c>
      <c r="D317" s="44">
        <f t="shared" si="33"/>
        <v>42808</v>
      </c>
      <c r="E317" s="38">
        <v>3.7526000000000002</v>
      </c>
      <c r="F317" s="39">
        <v>464.5</v>
      </c>
      <c r="G317" s="33">
        <f t="shared" si="32"/>
        <v>1743.0827000000002</v>
      </c>
      <c r="H317" s="33"/>
      <c r="I317" s="33">
        <f t="shared" si="27"/>
        <v>1733.4025200000001</v>
      </c>
      <c r="J317" s="33"/>
      <c r="K317" s="33" t="e">
        <f t="shared" si="26"/>
        <v>#DIV/0!</v>
      </c>
      <c r="L317" s="59" t="e">
        <f t="shared" si="29"/>
        <v>#DIV/0!</v>
      </c>
      <c r="M317" s="60" t="str">
        <f>IFERROR((#REF!/1.18)*1000,"")</f>
        <v/>
      </c>
    </row>
    <row r="318" spans="1:13" hidden="1" outlineLevel="1" x14ac:dyDescent="0.55000000000000004">
      <c r="A318" s="165"/>
      <c r="B318" s="35">
        <f t="shared" si="30"/>
        <v>15</v>
      </c>
      <c r="C318" s="36" t="str">
        <f t="shared" si="25"/>
        <v>32017</v>
      </c>
      <c r="D318" s="44">
        <f t="shared" si="33"/>
        <v>42809</v>
      </c>
      <c r="E318" s="38">
        <v>3.7355999999999998</v>
      </c>
      <c r="F318" s="39">
        <v>464.5</v>
      </c>
      <c r="G318" s="33">
        <f t="shared" si="32"/>
        <v>1735.1861999999999</v>
      </c>
      <c r="H318" s="33"/>
      <c r="I318" s="33">
        <f t="shared" si="27"/>
        <v>1739.1437400000002</v>
      </c>
      <c r="J318" s="33"/>
      <c r="K318" s="33" t="e">
        <f t="shared" si="26"/>
        <v>#DIV/0!</v>
      </c>
      <c r="L318" s="59" t="e">
        <f t="shared" si="29"/>
        <v>#DIV/0!</v>
      </c>
      <c r="M318" s="60" t="str">
        <f>IFERROR((#REF!/1.18)*1000,"")</f>
        <v/>
      </c>
    </row>
    <row r="319" spans="1:13" hidden="1" outlineLevel="1" x14ac:dyDescent="0.55000000000000004">
      <c r="A319" s="165"/>
      <c r="B319" s="35">
        <f t="shared" si="30"/>
        <v>16</v>
      </c>
      <c r="C319" s="36" t="str">
        <f t="shared" si="25"/>
        <v>32017</v>
      </c>
      <c r="D319" s="44">
        <f t="shared" si="33"/>
        <v>42810</v>
      </c>
      <c r="E319" s="38">
        <v>3.6779999999999999</v>
      </c>
      <c r="F319" s="39">
        <v>464.5</v>
      </c>
      <c r="G319" s="33">
        <f t="shared" si="32"/>
        <v>1708.431</v>
      </c>
      <c r="H319" s="33"/>
      <c r="I319" s="33">
        <f t="shared" si="27"/>
        <v>1741.5498499999999</v>
      </c>
      <c r="J319" s="33"/>
      <c r="K319" s="33" t="e">
        <f t="shared" si="26"/>
        <v>#DIV/0!</v>
      </c>
      <c r="L319" s="59" t="e">
        <f t="shared" si="29"/>
        <v>#DIV/0!</v>
      </c>
      <c r="M319" s="60" t="str">
        <f>IFERROR((#REF!/1.18)*1000,"")</f>
        <v/>
      </c>
    </row>
    <row r="320" spans="1:13" hidden="1" outlineLevel="1" x14ac:dyDescent="0.55000000000000004">
      <c r="A320" s="165"/>
      <c r="B320" s="35">
        <f t="shared" si="30"/>
        <v>17</v>
      </c>
      <c r="C320" s="36" t="str">
        <f t="shared" si="25"/>
        <v>32017</v>
      </c>
      <c r="D320" s="44">
        <f t="shared" si="33"/>
        <v>42811</v>
      </c>
      <c r="E320" s="38">
        <v>3.6122999999999998</v>
      </c>
      <c r="F320" s="39">
        <v>464.5</v>
      </c>
      <c r="G320" s="33">
        <f t="shared" si="32"/>
        <v>1677.91335</v>
      </c>
      <c r="H320" s="33"/>
      <c r="I320" s="33">
        <f t="shared" si="27"/>
        <v>1734.0342400000002</v>
      </c>
      <c r="J320" s="33"/>
      <c r="K320" s="33" t="e">
        <f t="shared" si="26"/>
        <v>#DIV/0!</v>
      </c>
      <c r="L320" s="59" t="e">
        <f t="shared" si="29"/>
        <v>#DIV/0!</v>
      </c>
      <c r="M320" s="60" t="str">
        <f>IFERROR((#REF!/1.18)*1000,"")</f>
        <v/>
      </c>
    </row>
    <row r="321" spans="1:13" hidden="1" outlineLevel="1" x14ac:dyDescent="0.55000000000000004">
      <c r="A321" s="165"/>
      <c r="B321" s="35">
        <f t="shared" si="30"/>
        <v>20</v>
      </c>
      <c r="C321" s="36" t="str">
        <f t="shared" si="25"/>
        <v>32017</v>
      </c>
      <c r="D321" s="44">
        <f t="shared" si="33"/>
        <v>42814</v>
      </c>
      <c r="E321" s="38">
        <v>3.6326000000000001</v>
      </c>
      <c r="F321" s="39">
        <v>464.5</v>
      </c>
      <c r="G321" s="33">
        <f t="shared" si="32"/>
        <v>1687.3426999999999</v>
      </c>
      <c r="H321" s="33"/>
      <c r="I321" s="33">
        <f t="shared" si="27"/>
        <v>1720.9446300000004</v>
      </c>
      <c r="J321" s="33"/>
      <c r="K321" s="33" t="e">
        <f t="shared" si="26"/>
        <v>#DIV/0!</v>
      </c>
      <c r="L321" s="59" t="e">
        <f t="shared" si="29"/>
        <v>#DIV/0!</v>
      </c>
      <c r="M321" s="60" t="str">
        <f>IFERROR((#REF!/1.18)*1000,"")</f>
        <v/>
      </c>
    </row>
    <row r="322" spans="1:13" hidden="1" outlineLevel="1" x14ac:dyDescent="0.55000000000000004">
      <c r="A322" s="165"/>
      <c r="B322" s="35">
        <f t="shared" si="30"/>
        <v>21</v>
      </c>
      <c r="C322" s="36" t="str">
        <f t="shared" ref="C322:C385" si="34">IF(F322&gt;0,MONTH(D322)&amp;YEAR(D322),"")</f>
        <v>32017</v>
      </c>
      <c r="D322" s="44">
        <f t="shared" si="33"/>
        <v>42815</v>
      </c>
      <c r="E322" s="38">
        <v>3.617</v>
      </c>
      <c r="F322" s="39">
        <v>464.5</v>
      </c>
      <c r="G322" s="33">
        <f t="shared" si="32"/>
        <v>1680.0965000000001</v>
      </c>
      <c r="H322" s="33"/>
      <c r="I322" s="33">
        <f t="shared" si="27"/>
        <v>1710.3911899999998</v>
      </c>
      <c r="J322" s="33"/>
      <c r="K322" s="33" t="e">
        <f t="shared" si="26"/>
        <v>#DIV/0!</v>
      </c>
      <c r="L322" s="59" t="e">
        <f t="shared" si="29"/>
        <v>#DIV/0!</v>
      </c>
      <c r="M322" s="60" t="str">
        <f>IFERROR((#REF!/1.18)*1000,"")</f>
        <v/>
      </c>
    </row>
    <row r="323" spans="1:13" hidden="1" outlineLevel="1" x14ac:dyDescent="0.55000000000000004">
      <c r="A323" s="165"/>
      <c r="B323" s="35">
        <f t="shared" si="30"/>
        <v>22</v>
      </c>
      <c r="C323" s="36" t="str">
        <f t="shared" si="34"/>
        <v>32017</v>
      </c>
      <c r="D323" s="44">
        <f t="shared" si="33"/>
        <v>42816</v>
      </c>
      <c r="E323" s="38">
        <v>3.6322000000000001</v>
      </c>
      <c r="F323" s="39">
        <v>464.5</v>
      </c>
      <c r="G323" s="33">
        <f t="shared" si="32"/>
        <v>1687.1569</v>
      </c>
      <c r="H323" s="33"/>
      <c r="I323" s="33">
        <f t="shared" si="27"/>
        <v>1697.79395</v>
      </c>
      <c r="J323" s="33"/>
      <c r="K323" s="33" t="e">
        <f t="shared" si="26"/>
        <v>#DIV/0!</v>
      </c>
      <c r="L323" s="59" t="e">
        <f t="shared" si="29"/>
        <v>#DIV/0!</v>
      </c>
      <c r="M323" s="60" t="str">
        <f>IFERROR((#REF!/1.18)*1000,"")</f>
        <v/>
      </c>
    </row>
    <row r="324" spans="1:13" hidden="1" outlineLevel="1" x14ac:dyDescent="0.55000000000000004">
      <c r="A324" s="165"/>
      <c r="B324" s="35">
        <f t="shared" si="30"/>
        <v>23</v>
      </c>
      <c r="C324" s="36" t="str">
        <f t="shared" si="34"/>
        <v>32017</v>
      </c>
      <c r="D324" s="44">
        <f t="shared" si="33"/>
        <v>42817</v>
      </c>
      <c r="E324" s="38">
        <v>3.6198999999999999</v>
      </c>
      <c r="F324" s="39">
        <v>464.5</v>
      </c>
      <c r="G324" s="33">
        <f t="shared" si="32"/>
        <v>1681.44355</v>
      </c>
      <c r="H324" s="33"/>
      <c r="I324" s="33">
        <f t="shared" si="27"/>
        <v>1688.1880900000001</v>
      </c>
      <c r="J324" s="33"/>
      <c r="K324" s="33" t="e">
        <f t="shared" si="26"/>
        <v>#DIV/0!</v>
      </c>
      <c r="L324" s="59" t="e">
        <f t="shared" si="29"/>
        <v>#DIV/0!</v>
      </c>
      <c r="M324" s="60" t="str">
        <f>IFERROR((#REF!/1.18)*1000,"")</f>
        <v/>
      </c>
    </row>
    <row r="325" spans="1:13" hidden="1" outlineLevel="1" x14ac:dyDescent="0.55000000000000004">
      <c r="A325" s="165"/>
      <c r="B325" s="35">
        <f t="shared" si="30"/>
        <v>24</v>
      </c>
      <c r="C325" s="36" t="str">
        <f t="shared" si="34"/>
        <v>32017</v>
      </c>
      <c r="D325" s="44">
        <f t="shared" si="33"/>
        <v>42818</v>
      </c>
      <c r="E325" s="38">
        <v>3.625</v>
      </c>
      <c r="F325" s="39">
        <v>464.5</v>
      </c>
      <c r="G325" s="33">
        <f t="shared" si="32"/>
        <v>1683.8125</v>
      </c>
      <c r="H325" s="33"/>
      <c r="I325" s="33">
        <f t="shared" si="27"/>
        <v>1682.7905999999998</v>
      </c>
      <c r="J325" s="33"/>
      <c r="K325" s="33" t="e">
        <f t="shared" si="26"/>
        <v>#DIV/0!</v>
      </c>
      <c r="L325" s="59" t="e">
        <f t="shared" si="29"/>
        <v>#DIV/0!</v>
      </c>
      <c r="M325" s="60" t="str">
        <f>IFERROR((#REF!/1.18)*1000,"")</f>
        <v/>
      </c>
    </row>
    <row r="326" spans="1:13" hidden="1" outlineLevel="1" x14ac:dyDescent="0.55000000000000004">
      <c r="A326" s="165"/>
      <c r="B326" s="35">
        <f t="shared" si="30"/>
        <v>27</v>
      </c>
      <c r="C326" s="36" t="str">
        <f t="shared" si="34"/>
        <v>32017</v>
      </c>
      <c r="D326" s="44">
        <f t="shared" si="33"/>
        <v>42821</v>
      </c>
      <c r="E326" s="38">
        <v>3.5996000000000001</v>
      </c>
      <c r="F326" s="39">
        <v>464.5</v>
      </c>
      <c r="G326" s="33">
        <f t="shared" si="32"/>
        <v>1672.0142000000001</v>
      </c>
      <c r="H326" s="33"/>
      <c r="I326" s="33">
        <f t="shared" si="27"/>
        <v>1683.9704299999999</v>
      </c>
      <c r="J326" s="33"/>
      <c r="K326" s="33" t="e">
        <f t="shared" si="26"/>
        <v>#DIV/0!</v>
      </c>
      <c r="L326" s="59" t="e">
        <f t="shared" si="29"/>
        <v>#DIV/0!</v>
      </c>
      <c r="M326" s="60" t="str">
        <f>IFERROR((#REF!/1.18)*1000,"")</f>
        <v/>
      </c>
    </row>
    <row r="327" spans="1:13" hidden="1" outlineLevel="1" x14ac:dyDescent="0.55000000000000004">
      <c r="A327" s="165"/>
      <c r="B327" s="35">
        <f t="shared" si="30"/>
        <v>28</v>
      </c>
      <c r="C327" s="36" t="str">
        <f t="shared" si="34"/>
        <v>32017</v>
      </c>
      <c r="D327" s="44">
        <f t="shared" si="33"/>
        <v>42822</v>
      </c>
      <c r="E327" s="38">
        <v>3.6251000000000002</v>
      </c>
      <c r="F327" s="39">
        <v>464.5</v>
      </c>
      <c r="G327" s="33">
        <f t="shared" si="32"/>
        <v>1683.85895</v>
      </c>
      <c r="H327" s="33"/>
      <c r="I327" s="33">
        <f t="shared" si="27"/>
        <v>1680.9047299999997</v>
      </c>
      <c r="J327" s="33"/>
      <c r="K327" s="33" t="e">
        <f t="shared" ref="K327:K390" si="35">IF(L326&gt;3%,G325,IF(L326&lt;-3%,G325,K326))</f>
        <v>#DIV/0!</v>
      </c>
      <c r="L327" s="59" t="e">
        <f t="shared" si="29"/>
        <v>#DIV/0!</v>
      </c>
      <c r="M327" s="60" t="str">
        <f>IFERROR((#REF!/1.18)*1000,"")</f>
        <v/>
      </c>
    </row>
    <row r="328" spans="1:13" hidden="1" outlineLevel="1" x14ac:dyDescent="0.55000000000000004">
      <c r="A328" s="165"/>
      <c r="B328" s="35">
        <f t="shared" si="30"/>
        <v>29</v>
      </c>
      <c r="C328" s="36" t="str">
        <f t="shared" si="34"/>
        <v>32017</v>
      </c>
      <c r="D328" s="44">
        <f t="shared" si="33"/>
        <v>42823</v>
      </c>
      <c r="E328" s="38">
        <v>3.6480999999999999</v>
      </c>
      <c r="F328" s="39">
        <v>464.5</v>
      </c>
      <c r="G328" s="33">
        <f t="shared" si="32"/>
        <v>1694.5424499999999</v>
      </c>
      <c r="H328" s="33"/>
      <c r="I328" s="33">
        <f t="shared" ref="I328:I391" si="36">IF(M327&lt;&gt;"",AVERAGE(G327),IF(M326&lt;&gt;"",AVERAGE(G326:G327),IF(M325&lt;&gt;"",AVERAGE(G325:G327),IF(M324&lt;&gt;"",AVERAGE(G324:G327),AVERAGE(G323:G327)))))</f>
        <v>1681.6572199999998</v>
      </c>
      <c r="J328" s="33"/>
      <c r="K328" s="33" t="e">
        <f t="shared" si="35"/>
        <v>#DIV/0!</v>
      </c>
      <c r="L328" s="59" t="e">
        <f t="shared" si="29"/>
        <v>#DIV/0!</v>
      </c>
      <c r="M328" s="60" t="str">
        <f>IFERROR((#REF!/1.18)*1000,"")</f>
        <v/>
      </c>
    </row>
    <row r="329" spans="1:13" hidden="1" outlineLevel="1" x14ac:dyDescent="0.55000000000000004">
      <c r="A329" s="165"/>
      <c r="B329" s="35">
        <f t="shared" si="30"/>
        <v>30</v>
      </c>
      <c r="C329" s="36" t="str">
        <f t="shared" si="34"/>
        <v>32017</v>
      </c>
      <c r="D329" s="44">
        <f t="shared" si="33"/>
        <v>42824</v>
      </c>
      <c r="E329" s="38">
        <v>3.6452</v>
      </c>
      <c r="F329" s="39">
        <v>464.5</v>
      </c>
      <c r="G329" s="33">
        <f t="shared" si="32"/>
        <v>1693.1954000000001</v>
      </c>
      <c r="H329" s="33"/>
      <c r="I329" s="33">
        <f t="shared" si="36"/>
        <v>1683.1343300000001</v>
      </c>
      <c r="J329" s="33"/>
      <c r="K329" s="33" t="e">
        <f t="shared" si="35"/>
        <v>#DIV/0!</v>
      </c>
      <c r="L329" s="59" t="e">
        <f t="shared" si="29"/>
        <v>#DIV/0!</v>
      </c>
      <c r="M329" s="60" t="str">
        <f>IFERROR((#REF!/1.18)*1000,"")</f>
        <v/>
      </c>
    </row>
    <row r="330" spans="1:13" ht="14.7" hidden="1" outlineLevel="1" thickBot="1" x14ac:dyDescent="0.6">
      <c r="A330" s="166"/>
      <c r="B330" s="35">
        <f t="shared" si="30"/>
        <v>31</v>
      </c>
      <c r="C330" s="36" t="str">
        <f t="shared" si="34"/>
        <v>32017</v>
      </c>
      <c r="D330" s="53">
        <f t="shared" si="33"/>
        <v>42825</v>
      </c>
      <c r="E330" s="38">
        <v>3.6427</v>
      </c>
      <c r="F330" s="39">
        <v>464.5</v>
      </c>
      <c r="G330" s="33">
        <f t="shared" si="32"/>
        <v>1692.03415</v>
      </c>
      <c r="H330" s="33"/>
      <c r="I330" s="33">
        <f t="shared" si="36"/>
        <v>1685.4847000000002</v>
      </c>
      <c r="J330" s="33"/>
      <c r="K330" s="33" t="e">
        <f t="shared" si="35"/>
        <v>#DIV/0!</v>
      </c>
      <c r="L330" s="59" t="e">
        <f t="shared" si="29"/>
        <v>#DIV/0!</v>
      </c>
      <c r="M330" s="60" t="str">
        <f>IFERROR((#REF!/1.18)*1000,"")</f>
        <v/>
      </c>
    </row>
    <row r="331" spans="1:13" hidden="1" outlineLevel="1" x14ac:dyDescent="0.55000000000000004">
      <c r="A331" s="164" t="s">
        <v>96</v>
      </c>
      <c r="B331" s="35">
        <f t="shared" si="30"/>
        <v>3</v>
      </c>
      <c r="C331" s="36" t="str">
        <f t="shared" si="34"/>
        <v>42017</v>
      </c>
      <c r="D331" s="37">
        <f>WORKDAY(D330,1)</f>
        <v>42828</v>
      </c>
      <c r="E331" s="38">
        <v>3.6440999999999999</v>
      </c>
      <c r="F331" s="39">
        <v>371</v>
      </c>
      <c r="G331" s="33">
        <f t="shared" si="32"/>
        <v>1351.9611</v>
      </c>
      <c r="H331" s="33"/>
      <c r="I331" s="33">
        <f t="shared" si="36"/>
        <v>1687.1290300000001</v>
      </c>
      <c r="J331" s="33"/>
      <c r="K331" s="33" t="e">
        <f t="shared" si="35"/>
        <v>#DIV/0!</v>
      </c>
      <c r="L331" s="59" t="e">
        <f t="shared" si="29"/>
        <v>#DIV/0!</v>
      </c>
      <c r="M331" s="60" t="str">
        <f>IFERROR((#REF!/1.18)*1000,"")</f>
        <v/>
      </c>
    </row>
    <row r="332" spans="1:13" hidden="1" outlineLevel="1" x14ac:dyDescent="0.55000000000000004">
      <c r="A332" s="165"/>
      <c r="B332" s="35">
        <f t="shared" si="30"/>
        <v>4</v>
      </c>
      <c r="C332" s="36" t="str">
        <f t="shared" si="34"/>
        <v>42017</v>
      </c>
      <c r="D332" s="44">
        <f t="shared" ref="D332:D350" si="37">WORKDAY(D331,1)</f>
        <v>42829</v>
      </c>
      <c r="E332" s="38">
        <v>3.6496</v>
      </c>
      <c r="F332" s="39">
        <v>371</v>
      </c>
      <c r="G332" s="33">
        <f t="shared" si="32"/>
        <v>1354.0016000000001</v>
      </c>
      <c r="H332" s="33"/>
      <c r="I332" s="33">
        <f t="shared" si="36"/>
        <v>1623.1184099999998</v>
      </c>
      <c r="J332" s="33"/>
      <c r="K332" s="33" t="e">
        <f t="shared" si="35"/>
        <v>#DIV/0!</v>
      </c>
      <c r="L332" s="59" t="e">
        <f t="shared" ref="L332:L395" si="38">(I332-K332)/K332</f>
        <v>#DIV/0!</v>
      </c>
      <c r="M332" s="60" t="str">
        <f>IFERROR((#REF!/1.18)*1000,"")</f>
        <v/>
      </c>
    </row>
    <row r="333" spans="1:13" hidden="1" outlineLevel="1" x14ac:dyDescent="0.55000000000000004">
      <c r="A333" s="165"/>
      <c r="B333" s="35">
        <f t="shared" si="30"/>
        <v>5</v>
      </c>
      <c r="C333" s="36" t="str">
        <f t="shared" si="34"/>
        <v>42017</v>
      </c>
      <c r="D333" s="44">
        <f t="shared" si="37"/>
        <v>42830</v>
      </c>
      <c r="E333" s="38">
        <v>3.6833999999999998</v>
      </c>
      <c r="F333" s="39">
        <v>371</v>
      </c>
      <c r="G333" s="33">
        <f t="shared" si="32"/>
        <v>1366.5413999999998</v>
      </c>
      <c r="H333" s="33"/>
      <c r="I333" s="33">
        <f t="shared" si="36"/>
        <v>1557.1469399999999</v>
      </c>
      <c r="J333" s="33"/>
      <c r="K333" s="33" t="e">
        <f t="shared" si="35"/>
        <v>#DIV/0!</v>
      </c>
      <c r="L333" s="59" t="e">
        <f t="shared" si="38"/>
        <v>#DIV/0!</v>
      </c>
      <c r="M333" s="60" t="str">
        <f>IFERROR((#REF!/1.18)*1000,"")</f>
        <v/>
      </c>
    </row>
    <row r="334" spans="1:13" hidden="1" outlineLevel="1" x14ac:dyDescent="0.55000000000000004">
      <c r="A334" s="165"/>
      <c r="B334" s="35">
        <f t="shared" si="30"/>
        <v>6</v>
      </c>
      <c r="C334" s="36" t="str">
        <f t="shared" si="34"/>
        <v>42017</v>
      </c>
      <c r="D334" s="44">
        <f t="shared" si="37"/>
        <v>42831</v>
      </c>
      <c r="E334" s="38">
        <v>3.7147999999999999</v>
      </c>
      <c r="F334" s="39">
        <v>371</v>
      </c>
      <c r="G334" s="33">
        <f t="shared" si="32"/>
        <v>1378.1907999999999</v>
      </c>
      <c r="H334" s="33"/>
      <c r="I334" s="33">
        <f t="shared" si="36"/>
        <v>1491.54673</v>
      </c>
      <c r="J334" s="33"/>
      <c r="K334" s="33" t="e">
        <f t="shared" si="35"/>
        <v>#DIV/0!</v>
      </c>
      <c r="L334" s="59" t="e">
        <f t="shared" si="38"/>
        <v>#DIV/0!</v>
      </c>
      <c r="M334" s="60" t="str">
        <f>IFERROR((#REF!/1.18)*1000,"")</f>
        <v/>
      </c>
    </row>
    <row r="335" spans="1:13" hidden="1" outlineLevel="1" x14ac:dyDescent="0.55000000000000004">
      <c r="A335" s="165"/>
      <c r="B335" s="35">
        <f t="shared" si="30"/>
        <v>7</v>
      </c>
      <c r="C335" s="36" t="str">
        <f t="shared" si="34"/>
        <v>42017</v>
      </c>
      <c r="D335" s="44">
        <f t="shared" si="37"/>
        <v>42832</v>
      </c>
      <c r="E335" s="38">
        <v>3.7275</v>
      </c>
      <c r="F335" s="39">
        <v>371</v>
      </c>
      <c r="G335" s="33">
        <f t="shared" si="32"/>
        <v>1382.9024999999999</v>
      </c>
      <c r="H335" s="33"/>
      <c r="I335" s="33">
        <f t="shared" si="36"/>
        <v>1428.5458100000001</v>
      </c>
      <c r="J335" s="33"/>
      <c r="K335" s="33" t="e">
        <f t="shared" si="35"/>
        <v>#DIV/0!</v>
      </c>
      <c r="L335" s="59" t="e">
        <f t="shared" si="38"/>
        <v>#DIV/0!</v>
      </c>
      <c r="M335" s="60" t="str">
        <f>IFERROR((#REF!/1.18)*1000,"")</f>
        <v/>
      </c>
    </row>
    <row r="336" spans="1:13" hidden="1" outlineLevel="1" x14ac:dyDescent="0.55000000000000004">
      <c r="A336" s="165"/>
      <c r="B336" s="35">
        <f t="shared" si="30"/>
        <v>10</v>
      </c>
      <c r="C336" s="36" t="str">
        <f t="shared" si="34"/>
        <v>42017</v>
      </c>
      <c r="D336" s="44">
        <f t="shared" si="37"/>
        <v>42835</v>
      </c>
      <c r="E336" s="38">
        <v>3.7330000000000001</v>
      </c>
      <c r="F336" s="39">
        <v>371</v>
      </c>
      <c r="G336" s="33">
        <f t="shared" si="32"/>
        <v>1384.943</v>
      </c>
      <c r="H336" s="33"/>
      <c r="I336" s="33">
        <f t="shared" si="36"/>
        <v>1366.7194800000002</v>
      </c>
      <c r="J336" s="33"/>
      <c r="K336" s="33" t="e">
        <f t="shared" si="35"/>
        <v>#DIV/0!</v>
      </c>
      <c r="L336" s="59" t="e">
        <f t="shared" si="38"/>
        <v>#DIV/0!</v>
      </c>
      <c r="M336" s="60" t="str">
        <f>IFERROR((#REF!/1.18)*1000,"")</f>
        <v/>
      </c>
    </row>
    <row r="337" spans="1:13" hidden="1" outlineLevel="1" x14ac:dyDescent="0.55000000000000004">
      <c r="A337" s="165"/>
      <c r="B337" s="35">
        <f t="shared" si="30"/>
        <v>11</v>
      </c>
      <c r="C337" s="36" t="str">
        <f t="shared" si="34"/>
        <v>42017</v>
      </c>
      <c r="D337" s="44">
        <f t="shared" si="37"/>
        <v>42836</v>
      </c>
      <c r="E337" s="38">
        <v>3.722</v>
      </c>
      <c r="F337" s="39">
        <v>371</v>
      </c>
      <c r="G337" s="33">
        <f t="shared" si="32"/>
        <v>1380.8620000000001</v>
      </c>
      <c r="H337" s="33"/>
      <c r="I337" s="33">
        <f t="shared" si="36"/>
        <v>1373.3158600000002</v>
      </c>
      <c r="J337" s="33"/>
      <c r="K337" s="33" t="e">
        <f t="shared" si="35"/>
        <v>#DIV/0!</v>
      </c>
      <c r="L337" s="59" t="e">
        <f t="shared" si="38"/>
        <v>#DIV/0!</v>
      </c>
      <c r="M337" s="60" t="str">
        <f>IFERROR((#REF!/1.18)*1000,"")</f>
        <v/>
      </c>
    </row>
    <row r="338" spans="1:13" hidden="1" outlineLevel="1" x14ac:dyDescent="0.55000000000000004">
      <c r="A338" s="165"/>
      <c r="B338" s="35">
        <f t="shared" si="30"/>
        <v>12</v>
      </c>
      <c r="C338" s="36" t="str">
        <f t="shared" si="34"/>
        <v>42017</v>
      </c>
      <c r="D338" s="44">
        <f t="shared" si="37"/>
        <v>42837</v>
      </c>
      <c r="E338" s="38">
        <v>3.6825000000000001</v>
      </c>
      <c r="F338" s="39">
        <v>371</v>
      </c>
      <c r="G338" s="33">
        <f t="shared" si="32"/>
        <v>1366.2075</v>
      </c>
      <c r="H338" s="33"/>
      <c r="I338" s="33">
        <f t="shared" si="36"/>
        <v>1378.68794</v>
      </c>
      <c r="J338" s="33"/>
      <c r="K338" s="33" t="e">
        <f t="shared" si="35"/>
        <v>#DIV/0!</v>
      </c>
      <c r="L338" s="59" t="e">
        <f t="shared" si="38"/>
        <v>#DIV/0!</v>
      </c>
      <c r="M338" s="60" t="str">
        <f>IFERROR((#REF!/1.18)*1000,"")</f>
        <v/>
      </c>
    </row>
    <row r="339" spans="1:13" hidden="1" outlineLevel="1" x14ac:dyDescent="0.55000000000000004">
      <c r="A339" s="165"/>
      <c r="B339" s="35">
        <f t="shared" si="30"/>
        <v>13</v>
      </c>
      <c r="C339" s="36" t="str">
        <f t="shared" si="34"/>
        <v>42017</v>
      </c>
      <c r="D339" s="44">
        <f t="shared" si="37"/>
        <v>42838</v>
      </c>
      <c r="E339" s="38">
        <v>3.6631</v>
      </c>
      <c r="F339" s="39">
        <v>371</v>
      </c>
      <c r="G339" s="33">
        <f t="shared" si="32"/>
        <v>1359.0101</v>
      </c>
      <c r="H339" s="33"/>
      <c r="I339" s="33">
        <f t="shared" si="36"/>
        <v>1378.6211599999999</v>
      </c>
      <c r="J339" s="33"/>
      <c r="K339" s="33" t="e">
        <f t="shared" si="35"/>
        <v>#DIV/0!</v>
      </c>
      <c r="L339" s="59" t="e">
        <f t="shared" si="38"/>
        <v>#DIV/0!</v>
      </c>
      <c r="M339" s="60" t="str">
        <f>IFERROR((#REF!/1.18)*1000,"")</f>
        <v/>
      </c>
    </row>
    <row r="340" spans="1:13" hidden="1" outlineLevel="1" x14ac:dyDescent="0.55000000000000004">
      <c r="A340" s="165"/>
      <c r="B340" s="35">
        <f t="shared" si="30"/>
        <v>14</v>
      </c>
      <c r="C340" s="36" t="str">
        <f t="shared" si="34"/>
        <v>42017</v>
      </c>
      <c r="D340" s="44">
        <f t="shared" si="37"/>
        <v>42839</v>
      </c>
      <c r="E340" s="38">
        <v>3.6867000000000001</v>
      </c>
      <c r="F340" s="39">
        <v>371</v>
      </c>
      <c r="G340" s="33">
        <f t="shared" si="32"/>
        <v>1367.7656999999999</v>
      </c>
      <c r="H340" s="33"/>
      <c r="I340" s="33">
        <f t="shared" si="36"/>
        <v>1374.78502</v>
      </c>
      <c r="J340" s="33"/>
      <c r="K340" s="33" t="e">
        <f t="shared" si="35"/>
        <v>#DIV/0!</v>
      </c>
      <c r="L340" s="59" t="e">
        <f t="shared" si="38"/>
        <v>#DIV/0!</v>
      </c>
      <c r="M340" s="60" t="str">
        <f>IFERROR((#REF!/1.18)*1000,"")</f>
        <v/>
      </c>
    </row>
    <row r="341" spans="1:13" hidden="1" outlineLevel="1" x14ac:dyDescent="0.55000000000000004">
      <c r="A341" s="165"/>
      <c r="B341" s="35">
        <f t="shared" si="30"/>
        <v>17</v>
      </c>
      <c r="C341" s="36" t="str">
        <f t="shared" si="34"/>
        <v>42017</v>
      </c>
      <c r="D341" s="44">
        <f t="shared" si="37"/>
        <v>42842</v>
      </c>
      <c r="E341" s="38">
        <v>3.6646000000000001</v>
      </c>
      <c r="F341" s="39">
        <v>371</v>
      </c>
      <c r="G341" s="33">
        <f t="shared" si="32"/>
        <v>1359.5666000000001</v>
      </c>
      <c r="H341" s="33"/>
      <c r="I341" s="33">
        <f t="shared" si="36"/>
        <v>1371.75766</v>
      </c>
      <c r="J341" s="33"/>
      <c r="K341" s="33" t="e">
        <f t="shared" si="35"/>
        <v>#DIV/0!</v>
      </c>
      <c r="L341" s="59" t="e">
        <f t="shared" si="38"/>
        <v>#DIV/0!</v>
      </c>
      <c r="M341" s="60" t="str">
        <f>IFERROR((#REF!/1.18)*1000,"")</f>
        <v/>
      </c>
    </row>
    <row r="342" spans="1:13" hidden="1" outlineLevel="1" x14ac:dyDescent="0.55000000000000004">
      <c r="A342" s="165"/>
      <c r="B342" s="35">
        <f t="shared" si="30"/>
        <v>18</v>
      </c>
      <c r="C342" s="36" t="str">
        <f t="shared" si="34"/>
        <v>42017</v>
      </c>
      <c r="D342" s="44">
        <f t="shared" si="37"/>
        <v>42843</v>
      </c>
      <c r="E342" s="38">
        <v>3.6903999999999999</v>
      </c>
      <c r="F342" s="39">
        <v>371</v>
      </c>
      <c r="G342" s="33">
        <f t="shared" si="32"/>
        <v>1369.1384</v>
      </c>
      <c r="H342" s="33"/>
      <c r="I342" s="33">
        <f t="shared" si="36"/>
        <v>1366.68238</v>
      </c>
      <c r="J342" s="33"/>
      <c r="K342" s="33" t="e">
        <f t="shared" si="35"/>
        <v>#DIV/0!</v>
      </c>
      <c r="L342" s="59" t="e">
        <f t="shared" si="38"/>
        <v>#DIV/0!</v>
      </c>
      <c r="M342" s="60" t="str">
        <f>IFERROR((#REF!/1.18)*1000,"")</f>
        <v/>
      </c>
    </row>
    <row r="343" spans="1:13" hidden="1" outlineLevel="1" x14ac:dyDescent="0.55000000000000004">
      <c r="A343" s="165"/>
      <c r="B343" s="35">
        <f t="shared" ref="B343:B406" si="39">DAY(D343)</f>
        <v>19</v>
      </c>
      <c r="C343" s="36" t="str">
        <f t="shared" si="34"/>
        <v>42017</v>
      </c>
      <c r="D343" s="44">
        <f t="shared" si="37"/>
        <v>42844</v>
      </c>
      <c r="E343" s="38">
        <v>3.6688999999999998</v>
      </c>
      <c r="F343" s="39">
        <v>371</v>
      </c>
      <c r="G343" s="33">
        <f t="shared" si="32"/>
        <v>1361.1618999999998</v>
      </c>
      <c r="H343" s="33"/>
      <c r="I343" s="33">
        <f t="shared" si="36"/>
        <v>1364.3376599999999</v>
      </c>
      <c r="J343" s="33"/>
      <c r="K343" s="33" t="e">
        <f t="shared" si="35"/>
        <v>#DIV/0!</v>
      </c>
      <c r="L343" s="59" t="e">
        <f t="shared" si="38"/>
        <v>#DIV/0!</v>
      </c>
      <c r="M343" s="60" t="str">
        <f>IFERROR((#REF!/1.18)*1000,"")</f>
        <v/>
      </c>
    </row>
    <row r="344" spans="1:13" hidden="1" outlineLevel="1" x14ac:dyDescent="0.55000000000000004">
      <c r="A344" s="165"/>
      <c r="B344" s="35">
        <f t="shared" si="39"/>
        <v>20</v>
      </c>
      <c r="C344" s="36" t="str">
        <f t="shared" si="34"/>
        <v>42017</v>
      </c>
      <c r="D344" s="44">
        <f t="shared" si="37"/>
        <v>42845</v>
      </c>
      <c r="E344" s="38">
        <v>3.6444999999999999</v>
      </c>
      <c r="F344" s="39">
        <v>371</v>
      </c>
      <c r="G344" s="33">
        <f t="shared" si="32"/>
        <v>1352.1095</v>
      </c>
      <c r="H344" s="33"/>
      <c r="I344" s="33">
        <f t="shared" si="36"/>
        <v>1363.32854</v>
      </c>
      <c r="J344" s="33"/>
      <c r="K344" s="33" t="e">
        <f t="shared" si="35"/>
        <v>#DIV/0!</v>
      </c>
      <c r="L344" s="59" t="e">
        <f t="shared" si="38"/>
        <v>#DIV/0!</v>
      </c>
      <c r="M344" s="60" t="str">
        <f>IFERROR((#REF!/1.18)*1000,"")</f>
        <v/>
      </c>
    </row>
    <row r="345" spans="1:13" hidden="1" outlineLevel="1" x14ac:dyDescent="0.55000000000000004">
      <c r="A345" s="165"/>
      <c r="B345" s="35">
        <f t="shared" si="39"/>
        <v>21</v>
      </c>
      <c r="C345" s="36" t="str">
        <f t="shared" si="34"/>
        <v>42017</v>
      </c>
      <c r="D345" s="44">
        <f t="shared" si="37"/>
        <v>42846</v>
      </c>
      <c r="E345" s="38">
        <v>3.6457000000000002</v>
      </c>
      <c r="F345" s="39">
        <v>371</v>
      </c>
      <c r="G345" s="33">
        <f t="shared" si="32"/>
        <v>1352.5547000000001</v>
      </c>
      <c r="H345" s="33"/>
      <c r="I345" s="33">
        <f t="shared" si="36"/>
        <v>1361.9484199999999</v>
      </c>
      <c r="J345" s="33"/>
      <c r="K345" s="33" t="e">
        <f t="shared" si="35"/>
        <v>#DIV/0!</v>
      </c>
      <c r="L345" s="59" t="e">
        <f t="shared" si="38"/>
        <v>#DIV/0!</v>
      </c>
      <c r="M345" s="60" t="str">
        <f>IFERROR((#REF!/1.18)*1000,"")</f>
        <v/>
      </c>
    </row>
    <row r="346" spans="1:13" hidden="1" outlineLevel="1" x14ac:dyDescent="0.55000000000000004">
      <c r="A346" s="165"/>
      <c r="B346" s="35">
        <f t="shared" si="39"/>
        <v>24</v>
      </c>
      <c r="C346" s="36" t="str">
        <f t="shared" si="34"/>
        <v>42017</v>
      </c>
      <c r="D346" s="44">
        <f t="shared" si="37"/>
        <v>42849</v>
      </c>
      <c r="E346" s="38">
        <v>3.5990000000000002</v>
      </c>
      <c r="F346" s="39">
        <v>371</v>
      </c>
      <c r="G346" s="33">
        <f t="shared" si="32"/>
        <v>1335.229</v>
      </c>
      <c r="H346" s="33"/>
      <c r="I346" s="33">
        <f t="shared" si="36"/>
        <v>1358.9062200000001</v>
      </c>
      <c r="J346" s="33"/>
      <c r="K346" s="33" t="e">
        <f t="shared" si="35"/>
        <v>#DIV/0!</v>
      </c>
      <c r="L346" s="59" t="e">
        <f t="shared" si="38"/>
        <v>#DIV/0!</v>
      </c>
      <c r="M346" s="60" t="str">
        <f>IFERROR((#REF!/1.18)*1000,"")</f>
        <v/>
      </c>
    </row>
    <row r="347" spans="1:13" hidden="1" outlineLevel="1" x14ac:dyDescent="0.55000000000000004">
      <c r="A347" s="165"/>
      <c r="B347" s="35">
        <f t="shared" si="39"/>
        <v>25</v>
      </c>
      <c r="C347" s="36" t="str">
        <f t="shared" si="34"/>
        <v>42017</v>
      </c>
      <c r="D347" s="44">
        <f t="shared" si="37"/>
        <v>42850</v>
      </c>
      <c r="E347" s="38">
        <v>3.5893000000000002</v>
      </c>
      <c r="F347" s="39">
        <v>371</v>
      </c>
      <c r="G347" s="33">
        <f t="shared" si="32"/>
        <v>1331.6303</v>
      </c>
      <c r="H347" s="33"/>
      <c r="I347" s="33">
        <f t="shared" si="36"/>
        <v>1354.0387000000001</v>
      </c>
      <c r="J347" s="33"/>
      <c r="K347" s="33" t="e">
        <f t="shared" si="35"/>
        <v>#DIV/0!</v>
      </c>
      <c r="L347" s="59" t="e">
        <f t="shared" si="38"/>
        <v>#DIV/0!</v>
      </c>
      <c r="M347" s="60" t="str">
        <f>IFERROR((#REF!/1.18)*1000,"")</f>
        <v/>
      </c>
    </row>
    <row r="348" spans="1:13" hidden="1" outlineLevel="1" x14ac:dyDescent="0.55000000000000004">
      <c r="A348" s="165"/>
      <c r="B348" s="35">
        <f t="shared" si="39"/>
        <v>26</v>
      </c>
      <c r="C348" s="36" t="str">
        <f t="shared" si="34"/>
        <v>42017</v>
      </c>
      <c r="D348" s="44">
        <f t="shared" si="37"/>
        <v>42851</v>
      </c>
      <c r="E348" s="38">
        <v>3.5914999999999999</v>
      </c>
      <c r="F348" s="39">
        <v>371</v>
      </c>
      <c r="G348" s="33">
        <f t="shared" si="32"/>
        <v>1332.4465</v>
      </c>
      <c r="H348" s="33"/>
      <c r="I348" s="33">
        <f t="shared" si="36"/>
        <v>1346.5370799999998</v>
      </c>
      <c r="J348" s="33"/>
      <c r="K348" s="33" t="e">
        <f t="shared" si="35"/>
        <v>#DIV/0!</v>
      </c>
      <c r="L348" s="59" t="e">
        <f t="shared" si="38"/>
        <v>#DIV/0!</v>
      </c>
      <c r="M348" s="60" t="str">
        <f>IFERROR((#REF!/1.18)*1000,"")</f>
        <v/>
      </c>
    </row>
    <row r="349" spans="1:13" hidden="1" outlineLevel="1" x14ac:dyDescent="0.55000000000000004">
      <c r="A349" s="165"/>
      <c r="B349" s="35">
        <f t="shared" si="39"/>
        <v>27</v>
      </c>
      <c r="C349" s="36" t="str">
        <f t="shared" si="34"/>
        <v>42017</v>
      </c>
      <c r="D349" s="44">
        <f t="shared" si="37"/>
        <v>42852</v>
      </c>
      <c r="E349" s="38">
        <v>3.5647000000000002</v>
      </c>
      <c r="F349" s="39">
        <v>371</v>
      </c>
      <c r="G349" s="33">
        <f t="shared" si="32"/>
        <v>1322.5037</v>
      </c>
      <c r="H349" s="33"/>
      <c r="I349" s="33">
        <f t="shared" si="36"/>
        <v>1340.7940000000001</v>
      </c>
      <c r="J349" s="33"/>
      <c r="K349" s="33" t="e">
        <f t="shared" si="35"/>
        <v>#DIV/0!</v>
      </c>
      <c r="L349" s="59" t="e">
        <f t="shared" si="38"/>
        <v>#DIV/0!</v>
      </c>
      <c r="M349" s="60" t="str">
        <f>IFERROR((#REF!/1.18)*1000,"")</f>
        <v/>
      </c>
    </row>
    <row r="350" spans="1:13" ht="14.7" hidden="1" outlineLevel="1" thickBot="1" x14ac:dyDescent="0.6">
      <c r="A350" s="166"/>
      <c r="B350" s="35">
        <f t="shared" si="39"/>
        <v>28</v>
      </c>
      <c r="C350" s="36" t="str">
        <f t="shared" si="34"/>
        <v>42017</v>
      </c>
      <c r="D350" s="53">
        <f t="shared" si="37"/>
        <v>42853</v>
      </c>
      <c r="E350" s="38">
        <v>3.5568</v>
      </c>
      <c r="F350" s="39">
        <v>371</v>
      </c>
      <c r="G350" s="33">
        <f t="shared" si="32"/>
        <v>1319.5727999999999</v>
      </c>
      <c r="H350" s="33"/>
      <c r="I350" s="33">
        <f t="shared" si="36"/>
        <v>1334.87284</v>
      </c>
      <c r="J350" s="33"/>
      <c r="K350" s="33" t="e">
        <f t="shared" si="35"/>
        <v>#DIV/0!</v>
      </c>
      <c r="L350" s="59" t="e">
        <f t="shared" si="38"/>
        <v>#DIV/0!</v>
      </c>
      <c r="M350" s="60" t="str">
        <f>IFERROR((#REF!/1.18)*1000,"")</f>
        <v/>
      </c>
    </row>
    <row r="351" spans="1:13" hidden="1" outlineLevel="1" x14ac:dyDescent="0.55000000000000004">
      <c r="A351" s="164" t="s">
        <v>97</v>
      </c>
      <c r="B351" s="35">
        <f t="shared" si="39"/>
        <v>1</v>
      </c>
      <c r="C351" s="36" t="str">
        <f t="shared" si="34"/>
        <v>52017</v>
      </c>
      <c r="D351" s="37">
        <f>WORKDAY(D350,1)</f>
        <v>42856</v>
      </c>
      <c r="E351" s="38">
        <v>3.5568</v>
      </c>
      <c r="F351" s="39">
        <v>344</v>
      </c>
      <c r="G351" s="33">
        <f t="shared" si="32"/>
        <v>1223.5391999999999</v>
      </c>
      <c r="H351" s="33"/>
      <c r="I351" s="33">
        <f t="shared" si="36"/>
        <v>1328.27646</v>
      </c>
      <c r="J351" s="33"/>
      <c r="K351" s="33" t="e">
        <f t="shared" si="35"/>
        <v>#DIV/0!</v>
      </c>
      <c r="L351" s="59" t="e">
        <f t="shared" si="38"/>
        <v>#DIV/0!</v>
      </c>
      <c r="M351" s="60" t="str">
        <f>IFERROR((#REF!/1.18)*1000,"")</f>
        <v/>
      </c>
    </row>
    <row r="352" spans="1:13" hidden="1" outlineLevel="1" x14ac:dyDescent="0.55000000000000004">
      <c r="A352" s="165"/>
      <c r="B352" s="35">
        <f t="shared" si="39"/>
        <v>2</v>
      </c>
      <c r="C352" s="36" t="str">
        <f t="shared" si="34"/>
        <v>52017</v>
      </c>
      <c r="D352" s="44">
        <f>WORKDAY(D351,1)</f>
        <v>42857</v>
      </c>
      <c r="E352" s="38">
        <v>3.5411000000000001</v>
      </c>
      <c r="F352" s="39">
        <v>344</v>
      </c>
      <c r="G352" s="33">
        <f t="shared" si="32"/>
        <v>1218.1384</v>
      </c>
      <c r="H352" s="33"/>
      <c r="I352" s="33">
        <f t="shared" si="36"/>
        <v>1305.9385</v>
      </c>
      <c r="J352" s="33"/>
      <c r="K352" s="33" t="e">
        <f t="shared" si="35"/>
        <v>#DIV/0!</v>
      </c>
      <c r="L352" s="59" t="e">
        <f t="shared" si="38"/>
        <v>#DIV/0!</v>
      </c>
      <c r="M352" s="60" t="str">
        <f>IFERROR((#REF!/1.18)*1000,"")</f>
        <v/>
      </c>
    </row>
    <row r="353" spans="1:13" hidden="1" outlineLevel="1" x14ac:dyDescent="0.55000000000000004">
      <c r="A353" s="165"/>
      <c r="B353" s="35">
        <f t="shared" si="39"/>
        <v>3</v>
      </c>
      <c r="C353" s="36" t="str">
        <f t="shared" si="34"/>
        <v>52017</v>
      </c>
      <c r="D353" s="44">
        <f t="shared" ref="D353:D372" si="40">WORKDAY(D352,1)</f>
        <v>42858</v>
      </c>
      <c r="E353" s="38">
        <v>3.5379999999999998</v>
      </c>
      <c r="F353" s="39">
        <v>344</v>
      </c>
      <c r="G353" s="33">
        <f t="shared" si="32"/>
        <v>1217.0719999999999</v>
      </c>
      <c r="H353" s="33"/>
      <c r="I353" s="33">
        <f t="shared" si="36"/>
        <v>1283.2401199999999</v>
      </c>
      <c r="J353" s="33"/>
      <c r="K353" s="33" t="e">
        <f t="shared" si="35"/>
        <v>#DIV/0!</v>
      </c>
      <c r="L353" s="59" t="e">
        <f t="shared" si="38"/>
        <v>#DIV/0!</v>
      </c>
      <c r="M353" s="60" t="str">
        <f>IFERROR((#REF!/1.18)*1000,"")</f>
        <v/>
      </c>
    </row>
    <row r="354" spans="1:13" hidden="1" outlineLevel="1" x14ac:dyDescent="0.55000000000000004">
      <c r="A354" s="165"/>
      <c r="B354" s="35">
        <f t="shared" si="39"/>
        <v>4</v>
      </c>
      <c r="C354" s="36" t="str">
        <f t="shared" si="34"/>
        <v>52017</v>
      </c>
      <c r="D354" s="44">
        <f t="shared" si="40"/>
        <v>42859</v>
      </c>
      <c r="E354" s="38">
        <v>3.5491999999999999</v>
      </c>
      <c r="F354" s="39">
        <v>344</v>
      </c>
      <c r="G354" s="33">
        <f t="shared" si="32"/>
        <v>1220.9248</v>
      </c>
      <c r="H354" s="33"/>
      <c r="I354" s="33">
        <f t="shared" si="36"/>
        <v>1260.1652200000001</v>
      </c>
      <c r="J354" s="33"/>
      <c r="K354" s="33" t="e">
        <f t="shared" si="35"/>
        <v>#DIV/0!</v>
      </c>
      <c r="L354" s="59" t="e">
        <f t="shared" si="38"/>
        <v>#DIV/0!</v>
      </c>
      <c r="M354" s="60" t="str">
        <f>IFERROR((#REF!/1.18)*1000,"")</f>
        <v/>
      </c>
    </row>
    <row r="355" spans="1:13" hidden="1" outlineLevel="1" x14ac:dyDescent="0.55000000000000004">
      <c r="A355" s="165"/>
      <c r="B355" s="35">
        <f t="shared" si="39"/>
        <v>5</v>
      </c>
      <c r="C355" s="36" t="str">
        <f t="shared" si="34"/>
        <v>52017</v>
      </c>
      <c r="D355" s="44">
        <f t="shared" si="40"/>
        <v>42860</v>
      </c>
      <c r="E355" s="38">
        <v>3.5659999999999998</v>
      </c>
      <c r="F355" s="39">
        <v>344</v>
      </c>
      <c r="G355" s="33">
        <f t="shared" si="32"/>
        <v>1226.704</v>
      </c>
      <c r="H355" s="33"/>
      <c r="I355" s="33">
        <f t="shared" si="36"/>
        <v>1239.84944</v>
      </c>
      <c r="J355" s="33"/>
      <c r="K355" s="33" t="e">
        <f t="shared" si="35"/>
        <v>#DIV/0!</v>
      </c>
      <c r="L355" s="59" t="e">
        <f t="shared" si="38"/>
        <v>#DIV/0!</v>
      </c>
      <c r="M355" s="60" t="str">
        <f>IFERROR((#REF!/1.18)*1000,"")</f>
        <v/>
      </c>
    </row>
    <row r="356" spans="1:13" hidden="1" outlineLevel="1" x14ac:dyDescent="0.55000000000000004">
      <c r="A356" s="165"/>
      <c r="B356" s="35">
        <f t="shared" si="39"/>
        <v>8</v>
      </c>
      <c r="C356" s="36" t="str">
        <f t="shared" si="34"/>
        <v>52017</v>
      </c>
      <c r="D356" s="44">
        <f t="shared" si="40"/>
        <v>42863</v>
      </c>
      <c r="E356" s="38">
        <v>3.5539999999999998</v>
      </c>
      <c r="F356" s="39">
        <v>344</v>
      </c>
      <c r="G356" s="33">
        <f t="shared" si="32"/>
        <v>1222.576</v>
      </c>
      <c r="H356" s="33"/>
      <c r="I356" s="33">
        <f t="shared" si="36"/>
        <v>1221.27568</v>
      </c>
      <c r="J356" s="33"/>
      <c r="K356" s="33" t="e">
        <f t="shared" si="35"/>
        <v>#DIV/0!</v>
      </c>
      <c r="L356" s="59" t="e">
        <f t="shared" si="38"/>
        <v>#DIV/0!</v>
      </c>
      <c r="M356" s="60" t="str">
        <f>IFERROR((#REF!/1.18)*1000,"")</f>
        <v/>
      </c>
    </row>
    <row r="357" spans="1:13" hidden="1" outlineLevel="1" x14ac:dyDescent="0.55000000000000004">
      <c r="A357" s="165"/>
      <c r="B357" s="35">
        <f t="shared" si="39"/>
        <v>9</v>
      </c>
      <c r="C357" s="36" t="str">
        <f t="shared" si="34"/>
        <v>52017</v>
      </c>
      <c r="D357" s="44">
        <f t="shared" si="40"/>
        <v>42864</v>
      </c>
      <c r="E357" s="38">
        <v>3.5992999999999999</v>
      </c>
      <c r="F357" s="39">
        <v>344</v>
      </c>
      <c r="G357" s="33">
        <f t="shared" ref="G357:G420" si="41">E357*F357</f>
        <v>1238.1592000000001</v>
      </c>
      <c r="H357" s="33"/>
      <c r="I357" s="33">
        <f t="shared" si="36"/>
        <v>1221.08304</v>
      </c>
      <c r="J357" s="33"/>
      <c r="K357" s="33" t="e">
        <f t="shared" si="35"/>
        <v>#DIV/0!</v>
      </c>
      <c r="L357" s="59" t="e">
        <f t="shared" si="38"/>
        <v>#DIV/0!</v>
      </c>
      <c r="M357" s="60" t="str">
        <f>IFERROR((#REF!/1.18)*1000,"")</f>
        <v/>
      </c>
    </row>
    <row r="358" spans="1:13" hidden="1" outlineLevel="1" x14ac:dyDescent="0.55000000000000004">
      <c r="A358" s="165"/>
      <c r="B358" s="35">
        <f t="shared" si="39"/>
        <v>10</v>
      </c>
      <c r="C358" s="36" t="str">
        <f t="shared" si="34"/>
        <v>52017</v>
      </c>
      <c r="D358" s="44">
        <f t="shared" si="40"/>
        <v>42865</v>
      </c>
      <c r="E358" s="38">
        <v>3.6048</v>
      </c>
      <c r="F358" s="39">
        <v>344</v>
      </c>
      <c r="G358" s="33">
        <f t="shared" si="41"/>
        <v>1240.0512000000001</v>
      </c>
      <c r="H358" s="33"/>
      <c r="I358" s="33">
        <f t="shared" si="36"/>
        <v>1225.0871999999999</v>
      </c>
      <c r="J358" s="33"/>
      <c r="K358" s="33" t="e">
        <f t="shared" si="35"/>
        <v>#DIV/0!</v>
      </c>
      <c r="L358" s="59" t="e">
        <f t="shared" si="38"/>
        <v>#DIV/0!</v>
      </c>
      <c r="M358" s="60" t="str">
        <f>IFERROR((#REF!/1.18)*1000,"")</f>
        <v/>
      </c>
    </row>
    <row r="359" spans="1:13" hidden="1" outlineLevel="1" x14ac:dyDescent="0.55000000000000004">
      <c r="A359" s="165"/>
      <c r="B359" s="35">
        <f t="shared" si="39"/>
        <v>11</v>
      </c>
      <c r="C359" s="36" t="str">
        <f t="shared" si="34"/>
        <v>52017</v>
      </c>
      <c r="D359" s="44">
        <f t="shared" si="40"/>
        <v>42866</v>
      </c>
      <c r="E359" s="38">
        <v>3.5800999999999998</v>
      </c>
      <c r="F359" s="39">
        <v>344</v>
      </c>
      <c r="G359" s="33">
        <f t="shared" si="41"/>
        <v>1231.5544</v>
      </c>
      <c r="H359" s="33"/>
      <c r="I359" s="33">
        <f t="shared" si="36"/>
        <v>1229.6830399999999</v>
      </c>
      <c r="J359" s="33"/>
      <c r="K359" s="33" t="e">
        <f t="shared" si="35"/>
        <v>#DIV/0!</v>
      </c>
      <c r="L359" s="59" t="e">
        <f t="shared" si="38"/>
        <v>#DIV/0!</v>
      </c>
      <c r="M359" s="60" t="str">
        <f>IFERROR((#REF!/1.18)*1000,"")</f>
        <v/>
      </c>
    </row>
    <row r="360" spans="1:13" hidden="1" outlineLevel="1" x14ac:dyDescent="0.55000000000000004">
      <c r="A360" s="165"/>
      <c r="B360" s="35">
        <f t="shared" si="39"/>
        <v>12</v>
      </c>
      <c r="C360" s="36" t="str">
        <f t="shared" si="34"/>
        <v>52017</v>
      </c>
      <c r="D360" s="44">
        <f t="shared" si="40"/>
        <v>42867</v>
      </c>
      <c r="E360" s="38">
        <v>3.5924999999999998</v>
      </c>
      <c r="F360" s="39">
        <v>344</v>
      </c>
      <c r="G360" s="33">
        <f t="shared" si="41"/>
        <v>1235.82</v>
      </c>
      <c r="H360" s="33"/>
      <c r="I360" s="33">
        <f t="shared" si="36"/>
        <v>1231.8089599999998</v>
      </c>
      <c r="J360" s="33"/>
      <c r="K360" s="33" t="e">
        <f t="shared" si="35"/>
        <v>#DIV/0!</v>
      </c>
      <c r="L360" s="59" t="e">
        <f t="shared" si="38"/>
        <v>#DIV/0!</v>
      </c>
      <c r="M360" s="60" t="str">
        <f>IFERROR((#REF!/1.18)*1000,"")</f>
        <v/>
      </c>
    </row>
    <row r="361" spans="1:13" hidden="1" outlineLevel="1" x14ac:dyDescent="0.55000000000000004">
      <c r="A361" s="165"/>
      <c r="B361" s="35">
        <f t="shared" si="39"/>
        <v>15</v>
      </c>
      <c r="C361" s="36" t="str">
        <f t="shared" si="34"/>
        <v>52017</v>
      </c>
      <c r="D361" s="44">
        <f t="shared" si="40"/>
        <v>42870</v>
      </c>
      <c r="E361" s="38">
        <v>3.5625</v>
      </c>
      <c r="F361" s="39">
        <v>344</v>
      </c>
      <c r="G361" s="33">
        <f t="shared" si="41"/>
        <v>1225.5</v>
      </c>
      <c r="H361" s="33"/>
      <c r="I361" s="33">
        <f t="shared" si="36"/>
        <v>1233.6321599999999</v>
      </c>
      <c r="J361" s="33"/>
      <c r="K361" s="33" t="e">
        <f t="shared" si="35"/>
        <v>#DIV/0!</v>
      </c>
      <c r="L361" s="59" t="e">
        <f t="shared" si="38"/>
        <v>#DIV/0!</v>
      </c>
      <c r="M361" s="60" t="str">
        <f>IFERROR((#REF!/1.18)*1000,"")</f>
        <v/>
      </c>
    </row>
    <row r="362" spans="1:13" hidden="1" outlineLevel="1" x14ac:dyDescent="0.55000000000000004">
      <c r="A362" s="165"/>
      <c r="B362" s="35">
        <f t="shared" si="39"/>
        <v>16</v>
      </c>
      <c r="C362" s="36" t="str">
        <f t="shared" si="34"/>
        <v>52017</v>
      </c>
      <c r="D362" s="44">
        <f t="shared" si="40"/>
        <v>42871</v>
      </c>
      <c r="E362" s="38">
        <v>3.5518999999999998</v>
      </c>
      <c r="F362" s="39">
        <v>344</v>
      </c>
      <c r="G362" s="33">
        <f t="shared" si="41"/>
        <v>1221.8535999999999</v>
      </c>
      <c r="H362" s="33"/>
      <c r="I362" s="33">
        <f t="shared" si="36"/>
        <v>1234.21696</v>
      </c>
      <c r="J362" s="33"/>
      <c r="K362" s="33" t="e">
        <f t="shared" si="35"/>
        <v>#DIV/0!</v>
      </c>
      <c r="L362" s="59" t="e">
        <f t="shared" si="38"/>
        <v>#DIV/0!</v>
      </c>
      <c r="M362" s="60" t="str">
        <f>IFERROR((#REF!/1.18)*1000,"")</f>
        <v/>
      </c>
    </row>
    <row r="363" spans="1:13" hidden="1" outlineLevel="1" x14ac:dyDescent="0.55000000000000004">
      <c r="A363" s="165"/>
      <c r="B363" s="35">
        <f t="shared" si="39"/>
        <v>17</v>
      </c>
      <c r="C363" s="36" t="str">
        <f t="shared" si="34"/>
        <v>52017</v>
      </c>
      <c r="D363" s="44">
        <f t="shared" si="40"/>
        <v>42872</v>
      </c>
      <c r="E363" s="38">
        <v>3.5611000000000002</v>
      </c>
      <c r="F363" s="39">
        <v>344</v>
      </c>
      <c r="G363" s="33">
        <f t="shared" si="41"/>
        <v>1225.0184000000002</v>
      </c>
      <c r="H363" s="33"/>
      <c r="I363" s="33">
        <f t="shared" si="36"/>
        <v>1230.9558399999999</v>
      </c>
      <c r="J363" s="33"/>
      <c r="K363" s="33" t="e">
        <f t="shared" si="35"/>
        <v>#DIV/0!</v>
      </c>
      <c r="L363" s="59" t="e">
        <f t="shared" si="38"/>
        <v>#DIV/0!</v>
      </c>
      <c r="M363" s="60" t="str">
        <f>IFERROR((#REF!/1.18)*1000,"")</f>
        <v/>
      </c>
    </row>
    <row r="364" spans="1:13" hidden="1" outlineLevel="1" x14ac:dyDescent="0.55000000000000004">
      <c r="A364" s="165"/>
      <c r="B364" s="35">
        <f t="shared" si="39"/>
        <v>18</v>
      </c>
      <c r="C364" s="36" t="str">
        <f t="shared" si="34"/>
        <v>52017</v>
      </c>
      <c r="D364" s="44">
        <f t="shared" si="40"/>
        <v>42873</v>
      </c>
      <c r="E364" s="38">
        <v>3.6193</v>
      </c>
      <c r="F364" s="39">
        <v>344</v>
      </c>
      <c r="G364" s="33">
        <f t="shared" si="41"/>
        <v>1245.0391999999999</v>
      </c>
      <c r="H364" s="33"/>
      <c r="I364" s="33">
        <f t="shared" si="36"/>
        <v>1227.9492799999998</v>
      </c>
      <c r="J364" s="33"/>
      <c r="K364" s="33" t="e">
        <f t="shared" si="35"/>
        <v>#DIV/0!</v>
      </c>
      <c r="L364" s="59" t="e">
        <f t="shared" si="38"/>
        <v>#DIV/0!</v>
      </c>
      <c r="M364" s="60" t="str">
        <f>IFERROR((#REF!/1.18)*1000,"")</f>
        <v/>
      </c>
    </row>
    <row r="365" spans="1:13" hidden="1" outlineLevel="1" x14ac:dyDescent="0.55000000000000004">
      <c r="A365" s="165"/>
      <c r="B365" s="35">
        <f t="shared" si="39"/>
        <v>19</v>
      </c>
      <c r="C365" s="36" t="str">
        <f t="shared" si="34"/>
        <v>52017</v>
      </c>
      <c r="D365" s="44">
        <f t="shared" si="40"/>
        <v>42874</v>
      </c>
      <c r="E365" s="38">
        <v>3.6193</v>
      </c>
      <c r="F365" s="39">
        <v>344</v>
      </c>
      <c r="G365" s="33">
        <f t="shared" si="41"/>
        <v>1245.0391999999999</v>
      </c>
      <c r="H365" s="33"/>
      <c r="I365" s="33">
        <f t="shared" si="36"/>
        <v>1230.64624</v>
      </c>
      <c r="J365" s="33"/>
      <c r="K365" s="33" t="e">
        <f t="shared" si="35"/>
        <v>#DIV/0!</v>
      </c>
      <c r="L365" s="59" t="e">
        <f t="shared" si="38"/>
        <v>#DIV/0!</v>
      </c>
      <c r="M365" s="60" t="str">
        <f>IFERROR((#REF!/1.18)*1000,"")</f>
        <v/>
      </c>
    </row>
    <row r="366" spans="1:13" hidden="1" outlineLevel="1" x14ac:dyDescent="0.55000000000000004">
      <c r="A366" s="165"/>
      <c r="B366" s="35">
        <f t="shared" si="39"/>
        <v>22</v>
      </c>
      <c r="C366" s="36" t="str">
        <f t="shared" si="34"/>
        <v>52017</v>
      </c>
      <c r="D366" s="44">
        <f t="shared" si="40"/>
        <v>42877</v>
      </c>
      <c r="E366" s="38">
        <v>3.5676000000000001</v>
      </c>
      <c r="F366" s="39">
        <v>344</v>
      </c>
      <c r="G366" s="33">
        <f t="shared" si="41"/>
        <v>1227.2544</v>
      </c>
      <c r="H366" s="33"/>
      <c r="I366" s="33">
        <f t="shared" si="36"/>
        <v>1232.49008</v>
      </c>
      <c r="J366" s="33"/>
      <c r="K366" s="33" t="e">
        <f t="shared" si="35"/>
        <v>#DIV/0!</v>
      </c>
      <c r="L366" s="59" t="e">
        <f t="shared" si="38"/>
        <v>#DIV/0!</v>
      </c>
      <c r="M366" s="60" t="str">
        <f>IFERROR((#REF!/1.18)*1000,"")</f>
        <v/>
      </c>
    </row>
    <row r="367" spans="1:13" hidden="1" outlineLevel="1" x14ac:dyDescent="0.55000000000000004">
      <c r="A367" s="165"/>
      <c r="B367" s="35">
        <f t="shared" si="39"/>
        <v>23</v>
      </c>
      <c r="C367" s="36" t="str">
        <f t="shared" si="34"/>
        <v>52017</v>
      </c>
      <c r="D367" s="44">
        <f t="shared" si="40"/>
        <v>42878</v>
      </c>
      <c r="E367" s="38">
        <v>3.5720000000000001</v>
      </c>
      <c r="F367" s="39">
        <v>344</v>
      </c>
      <c r="G367" s="33">
        <f t="shared" si="41"/>
        <v>1228.768</v>
      </c>
      <c r="H367" s="33"/>
      <c r="I367" s="33">
        <f t="shared" si="36"/>
        <v>1232.84096</v>
      </c>
      <c r="J367" s="33"/>
      <c r="K367" s="33" t="e">
        <f t="shared" si="35"/>
        <v>#DIV/0!</v>
      </c>
      <c r="L367" s="59" t="e">
        <f t="shared" si="38"/>
        <v>#DIV/0!</v>
      </c>
      <c r="M367" s="60" t="str">
        <f>IFERROR((#REF!/1.18)*1000,"")</f>
        <v/>
      </c>
    </row>
    <row r="368" spans="1:13" hidden="1" outlineLevel="1" x14ac:dyDescent="0.55000000000000004">
      <c r="A368" s="165"/>
      <c r="B368" s="35">
        <f t="shared" si="39"/>
        <v>24</v>
      </c>
      <c r="C368" s="36" t="str">
        <f t="shared" si="34"/>
        <v>52017</v>
      </c>
      <c r="D368" s="44">
        <f t="shared" si="40"/>
        <v>42879</v>
      </c>
      <c r="E368" s="38">
        <v>3.5709</v>
      </c>
      <c r="F368" s="39">
        <v>344</v>
      </c>
      <c r="G368" s="33">
        <f t="shared" si="41"/>
        <v>1228.3896</v>
      </c>
      <c r="H368" s="33"/>
      <c r="I368" s="33">
        <f t="shared" si="36"/>
        <v>1234.2238400000001</v>
      </c>
      <c r="J368" s="33"/>
      <c r="K368" s="33" t="e">
        <f t="shared" si="35"/>
        <v>#DIV/0!</v>
      </c>
      <c r="L368" s="59" t="e">
        <f t="shared" si="38"/>
        <v>#DIV/0!</v>
      </c>
      <c r="M368" s="60" t="str">
        <f>IFERROR((#REF!/1.18)*1000,"")</f>
        <v/>
      </c>
    </row>
    <row r="369" spans="1:13" hidden="1" outlineLevel="1" x14ac:dyDescent="0.55000000000000004">
      <c r="A369" s="165"/>
      <c r="B369" s="35">
        <f t="shared" si="39"/>
        <v>25</v>
      </c>
      <c r="C369" s="36" t="str">
        <f t="shared" si="34"/>
        <v>52017</v>
      </c>
      <c r="D369" s="44">
        <f t="shared" si="40"/>
        <v>42880</v>
      </c>
      <c r="E369" s="38">
        <v>3.5649999999999999</v>
      </c>
      <c r="F369" s="39">
        <v>344</v>
      </c>
      <c r="G369" s="33">
        <f t="shared" si="41"/>
        <v>1226.3599999999999</v>
      </c>
      <c r="H369" s="33"/>
      <c r="I369" s="33">
        <f t="shared" si="36"/>
        <v>1234.8980800000002</v>
      </c>
      <c r="J369" s="33"/>
      <c r="K369" s="33" t="e">
        <f t="shared" si="35"/>
        <v>#DIV/0!</v>
      </c>
      <c r="L369" s="59" t="e">
        <f t="shared" si="38"/>
        <v>#DIV/0!</v>
      </c>
      <c r="M369" s="60" t="str">
        <f>IFERROR((#REF!/1.18)*1000,"")</f>
        <v/>
      </c>
    </row>
    <row r="370" spans="1:13" hidden="1" outlineLevel="1" x14ac:dyDescent="0.55000000000000004">
      <c r="A370" s="165"/>
      <c r="B370" s="35">
        <f t="shared" si="39"/>
        <v>26</v>
      </c>
      <c r="C370" s="36" t="str">
        <f t="shared" si="34"/>
        <v>52017</v>
      </c>
      <c r="D370" s="44">
        <f t="shared" si="40"/>
        <v>42881</v>
      </c>
      <c r="E370" s="38">
        <v>3.5714999999999999</v>
      </c>
      <c r="F370" s="39">
        <v>344</v>
      </c>
      <c r="G370" s="33">
        <f t="shared" si="41"/>
        <v>1228.596</v>
      </c>
      <c r="H370" s="33"/>
      <c r="I370" s="33">
        <f t="shared" si="36"/>
        <v>1231.1622399999999</v>
      </c>
      <c r="J370" s="33"/>
      <c r="K370" s="33" t="e">
        <f t="shared" si="35"/>
        <v>#DIV/0!</v>
      </c>
      <c r="L370" s="59" t="e">
        <f t="shared" si="38"/>
        <v>#DIV/0!</v>
      </c>
      <c r="M370" s="60" t="str">
        <f>IFERROR((#REF!/1.18)*1000,"")</f>
        <v/>
      </c>
    </row>
    <row r="371" spans="1:13" hidden="1" outlineLevel="1" x14ac:dyDescent="0.55000000000000004">
      <c r="A371" s="165"/>
      <c r="B371" s="35">
        <f t="shared" si="39"/>
        <v>29</v>
      </c>
      <c r="C371" s="36" t="str">
        <f t="shared" si="34"/>
        <v>52017</v>
      </c>
      <c r="D371" s="44">
        <f t="shared" si="40"/>
        <v>42884</v>
      </c>
      <c r="E371" s="38">
        <v>3.5813999999999999</v>
      </c>
      <c r="F371" s="39">
        <v>344</v>
      </c>
      <c r="G371" s="33">
        <f t="shared" si="41"/>
        <v>1232.0016000000001</v>
      </c>
      <c r="H371" s="33"/>
      <c r="I371" s="33">
        <f t="shared" si="36"/>
        <v>1227.8736000000001</v>
      </c>
      <c r="J371" s="33"/>
      <c r="K371" s="33" t="e">
        <f t="shared" si="35"/>
        <v>#DIV/0!</v>
      </c>
      <c r="L371" s="59" t="e">
        <f t="shared" si="38"/>
        <v>#DIV/0!</v>
      </c>
      <c r="M371" s="60" t="str">
        <f>IFERROR((#REF!/1.18)*1000,"")</f>
        <v/>
      </c>
    </row>
    <row r="372" spans="1:13" hidden="1" outlineLevel="1" x14ac:dyDescent="0.55000000000000004">
      <c r="A372" s="165"/>
      <c r="B372" s="35">
        <f t="shared" si="39"/>
        <v>30</v>
      </c>
      <c r="C372" s="36" t="str">
        <f t="shared" si="34"/>
        <v>52017</v>
      </c>
      <c r="D372" s="44">
        <f t="shared" si="40"/>
        <v>42885</v>
      </c>
      <c r="E372" s="38">
        <v>3.5707</v>
      </c>
      <c r="F372" s="39">
        <v>344</v>
      </c>
      <c r="G372" s="33">
        <f t="shared" si="41"/>
        <v>1228.3208</v>
      </c>
      <c r="H372" s="33"/>
      <c r="I372" s="33">
        <f t="shared" si="36"/>
        <v>1228.82304</v>
      </c>
      <c r="J372" s="33"/>
      <c r="K372" s="33" t="e">
        <f t="shared" si="35"/>
        <v>#DIV/0!</v>
      </c>
      <c r="L372" s="59" t="e">
        <f t="shared" si="38"/>
        <v>#DIV/0!</v>
      </c>
      <c r="M372" s="60" t="str">
        <f>IFERROR((#REF!/1.18)*1000,"")</f>
        <v/>
      </c>
    </row>
    <row r="373" spans="1:13" ht="14.7" hidden="1" outlineLevel="1" thickBot="1" x14ac:dyDescent="0.6">
      <c r="A373" s="166"/>
      <c r="B373" s="35">
        <f t="shared" si="39"/>
        <v>31</v>
      </c>
      <c r="C373" s="36" t="str">
        <f t="shared" si="34"/>
        <v>52017</v>
      </c>
      <c r="D373" s="53">
        <f>WORKDAY(D372,1)</f>
        <v>42886</v>
      </c>
      <c r="E373" s="38">
        <v>3.5398000000000001</v>
      </c>
      <c r="F373" s="39">
        <v>344</v>
      </c>
      <c r="G373" s="33">
        <f t="shared" si="41"/>
        <v>1217.6912</v>
      </c>
      <c r="H373" s="33"/>
      <c r="I373" s="33">
        <f t="shared" si="36"/>
        <v>1228.7336</v>
      </c>
      <c r="J373" s="33"/>
      <c r="K373" s="33" t="e">
        <f t="shared" si="35"/>
        <v>#DIV/0!</v>
      </c>
      <c r="L373" s="59" t="e">
        <f t="shared" si="38"/>
        <v>#DIV/0!</v>
      </c>
      <c r="M373" s="60" t="str">
        <f>IFERROR((#REF!/1.18)*1000,"")</f>
        <v/>
      </c>
    </row>
    <row r="374" spans="1:13" hidden="1" outlineLevel="1" x14ac:dyDescent="0.55000000000000004">
      <c r="A374" s="164" t="s">
        <v>98</v>
      </c>
      <c r="B374" s="35">
        <f t="shared" si="39"/>
        <v>1</v>
      </c>
      <c r="C374" s="36" t="str">
        <f t="shared" si="34"/>
        <v>62017</v>
      </c>
      <c r="D374" s="37">
        <f>WORKDAY(D373,1)</f>
        <v>42887</v>
      </c>
      <c r="E374" s="38">
        <v>3.5375999999999999</v>
      </c>
      <c r="F374" s="39">
        <v>355</v>
      </c>
      <c r="G374" s="33">
        <f t="shared" si="41"/>
        <v>1255.848</v>
      </c>
      <c r="H374" s="33"/>
      <c r="I374" s="33">
        <f t="shared" si="36"/>
        <v>1226.59392</v>
      </c>
      <c r="J374" s="33"/>
      <c r="K374" s="33" t="e">
        <f t="shared" si="35"/>
        <v>#DIV/0!</v>
      </c>
      <c r="L374" s="59" t="e">
        <f t="shared" si="38"/>
        <v>#DIV/0!</v>
      </c>
      <c r="M374" s="60" t="str">
        <f>IFERROR((#REF!/1.18)*1000,"")</f>
        <v/>
      </c>
    </row>
    <row r="375" spans="1:13" hidden="1" outlineLevel="1" x14ac:dyDescent="0.55000000000000004">
      <c r="A375" s="165"/>
      <c r="B375" s="35">
        <f t="shared" si="39"/>
        <v>2</v>
      </c>
      <c r="C375" s="36" t="str">
        <f t="shared" si="34"/>
        <v>62017</v>
      </c>
      <c r="D375" s="44">
        <f t="shared" ref="D375:D394" si="42">WORKDAY(D374,1)</f>
        <v>42888</v>
      </c>
      <c r="E375" s="38">
        <v>3.5344000000000002</v>
      </c>
      <c r="F375" s="39">
        <v>355</v>
      </c>
      <c r="G375" s="33">
        <f t="shared" si="41"/>
        <v>1254.712</v>
      </c>
      <c r="H375" s="33"/>
      <c r="I375" s="33">
        <f t="shared" si="36"/>
        <v>1232.49152</v>
      </c>
      <c r="J375" s="33"/>
      <c r="K375" s="33" t="e">
        <f t="shared" si="35"/>
        <v>#DIV/0!</v>
      </c>
      <c r="L375" s="59" t="e">
        <f t="shared" si="38"/>
        <v>#DIV/0!</v>
      </c>
      <c r="M375" s="60" t="str">
        <f>IFERROR((#REF!/1.18)*1000,"")</f>
        <v/>
      </c>
    </row>
    <row r="376" spans="1:13" hidden="1" outlineLevel="1" x14ac:dyDescent="0.55000000000000004">
      <c r="A376" s="165"/>
      <c r="B376" s="35">
        <f t="shared" si="39"/>
        <v>5</v>
      </c>
      <c r="C376" s="36" t="str">
        <f t="shared" si="34"/>
        <v>62017</v>
      </c>
      <c r="D376" s="44">
        <f t="shared" si="42"/>
        <v>42891</v>
      </c>
      <c r="E376" s="38">
        <v>3.5123000000000002</v>
      </c>
      <c r="F376" s="39">
        <v>355</v>
      </c>
      <c r="G376" s="33">
        <f t="shared" si="41"/>
        <v>1246.8665000000001</v>
      </c>
      <c r="H376" s="33"/>
      <c r="I376" s="33">
        <f t="shared" si="36"/>
        <v>1237.7147199999999</v>
      </c>
      <c r="J376" s="33"/>
      <c r="K376" s="33" t="e">
        <f t="shared" si="35"/>
        <v>#DIV/0!</v>
      </c>
      <c r="L376" s="59" t="e">
        <f t="shared" si="38"/>
        <v>#DIV/0!</v>
      </c>
      <c r="M376" s="60" t="str">
        <f>IFERROR((#REF!/1.18)*1000,"")</f>
        <v/>
      </c>
    </row>
    <row r="377" spans="1:13" hidden="1" outlineLevel="1" x14ac:dyDescent="0.55000000000000004">
      <c r="A377" s="165"/>
      <c r="B377" s="35">
        <f t="shared" si="39"/>
        <v>6</v>
      </c>
      <c r="C377" s="36" t="str">
        <f t="shared" si="34"/>
        <v>62017</v>
      </c>
      <c r="D377" s="44">
        <f t="shared" si="42"/>
        <v>42892</v>
      </c>
      <c r="E377" s="38">
        <v>3.5379999999999998</v>
      </c>
      <c r="F377" s="39">
        <v>355</v>
      </c>
      <c r="G377" s="33">
        <f t="shared" si="41"/>
        <v>1255.99</v>
      </c>
      <c r="H377" s="33"/>
      <c r="I377" s="33">
        <f t="shared" si="36"/>
        <v>1240.6876999999999</v>
      </c>
      <c r="J377" s="33"/>
      <c r="K377" s="33" t="e">
        <f t="shared" si="35"/>
        <v>#DIV/0!</v>
      </c>
      <c r="L377" s="59" t="e">
        <f t="shared" si="38"/>
        <v>#DIV/0!</v>
      </c>
      <c r="M377" s="60" t="str">
        <f>IFERROR((#REF!/1.18)*1000,"")</f>
        <v/>
      </c>
    </row>
    <row r="378" spans="1:13" hidden="1" outlineLevel="1" x14ac:dyDescent="0.55000000000000004">
      <c r="A378" s="165"/>
      <c r="B378" s="35">
        <f t="shared" si="39"/>
        <v>7</v>
      </c>
      <c r="C378" s="36" t="str">
        <f t="shared" si="34"/>
        <v>62017</v>
      </c>
      <c r="D378" s="44">
        <f t="shared" si="42"/>
        <v>42893</v>
      </c>
      <c r="E378" s="38">
        <v>3.5236000000000001</v>
      </c>
      <c r="F378" s="39">
        <v>355</v>
      </c>
      <c r="G378" s="33">
        <f t="shared" si="41"/>
        <v>1250.8779999999999</v>
      </c>
      <c r="H378" s="33"/>
      <c r="I378" s="33">
        <f t="shared" si="36"/>
        <v>1246.22154</v>
      </c>
      <c r="J378" s="33"/>
      <c r="K378" s="33" t="e">
        <f t="shared" si="35"/>
        <v>#DIV/0!</v>
      </c>
      <c r="L378" s="59" t="e">
        <f t="shared" si="38"/>
        <v>#DIV/0!</v>
      </c>
      <c r="M378" s="60" t="str">
        <f>IFERROR((#REF!/1.18)*1000,"")</f>
        <v/>
      </c>
    </row>
    <row r="379" spans="1:13" hidden="1" outlineLevel="1" x14ac:dyDescent="0.55000000000000004">
      <c r="A379" s="165"/>
      <c r="B379" s="35">
        <f t="shared" si="39"/>
        <v>8</v>
      </c>
      <c r="C379" s="36" t="str">
        <f t="shared" si="34"/>
        <v>62017</v>
      </c>
      <c r="D379" s="44">
        <f t="shared" si="42"/>
        <v>42894</v>
      </c>
      <c r="E379" s="38">
        <v>3.5476000000000001</v>
      </c>
      <c r="F379" s="39">
        <v>355</v>
      </c>
      <c r="G379" s="33">
        <f t="shared" si="41"/>
        <v>1259.3980000000001</v>
      </c>
      <c r="H379" s="33"/>
      <c r="I379" s="33">
        <f t="shared" si="36"/>
        <v>1252.8588999999999</v>
      </c>
      <c r="J379" s="33"/>
      <c r="K379" s="33" t="e">
        <f t="shared" si="35"/>
        <v>#DIV/0!</v>
      </c>
      <c r="L379" s="59" t="e">
        <f t="shared" si="38"/>
        <v>#DIV/0!</v>
      </c>
      <c r="M379" s="60" t="str">
        <f>IFERROR((#REF!/1.18)*1000,"")</f>
        <v/>
      </c>
    </row>
    <row r="380" spans="1:13" hidden="1" outlineLevel="1" x14ac:dyDescent="0.55000000000000004">
      <c r="A380" s="165"/>
      <c r="B380" s="35">
        <f t="shared" si="39"/>
        <v>9</v>
      </c>
      <c r="C380" s="36" t="str">
        <f t="shared" si="34"/>
        <v>62017</v>
      </c>
      <c r="D380" s="44">
        <f t="shared" si="42"/>
        <v>42895</v>
      </c>
      <c r="E380" s="38">
        <v>3.5280999999999998</v>
      </c>
      <c r="F380" s="39">
        <v>355</v>
      </c>
      <c r="G380" s="33">
        <f t="shared" si="41"/>
        <v>1252.4755</v>
      </c>
      <c r="H380" s="33"/>
      <c r="I380" s="33">
        <f t="shared" si="36"/>
        <v>1253.5689</v>
      </c>
      <c r="J380" s="33"/>
      <c r="K380" s="33" t="e">
        <f t="shared" si="35"/>
        <v>#DIV/0!</v>
      </c>
      <c r="L380" s="59" t="e">
        <f t="shared" si="38"/>
        <v>#DIV/0!</v>
      </c>
      <c r="M380" s="60" t="str">
        <f>IFERROR((#REF!/1.18)*1000,"")</f>
        <v/>
      </c>
    </row>
    <row r="381" spans="1:13" hidden="1" outlineLevel="1" x14ac:dyDescent="0.55000000000000004">
      <c r="A381" s="165"/>
      <c r="B381" s="35">
        <f t="shared" si="39"/>
        <v>12</v>
      </c>
      <c r="C381" s="36" t="str">
        <f t="shared" si="34"/>
        <v>62017</v>
      </c>
      <c r="D381" s="44">
        <f t="shared" si="42"/>
        <v>42898</v>
      </c>
      <c r="E381" s="38">
        <v>3.5253999999999999</v>
      </c>
      <c r="F381" s="39">
        <v>355</v>
      </c>
      <c r="G381" s="33">
        <f t="shared" si="41"/>
        <v>1251.5170000000001</v>
      </c>
      <c r="H381" s="33"/>
      <c r="I381" s="33">
        <f t="shared" si="36"/>
        <v>1253.1215999999999</v>
      </c>
      <c r="J381" s="33"/>
      <c r="K381" s="33" t="e">
        <f t="shared" si="35"/>
        <v>#DIV/0!</v>
      </c>
      <c r="L381" s="59" t="e">
        <f t="shared" si="38"/>
        <v>#DIV/0!</v>
      </c>
      <c r="M381" s="60" t="str">
        <f>IFERROR((#REF!/1.18)*1000,"")</f>
        <v/>
      </c>
    </row>
    <row r="382" spans="1:13" hidden="1" outlineLevel="1" x14ac:dyDescent="0.55000000000000004">
      <c r="A382" s="165"/>
      <c r="B382" s="35">
        <f t="shared" si="39"/>
        <v>13</v>
      </c>
      <c r="C382" s="36" t="str">
        <f t="shared" si="34"/>
        <v>62017</v>
      </c>
      <c r="D382" s="44">
        <f t="shared" si="42"/>
        <v>42899</v>
      </c>
      <c r="E382" s="38">
        <v>3.5232000000000001</v>
      </c>
      <c r="F382" s="39">
        <v>355</v>
      </c>
      <c r="G382" s="33">
        <f t="shared" si="41"/>
        <v>1250.7360000000001</v>
      </c>
      <c r="H382" s="33"/>
      <c r="I382" s="33">
        <f t="shared" si="36"/>
        <v>1254.0517</v>
      </c>
      <c r="J382" s="33"/>
      <c r="K382" s="33" t="e">
        <f t="shared" si="35"/>
        <v>#DIV/0!</v>
      </c>
      <c r="L382" s="59" t="e">
        <f t="shared" si="38"/>
        <v>#DIV/0!</v>
      </c>
      <c r="M382" s="60" t="str">
        <f>IFERROR((#REF!/1.18)*1000,"")</f>
        <v/>
      </c>
    </row>
    <row r="383" spans="1:13" hidden="1" outlineLevel="1" x14ac:dyDescent="0.55000000000000004">
      <c r="A383" s="165"/>
      <c r="B383" s="35">
        <f t="shared" si="39"/>
        <v>14</v>
      </c>
      <c r="C383" s="36" t="str">
        <f t="shared" si="34"/>
        <v>62017</v>
      </c>
      <c r="D383" s="44">
        <f t="shared" si="42"/>
        <v>42900</v>
      </c>
      <c r="E383" s="38">
        <v>3.5198999999999998</v>
      </c>
      <c r="F383" s="39">
        <v>355</v>
      </c>
      <c r="G383" s="33">
        <f t="shared" si="41"/>
        <v>1249.5645</v>
      </c>
      <c r="H383" s="33"/>
      <c r="I383" s="33">
        <f t="shared" si="36"/>
        <v>1253.0009</v>
      </c>
      <c r="J383" s="33"/>
      <c r="K383" s="33" t="e">
        <f t="shared" si="35"/>
        <v>#DIV/0!</v>
      </c>
      <c r="L383" s="59" t="e">
        <f t="shared" si="38"/>
        <v>#DIV/0!</v>
      </c>
      <c r="M383" s="60" t="str">
        <f>IFERROR((#REF!/1.18)*1000,"")</f>
        <v/>
      </c>
    </row>
    <row r="384" spans="1:13" hidden="1" outlineLevel="1" x14ac:dyDescent="0.55000000000000004">
      <c r="A384" s="165"/>
      <c r="B384" s="35">
        <f t="shared" si="39"/>
        <v>15</v>
      </c>
      <c r="C384" s="36" t="str">
        <f t="shared" si="34"/>
        <v>62017</v>
      </c>
      <c r="D384" s="44">
        <f t="shared" si="42"/>
        <v>42901</v>
      </c>
      <c r="E384" s="38">
        <v>3.5093000000000001</v>
      </c>
      <c r="F384" s="39">
        <v>355</v>
      </c>
      <c r="G384" s="33">
        <f t="shared" si="41"/>
        <v>1245.8015</v>
      </c>
      <c r="H384" s="33"/>
      <c r="I384" s="33">
        <f t="shared" si="36"/>
        <v>1252.7382000000002</v>
      </c>
      <c r="J384" s="33"/>
      <c r="K384" s="33" t="e">
        <f t="shared" si="35"/>
        <v>#DIV/0!</v>
      </c>
      <c r="L384" s="59" t="e">
        <f t="shared" si="38"/>
        <v>#DIV/0!</v>
      </c>
      <c r="M384" s="60" t="str">
        <f>IFERROR((#REF!/1.18)*1000,"")</f>
        <v/>
      </c>
    </row>
    <row r="385" spans="1:13" hidden="1" outlineLevel="1" x14ac:dyDescent="0.55000000000000004">
      <c r="A385" s="165"/>
      <c r="B385" s="35">
        <f t="shared" si="39"/>
        <v>16</v>
      </c>
      <c r="C385" s="36" t="str">
        <f t="shared" si="34"/>
        <v>62017</v>
      </c>
      <c r="D385" s="44">
        <f t="shared" si="42"/>
        <v>42902</v>
      </c>
      <c r="E385" s="38">
        <v>3.5186999999999999</v>
      </c>
      <c r="F385" s="39">
        <v>355</v>
      </c>
      <c r="G385" s="33">
        <f t="shared" si="41"/>
        <v>1249.1385</v>
      </c>
      <c r="H385" s="33"/>
      <c r="I385" s="33">
        <f t="shared" si="36"/>
        <v>1250.0188999999998</v>
      </c>
      <c r="J385" s="33"/>
      <c r="K385" s="33" t="e">
        <f t="shared" si="35"/>
        <v>#DIV/0!</v>
      </c>
      <c r="L385" s="59" t="e">
        <f t="shared" si="38"/>
        <v>#DIV/0!</v>
      </c>
      <c r="M385" s="60" t="str">
        <f>IFERROR((#REF!/1.18)*1000,"")</f>
        <v/>
      </c>
    </row>
    <row r="386" spans="1:13" hidden="1" outlineLevel="1" x14ac:dyDescent="0.55000000000000004">
      <c r="A386" s="165"/>
      <c r="B386" s="35">
        <f t="shared" si="39"/>
        <v>19</v>
      </c>
      <c r="C386" s="36" t="str">
        <f t="shared" ref="C386:C449" si="43">IF(F386&gt;0,MONTH(D386)&amp;YEAR(D386),"")</f>
        <v>62017</v>
      </c>
      <c r="D386" s="44">
        <f t="shared" si="42"/>
        <v>42905</v>
      </c>
      <c r="E386" s="38">
        <v>3.5083000000000002</v>
      </c>
      <c r="F386" s="39">
        <v>355</v>
      </c>
      <c r="G386" s="33">
        <f t="shared" si="41"/>
        <v>1245.4465</v>
      </c>
      <c r="H386" s="33"/>
      <c r="I386" s="33">
        <f t="shared" si="36"/>
        <v>1249.3515000000002</v>
      </c>
      <c r="J386" s="33"/>
      <c r="K386" s="33" t="e">
        <f t="shared" si="35"/>
        <v>#DIV/0!</v>
      </c>
      <c r="L386" s="59" t="e">
        <f t="shared" si="38"/>
        <v>#DIV/0!</v>
      </c>
      <c r="M386" s="60" t="str">
        <f>IFERROR((#REF!/1.18)*1000,"")</f>
        <v/>
      </c>
    </row>
    <row r="387" spans="1:13" hidden="1" outlineLevel="1" x14ac:dyDescent="0.55000000000000004">
      <c r="A387" s="165"/>
      <c r="B387" s="35">
        <f t="shared" si="39"/>
        <v>20</v>
      </c>
      <c r="C387" s="36" t="str">
        <f t="shared" si="43"/>
        <v>62017</v>
      </c>
      <c r="D387" s="44">
        <f t="shared" si="42"/>
        <v>42906</v>
      </c>
      <c r="E387" s="38">
        <v>3.5278</v>
      </c>
      <c r="F387" s="39">
        <v>355</v>
      </c>
      <c r="G387" s="33">
        <f t="shared" si="41"/>
        <v>1252.3689999999999</v>
      </c>
      <c r="H387" s="33"/>
      <c r="I387" s="33">
        <f t="shared" si="36"/>
        <v>1248.1374000000001</v>
      </c>
      <c r="J387" s="33"/>
      <c r="K387" s="33" t="e">
        <f t="shared" si="35"/>
        <v>#DIV/0!</v>
      </c>
      <c r="L387" s="59" t="e">
        <f t="shared" si="38"/>
        <v>#DIV/0!</v>
      </c>
      <c r="M387" s="60" t="str">
        <f>IFERROR((#REF!/1.18)*1000,"")</f>
        <v/>
      </c>
    </row>
    <row r="388" spans="1:13" hidden="1" outlineLevel="1" x14ac:dyDescent="0.55000000000000004">
      <c r="A388" s="165"/>
      <c r="B388" s="35">
        <f t="shared" si="39"/>
        <v>21</v>
      </c>
      <c r="C388" s="36" t="str">
        <f t="shared" si="43"/>
        <v>62017</v>
      </c>
      <c r="D388" s="44">
        <f t="shared" si="42"/>
        <v>42907</v>
      </c>
      <c r="E388" s="38">
        <v>3.5413000000000001</v>
      </c>
      <c r="F388" s="39">
        <v>355</v>
      </c>
      <c r="G388" s="33">
        <f t="shared" si="41"/>
        <v>1257.1614999999999</v>
      </c>
      <c r="H388" s="33"/>
      <c r="I388" s="33">
        <f t="shared" si="36"/>
        <v>1248.4639999999999</v>
      </c>
      <c r="J388" s="33"/>
      <c r="K388" s="33" t="e">
        <f t="shared" si="35"/>
        <v>#DIV/0!</v>
      </c>
      <c r="L388" s="59" t="e">
        <f t="shared" si="38"/>
        <v>#DIV/0!</v>
      </c>
      <c r="M388" s="60" t="str">
        <f>IFERROR((#REF!/1.18)*1000,"")</f>
        <v/>
      </c>
    </row>
    <row r="389" spans="1:13" hidden="1" outlineLevel="1" x14ac:dyDescent="0.55000000000000004">
      <c r="A389" s="165"/>
      <c r="B389" s="35">
        <f t="shared" si="39"/>
        <v>22</v>
      </c>
      <c r="C389" s="36" t="str">
        <f t="shared" si="43"/>
        <v>62017</v>
      </c>
      <c r="D389" s="44">
        <f t="shared" si="42"/>
        <v>42908</v>
      </c>
      <c r="E389" s="38">
        <v>3.5243000000000002</v>
      </c>
      <c r="F389" s="39">
        <v>355</v>
      </c>
      <c r="G389" s="33">
        <f t="shared" si="41"/>
        <v>1251.1265000000001</v>
      </c>
      <c r="H389" s="33"/>
      <c r="I389" s="33">
        <f t="shared" si="36"/>
        <v>1249.9834000000001</v>
      </c>
      <c r="J389" s="33"/>
      <c r="K389" s="33" t="e">
        <f t="shared" si="35"/>
        <v>#DIV/0!</v>
      </c>
      <c r="L389" s="59" t="e">
        <f t="shared" si="38"/>
        <v>#DIV/0!</v>
      </c>
      <c r="M389" s="60" t="str">
        <f>IFERROR((#REF!/1.18)*1000,"")</f>
        <v/>
      </c>
    </row>
    <row r="390" spans="1:13" hidden="1" outlineLevel="1" x14ac:dyDescent="0.55000000000000004">
      <c r="A390" s="165"/>
      <c r="B390" s="35">
        <f t="shared" si="39"/>
        <v>23</v>
      </c>
      <c r="C390" s="36" t="str">
        <f t="shared" si="43"/>
        <v>62017</v>
      </c>
      <c r="D390" s="44">
        <f t="shared" si="42"/>
        <v>42909</v>
      </c>
      <c r="E390" s="38">
        <v>3.5063</v>
      </c>
      <c r="F390" s="39">
        <v>355</v>
      </c>
      <c r="G390" s="33">
        <f t="shared" si="41"/>
        <v>1244.7365</v>
      </c>
      <c r="H390" s="33"/>
      <c r="I390" s="33">
        <f t="shared" si="36"/>
        <v>1251.0484000000001</v>
      </c>
      <c r="J390" s="33"/>
      <c r="K390" s="33" t="e">
        <f t="shared" si="35"/>
        <v>#DIV/0!</v>
      </c>
      <c r="L390" s="59" t="e">
        <f t="shared" si="38"/>
        <v>#DIV/0!</v>
      </c>
      <c r="M390" s="60" t="str">
        <f>IFERROR((#REF!/1.18)*1000,"")</f>
        <v/>
      </c>
    </row>
    <row r="391" spans="1:13" hidden="1" outlineLevel="1" x14ac:dyDescent="0.55000000000000004">
      <c r="A391" s="165"/>
      <c r="B391" s="35">
        <f t="shared" si="39"/>
        <v>26</v>
      </c>
      <c r="C391" s="36" t="str">
        <f t="shared" si="43"/>
        <v>62017</v>
      </c>
      <c r="D391" s="44">
        <f t="shared" si="42"/>
        <v>42912</v>
      </c>
      <c r="E391" s="38">
        <v>3.5063</v>
      </c>
      <c r="F391" s="39">
        <v>355</v>
      </c>
      <c r="G391" s="33">
        <f t="shared" si="41"/>
        <v>1244.7365</v>
      </c>
      <c r="H391" s="33"/>
      <c r="I391" s="33">
        <f t="shared" si="36"/>
        <v>1250.1680000000001</v>
      </c>
      <c r="J391" s="33"/>
      <c r="K391" s="33" t="e">
        <f t="shared" ref="K391:K454" si="44">IF(L390&gt;3%,G389,IF(L390&lt;-3%,G389,K390))</f>
        <v>#DIV/0!</v>
      </c>
      <c r="L391" s="59" t="e">
        <f t="shared" si="38"/>
        <v>#DIV/0!</v>
      </c>
      <c r="M391" s="60" t="str">
        <f>IFERROR((#REF!/1.18)*1000,"")</f>
        <v/>
      </c>
    </row>
    <row r="392" spans="1:13" hidden="1" outlineLevel="1" x14ac:dyDescent="0.55000000000000004">
      <c r="A392" s="165"/>
      <c r="B392" s="35">
        <f t="shared" si="39"/>
        <v>27</v>
      </c>
      <c r="C392" s="36" t="str">
        <f t="shared" si="43"/>
        <v>62017</v>
      </c>
      <c r="D392" s="44">
        <f t="shared" si="42"/>
        <v>42913</v>
      </c>
      <c r="E392" s="38">
        <v>3.5063</v>
      </c>
      <c r="F392" s="39">
        <v>355</v>
      </c>
      <c r="G392" s="33">
        <f t="shared" si="41"/>
        <v>1244.7365</v>
      </c>
      <c r="H392" s="33"/>
      <c r="I392" s="33">
        <f t="shared" ref="I392:I455" si="45">IF(M391&lt;&gt;"",AVERAGE(G391),IF(M390&lt;&gt;"",AVERAGE(G390:G391),IF(M389&lt;&gt;"",AVERAGE(G389:G391),IF(M388&lt;&gt;"",AVERAGE(G388:G391),AVERAGE(G387:G391)))))</f>
        <v>1250.0260000000001</v>
      </c>
      <c r="J392" s="33"/>
      <c r="K392" s="33" t="e">
        <f t="shared" si="44"/>
        <v>#DIV/0!</v>
      </c>
      <c r="L392" s="59" t="e">
        <f t="shared" si="38"/>
        <v>#DIV/0!</v>
      </c>
      <c r="M392" s="60" t="str">
        <f>IFERROR((#REF!/1.18)*1000,"")</f>
        <v/>
      </c>
    </row>
    <row r="393" spans="1:13" hidden="1" outlineLevel="1" x14ac:dyDescent="0.55000000000000004">
      <c r="A393" s="165"/>
      <c r="B393" s="35">
        <f t="shared" si="39"/>
        <v>28</v>
      </c>
      <c r="C393" s="36" t="str">
        <f t="shared" si="43"/>
        <v>62017</v>
      </c>
      <c r="D393" s="44">
        <f t="shared" si="42"/>
        <v>42914</v>
      </c>
      <c r="E393" s="38">
        <v>3.5274000000000001</v>
      </c>
      <c r="F393" s="39">
        <v>355</v>
      </c>
      <c r="G393" s="33">
        <f t="shared" si="41"/>
        <v>1252.2270000000001</v>
      </c>
      <c r="H393" s="33"/>
      <c r="I393" s="33">
        <f t="shared" si="45"/>
        <v>1248.4995000000001</v>
      </c>
      <c r="J393" s="33"/>
      <c r="K393" s="33" t="e">
        <f t="shared" si="44"/>
        <v>#DIV/0!</v>
      </c>
      <c r="L393" s="59" t="e">
        <f t="shared" si="38"/>
        <v>#DIV/0!</v>
      </c>
      <c r="M393" s="60" t="str">
        <f>IFERROR((#REF!/1.18)*1000,"")</f>
        <v/>
      </c>
    </row>
    <row r="394" spans="1:13" hidden="1" outlineLevel="1" x14ac:dyDescent="0.55000000000000004">
      <c r="A394" s="165"/>
      <c r="B394" s="35">
        <f t="shared" si="39"/>
        <v>29</v>
      </c>
      <c r="C394" s="36" t="str">
        <f t="shared" si="43"/>
        <v>62017</v>
      </c>
      <c r="D394" s="44">
        <f t="shared" si="42"/>
        <v>42915</v>
      </c>
      <c r="E394" s="38">
        <v>3.5135000000000001</v>
      </c>
      <c r="F394" s="39">
        <v>355</v>
      </c>
      <c r="G394" s="33">
        <f t="shared" si="41"/>
        <v>1247.2925</v>
      </c>
      <c r="H394" s="33"/>
      <c r="I394" s="33">
        <f t="shared" si="45"/>
        <v>1247.5126</v>
      </c>
      <c r="J394" s="33"/>
      <c r="K394" s="33" t="e">
        <f t="shared" si="44"/>
        <v>#DIV/0!</v>
      </c>
      <c r="L394" s="59" t="e">
        <f t="shared" si="38"/>
        <v>#DIV/0!</v>
      </c>
      <c r="M394" s="60" t="str">
        <f>IFERROR((#REF!/1.18)*1000,"")</f>
        <v/>
      </c>
    </row>
    <row r="395" spans="1:13" ht="14.7" hidden="1" outlineLevel="1" thickBot="1" x14ac:dyDescent="0.6">
      <c r="A395" s="166"/>
      <c r="B395" s="35">
        <f t="shared" si="39"/>
        <v>30</v>
      </c>
      <c r="C395" s="36" t="str">
        <f t="shared" si="43"/>
        <v>62017</v>
      </c>
      <c r="D395" s="53">
        <f>WORKDAY(D394,1)</f>
        <v>42916</v>
      </c>
      <c r="E395" s="38">
        <v>3.5232000000000001</v>
      </c>
      <c r="F395" s="39">
        <v>355</v>
      </c>
      <c r="G395" s="33">
        <f t="shared" si="41"/>
        <v>1250.7360000000001</v>
      </c>
      <c r="H395" s="33"/>
      <c r="I395" s="33">
        <f t="shared" si="45"/>
        <v>1246.7457999999999</v>
      </c>
      <c r="J395" s="33"/>
      <c r="K395" s="33" t="e">
        <f t="shared" si="44"/>
        <v>#DIV/0!</v>
      </c>
      <c r="L395" s="59" t="e">
        <f t="shared" si="38"/>
        <v>#DIV/0!</v>
      </c>
      <c r="M395" s="60" t="str">
        <f>IFERROR((#REF!/1.18)*1000,"")</f>
        <v/>
      </c>
    </row>
    <row r="396" spans="1:13" hidden="1" outlineLevel="1" x14ac:dyDescent="0.55000000000000004">
      <c r="A396" s="164" t="s">
        <v>99</v>
      </c>
      <c r="B396" s="35">
        <f t="shared" si="39"/>
        <v>3</v>
      </c>
      <c r="C396" s="36" t="str">
        <f t="shared" si="43"/>
        <v>72017</v>
      </c>
      <c r="D396" s="37">
        <f>WORKDAY(D395,1)</f>
        <v>42919</v>
      </c>
      <c r="E396" s="38">
        <v>3.5369000000000002</v>
      </c>
      <c r="F396" s="39">
        <v>315</v>
      </c>
      <c r="G396" s="33">
        <f t="shared" si="41"/>
        <v>1114.1235000000001</v>
      </c>
      <c r="H396" s="33"/>
      <c r="I396" s="33">
        <f t="shared" si="45"/>
        <v>1247.9457</v>
      </c>
      <c r="J396" s="33"/>
      <c r="K396" s="33" t="e">
        <f t="shared" si="44"/>
        <v>#DIV/0!</v>
      </c>
      <c r="L396" s="59" t="e">
        <f t="shared" ref="L396:L459" si="46">(I396-K396)/K396</f>
        <v>#DIV/0!</v>
      </c>
      <c r="M396" s="60" t="str">
        <f>IFERROR((#REF!/1.18)*1000,"")</f>
        <v/>
      </c>
    </row>
    <row r="397" spans="1:13" hidden="1" outlineLevel="1" x14ac:dyDescent="0.55000000000000004">
      <c r="A397" s="165"/>
      <c r="B397" s="35">
        <f t="shared" si="39"/>
        <v>4</v>
      </c>
      <c r="C397" s="36" t="str">
        <f t="shared" si="43"/>
        <v>72017</v>
      </c>
      <c r="D397" s="44">
        <f t="shared" ref="D397:D415" si="47">WORKDAY(D396,1)</f>
        <v>42920</v>
      </c>
      <c r="E397" s="38">
        <v>3.5554999999999999</v>
      </c>
      <c r="F397" s="39">
        <v>315</v>
      </c>
      <c r="G397" s="33">
        <f t="shared" si="41"/>
        <v>1119.9825000000001</v>
      </c>
      <c r="H397" s="33"/>
      <c r="I397" s="33">
        <f t="shared" si="45"/>
        <v>1221.8231000000001</v>
      </c>
      <c r="J397" s="33"/>
      <c r="K397" s="33" t="e">
        <f t="shared" si="44"/>
        <v>#DIV/0!</v>
      </c>
      <c r="L397" s="59" t="e">
        <f t="shared" si="46"/>
        <v>#DIV/0!</v>
      </c>
      <c r="M397" s="60" t="str">
        <f>IFERROR((#REF!/1.18)*1000,"")</f>
        <v/>
      </c>
    </row>
    <row r="398" spans="1:13" hidden="1" outlineLevel="1" x14ac:dyDescent="0.55000000000000004">
      <c r="A398" s="165"/>
      <c r="B398" s="35">
        <f t="shared" si="39"/>
        <v>5</v>
      </c>
      <c r="C398" s="36" t="str">
        <f t="shared" si="43"/>
        <v>72017</v>
      </c>
      <c r="D398" s="44">
        <f t="shared" si="47"/>
        <v>42921</v>
      </c>
      <c r="E398" s="38">
        <v>3.5853000000000002</v>
      </c>
      <c r="F398" s="39">
        <v>315</v>
      </c>
      <c r="G398" s="33">
        <f t="shared" si="41"/>
        <v>1129.3695</v>
      </c>
      <c r="H398" s="33"/>
      <c r="I398" s="33">
        <f t="shared" si="45"/>
        <v>1196.8723000000002</v>
      </c>
      <c r="J398" s="33"/>
      <c r="K398" s="33" t="e">
        <f t="shared" si="44"/>
        <v>#DIV/0!</v>
      </c>
      <c r="L398" s="59" t="e">
        <f t="shared" si="46"/>
        <v>#DIV/0!</v>
      </c>
      <c r="M398" s="60" t="str">
        <f>IFERROR((#REF!/1.18)*1000,"")</f>
        <v/>
      </c>
    </row>
    <row r="399" spans="1:13" hidden="1" outlineLevel="1" x14ac:dyDescent="0.55000000000000004">
      <c r="A399" s="165"/>
      <c r="B399" s="35">
        <f t="shared" si="39"/>
        <v>6</v>
      </c>
      <c r="C399" s="36" t="str">
        <f t="shared" si="43"/>
        <v>72017</v>
      </c>
      <c r="D399" s="44">
        <f t="shared" si="47"/>
        <v>42922</v>
      </c>
      <c r="E399" s="38">
        <v>3.6288</v>
      </c>
      <c r="F399" s="39">
        <v>315</v>
      </c>
      <c r="G399" s="33">
        <f t="shared" si="41"/>
        <v>1143.0720000000001</v>
      </c>
      <c r="H399" s="33"/>
      <c r="I399" s="33">
        <f t="shared" si="45"/>
        <v>1172.3008</v>
      </c>
      <c r="J399" s="33"/>
      <c r="K399" s="33" t="e">
        <f t="shared" si="44"/>
        <v>#DIV/0!</v>
      </c>
      <c r="L399" s="59" t="e">
        <f t="shared" si="46"/>
        <v>#DIV/0!</v>
      </c>
      <c r="M399" s="60" t="str">
        <f>IFERROR((#REF!/1.18)*1000,"")</f>
        <v/>
      </c>
    </row>
    <row r="400" spans="1:13" hidden="1" outlineLevel="1" x14ac:dyDescent="0.55000000000000004">
      <c r="A400" s="165"/>
      <c r="B400" s="35">
        <f t="shared" si="39"/>
        <v>7</v>
      </c>
      <c r="C400" s="36" t="str">
        <f t="shared" si="43"/>
        <v>72017</v>
      </c>
      <c r="D400" s="44">
        <f t="shared" si="47"/>
        <v>42923</v>
      </c>
      <c r="E400" s="38">
        <v>3.6364999999999998</v>
      </c>
      <c r="F400" s="39">
        <v>315</v>
      </c>
      <c r="G400" s="33">
        <f t="shared" si="41"/>
        <v>1145.4974999999999</v>
      </c>
      <c r="H400" s="33"/>
      <c r="I400" s="33">
        <f t="shared" si="45"/>
        <v>1151.4567000000002</v>
      </c>
      <c r="J400" s="33"/>
      <c r="K400" s="33" t="e">
        <f t="shared" si="44"/>
        <v>#DIV/0!</v>
      </c>
      <c r="L400" s="59" t="e">
        <f t="shared" si="46"/>
        <v>#DIV/0!</v>
      </c>
      <c r="M400" s="60" t="str">
        <f>IFERROR((#REF!/1.18)*1000,"")</f>
        <v/>
      </c>
    </row>
    <row r="401" spans="1:13" hidden="1" outlineLevel="1" x14ac:dyDescent="0.55000000000000004">
      <c r="A401" s="165"/>
      <c r="B401" s="35">
        <f t="shared" si="39"/>
        <v>10</v>
      </c>
      <c r="C401" s="36" t="str">
        <f t="shared" si="43"/>
        <v>72017</v>
      </c>
      <c r="D401" s="44">
        <f t="shared" si="47"/>
        <v>42926</v>
      </c>
      <c r="E401" s="38">
        <v>3.6105</v>
      </c>
      <c r="F401" s="39">
        <v>315</v>
      </c>
      <c r="G401" s="33">
        <f t="shared" si="41"/>
        <v>1137.3075000000001</v>
      </c>
      <c r="H401" s="33"/>
      <c r="I401" s="33">
        <f t="shared" si="45"/>
        <v>1130.4090000000001</v>
      </c>
      <c r="J401" s="33"/>
      <c r="K401" s="33" t="e">
        <f t="shared" si="44"/>
        <v>#DIV/0!</v>
      </c>
      <c r="L401" s="59" t="e">
        <f t="shared" si="46"/>
        <v>#DIV/0!</v>
      </c>
      <c r="M401" s="60" t="str">
        <f>IFERROR((#REF!/1.18)*1000,"")</f>
        <v/>
      </c>
    </row>
    <row r="402" spans="1:13" hidden="1" outlineLevel="1" x14ac:dyDescent="0.55000000000000004">
      <c r="A402" s="165"/>
      <c r="B402" s="35">
        <f t="shared" si="39"/>
        <v>11</v>
      </c>
      <c r="C402" s="36" t="str">
        <f t="shared" si="43"/>
        <v>72017</v>
      </c>
      <c r="D402" s="44">
        <f t="shared" si="47"/>
        <v>42927</v>
      </c>
      <c r="E402" s="38">
        <v>3.6375000000000002</v>
      </c>
      <c r="F402" s="39">
        <v>315</v>
      </c>
      <c r="G402" s="33">
        <f t="shared" si="41"/>
        <v>1145.8125</v>
      </c>
      <c r="H402" s="33"/>
      <c r="I402" s="33">
        <f t="shared" si="45"/>
        <v>1135.0458000000001</v>
      </c>
      <c r="J402" s="33"/>
      <c r="K402" s="33" t="e">
        <f t="shared" si="44"/>
        <v>#DIV/0!</v>
      </c>
      <c r="L402" s="59" t="e">
        <f t="shared" si="46"/>
        <v>#DIV/0!</v>
      </c>
      <c r="M402" s="60" t="str">
        <f>IFERROR((#REF!/1.18)*1000,"")</f>
        <v/>
      </c>
    </row>
    <row r="403" spans="1:13" hidden="1" outlineLevel="1" x14ac:dyDescent="0.55000000000000004">
      <c r="A403" s="165"/>
      <c r="B403" s="35">
        <f t="shared" si="39"/>
        <v>12</v>
      </c>
      <c r="C403" s="36" t="str">
        <f t="shared" si="43"/>
        <v>72017</v>
      </c>
      <c r="D403" s="44">
        <f t="shared" si="47"/>
        <v>42928</v>
      </c>
      <c r="E403" s="38">
        <v>3.6091000000000002</v>
      </c>
      <c r="F403" s="39">
        <v>315</v>
      </c>
      <c r="G403" s="33">
        <f t="shared" si="41"/>
        <v>1136.8665000000001</v>
      </c>
      <c r="H403" s="33"/>
      <c r="I403" s="33">
        <f t="shared" si="45"/>
        <v>1140.2118</v>
      </c>
      <c r="J403" s="33"/>
      <c r="K403" s="33" t="e">
        <f t="shared" si="44"/>
        <v>#DIV/0!</v>
      </c>
      <c r="L403" s="59" t="e">
        <f t="shared" si="46"/>
        <v>#DIV/0!</v>
      </c>
      <c r="M403" s="60" t="str">
        <f>IFERROR((#REF!/1.18)*1000,"")</f>
        <v/>
      </c>
    </row>
    <row r="404" spans="1:13" hidden="1" outlineLevel="1" x14ac:dyDescent="0.55000000000000004">
      <c r="A404" s="165"/>
      <c r="B404" s="35">
        <f t="shared" si="39"/>
        <v>13</v>
      </c>
      <c r="C404" s="36" t="str">
        <f t="shared" si="43"/>
        <v>72017</v>
      </c>
      <c r="D404" s="44">
        <f t="shared" si="47"/>
        <v>42929</v>
      </c>
      <c r="E404" s="38">
        <v>3.5720999999999998</v>
      </c>
      <c r="F404" s="39">
        <v>315</v>
      </c>
      <c r="G404" s="33">
        <f t="shared" si="41"/>
        <v>1125.2114999999999</v>
      </c>
      <c r="H404" s="33"/>
      <c r="I404" s="33">
        <f t="shared" si="45"/>
        <v>1141.7112000000002</v>
      </c>
      <c r="J404" s="33"/>
      <c r="K404" s="33" t="e">
        <f t="shared" si="44"/>
        <v>#DIV/0!</v>
      </c>
      <c r="L404" s="59" t="e">
        <f t="shared" si="46"/>
        <v>#DIV/0!</v>
      </c>
      <c r="M404" s="60" t="str">
        <f>IFERROR((#REF!/1.18)*1000,"")</f>
        <v/>
      </c>
    </row>
    <row r="405" spans="1:13" hidden="1" outlineLevel="1" x14ac:dyDescent="0.55000000000000004">
      <c r="A405" s="165"/>
      <c r="B405" s="35">
        <f t="shared" si="39"/>
        <v>14</v>
      </c>
      <c r="C405" s="36" t="str">
        <f t="shared" si="43"/>
        <v>72017</v>
      </c>
      <c r="D405" s="44">
        <f t="shared" si="47"/>
        <v>42930</v>
      </c>
      <c r="E405" s="38">
        <v>3.5670999999999999</v>
      </c>
      <c r="F405" s="39">
        <v>315</v>
      </c>
      <c r="G405" s="33">
        <f t="shared" si="41"/>
        <v>1123.6365000000001</v>
      </c>
      <c r="H405" s="33"/>
      <c r="I405" s="33">
        <f t="shared" si="45"/>
        <v>1138.1390999999999</v>
      </c>
      <c r="J405" s="33"/>
      <c r="K405" s="33" t="e">
        <f t="shared" si="44"/>
        <v>#DIV/0!</v>
      </c>
      <c r="L405" s="59" t="e">
        <f t="shared" si="46"/>
        <v>#DIV/0!</v>
      </c>
      <c r="M405" s="60" t="str">
        <f>IFERROR((#REF!/1.18)*1000,"")</f>
        <v/>
      </c>
    </row>
    <row r="406" spans="1:13" hidden="1" outlineLevel="1" x14ac:dyDescent="0.55000000000000004">
      <c r="A406" s="165"/>
      <c r="B406" s="35">
        <f t="shared" si="39"/>
        <v>17</v>
      </c>
      <c r="C406" s="36" t="str">
        <f t="shared" si="43"/>
        <v>72017</v>
      </c>
      <c r="D406" s="44">
        <f t="shared" si="47"/>
        <v>42933</v>
      </c>
      <c r="E406" s="38">
        <v>3.5436999999999999</v>
      </c>
      <c r="F406" s="39">
        <v>315</v>
      </c>
      <c r="G406" s="33">
        <f t="shared" si="41"/>
        <v>1116.2655</v>
      </c>
      <c r="H406" s="33"/>
      <c r="I406" s="33">
        <f t="shared" si="45"/>
        <v>1133.7669000000001</v>
      </c>
      <c r="J406" s="33"/>
      <c r="K406" s="33" t="e">
        <f t="shared" si="44"/>
        <v>#DIV/0!</v>
      </c>
      <c r="L406" s="59" t="e">
        <f t="shared" si="46"/>
        <v>#DIV/0!</v>
      </c>
      <c r="M406" s="60" t="str">
        <f>IFERROR((#REF!/1.18)*1000,"")</f>
        <v/>
      </c>
    </row>
    <row r="407" spans="1:13" hidden="1" outlineLevel="1" x14ac:dyDescent="0.55000000000000004">
      <c r="A407" s="165"/>
      <c r="B407" s="35">
        <f t="shared" ref="B407:B470" si="48">DAY(D407)</f>
        <v>18</v>
      </c>
      <c r="C407" s="36" t="str">
        <f t="shared" si="43"/>
        <v>72017</v>
      </c>
      <c r="D407" s="44">
        <f t="shared" si="47"/>
        <v>42934</v>
      </c>
      <c r="E407" s="38">
        <v>3.5331000000000001</v>
      </c>
      <c r="F407" s="39">
        <v>315</v>
      </c>
      <c r="G407" s="33">
        <f t="shared" si="41"/>
        <v>1112.9265</v>
      </c>
      <c r="H407" s="33"/>
      <c r="I407" s="33">
        <f t="shared" si="45"/>
        <v>1129.5584999999999</v>
      </c>
      <c r="J407" s="33"/>
      <c r="K407" s="33" t="e">
        <f t="shared" si="44"/>
        <v>#DIV/0!</v>
      </c>
      <c r="L407" s="59" t="e">
        <f t="shared" si="46"/>
        <v>#DIV/0!</v>
      </c>
      <c r="M407" s="60" t="str">
        <f>IFERROR((#REF!/1.18)*1000,"")</f>
        <v/>
      </c>
    </row>
    <row r="408" spans="1:13" hidden="1" outlineLevel="1" x14ac:dyDescent="0.55000000000000004">
      <c r="A408" s="165"/>
      <c r="B408" s="35">
        <f t="shared" si="48"/>
        <v>19</v>
      </c>
      <c r="C408" s="36" t="str">
        <f t="shared" si="43"/>
        <v>72017</v>
      </c>
      <c r="D408" s="44">
        <f t="shared" si="47"/>
        <v>42935</v>
      </c>
      <c r="E408" s="38">
        <v>3.5327999999999999</v>
      </c>
      <c r="F408" s="39">
        <v>315</v>
      </c>
      <c r="G408" s="33">
        <f t="shared" si="41"/>
        <v>1112.8319999999999</v>
      </c>
      <c r="H408" s="33"/>
      <c r="I408" s="33">
        <f t="shared" si="45"/>
        <v>1122.9812999999999</v>
      </c>
      <c r="J408" s="33"/>
      <c r="K408" s="33" t="e">
        <f t="shared" si="44"/>
        <v>#DIV/0!</v>
      </c>
      <c r="L408" s="59" t="e">
        <f t="shared" si="46"/>
        <v>#DIV/0!</v>
      </c>
      <c r="M408" s="60" t="str">
        <f>IFERROR((#REF!/1.18)*1000,"")</f>
        <v/>
      </c>
    </row>
    <row r="409" spans="1:13" hidden="1" outlineLevel="1" x14ac:dyDescent="0.55000000000000004">
      <c r="A409" s="165"/>
      <c r="B409" s="35">
        <f t="shared" si="48"/>
        <v>20</v>
      </c>
      <c r="C409" s="36" t="str">
        <f t="shared" si="43"/>
        <v>72017</v>
      </c>
      <c r="D409" s="44">
        <f t="shared" si="47"/>
        <v>42936</v>
      </c>
      <c r="E409" s="38">
        <v>3.5367999999999999</v>
      </c>
      <c r="F409" s="39">
        <v>315</v>
      </c>
      <c r="G409" s="33">
        <f t="shared" si="41"/>
        <v>1114.0919999999999</v>
      </c>
      <c r="H409" s="33"/>
      <c r="I409" s="33">
        <f t="shared" si="45"/>
        <v>1118.1743999999999</v>
      </c>
      <c r="J409" s="33"/>
      <c r="K409" s="33" t="e">
        <f t="shared" si="44"/>
        <v>#DIV/0!</v>
      </c>
      <c r="L409" s="59" t="e">
        <f t="shared" si="46"/>
        <v>#DIV/0!</v>
      </c>
      <c r="M409" s="60" t="str">
        <f>IFERROR((#REF!/1.18)*1000,"")</f>
        <v/>
      </c>
    </row>
    <row r="410" spans="1:13" hidden="1" outlineLevel="1" x14ac:dyDescent="0.55000000000000004">
      <c r="A410" s="165"/>
      <c r="B410" s="35">
        <f t="shared" si="48"/>
        <v>21</v>
      </c>
      <c r="C410" s="36" t="str">
        <f t="shared" si="43"/>
        <v>72017</v>
      </c>
      <c r="D410" s="44">
        <f t="shared" si="47"/>
        <v>42937</v>
      </c>
      <c r="E410" s="38">
        <v>3.536</v>
      </c>
      <c r="F410" s="39">
        <v>315</v>
      </c>
      <c r="G410" s="33">
        <f t="shared" si="41"/>
        <v>1113.8399999999999</v>
      </c>
      <c r="H410" s="33"/>
      <c r="I410" s="33">
        <f t="shared" si="45"/>
        <v>1115.9504999999999</v>
      </c>
      <c r="J410" s="33"/>
      <c r="K410" s="33" t="e">
        <f t="shared" si="44"/>
        <v>#DIV/0!</v>
      </c>
      <c r="L410" s="59" t="e">
        <f t="shared" si="46"/>
        <v>#DIV/0!</v>
      </c>
      <c r="M410" s="60" t="str">
        <f>IFERROR((#REF!/1.18)*1000,"")</f>
        <v/>
      </c>
    </row>
    <row r="411" spans="1:13" hidden="1" outlineLevel="1" x14ac:dyDescent="0.55000000000000004">
      <c r="A411" s="165"/>
      <c r="B411" s="35">
        <f t="shared" si="48"/>
        <v>24</v>
      </c>
      <c r="C411" s="36" t="str">
        <f t="shared" si="43"/>
        <v>72017</v>
      </c>
      <c r="D411" s="44">
        <f t="shared" si="47"/>
        <v>42940</v>
      </c>
      <c r="E411" s="38">
        <v>3.5508000000000002</v>
      </c>
      <c r="F411" s="39">
        <v>315</v>
      </c>
      <c r="G411" s="33">
        <f t="shared" si="41"/>
        <v>1118.502</v>
      </c>
      <c r="H411" s="33"/>
      <c r="I411" s="33">
        <f t="shared" si="45"/>
        <v>1113.9911999999999</v>
      </c>
      <c r="J411" s="33"/>
      <c r="K411" s="33" t="e">
        <f t="shared" si="44"/>
        <v>#DIV/0!</v>
      </c>
      <c r="L411" s="59" t="e">
        <f t="shared" si="46"/>
        <v>#DIV/0!</v>
      </c>
      <c r="M411" s="60" t="str">
        <f>IFERROR((#REF!/1.18)*1000,"")</f>
        <v/>
      </c>
    </row>
    <row r="412" spans="1:13" hidden="1" outlineLevel="1" x14ac:dyDescent="0.55000000000000004">
      <c r="A412" s="165"/>
      <c r="B412" s="35">
        <f t="shared" si="48"/>
        <v>25</v>
      </c>
      <c r="C412" s="36" t="str">
        <f t="shared" si="43"/>
        <v>72017</v>
      </c>
      <c r="D412" s="44">
        <f t="shared" si="47"/>
        <v>42941</v>
      </c>
      <c r="E412" s="38">
        <v>3.5642</v>
      </c>
      <c r="F412" s="39">
        <v>315</v>
      </c>
      <c r="G412" s="33">
        <f t="shared" si="41"/>
        <v>1122.723</v>
      </c>
      <c r="H412" s="33"/>
      <c r="I412" s="33">
        <f t="shared" si="45"/>
        <v>1114.4384999999997</v>
      </c>
      <c r="J412" s="33"/>
      <c r="K412" s="33" t="e">
        <f t="shared" si="44"/>
        <v>#DIV/0!</v>
      </c>
      <c r="L412" s="59" t="e">
        <f t="shared" si="46"/>
        <v>#DIV/0!</v>
      </c>
      <c r="M412" s="60" t="str">
        <f>IFERROR((#REF!/1.18)*1000,"")</f>
        <v/>
      </c>
    </row>
    <row r="413" spans="1:13" hidden="1" outlineLevel="1" x14ac:dyDescent="0.55000000000000004">
      <c r="A413" s="165"/>
      <c r="B413" s="35">
        <f t="shared" si="48"/>
        <v>26</v>
      </c>
      <c r="C413" s="36" t="str">
        <f t="shared" si="43"/>
        <v>72017</v>
      </c>
      <c r="D413" s="44">
        <f t="shared" si="47"/>
        <v>42942</v>
      </c>
      <c r="E413" s="38">
        <v>3.5638000000000001</v>
      </c>
      <c r="F413" s="39">
        <v>315</v>
      </c>
      <c r="G413" s="33">
        <f t="shared" si="41"/>
        <v>1122.597</v>
      </c>
      <c r="H413" s="33"/>
      <c r="I413" s="33">
        <f t="shared" si="45"/>
        <v>1116.3978</v>
      </c>
      <c r="J413" s="33"/>
      <c r="K413" s="33" t="e">
        <f t="shared" si="44"/>
        <v>#DIV/0!</v>
      </c>
      <c r="L413" s="59" t="e">
        <f t="shared" si="46"/>
        <v>#DIV/0!</v>
      </c>
      <c r="M413" s="60" t="str">
        <f>IFERROR((#REF!/1.18)*1000,"")</f>
        <v/>
      </c>
    </row>
    <row r="414" spans="1:13" hidden="1" outlineLevel="1" x14ac:dyDescent="0.55000000000000004">
      <c r="A414" s="165"/>
      <c r="B414" s="35">
        <f t="shared" si="48"/>
        <v>27</v>
      </c>
      <c r="C414" s="36" t="str">
        <f t="shared" si="43"/>
        <v>72017</v>
      </c>
      <c r="D414" s="44">
        <f t="shared" si="47"/>
        <v>42943</v>
      </c>
      <c r="E414" s="38">
        <v>3.5326</v>
      </c>
      <c r="F414" s="39">
        <v>315</v>
      </c>
      <c r="G414" s="33">
        <f t="shared" si="41"/>
        <v>1112.769</v>
      </c>
      <c r="H414" s="33"/>
      <c r="I414" s="33">
        <f t="shared" si="45"/>
        <v>1118.3507999999997</v>
      </c>
      <c r="J414" s="33"/>
      <c r="K414" s="33" t="e">
        <f t="shared" si="44"/>
        <v>#DIV/0!</v>
      </c>
      <c r="L414" s="59" t="e">
        <f t="shared" si="46"/>
        <v>#DIV/0!</v>
      </c>
      <c r="M414" s="60" t="str">
        <f>IFERROR((#REF!/1.18)*1000,"")</f>
        <v/>
      </c>
    </row>
    <row r="415" spans="1:13" hidden="1" outlineLevel="1" x14ac:dyDescent="0.55000000000000004">
      <c r="A415" s="165"/>
      <c r="B415" s="35">
        <f t="shared" si="48"/>
        <v>28</v>
      </c>
      <c r="C415" s="36" t="str">
        <f t="shared" si="43"/>
        <v>72017</v>
      </c>
      <c r="D415" s="44">
        <f t="shared" si="47"/>
        <v>42944</v>
      </c>
      <c r="E415" s="38">
        <v>3.5356000000000001</v>
      </c>
      <c r="F415" s="39">
        <v>315</v>
      </c>
      <c r="G415" s="33">
        <f t="shared" si="41"/>
        <v>1113.7139999999999</v>
      </c>
      <c r="H415" s="33"/>
      <c r="I415" s="33">
        <f t="shared" si="45"/>
        <v>1118.0862</v>
      </c>
      <c r="J415" s="33"/>
      <c r="K415" s="33" t="e">
        <f t="shared" si="44"/>
        <v>#DIV/0!</v>
      </c>
      <c r="L415" s="59" t="e">
        <f t="shared" si="46"/>
        <v>#DIV/0!</v>
      </c>
      <c r="M415" s="60" t="str">
        <f>IFERROR((#REF!/1.18)*1000,"")</f>
        <v/>
      </c>
    </row>
    <row r="416" spans="1:13" ht="14.7" hidden="1" outlineLevel="1" thickBot="1" x14ac:dyDescent="0.6">
      <c r="A416" s="166"/>
      <c r="B416" s="35">
        <f t="shared" si="48"/>
        <v>31</v>
      </c>
      <c r="C416" s="36" t="str">
        <f t="shared" si="43"/>
        <v>72017</v>
      </c>
      <c r="D416" s="53">
        <f>WORKDAY(D415,1)</f>
        <v>42947</v>
      </c>
      <c r="E416" s="38">
        <v>3.5289999999999999</v>
      </c>
      <c r="F416" s="39">
        <v>315</v>
      </c>
      <c r="G416" s="33">
        <f t="shared" si="41"/>
        <v>1111.635</v>
      </c>
      <c r="H416" s="33"/>
      <c r="I416" s="33">
        <f t="shared" si="45"/>
        <v>1118.0610000000001</v>
      </c>
      <c r="J416" s="33"/>
      <c r="K416" s="33" t="e">
        <f t="shared" si="44"/>
        <v>#DIV/0!</v>
      </c>
      <c r="L416" s="59" t="e">
        <f t="shared" si="46"/>
        <v>#DIV/0!</v>
      </c>
      <c r="M416" s="60" t="str">
        <f>IFERROR((#REF!/1.18)*1000,"")</f>
        <v/>
      </c>
    </row>
    <row r="417" spans="1:13" hidden="1" outlineLevel="1" x14ac:dyDescent="0.55000000000000004">
      <c r="A417" s="164" t="s">
        <v>100</v>
      </c>
      <c r="B417" s="35">
        <f t="shared" si="48"/>
        <v>1</v>
      </c>
      <c r="C417" s="36" t="str">
        <f t="shared" si="43"/>
        <v>82017</v>
      </c>
      <c r="D417" s="37">
        <f>WORKDAY(D416,1)</f>
        <v>42948</v>
      </c>
      <c r="E417" s="38">
        <v>3.5232999999999999</v>
      </c>
      <c r="F417" s="39">
        <v>407</v>
      </c>
      <c r="G417" s="33">
        <f t="shared" si="41"/>
        <v>1433.9830999999999</v>
      </c>
      <c r="H417" s="33"/>
      <c r="I417" s="33">
        <f t="shared" si="45"/>
        <v>1116.6876</v>
      </c>
      <c r="J417" s="33"/>
      <c r="K417" s="33" t="e">
        <f t="shared" si="44"/>
        <v>#DIV/0!</v>
      </c>
      <c r="L417" s="59" t="e">
        <f t="shared" si="46"/>
        <v>#DIV/0!</v>
      </c>
      <c r="M417" s="60" t="str">
        <f>IFERROR((#REF!/1.18)*1000,"")</f>
        <v/>
      </c>
    </row>
    <row r="418" spans="1:13" hidden="1" outlineLevel="1" x14ac:dyDescent="0.55000000000000004">
      <c r="A418" s="165"/>
      <c r="B418" s="35">
        <f t="shared" si="48"/>
        <v>2</v>
      </c>
      <c r="C418" s="36" t="str">
        <f t="shared" si="43"/>
        <v>82017</v>
      </c>
      <c r="D418" s="44">
        <f t="shared" ref="D418:D460" si="49">WORKDAY(D417,1)</f>
        <v>42949</v>
      </c>
      <c r="E418" s="38">
        <v>3.5354999999999999</v>
      </c>
      <c r="F418" s="39">
        <v>407</v>
      </c>
      <c r="G418" s="33">
        <f t="shared" si="41"/>
        <v>1438.9485</v>
      </c>
      <c r="H418" s="33"/>
      <c r="I418" s="33">
        <f t="shared" si="45"/>
        <v>1178.9396199999999</v>
      </c>
      <c r="J418" s="33"/>
      <c r="K418" s="33" t="e">
        <f t="shared" si="44"/>
        <v>#DIV/0!</v>
      </c>
      <c r="L418" s="59" t="e">
        <f t="shared" si="46"/>
        <v>#DIV/0!</v>
      </c>
      <c r="M418" s="60" t="str">
        <f>IFERROR((#REF!/1.18)*1000,"")</f>
        <v/>
      </c>
    </row>
    <row r="419" spans="1:13" hidden="1" outlineLevel="1" x14ac:dyDescent="0.55000000000000004">
      <c r="A419" s="165"/>
      <c r="B419" s="35">
        <f t="shared" si="48"/>
        <v>3</v>
      </c>
      <c r="C419" s="36" t="str">
        <f t="shared" si="43"/>
        <v>82017</v>
      </c>
      <c r="D419" s="44">
        <f t="shared" si="49"/>
        <v>42950</v>
      </c>
      <c r="E419" s="38">
        <v>3.5438999999999998</v>
      </c>
      <c r="F419" s="39">
        <v>407</v>
      </c>
      <c r="G419" s="33">
        <f t="shared" si="41"/>
        <v>1442.3672999999999</v>
      </c>
      <c r="H419" s="33"/>
      <c r="I419" s="33">
        <f t="shared" si="45"/>
        <v>1242.20992</v>
      </c>
      <c r="J419" s="33"/>
      <c r="K419" s="33" t="e">
        <f t="shared" si="44"/>
        <v>#DIV/0!</v>
      </c>
      <c r="L419" s="59" t="e">
        <f t="shared" si="46"/>
        <v>#DIV/0!</v>
      </c>
      <c r="M419" s="60" t="str">
        <f>IFERROR((#REF!/1.18)*1000,"")</f>
        <v/>
      </c>
    </row>
    <row r="420" spans="1:13" hidden="1" outlineLevel="1" x14ac:dyDescent="0.55000000000000004">
      <c r="A420" s="165"/>
      <c r="B420" s="35">
        <f t="shared" si="48"/>
        <v>4</v>
      </c>
      <c r="C420" s="36" t="str">
        <f t="shared" si="43"/>
        <v>82017</v>
      </c>
      <c r="D420" s="44">
        <f t="shared" si="49"/>
        <v>42951</v>
      </c>
      <c r="E420" s="38">
        <v>3.5350000000000001</v>
      </c>
      <c r="F420" s="39">
        <v>407</v>
      </c>
      <c r="G420" s="33">
        <f t="shared" si="41"/>
        <v>1438.7450000000001</v>
      </c>
      <c r="H420" s="33"/>
      <c r="I420" s="33">
        <f t="shared" si="45"/>
        <v>1308.12958</v>
      </c>
      <c r="J420" s="33"/>
      <c r="K420" s="33" t="e">
        <f t="shared" si="44"/>
        <v>#DIV/0!</v>
      </c>
      <c r="L420" s="59" t="e">
        <f t="shared" si="46"/>
        <v>#DIV/0!</v>
      </c>
      <c r="M420" s="60" t="str">
        <f>IFERROR((#REF!/1.18)*1000,"")</f>
        <v/>
      </c>
    </row>
    <row r="421" spans="1:13" hidden="1" outlineLevel="1" x14ac:dyDescent="0.55000000000000004">
      <c r="A421" s="165"/>
      <c r="B421" s="35">
        <f t="shared" si="48"/>
        <v>7</v>
      </c>
      <c r="C421" s="36" t="str">
        <f t="shared" si="43"/>
        <v>82017</v>
      </c>
      <c r="D421" s="44">
        <f t="shared" si="49"/>
        <v>42954</v>
      </c>
      <c r="E421" s="38">
        <v>3.5358999999999998</v>
      </c>
      <c r="F421" s="39">
        <v>407</v>
      </c>
      <c r="G421" s="33">
        <f t="shared" ref="G421:G484" si="50">E421*F421</f>
        <v>1439.1113</v>
      </c>
      <c r="H421" s="33"/>
      <c r="I421" s="33">
        <f t="shared" si="45"/>
        <v>1373.1357800000001</v>
      </c>
      <c r="J421" s="33"/>
      <c r="K421" s="33" t="e">
        <f t="shared" si="44"/>
        <v>#DIV/0!</v>
      </c>
      <c r="L421" s="59" t="e">
        <f t="shared" si="46"/>
        <v>#DIV/0!</v>
      </c>
      <c r="M421" s="60" t="str">
        <f>IFERROR((#REF!/1.18)*1000,"")</f>
        <v/>
      </c>
    </row>
    <row r="422" spans="1:13" hidden="1" outlineLevel="1" x14ac:dyDescent="0.55000000000000004">
      <c r="A422" s="165"/>
      <c r="B422" s="35">
        <f t="shared" si="48"/>
        <v>8</v>
      </c>
      <c r="C422" s="36" t="str">
        <f t="shared" si="43"/>
        <v>82017</v>
      </c>
      <c r="D422" s="44">
        <f t="shared" si="49"/>
        <v>42955</v>
      </c>
      <c r="E422" s="38">
        <v>3.5337999999999998</v>
      </c>
      <c r="F422" s="39">
        <v>407</v>
      </c>
      <c r="G422" s="33">
        <f t="shared" si="50"/>
        <v>1438.2565999999999</v>
      </c>
      <c r="H422" s="33"/>
      <c r="I422" s="33">
        <f t="shared" si="45"/>
        <v>1438.6310399999998</v>
      </c>
      <c r="J422" s="33"/>
      <c r="K422" s="33" t="e">
        <f t="shared" si="44"/>
        <v>#DIV/0!</v>
      </c>
      <c r="L422" s="59" t="e">
        <f t="shared" si="46"/>
        <v>#DIV/0!</v>
      </c>
      <c r="M422" s="60" t="str">
        <f>IFERROR((#REF!/1.18)*1000,"")</f>
        <v/>
      </c>
    </row>
    <row r="423" spans="1:13" hidden="1" outlineLevel="1" x14ac:dyDescent="0.55000000000000004">
      <c r="A423" s="165"/>
      <c r="B423" s="35">
        <f t="shared" si="48"/>
        <v>9</v>
      </c>
      <c r="C423" s="36" t="str">
        <f t="shared" si="43"/>
        <v>82017</v>
      </c>
      <c r="D423" s="44">
        <f t="shared" si="49"/>
        <v>42956</v>
      </c>
      <c r="E423" s="38">
        <v>3.5448</v>
      </c>
      <c r="F423" s="39">
        <v>407</v>
      </c>
      <c r="G423" s="33">
        <f t="shared" si="50"/>
        <v>1442.7336</v>
      </c>
      <c r="H423" s="33"/>
      <c r="I423" s="33">
        <f t="shared" si="45"/>
        <v>1439.4857399999999</v>
      </c>
      <c r="J423" s="33"/>
      <c r="K423" s="33" t="e">
        <f t="shared" si="44"/>
        <v>#DIV/0!</v>
      </c>
      <c r="L423" s="59" t="e">
        <f t="shared" si="46"/>
        <v>#DIV/0!</v>
      </c>
      <c r="M423" s="60" t="str">
        <f>IFERROR((#REF!/1.18)*1000,"")</f>
        <v/>
      </c>
    </row>
    <row r="424" spans="1:13" hidden="1" outlineLevel="1" x14ac:dyDescent="0.55000000000000004">
      <c r="A424" s="165"/>
      <c r="B424" s="35">
        <f t="shared" si="48"/>
        <v>10</v>
      </c>
      <c r="C424" s="36" t="str">
        <f t="shared" si="43"/>
        <v>82017</v>
      </c>
      <c r="D424" s="44">
        <f t="shared" si="49"/>
        <v>42957</v>
      </c>
      <c r="E424" s="38">
        <v>3.5407000000000002</v>
      </c>
      <c r="F424" s="39">
        <v>407</v>
      </c>
      <c r="G424" s="33">
        <f t="shared" si="50"/>
        <v>1441.0649000000001</v>
      </c>
      <c r="H424" s="33"/>
      <c r="I424" s="33">
        <f t="shared" si="45"/>
        <v>1440.2427599999999</v>
      </c>
      <c r="J424" s="33"/>
      <c r="K424" s="33" t="e">
        <f t="shared" si="44"/>
        <v>#DIV/0!</v>
      </c>
      <c r="L424" s="59" t="e">
        <f t="shared" si="46"/>
        <v>#DIV/0!</v>
      </c>
      <c r="M424" s="60" t="str">
        <f>IFERROR((#REF!/1.18)*1000,"")</f>
        <v/>
      </c>
    </row>
    <row r="425" spans="1:13" hidden="1" outlineLevel="1" x14ac:dyDescent="0.55000000000000004">
      <c r="A425" s="165"/>
      <c r="B425" s="35">
        <f t="shared" si="48"/>
        <v>11</v>
      </c>
      <c r="C425" s="36" t="str">
        <f t="shared" si="43"/>
        <v>82017</v>
      </c>
      <c r="D425" s="44">
        <f t="shared" si="49"/>
        <v>42958</v>
      </c>
      <c r="E425" s="38">
        <v>3.5499000000000001</v>
      </c>
      <c r="F425" s="39">
        <v>407</v>
      </c>
      <c r="G425" s="33">
        <f t="shared" si="50"/>
        <v>1444.8093000000001</v>
      </c>
      <c r="H425" s="33"/>
      <c r="I425" s="33">
        <f t="shared" si="45"/>
        <v>1439.9822799999999</v>
      </c>
      <c r="J425" s="33"/>
      <c r="K425" s="33" t="e">
        <f t="shared" si="44"/>
        <v>#DIV/0!</v>
      </c>
      <c r="L425" s="59" t="e">
        <f t="shared" si="46"/>
        <v>#DIV/0!</v>
      </c>
      <c r="M425" s="60" t="str">
        <f>IFERROR((#REF!/1.18)*1000,"")</f>
        <v/>
      </c>
    </row>
    <row r="426" spans="1:13" hidden="1" outlineLevel="1" x14ac:dyDescent="0.55000000000000004">
      <c r="A426" s="165"/>
      <c r="B426" s="35">
        <f t="shared" si="48"/>
        <v>14</v>
      </c>
      <c r="C426" s="36" t="str">
        <f t="shared" si="43"/>
        <v>82017</v>
      </c>
      <c r="D426" s="44">
        <f t="shared" si="49"/>
        <v>42961</v>
      </c>
      <c r="E426" s="38">
        <v>3.5316000000000001</v>
      </c>
      <c r="F426" s="39">
        <v>407</v>
      </c>
      <c r="G426" s="33">
        <f t="shared" si="50"/>
        <v>1437.3612000000001</v>
      </c>
      <c r="H426" s="33"/>
      <c r="I426" s="33">
        <f t="shared" si="45"/>
        <v>1441.1951400000003</v>
      </c>
      <c r="J426" s="33"/>
      <c r="K426" s="33" t="e">
        <f t="shared" si="44"/>
        <v>#DIV/0!</v>
      </c>
      <c r="L426" s="59" t="e">
        <f t="shared" si="46"/>
        <v>#DIV/0!</v>
      </c>
      <c r="M426" s="60" t="str">
        <f>IFERROR((#REF!/1.18)*1000,"")</f>
        <v/>
      </c>
    </row>
    <row r="427" spans="1:13" hidden="1" outlineLevel="1" x14ac:dyDescent="0.55000000000000004">
      <c r="A427" s="165"/>
      <c r="B427" s="35">
        <f t="shared" si="48"/>
        <v>15</v>
      </c>
      <c r="C427" s="36" t="str">
        <f t="shared" si="43"/>
        <v>82017</v>
      </c>
      <c r="D427" s="44">
        <f t="shared" si="49"/>
        <v>42962</v>
      </c>
      <c r="E427" s="38">
        <v>3.5337999999999998</v>
      </c>
      <c r="F427" s="39">
        <v>407</v>
      </c>
      <c r="G427" s="33">
        <f t="shared" si="50"/>
        <v>1438.2565999999999</v>
      </c>
      <c r="H427" s="33"/>
      <c r="I427" s="33">
        <f t="shared" si="45"/>
        <v>1440.8451200000002</v>
      </c>
      <c r="J427" s="33"/>
      <c r="K427" s="33" t="e">
        <f t="shared" si="44"/>
        <v>#DIV/0!</v>
      </c>
      <c r="L427" s="59" t="e">
        <f t="shared" si="46"/>
        <v>#DIV/0!</v>
      </c>
      <c r="M427" s="60" t="str">
        <f>IFERROR((#REF!/1.18)*1000,"")</f>
        <v/>
      </c>
    </row>
    <row r="428" spans="1:13" hidden="1" outlineLevel="1" x14ac:dyDescent="0.55000000000000004">
      <c r="A428" s="165"/>
      <c r="B428" s="35">
        <f t="shared" si="48"/>
        <v>16</v>
      </c>
      <c r="C428" s="36" t="str">
        <f t="shared" si="43"/>
        <v>82017</v>
      </c>
      <c r="D428" s="44">
        <f t="shared" si="49"/>
        <v>42963</v>
      </c>
      <c r="E428" s="38">
        <v>3.5352000000000001</v>
      </c>
      <c r="F428" s="39">
        <v>407</v>
      </c>
      <c r="G428" s="33">
        <f t="shared" si="50"/>
        <v>1438.8264000000001</v>
      </c>
      <c r="H428" s="33"/>
      <c r="I428" s="33">
        <f t="shared" si="45"/>
        <v>1440.84512</v>
      </c>
      <c r="J428" s="33"/>
      <c r="K428" s="33" t="e">
        <f t="shared" si="44"/>
        <v>#DIV/0!</v>
      </c>
      <c r="L428" s="59" t="e">
        <f t="shared" si="46"/>
        <v>#DIV/0!</v>
      </c>
      <c r="M428" s="60" t="str">
        <f>IFERROR((#REF!/1.18)*1000,"")</f>
        <v/>
      </c>
    </row>
    <row r="429" spans="1:13" hidden="1" outlineLevel="1" x14ac:dyDescent="0.55000000000000004">
      <c r="A429" s="165"/>
      <c r="B429" s="35">
        <f t="shared" si="48"/>
        <v>17</v>
      </c>
      <c r="C429" s="36" t="str">
        <f t="shared" si="43"/>
        <v>82017</v>
      </c>
      <c r="D429" s="44">
        <f t="shared" si="49"/>
        <v>42964</v>
      </c>
      <c r="E429" s="38">
        <v>3.5240999999999998</v>
      </c>
      <c r="F429" s="39">
        <v>407</v>
      </c>
      <c r="G429" s="33">
        <f t="shared" si="50"/>
        <v>1434.3086999999998</v>
      </c>
      <c r="H429" s="33"/>
      <c r="I429" s="33">
        <f t="shared" si="45"/>
        <v>1440.06368</v>
      </c>
      <c r="J429" s="33"/>
      <c r="K429" s="33" t="e">
        <f t="shared" si="44"/>
        <v>#DIV/0!</v>
      </c>
      <c r="L429" s="59" t="e">
        <f t="shared" si="46"/>
        <v>#DIV/0!</v>
      </c>
      <c r="M429" s="60" t="str">
        <f>IFERROR((#REF!/1.18)*1000,"")</f>
        <v/>
      </c>
    </row>
    <row r="430" spans="1:13" hidden="1" outlineLevel="1" x14ac:dyDescent="0.55000000000000004">
      <c r="A430" s="165"/>
      <c r="B430" s="35">
        <f t="shared" si="48"/>
        <v>18</v>
      </c>
      <c r="C430" s="36" t="str">
        <f t="shared" si="43"/>
        <v>82017</v>
      </c>
      <c r="D430" s="44">
        <f t="shared" si="49"/>
        <v>42965</v>
      </c>
      <c r="E430" s="38">
        <v>3.5276000000000001</v>
      </c>
      <c r="F430" s="39">
        <v>407</v>
      </c>
      <c r="G430" s="33">
        <f t="shared" si="50"/>
        <v>1435.7332000000001</v>
      </c>
      <c r="H430" s="33"/>
      <c r="I430" s="33">
        <f t="shared" si="45"/>
        <v>1438.7124399999998</v>
      </c>
      <c r="J430" s="33"/>
      <c r="K430" s="33" t="e">
        <f t="shared" si="44"/>
        <v>#DIV/0!</v>
      </c>
      <c r="L430" s="59" t="e">
        <f t="shared" si="46"/>
        <v>#DIV/0!</v>
      </c>
      <c r="M430" s="60" t="str">
        <f>IFERROR((#REF!/1.18)*1000,"")</f>
        <v/>
      </c>
    </row>
    <row r="431" spans="1:13" hidden="1" outlineLevel="1" x14ac:dyDescent="0.55000000000000004">
      <c r="A431" s="165"/>
      <c r="B431" s="35">
        <f t="shared" si="48"/>
        <v>21</v>
      </c>
      <c r="C431" s="36" t="str">
        <f t="shared" si="43"/>
        <v>82017</v>
      </c>
      <c r="D431" s="44">
        <f t="shared" si="49"/>
        <v>42968</v>
      </c>
      <c r="E431" s="38">
        <v>3.5171999999999999</v>
      </c>
      <c r="F431" s="39">
        <v>407</v>
      </c>
      <c r="G431" s="33">
        <f t="shared" si="50"/>
        <v>1431.5003999999999</v>
      </c>
      <c r="H431" s="33"/>
      <c r="I431" s="33">
        <f t="shared" si="45"/>
        <v>1436.8972200000001</v>
      </c>
      <c r="J431" s="33"/>
      <c r="K431" s="33" t="e">
        <f t="shared" si="44"/>
        <v>#DIV/0!</v>
      </c>
      <c r="L431" s="59" t="e">
        <f t="shared" si="46"/>
        <v>#DIV/0!</v>
      </c>
      <c r="M431" s="60" t="str">
        <f>IFERROR((#REF!/1.18)*1000,"")</f>
        <v/>
      </c>
    </row>
    <row r="432" spans="1:13" hidden="1" outlineLevel="1" x14ac:dyDescent="0.55000000000000004">
      <c r="A432" s="165"/>
      <c r="B432" s="35">
        <f t="shared" si="48"/>
        <v>22</v>
      </c>
      <c r="C432" s="36" t="str">
        <f t="shared" si="43"/>
        <v>82017</v>
      </c>
      <c r="D432" s="44">
        <f t="shared" si="49"/>
        <v>42969</v>
      </c>
      <c r="E432" s="38">
        <v>3.5036</v>
      </c>
      <c r="F432" s="39">
        <v>407</v>
      </c>
      <c r="G432" s="33">
        <f t="shared" si="50"/>
        <v>1425.9652000000001</v>
      </c>
      <c r="H432" s="33"/>
      <c r="I432" s="33">
        <f t="shared" si="45"/>
        <v>1435.7250600000002</v>
      </c>
      <c r="J432" s="33"/>
      <c r="K432" s="33" t="e">
        <f t="shared" si="44"/>
        <v>#DIV/0!</v>
      </c>
      <c r="L432" s="59" t="e">
        <f t="shared" si="46"/>
        <v>#DIV/0!</v>
      </c>
      <c r="M432" s="60" t="str">
        <f>IFERROR((#REF!/1.18)*1000,"")</f>
        <v/>
      </c>
    </row>
    <row r="433" spans="1:13" hidden="1" outlineLevel="1" x14ac:dyDescent="0.55000000000000004">
      <c r="A433" s="165"/>
      <c r="B433" s="35">
        <f t="shared" si="48"/>
        <v>23</v>
      </c>
      <c r="C433" s="36" t="str">
        <f t="shared" si="43"/>
        <v>82017</v>
      </c>
      <c r="D433" s="44">
        <f t="shared" si="49"/>
        <v>42970</v>
      </c>
      <c r="E433" s="38">
        <v>3.5019</v>
      </c>
      <c r="F433" s="39">
        <v>407</v>
      </c>
      <c r="G433" s="33">
        <f t="shared" si="50"/>
        <v>1425.2733000000001</v>
      </c>
      <c r="H433" s="33"/>
      <c r="I433" s="33">
        <f t="shared" si="45"/>
        <v>1433.2667799999999</v>
      </c>
      <c r="J433" s="33"/>
      <c r="K433" s="33" t="e">
        <f t="shared" si="44"/>
        <v>#DIV/0!</v>
      </c>
      <c r="L433" s="59" t="e">
        <f t="shared" si="46"/>
        <v>#DIV/0!</v>
      </c>
      <c r="M433" s="60" t="str">
        <f>IFERROR((#REF!/1.18)*1000,"")</f>
        <v/>
      </c>
    </row>
    <row r="434" spans="1:13" hidden="1" outlineLevel="1" x14ac:dyDescent="0.55000000000000004">
      <c r="A434" s="165"/>
      <c r="B434" s="35">
        <f t="shared" si="48"/>
        <v>24</v>
      </c>
      <c r="C434" s="36" t="str">
        <f t="shared" si="43"/>
        <v>82017</v>
      </c>
      <c r="D434" s="44">
        <f t="shared" si="49"/>
        <v>42971</v>
      </c>
      <c r="E434" s="38">
        <v>3.4843999999999999</v>
      </c>
      <c r="F434" s="39">
        <v>407</v>
      </c>
      <c r="G434" s="33">
        <f t="shared" si="50"/>
        <v>1418.1507999999999</v>
      </c>
      <c r="H434" s="33"/>
      <c r="I434" s="33">
        <f t="shared" si="45"/>
        <v>1430.5561599999999</v>
      </c>
      <c r="J434" s="33"/>
      <c r="K434" s="33" t="e">
        <f t="shared" si="44"/>
        <v>#DIV/0!</v>
      </c>
      <c r="L434" s="59" t="e">
        <f t="shared" si="46"/>
        <v>#DIV/0!</v>
      </c>
      <c r="M434" s="60" t="str">
        <f>IFERROR((#REF!/1.18)*1000,"")</f>
        <v/>
      </c>
    </row>
    <row r="435" spans="1:13" hidden="1" outlineLevel="1" x14ac:dyDescent="0.55000000000000004">
      <c r="A435" s="165"/>
      <c r="B435" s="35">
        <f t="shared" si="48"/>
        <v>25</v>
      </c>
      <c r="C435" s="36" t="str">
        <f t="shared" si="43"/>
        <v>82017</v>
      </c>
      <c r="D435" s="44">
        <f t="shared" si="49"/>
        <v>42972</v>
      </c>
      <c r="E435" s="38">
        <v>3.4843999999999999</v>
      </c>
      <c r="F435" s="39">
        <v>407</v>
      </c>
      <c r="G435" s="33">
        <f t="shared" si="50"/>
        <v>1418.1507999999999</v>
      </c>
      <c r="H435" s="33"/>
      <c r="I435" s="33">
        <f t="shared" si="45"/>
        <v>1427.32458</v>
      </c>
      <c r="J435" s="33"/>
      <c r="K435" s="33" t="e">
        <f t="shared" si="44"/>
        <v>#DIV/0!</v>
      </c>
      <c r="L435" s="59" t="e">
        <f t="shared" si="46"/>
        <v>#DIV/0!</v>
      </c>
      <c r="M435" s="60" t="str">
        <f>IFERROR((#REF!/1.18)*1000,"")</f>
        <v/>
      </c>
    </row>
    <row r="436" spans="1:13" hidden="1" outlineLevel="1" x14ac:dyDescent="0.55000000000000004">
      <c r="A436" s="165"/>
      <c r="B436" s="35">
        <f t="shared" si="48"/>
        <v>28</v>
      </c>
      <c r="C436" s="36" t="str">
        <f t="shared" si="43"/>
        <v>82017</v>
      </c>
      <c r="D436" s="44">
        <f t="shared" si="49"/>
        <v>42975</v>
      </c>
      <c r="E436" s="38">
        <v>3.4508000000000001</v>
      </c>
      <c r="F436" s="39">
        <v>407</v>
      </c>
      <c r="G436" s="33">
        <f t="shared" si="50"/>
        <v>1404.4756</v>
      </c>
      <c r="H436" s="33"/>
      <c r="I436" s="33">
        <f t="shared" si="45"/>
        <v>1423.8080999999997</v>
      </c>
      <c r="J436" s="33"/>
      <c r="K436" s="33" t="e">
        <f t="shared" si="44"/>
        <v>#DIV/0!</v>
      </c>
      <c r="L436" s="59" t="e">
        <f t="shared" si="46"/>
        <v>#DIV/0!</v>
      </c>
      <c r="M436" s="60" t="str">
        <f>IFERROR((#REF!/1.18)*1000,"")</f>
        <v/>
      </c>
    </row>
    <row r="437" spans="1:13" hidden="1" outlineLevel="1" x14ac:dyDescent="0.55000000000000004">
      <c r="A437" s="165"/>
      <c r="B437" s="35">
        <f t="shared" si="48"/>
        <v>29</v>
      </c>
      <c r="C437" s="36" t="str">
        <f t="shared" si="43"/>
        <v>82017</v>
      </c>
      <c r="D437" s="44">
        <f t="shared" si="49"/>
        <v>42976</v>
      </c>
      <c r="E437" s="38">
        <v>3.4472</v>
      </c>
      <c r="F437" s="39">
        <v>407</v>
      </c>
      <c r="G437" s="33">
        <f t="shared" si="50"/>
        <v>1403.0104000000001</v>
      </c>
      <c r="H437" s="33"/>
      <c r="I437" s="33">
        <f t="shared" si="45"/>
        <v>1418.4031399999999</v>
      </c>
      <c r="J437" s="33"/>
      <c r="K437" s="33" t="e">
        <f t="shared" si="44"/>
        <v>#DIV/0!</v>
      </c>
      <c r="L437" s="59" t="e">
        <f t="shared" si="46"/>
        <v>#DIV/0!</v>
      </c>
      <c r="M437" s="60" t="str">
        <f>IFERROR((#REF!/1.18)*1000,"")</f>
        <v/>
      </c>
    </row>
    <row r="438" spans="1:13" hidden="1" outlineLevel="1" x14ac:dyDescent="0.55000000000000004">
      <c r="A438" s="165"/>
      <c r="B438" s="35">
        <f t="shared" si="48"/>
        <v>30</v>
      </c>
      <c r="C438" s="36" t="str">
        <f t="shared" si="43"/>
        <v>82017</v>
      </c>
      <c r="D438" s="44">
        <f t="shared" si="49"/>
        <v>42977</v>
      </c>
      <c r="E438" s="38">
        <v>3.4472</v>
      </c>
      <c r="F438" s="39">
        <v>407</v>
      </c>
      <c r="G438" s="33">
        <f t="shared" si="50"/>
        <v>1403.0104000000001</v>
      </c>
      <c r="H438" s="33"/>
      <c r="I438" s="33">
        <f t="shared" si="45"/>
        <v>1413.8121799999999</v>
      </c>
      <c r="J438" s="33"/>
      <c r="K438" s="33" t="e">
        <f t="shared" si="44"/>
        <v>#DIV/0!</v>
      </c>
      <c r="L438" s="59" t="e">
        <f t="shared" si="46"/>
        <v>#DIV/0!</v>
      </c>
      <c r="M438" s="60" t="str">
        <f>IFERROR((#REF!/1.18)*1000,"")</f>
        <v/>
      </c>
    </row>
    <row r="439" spans="1:13" ht="14.7" hidden="1" outlineLevel="1" thickBot="1" x14ac:dyDescent="0.6">
      <c r="A439" s="166"/>
      <c r="B439" s="35">
        <f t="shared" si="48"/>
        <v>31</v>
      </c>
      <c r="C439" s="36" t="str">
        <f t="shared" si="43"/>
        <v>82017</v>
      </c>
      <c r="D439" s="53">
        <f t="shared" si="49"/>
        <v>42978</v>
      </c>
      <c r="E439" s="38">
        <v>3.4472</v>
      </c>
      <c r="F439" s="39">
        <v>407</v>
      </c>
      <c r="G439" s="33">
        <f t="shared" si="50"/>
        <v>1403.0104000000001</v>
      </c>
      <c r="H439" s="33"/>
      <c r="I439" s="33">
        <f t="shared" si="45"/>
        <v>1409.3596</v>
      </c>
      <c r="J439" s="33"/>
      <c r="K439" s="33" t="e">
        <f t="shared" si="44"/>
        <v>#DIV/0!</v>
      </c>
      <c r="L439" s="59" t="e">
        <f t="shared" si="46"/>
        <v>#DIV/0!</v>
      </c>
      <c r="M439" s="60" t="str">
        <f>IFERROR((#REF!/1.18)*1000,"")</f>
        <v/>
      </c>
    </row>
    <row r="440" spans="1:13" hidden="1" outlineLevel="1" x14ac:dyDescent="0.55000000000000004">
      <c r="A440" s="164" t="s">
        <v>101</v>
      </c>
      <c r="B440" s="35">
        <f t="shared" si="48"/>
        <v>1</v>
      </c>
      <c r="C440" s="36" t="str">
        <f t="shared" si="43"/>
        <v>92017</v>
      </c>
      <c r="D440" s="37">
        <f t="shared" si="49"/>
        <v>42979</v>
      </c>
      <c r="E440" s="38">
        <v>3.4472</v>
      </c>
      <c r="F440" s="39">
        <v>475</v>
      </c>
      <c r="G440" s="33">
        <f t="shared" si="50"/>
        <v>1637.42</v>
      </c>
      <c r="H440" s="33"/>
      <c r="I440" s="33">
        <f t="shared" si="45"/>
        <v>1406.3315200000002</v>
      </c>
      <c r="J440" s="33"/>
      <c r="K440" s="33" t="e">
        <f t="shared" si="44"/>
        <v>#DIV/0!</v>
      </c>
      <c r="L440" s="59" t="e">
        <f t="shared" si="46"/>
        <v>#DIV/0!</v>
      </c>
      <c r="M440" s="60" t="str">
        <f>IFERROR((#REF!/1.18)*1000,"")</f>
        <v/>
      </c>
    </row>
    <row r="441" spans="1:13" hidden="1" outlineLevel="1" x14ac:dyDescent="0.55000000000000004">
      <c r="A441" s="165"/>
      <c r="B441" s="35">
        <f t="shared" si="48"/>
        <v>4</v>
      </c>
      <c r="C441" s="36" t="str">
        <f t="shared" si="43"/>
        <v>92017</v>
      </c>
      <c r="D441" s="44">
        <f t="shared" si="49"/>
        <v>42982</v>
      </c>
      <c r="E441" s="38">
        <v>3.4472</v>
      </c>
      <c r="F441" s="39">
        <v>475</v>
      </c>
      <c r="G441" s="33">
        <f t="shared" si="50"/>
        <v>1637.42</v>
      </c>
      <c r="H441" s="33"/>
      <c r="I441" s="33">
        <f t="shared" si="45"/>
        <v>1450.1853599999999</v>
      </c>
      <c r="J441" s="33"/>
      <c r="K441" s="33" t="e">
        <f t="shared" si="44"/>
        <v>#DIV/0!</v>
      </c>
      <c r="L441" s="59" t="e">
        <f t="shared" si="46"/>
        <v>#DIV/0!</v>
      </c>
      <c r="M441" s="60" t="str">
        <f>IFERROR((#REF!/1.18)*1000,"")</f>
        <v/>
      </c>
    </row>
    <row r="442" spans="1:13" hidden="1" outlineLevel="1" x14ac:dyDescent="0.55000000000000004">
      <c r="A442" s="165"/>
      <c r="B442" s="35">
        <f t="shared" si="48"/>
        <v>5</v>
      </c>
      <c r="C442" s="36" t="str">
        <f t="shared" si="43"/>
        <v>92017</v>
      </c>
      <c r="D442" s="44">
        <f t="shared" si="49"/>
        <v>42983</v>
      </c>
      <c r="E442" s="38">
        <v>3.4453999999999998</v>
      </c>
      <c r="F442" s="39">
        <v>475</v>
      </c>
      <c r="G442" s="33">
        <f t="shared" si="50"/>
        <v>1636.5649999999998</v>
      </c>
      <c r="H442" s="33"/>
      <c r="I442" s="33">
        <f t="shared" si="45"/>
        <v>1496.7742400000002</v>
      </c>
      <c r="J442" s="33"/>
      <c r="K442" s="33" t="e">
        <f t="shared" si="44"/>
        <v>#DIV/0!</v>
      </c>
      <c r="L442" s="59" t="e">
        <f t="shared" si="46"/>
        <v>#DIV/0!</v>
      </c>
      <c r="M442" s="60" t="str">
        <f>IFERROR((#REF!/1.18)*1000,"")</f>
        <v/>
      </c>
    </row>
    <row r="443" spans="1:13" hidden="1" outlineLevel="1" x14ac:dyDescent="0.55000000000000004">
      <c r="A443" s="165"/>
      <c r="B443" s="35">
        <f t="shared" si="48"/>
        <v>6</v>
      </c>
      <c r="C443" s="36" t="str">
        <f t="shared" si="43"/>
        <v>92017</v>
      </c>
      <c r="D443" s="44">
        <f t="shared" si="49"/>
        <v>42984</v>
      </c>
      <c r="E443" s="38">
        <v>3.4460000000000002</v>
      </c>
      <c r="F443" s="39">
        <v>475</v>
      </c>
      <c r="G443" s="33">
        <f t="shared" si="50"/>
        <v>1636.8500000000001</v>
      </c>
      <c r="H443" s="33"/>
      <c r="I443" s="33">
        <f t="shared" si="45"/>
        <v>1543.48516</v>
      </c>
      <c r="J443" s="33"/>
      <c r="K443" s="33" t="e">
        <f t="shared" si="44"/>
        <v>#DIV/0!</v>
      </c>
      <c r="L443" s="59" t="e">
        <f t="shared" si="46"/>
        <v>#DIV/0!</v>
      </c>
      <c r="M443" s="60" t="str">
        <f>IFERROR((#REF!/1.18)*1000,"")</f>
        <v/>
      </c>
    </row>
    <row r="444" spans="1:13" hidden="1" outlineLevel="1" x14ac:dyDescent="0.55000000000000004">
      <c r="A444" s="165"/>
      <c r="B444" s="35">
        <f t="shared" si="48"/>
        <v>7</v>
      </c>
      <c r="C444" s="36" t="str">
        <f t="shared" si="43"/>
        <v>92017</v>
      </c>
      <c r="D444" s="44">
        <f t="shared" si="49"/>
        <v>42985</v>
      </c>
      <c r="E444" s="38">
        <v>3.4266000000000001</v>
      </c>
      <c r="F444" s="39">
        <v>475</v>
      </c>
      <c r="G444" s="33">
        <f t="shared" si="50"/>
        <v>1627.635</v>
      </c>
      <c r="H444" s="33"/>
      <c r="I444" s="33">
        <f t="shared" si="45"/>
        <v>1590.25308</v>
      </c>
      <c r="J444" s="33"/>
      <c r="K444" s="33" t="e">
        <f t="shared" si="44"/>
        <v>#DIV/0!</v>
      </c>
      <c r="L444" s="59" t="e">
        <f t="shared" si="46"/>
        <v>#DIV/0!</v>
      </c>
      <c r="M444" s="60" t="str">
        <f>IFERROR((#REF!/1.18)*1000,"")</f>
        <v/>
      </c>
    </row>
    <row r="445" spans="1:13" hidden="1" outlineLevel="1" x14ac:dyDescent="0.55000000000000004">
      <c r="A445" s="165"/>
      <c r="B445" s="35">
        <f t="shared" si="48"/>
        <v>8</v>
      </c>
      <c r="C445" s="36" t="str">
        <f t="shared" si="43"/>
        <v>92017</v>
      </c>
      <c r="D445" s="44">
        <f t="shared" si="49"/>
        <v>42986</v>
      </c>
      <c r="E445" s="38">
        <v>3.4123000000000001</v>
      </c>
      <c r="F445" s="39">
        <v>475</v>
      </c>
      <c r="G445" s="33">
        <f t="shared" si="50"/>
        <v>1620.8425</v>
      </c>
      <c r="H445" s="33"/>
      <c r="I445" s="33">
        <f t="shared" si="45"/>
        <v>1635.1780000000001</v>
      </c>
      <c r="J445" s="33"/>
      <c r="K445" s="33" t="e">
        <f t="shared" si="44"/>
        <v>#DIV/0!</v>
      </c>
      <c r="L445" s="59" t="e">
        <f t="shared" si="46"/>
        <v>#DIV/0!</v>
      </c>
      <c r="M445" s="60" t="str">
        <f>IFERROR((#REF!/1.18)*1000,"")</f>
        <v/>
      </c>
    </row>
    <row r="446" spans="1:13" hidden="1" outlineLevel="1" x14ac:dyDescent="0.55000000000000004">
      <c r="A446" s="165"/>
      <c r="B446" s="35">
        <f t="shared" si="48"/>
        <v>11</v>
      </c>
      <c r="C446" s="36" t="str">
        <f t="shared" si="43"/>
        <v>92017</v>
      </c>
      <c r="D446" s="44">
        <f t="shared" si="49"/>
        <v>42989</v>
      </c>
      <c r="E446" s="38">
        <v>3.4026000000000001</v>
      </c>
      <c r="F446" s="39">
        <v>475</v>
      </c>
      <c r="G446" s="33">
        <f t="shared" si="50"/>
        <v>1616.2350000000001</v>
      </c>
      <c r="H446" s="33"/>
      <c r="I446" s="33">
        <f t="shared" si="45"/>
        <v>1631.8625</v>
      </c>
      <c r="J446" s="33"/>
      <c r="K446" s="33" t="e">
        <f t="shared" si="44"/>
        <v>#DIV/0!</v>
      </c>
      <c r="L446" s="59" t="e">
        <f t="shared" si="46"/>
        <v>#DIV/0!</v>
      </c>
      <c r="M446" s="60" t="str">
        <f>IFERROR((#REF!/1.18)*1000,"")</f>
        <v/>
      </c>
    </row>
    <row r="447" spans="1:13" hidden="1" outlineLevel="1" x14ac:dyDescent="0.55000000000000004">
      <c r="A447" s="165"/>
      <c r="B447" s="35">
        <f t="shared" si="48"/>
        <v>12</v>
      </c>
      <c r="C447" s="36" t="str">
        <f t="shared" si="43"/>
        <v>92017</v>
      </c>
      <c r="D447" s="44">
        <f t="shared" si="49"/>
        <v>42990</v>
      </c>
      <c r="E447" s="38">
        <v>3.4325999999999999</v>
      </c>
      <c r="F447" s="39">
        <v>475</v>
      </c>
      <c r="G447" s="33">
        <f t="shared" si="50"/>
        <v>1630.4849999999999</v>
      </c>
      <c r="H447" s="33"/>
      <c r="I447" s="33">
        <f t="shared" si="45"/>
        <v>1627.6255000000001</v>
      </c>
      <c r="J447" s="33"/>
      <c r="K447" s="33" t="e">
        <f t="shared" si="44"/>
        <v>#DIV/0!</v>
      </c>
      <c r="L447" s="59" t="e">
        <f t="shared" si="46"/>
        <v>#DIV/0!</v>
      </c>
      <c r="M447" s="60" t="str">
        <f>IFERROR((#REF!/1.18)*1000,"")</f>
        <v/>
      </c>
    </row>
    <row r="448" spans="1:13" hidden="1" outlineLevel="1" x14ac:dyDescent="0.55000000000000004">
      <c r="A448" s="165"/>
      <c r="B448" s="35">
        <f t="shared" si="48"/>
        <v>13</v>
      </c>
      <c r="C448" s="36" t="str">
        <f t="shared" si="43"/>
        <v>92017</v>
      </c>
      <c r="D448" s="44">
        <f t="shared" si="49"/>
        <v>42991</v>
      </c>
      <c r="E448" s="38">
        <v>3.4401999999999999</v>
      </c>
      <c r="F448" s="39">
        <v>475</v>
      </c>
      <c r="G448" s="33">
        <f t="shared" si="50"/>
        <v>1634.095</v>
      </c>
      <c r="H448" s="33"/>
      <c r="I448" s="33">
        <f t="shared" si="45"/>
        <v>1626.4095</v>
      </c>
      <c r="J448" s="33"/>
      <c r="K448" s="33" t="e">
        <f t="shared" si="44"/>
        <v>#DIV/0!</v>
      </c>
      <c r="L448" s="59" t="e">
        <f t="shared" si="46"/>
        <v>#DIV/0!</v>
      </c>
      <c r="M448" s="60" t="str">
        <f>IFERROR((#REF!/1.18)*1000,"")</f>
        <v/>
      </c>
    </row>
    <row r="449" spans="1:13" hidden="1" outlineLevel="1" x14ac:dyDescent="0.55000000000000004">
      <c r="A449" s="165"/>
      <c r="B449" s="35">
        <f t="shared" si="48"/>
        <v>14</v>
      </c>
      <c r="C449" s="36" t="str">
        <f t="shared" si="43"/>
        <v>92017</v>
      </c>
      <c r="D449" s="44">
        <f t="shared" si="49"/>
        <v>42992</v>
      </c>
      <c r="E449" s="38">
        <v>3.4605999999999999</v>
      </c>
      <c r="F449" s="39">
        <v>475</v>
      </c>
      <c r="G449" s="33">
        <f t="shared" si="50"/>
        <v>1643.7849999999999</v>
      </c>
      <c r="H449" s="33"/>
      <c r="I449" s="33">
        <f t="shared" si="45"/>
        <v>1625.8584999999998</v>
      </c>
      <c r="J449" s="33"/>
      <c r="K449" s="33" t="e">
        <f t="shared" si="44"/>
        <v>#DIV/0!</v>
      </c>
      <c r="L449" s="59" t="e">
        <f t="shared" si="46"/>
        <v>#DIV/0!</v>
      </c>
      <c r="M449" s="60" t="str">
        <f>IFERROR((#REF!/1.18)*1000,"")</f>
        <v/>
      </c>
    </row>
    <row r="450" spans="1:13" hidden="1" outlineLevel="1" x14ac:dyDescent="0.55000000000000004">
      <c r="A450" s="165"/>
      <c r="B450" s="35">
        <f t="shared" si="48"/>
        <v>15</v>
      </c>
      <c r="C450" s="36" t="str">
        <f t="shared" ref="C450:C513" si="51">IF(F450&gt;0,MONTH(D450)&amp;YEAR(D450),"")</f>
        <v>92017</v>
      </c>
      <c r="D450" s="44">
        <f t="shared" si="49"/>
        <v>42993</v>
      </c>
      <c r="E450" s="38">
        <v>3.4384000000000001</v>
      </c>
      <c r="F450" s="39">
        <v>475</v>
      </c>
      <c r="G450" s="33">
        <f t="shared" si="50"/>
        <v>1633.24</v>
      </c>
      <c r="H450" s="33"/>
      <c r="I450" s="33">
        <f t="shared" si="45"/>
        <v>1629.0885000000001</v>
      </c>
      <c r="J450" s="33"/>
      <c r="K450" s="33" t="e">
        <f t="shared" si="44"/>
        <v>#DIV/0!</v>
      </c>
      <c r="L450" s="59" t="e">
        <f t="shared" si="46"/>
        <v>#DIV/0!</v>
      </c>
      <c r="M450" s="60" t="str">
        <f>IFERROR((#REF!/1.18)*1000,"")</f>
        <v/>
      </c>
    </row>
    <row r="451" spans="1:13" hidden="1" outlineLevel="1" x14ac:dyDescent="0.55000000000000004">
      <c r="A451" s="165"/>
      <c r="B451" s="35">
        <f t="shared" si="48"/>
        <v>18</v>
      </c>
      <c r="C451" s="36" t="str">
        <f t="shared" si="51"/>
        <v>92017</v>
      </c>
      <c r="D451" s="44">
        <f t="shared" si="49"/>
        <v>42996</v>
      </c>
      <c r="E451" s="38">
        <v>3.4598</v>
      </c>
      <c r="F451" s="39">
        <v>475</v>
      </c>
      <c r="G451" s="33">
        <f t="shared" si="50"/>
        <v>1643.405</v>
      </c>
      <c r="H451" s="33"/>
      <c r="I451" s="33">
        <f t="shared" si="45"/>
        <v>1631.568</v>
      </c>
      <c r="J451" s="33"/>
      <c r="K451" s="33" t="e">
        <f t="shared" si="44"/>
        <v>#DIV/0!</v>
      </c>
      <c r="L451" s="59" t="e">
        <f t="shared" si="46"/>
        <v>#DIV/0!</v>
      </c>
      <c r="M451" s="60" t="str">
        <f>IFERROR((#REF!/1.18)*1000,"")</f>
        <v/>
      </c>
    </row>
    <row r="452" spans="1:13" hidden="1" outlineLevel="1" x14ac:dyDescent="0.55000000000000004">
      <c r="A452" s="165"/>
      <c r="B452" s="35">
        <f t="shared" si="48"/>
        <v>19</v>
      </c>
      <c r="C452" s="36" t="str">
        <f t="shared" si="51"/>
        <v>92017</v>
      </c>
      <c r="D452" s="44">
        <f t="shared" si="49"/>
        <v>42997</v>
      </c>
      <c r="E452" s="38">
        <v>3.4963000000000002</v>
      </c>
      <c r="F452" s="39">
        <v>475</v>
      </c>
      <c r="G452" s="33">
        <f t="shared" si="50"/>
        <v>1660.7425000000001</v>
      </c>
      <c r="H452" s="33"/>
      <c r="I452" s="33">
        <f t="shared" si="45"/>
        <v>1637.002</v>
      </c>
      <c r="J452" s="33"/>
      <c r="K452" s="33" t="e">
        <f t="shared" si="44"/>
        <v>#DIV/0!</v>
      </c>
      <c r="L452" s="59" t="e">
        <f t="shared" si="46"/>
        <v>#DIV/0!</v>
      </c>
      <c r="M452" s="60" t="str">
        <f>IFERROR((#REF!/1.18)*1000,"")</f>
        <v/>
      </c>
    </row>
    <row r="453" spans="1:13" hidden="1" outlineLevel="1" x14ac:dyDescent="0.55000000000000004">
      <c r="A453" s="165"/>
      <c r="B453" s="35">
        <f t="shared" si="48"/>
        <v>20</v>
      </c>
      <c r="C453" s="36" t="str">
        <f t="shared" si="51"/>
        <v>92017</v>
      </c>
      <c r="D453" s="44">
        <f t="shared" si="49"/>
        <v>42998</v>
      </c>
      <c r="E453" s="38">
        <v>3.4820000000000002</v>
      </c>
      <c r="F453" s="39">
        <v>475</v>
      </c>
      <c r="G453" s="33">
        <f t="shared" si="50"/>
        <v>1653.95</v>
      </c>
      <c r="H453" s="33"/>
      <c r="I453" s="33">
        <f t="shared" si="45"/>
        <v>1643.0535</v>
      </c>
      <c r="J453" s="33"/>
      <c r="K453" s="33" t="e">
        <f t="shared" si="44"/>
        <v>#DIV/0!</v>
      </c>
      <c r="L453" s="59" t="e">
        <f t="shared" si="46"/>
        <v>#DIV/0!</v>
      </c>
      <c r="M453" s="60" t="str">
        <f>IFERROR((#REF!/1.18)*1000,"")</f>
        <v/>
      </c>
    </row>
    <row r="454" spans="1:13" hidden="1" outlineLevel="1" x14ac:dyDescent="0.55000000000000004">
      <c r="A454" s="165"/>
      <c r="B454" s="35">
        <f t="shared" si="48"/>
        <v>21</v>
      </c>
      <c r="C454" s="36" t="str">
        <f t="shared" si="51"/>
        <v>92017</v>
      </c>
      <c r="D454" s="44">
        <f t="shared" si="49"/>
        <v>42999</v>
      </c>
      <c r="E454" s="38">
        <v>3.5152999999999999</v>
      </c>
      <c r="F454" s="39">
        <v>475</v>
      </c>
      <c r="G454" s="33">
        <f t="shared" si="50"/>
        <v>1669.7674999999999</v>
      </c>
      <c r="H454" s="33"/>
      <c r="I454" s="33">
        <f t="shared" si="45"/>
        <v>1647.0245</v>
      </c>
      <c r="J454" s="33"/>
      <c r="K454" s="33" t="e">
        <f t="shared" si="44"/>
        <v>#DIV/0!</v>
      </c>
      <c r="L454" s="59" t="e">
        <f t="shared" si="46"/>
        <v>#DIV/0!</v>
      </c>
      <c r="M454" s="60" t="str">
        <f>IFERROR((#REF!/1.18)*1000,"")</f>
        <v/>
      </c>
    </row>
    <row r="455" spans="1:13" hidden="1" outlineLevel="1" x14ac:dyDescent="0.55000000000000004">
      <c r="A455" s="165"/>
      <c r="B455" s="35">
        <f t="shared" si="48"/>
        <v>22</v>
      </c>
      <c r="C455" s="36" t="str">
        <f t="shared" si="51"/>
        <v>92017</v>
      </c>
      <c r="D455" s="44">
        <f t="shared" si="49"/>
        <v>43000</v>
      </c>
      <c r="E455" s="38">
        <v>3.4925000000000002</v>
      </c>
      <c r="F455" s="39">
        <v>475</v>
      </c>
      <c r="G455" s="33">
        <f t="shared" si="50"/>
        <v>1658.9375</v>
      </c>
      <c r="H455" s="33"/>
      <c r="I455" s="33">
        <f t="shared" si="45"/>
        <v>1652.221</v>
      </c>
      <c r="J455" s="33"/>
      <c r="K455" s="33" t="e">
        <f t="shared" ref="K455:K518" si="52">IF(L454&gt;3%,G453,IF(L454&lt;-3%,G453,K454))</f>
        <v>#DIV/0!</v>
      </c>
      <c r="L455" s="59" t="e">
        <f t="shared" si="46"/>
        <v>#DIV/0!</v>
      </c>
      <c r="M455" s="60" t="str">
        <f>IFERROR((#REF!/1.18)*1000,"")</f>
        <v/>
      </c>
    </row>
    <row r="456" spans="1:13" hidden="1" outlineLevel="1" x14ac:dyDescent="0.55000000000000004">
      <c r="A456" s="165"/>
      <c r="B456" s="35">
        <f t="shared" si="48"/>
        <v>25</v>
      </c>
      <c r="C456" s="36" t="str">
        <f t="shared" si="51"/>
        <v>92017</v>
      </c>
      <c r="D456" s="44">
        <f t="shared" si="49"/>
        <v>43003</v>
      </c>
      <c r="E456" s="38">
        <v>3.5225</v>
      </c>
      <c r="F456" s="39">
        <v>475</v>
      </c>
      <c r="G456" s="33">
        <f t="shared" si="50"/>
        <v>1673.1875</v>
      </c>
      <c r="H456" s="33"/>
      <c r="I456" s="33">
        <f t="shared" ref="I456:I519" si="53">IF(M455&lt;&gt;"",AVERAGE(G455),IF(M454&lt;&gt;"",AVERAGE(G454:G455),IF(M453&lt;&gt;"",AVERAGE(G453:G455),IF(M452&lt;&gt;"",AVERAGE(G452:G455),AVERAGE(G451:G455)))))</f>
        <v>1657.3605</v>
      </c>
      <c r="J456" s="33"/>
      <c r="K456" s="33" t="e">
        <f t="shared" si="52"/>
        <v>#DIV/0!</v>
      </c>
      <c r="L456" s="59" t="e">
        <f t="shared" si="46"/>
        <v>#DIV/0!</v>
      </c>
      <c r="M456" s="60" t="str">
        <f>IFERROR((#REF!/1.18)*1000,"")</f>
        <v/>
      </c>
    </row>
    <row r="457" spans="1:13" hidden="1" outlineLevel="1" x14ac:dyDescent="0.55000000000000004">
      <c r="A457" s="165"/>
      <c r="B457" s="35">
        <f t="shared" si="48"/>
        <v>26</v>
      </c>
      <c r="C457" s="36" t="str">
        <f t="shared" si="51"/>
        <v>92017</v>
      </c>
      <c r="D457" s="44">
        <f t="shared" si="49"/>
        <v>43004</v>
      </c>
      <c r="E457" s="38">
        <v>3.5407999999999999</v>
      </c>
      <c r="F457" s="39">
        <v>475</v>
      </c>
      <c r="G457" s="33">
        <f t="shared" si="50"/>
        <v>1681.8799999999999</v>
      </c>
      <c r="H457" s="33"/>
      <c r="I457" s="33">
        <f t="shared" si="53"/>
        <v>1663.3169999999998</v>
      </c>
      <c r="J457" s="33"/>
      <c r="K457" s="33" t="e">
        <f t="shared" si="52"/>
        <v>#DIV/0!</v>
      </c>
      <c r="L457" s="59" t="e">
        <f t="shared" si="46"/>
        <v>#DIV/0!</v>
      </c>
      <c r="M457" s="60" t="str">
        <f>IFERROR((#REF!/1.18)*1000,"")</f>
        <v/>
      </c>
    </row>
    <row r="458" spans="1:13" hidden="1" outlineLevel="1" x14ac:dyDescent="0.55000000000000004">
      <c r="A458" s="165"/>
      <c r="B458" s="35">
        <f t="shared" si="48"/>
        <v>27</v>
      </c>
      <c r="C458" s="36" t="str">
        <f t="shared" si="51"/>
        <v>92017</v>
      </c>
      <c r="D458" s="44">
        <f t="shared" si="49"/>
        <v>43005</v>
      </c>
      <c r="E458" s="38">
        <v>3.5720999999999998</v>
      </c>
      <c r="F458" s="39">
        <v>475</v>
      </c>
      <c r="G458" s="33">
        <f t="shared" si="50"/>
        <v>1696.7474999999999</v>
      </c>
      <c r="H458" s="33"/>
      <c r="I458" s="33">
        <f t="shared" si="53"/>
        <v>1667.5445</v>
      </c>
      <c r="J458" s="33"/>
      <c r="K458" s="33" t="e">
        <f t="shared" si="52"/>
        <v>#DIV/0!</v>
      </c>
      <c r="L458" s="59" t="e">
        <f t="shared" si="46"/>
        <v>#DIV/0!</v>
      </c>
      <c r="M458" s="60" t="str">
        <f>IFERROR((#REF!/1.18)*1000,"")</f>
        <v/>
      </c>
    </row>
    <row r="459" spans="1:13" hidden="1" outlineLevel="1" x14ac:dyDescent="0.55000000000000004">
      <c r="A459" s="165"/>
      <c r="B459" s="35">
        <f t="shared" si="48"/>
        <v>28</v>
      </c>
      <c r="C459" s="36" t="str">
        <f t="shared" si="51"/>
        <v>92017</v>
      </c>
      <c r="D459" s="44">
        <f t="shared" si="49"/>
        <v>43006</v>
      </c>
      <c r="E459" s="38">
        <v>3.5783999999999998</v>
      </c>
      <c r="F459" s="39">
        <v>475</v>
      </c>
      <c r="G459" s="33">
        <f t="shared" si="50"/>
        <v>1699.74</v>
      </c>
      <c r="H459" s="33"/>
      <c r="I459" s="33">
        <f t="shared" si="53"/>
        <v>1676.104</v>
      </c>
      <c r="J459" s="33"/>
      <c r="K459" s="33" t="e">
        <f t="shared" si="52"/>
        <v>#DIV/0!</v>
      </c>
      <c r="L459" s="59" t="e">
        <f t="shared" si="46"/>
        <v>#DIV/0!</v>
      </c>
      <c r="M459" s="60" t="str">
        <f>IFERROR((#REF!/1.18)*1000,"")</f>
        <v/>
      </c>
    </row>
    <row r="460" spans="1:13" ht="14.7" hidden="1" outlineLevel="1" thickBot="1" x14ac:dyDescent="0.6">
      <c r="A460" s="166"/>
      <c r="B460" s="35">
        <f t="shared" si="48"/>
        <v>29</v>
      </c>
      <c r="C460" s="36" t="str">
        <f t="shared" si="51"/>
        <v>92017</v>
      </c>
      <c r="D460" s="53">
        <f t="shared" si="49"/>
        <v>43007</v>
      </c>
      <c r="E460" s="38">
        <v>3.5585</v>
      </c>
      <c r="F460" s="39">
        <v>475</v>
      </c>
      <c r="G460" s="33">
        <f t="shared" si="50"/>
        <v>1690.2874999999999</v>
      </c>
      <c r="H460" s="33"/>
      <c r="I460" s="33">
        <f t="shared" si="53"/>
        <v>1682.0985000000001</v>
      </c>
      <c r="J460" s="33"/>
      <c r="K460" s="33" t="e">
        <f t="shared" si="52"/>
        <v>#DIV/0!</v>
      </c>
      <c r="L460" s="59" t="e">
        <f t="shared" ref="L460:L523" si="54">(I460-K460)/K460</f>
        <v>#DIV/0!</v>
      </c>
      <c r="M460" s="60" t="str">
        <f>IFERROR((#REF!/1.18)*1000,"")</f>
        <v/>
      </c>
    </row>
    <row r="461" spans="1:13" collapsed="1" x14ac:dyDescent="0.55000000000000004">
      <c r="A461" s="164" t="s">
        <v>102</v>
      </c>
      <c r="B461" s="35">
        <f t="shared" si="48"/>
        <v>2</v>
      </c>
      <c r="C461" s="36" t="str">
        <f t="shared" si="51"/>
        <v>102017</v>
      </c>
      <c r="D461" s="37">
        <f>WORKDAY(D460,1)</f>
        <v>43010</v>
      </c>
      <c r="E461" s="38">
        <v>3.5821999999999998</v>
      </c>
      <c r="F461" s="39">
        <v>521.5</v>
      </c>
      <c r="G461" s="33">
        <f t="shared" si="50"/>
        <v>1868.1172999999999</v>
      </c>
      <c r="H461" s="33"/>
      <c r="I461" s="33">
        <f t="shared" si="53"/>
        <v>1688.3685</v>
      </c>
      <c r="J461" s="33"/>
      <c r="K461" s="33" t="e">
        <f t="shared" si="52"/>
        <v>#DIV/0!</v>
      </c>
      <c r="L461" s="59" t="e">
        <f t="shared" si="54"/>
        <v>#DIV/0!</v>
      </c>
      <c r="M461" s="60" t="str">
        <f>IFERROR((#REF!/1.18)*1000,"")</f>
        <v/>
      </c>
    </row>
    <row r="462" spans="1:13" x14ac:dyDescent="0.55000000000000004">
      <c r="A462" s="165"/>
      <c r="B462" s="35">
        <f t="shared" si="48"/>
        <v>3</v>
      </c>
      <c r="C462" s="36" t="str">
        <f t="shared" si="51"/>
        <v>102017</v>
      </c>
      <c r="D462" s="44">
        <f t="shared" ref="D462:D480" si="55">WORKDAY(D461,1)</f>
        <v>43011</v>
      </c>
      <c r="E462" s="38">
        <v>3.5844999999999998</v>
      </c>
      <c r="F462" s="39">
        <v>521.5</v>
      </c>
      <c r="G462" s="33">
        <f t="shared" si="50"/>
        <v>1869.31675</v>
      </c>
      <c r="H462" s="33"/>
      <c r="I462" s="33">
        <f t="shared" si="53"/>
        <v>1727.3544599999998</v>
      </c>
      <c r="J462" s="33"/>
      <c r="K462" s="33" t="e">
        <f t="shared" si="52"/>
        <v>#DIV/0!</v>
      </c>
      <c r="L462" s="59" t="e">
        <f t="shared" si="54"/>
        <v>#DIV/0!</v>
      </c>
      <c r="M462" s="60" t="str">
        <f>IFERROR((#REF!/1.18)*1000,"")</f>
        <v/>
      </c>
    </row>
    <row r="463" spans="1:13" x14ac:dyDescent="0.55000000000000004">
      <c r="A463" s="165"/>
      <c r="B463" s="35">
        <f t="shared" si="48"/>
        <v>4</v>
      </c>
      <c r="C463" s="36" t="str">
        <f t="shared" si="51"/>
        <v>102017</v>
      </c>
      <c r="D463" s="44">
        <f t="shared" si="55"/>
        <v>43012</v>
      </c>
      <c r="E463" s="38">
        <v>3.5699000000000001</v>
      </c>
      <c r="F463" s="39">
        <v>521.5</v>
      </c>
      <c r="G463" s="33">
        <f t="shared" si="50"/>
        <v>1861.7028500000001</v>
      </c>
      <c r="H463" s="33"/>
      <c r="I463" s="33">
        <f t="shared" si="53"/>
        <v>1764.8418099999999</v>
      </c>
      <c r="J463" s="33"/>
      <c r="K463" s="33" t="e">
        <f t="shared" si="52"/>
        <v>#DIV/0!</v>
      </c>
      <c r="L463" s="59" t="e">
        <f t="shared" si="54"/>
        <v>#DIV/0!</v>
      </c>
      <c r="M463" s="60" t="str">
        <f>IFERROR((#REF!/1.18)*1000,"")</f>
        <v/>
      </c>
    </row>
    <row r="464" spans="1:13" x14ac:dyDescent="0.55000000000000004">
      <c r="A464" s="165"/>
      <c r="B464" s="35">
        <f t="shared" si="48"/>
        <v>5</v>
      </c>
      <c r="C464" s="36" t="str">
        <f t="shared" si="51"/>
        <v>102017</v>
      </c>
      <c r="D464" s="44">
        <f t="shared" si="55"/>
        <v>43013</v>
      </c>
      <c r="E464" s="38">
        <v>3.5749</v>
      </c>
      <c r="F464" s="39">
        <v>521.5</v>
      </c>
      <c r="G464" s="33">
        <f t="shared" si="50"/>
        <v>1864.31035</v>
      </c>
      <c r="H464" s="33"/>
      <c r="I464" s="33">
        <f t="shared" si="53"/>
        <v>1797.8328799999999</v>
      </c>
      <c r="J464" s="33"/>
      <c r="K464" s="33" t="e">
        <f t="shared" si="52"/>
        <v>#DIV/0!</v>
      </c>
      <c r="L464" s="59" t="e">
        <f t="shared" si="54"/>
        <v>#DIV/0!</v>
      </c>
      <c r="M464" s="60" t="str">
        <f>IFERROR((#REF!/1.18)*1000,"")</f>
        <v/>
      </c>
    </row>
    <row r="465" spans="1:13" x14ac:dyDescent="0.55000000000000004">
      <c r="A465" s="165"/>
      <c r="B465" s="35">
        <f t="shared" si="48"/>
        <v>6</v>
      </c>
      <c r="C465" s="36" t="str">
        <f t="shared" si="51"/>
        <v>102017</v>
      </c>
      <c r="D465" s="44">
        <f t="shared" si="55"/>
        <v>43014</v>
      </c>
      <c r="E465" s="38">
        <v>3.6105999999999998</v>
      </c>
      <c r="F465" s="39">
        <v>521.5</v>
      </c>
      <c r="G465" s="33">
        <f t="shared" si="50"/>
        <v>1882.9278999999999</v>
      </c>
      <c r="H465" s="33"/>
      <c r="I465" s="33">
        <f t="shared" si="53"/>
        <v>1830.74695</v>
      </c>
      <c r="J465" s="33"/>
      <c r="K465" s="33" t="e">
        <f t="shared" si="52"/>
        <v>#DIV/0!</v>
      </c>
      <c r="L465" s="59" t="e">
        <f t="shared" si="54"/>
        <v>#DIV/0!</v>
      </c>
      <c r="M465" s="60" t="str">
        <f>IFERROR((#REF!/1.18)*1000,"")</f>
        <v/>
      </c>
    </row>
    <row r="466" spans="1:13" x14ac:dyDescent="0.55000000000000004">
      <c r="A466" s="165"/>
      <c r="B466" s="35">
        <f t="shared" si="48"/>
        <v>9</v>
      </c>
      <c r="C466" s="36" t="str">
        <f t="shared" si="51"/>
        <v>102017</v>
      </c>
      <c r="D466" s="44">
        <f t="shared" si="55"/>
        <v>43017</v>
      </c>
      <c r="E466" s="38">
        <v>3.7025999999999999</v>
      </c>
      <c r="F466" s="39">
        <v>521.5</v>
      </c>
      <c r="G466" s="33">
        <f t="shared" si="50"/>
        <v>1930.9059</v>
      </c>
      <c r="H466" s="33"/>
      <c r="I466" s="33">
        <f t="shared" si="53"/>
        <v>1869.27503</v>
      </c>
      <c r="J466" s="33"/>
      <c r="K466" s="33" t="e">
        <f t="shared" si="52"/>
        <v>#DIV/0!</v>
      </c>
      <c r="L466" s="59" t="e">
        <f t="shared" si="54"/>
        <v>#DIV/0!</v>
      </c>
      <c r="M466" s="60" t="str">
        <f>IFERROR((#REF!/1.18)*1000,"")</f>
        <v/>
      </c>
    </row>
    <row r="467" spans="1:13" x14ac:dyDescent="0.55000000000000004">
      <c r="A467" s="165"/>
      <c r="B467" s="35">
        <f t="shared" si="48"/>
        <v>10</v>
      </c>
      <c r="C467" s="36" t="str">
        <f t="shared" si="51"/>
        <v>102017</v>
      </c>
      <c r="D467" s="44">
        <f t="shared" si="55"/>
        <v>43018</v>
      </c>
      <c r="E467" s="38">
        <v>3.6877</v>
      </c>
      <c r="F467" s="39">
        <v>521.5</v>
      </c>
      <c r="G467" s="33">
        <f t="shared" si="50"/>
        <v>1923.13555</v>
      </c>
      <c r="H467" s="33"/>
      <c r="I467" s="33">
        <f t="shared" si="53"/>
        <v>1881.83275</v>
      </c>
      <c r="J467" s="33"/>
      <c r="K467" s="33" t="e">
        <f t="shared" si="52"/>
        <v>#DIV/0!</v>
      </c>
      <c r="L467" s="59" t="e">
        <f t="shared" si="54"/>
        <v>#DIV/0!</v>
      </c>
      <c r="M467" s="60" t="str">
        <f>IFERROR((#REF!/1.18)*1000,"")</f>
        <v/>
      </c>
    </row>
    <row r="468" spans="1:13" x14ac:dyDescent="0.55000000000000004">
      <c r="A468" s="165"/>
      <c r="B468" s="35">
        <f t="shared" si="48"/>
        <v>11</v>
      </c>
      <c r="C468" s="36" t="str">
        <f t="shared" si="51"/>
        <v>102017</v>
      </c>
      <c r="D468" s="44">
        <f t="shared" si="55"/>
        <v>43019</v>
      </c>
      <c r="E468" s="38">
        <v>3.6819000000000002</v>
      </c>
      <c r="F468" s="39">
        <v>521.5</v>
      </c>
      <c r="G468" s="33">
        <f t="shared" si="50"/>
        <v>1920.11085</v>
      </c>
      <c r="H468" s="33"/>
      <c r="I468" s="33">
        <f t="shared" si="53"/>
        <v>1892.5965100000001</v>
      </c>
      <c r="J468" s="33"/>
      <c r="K468" s="33" t="e">
        <f t="shared" si="52"/>
        <v>#DIV/0!</v>
      </c>
      <c r="L468" s="59" t="e">
        <f t="shared" si="54"/>
        <v>#DIV/0!</v>
      </c>
      <c r="M468" s="60" t="str">
        <f>IFERROR((#REF!/1.18)*1000,"")</f>
        <v/>
      </c>
    </row>
    <row r="469" spans="1:13" x14ac:dyDescent="0.55000000000000004">
      <c r="A469" s="165"/>
      <c r="B469" s="35">
        <f t="shared" si="48"/>
        <v>12</v>
      </c>
      <c r="C469" s="36" t="str">
        <f t="shared" si="51"/>
        <v>102017</v>
      </c>
      <c r="D469" s="44">
        <f t="shared" si="55"/>
        <v>43020</v>
      </c>
      <c r="E469" s="38">
        <v>3.6514000000000002</v>
      </c>
      <c r="F469" s="39">
        <v>521.5</v>
      </c>
      <c r="G469" s="33">
        <f t="shared" si="50"/>
        <v>1904.2051000000001</v>
      </c>
      <c r="H469" s="33"/>
      <c r="I469" s="33">
        <f t="shared" si="53"/>
        <v>1904.27811</v>
      </c>
      <c r="J469" s="33"/>
      <c r="K469" s="33" t="e">
        <f t="shared" si="52"/>
        <v>#DIV/0!</v>
      </c>
      <c r="L469" s="59" t="e">
        <f t="shared" si="54"/>
        <v>#DIV/0!</v>
      </c>
      <c r="M469" s="60" t="str">
        <f>IFERROR((#REF!/1.18)*1000,"")</f>
        <v/>
      </c>
    </row>
    <row r="470" spans="1:13" x14ac:dyDescent="0.55000000000000004">
      <c r="A470" s="165"/>
      <c r="B470" s="35">
        <f t="shared" si="48"/>
        <v>13</v>
      </c>
      <c r="C470" s="36" t="str">
        <f t="shared" si="51"/>
        <v>102017</v>
      </c>
      <c r="D470" s="44">
        <f t="shared" si="55"/>
        <v>43021</v>
      </c>
      <c r="E470" s="38">
        <v>3.6543999999999999</v>
      </c>
      <c r="F470" s="39">
        <v>521.5</v>
      </c>
      <c r="G470" s="33">
        <f t="shared" si="50"/>
        <v>1905.7695999999999</v>
      </c>
      <c r="H470" s="33"/>
      <c r="I470" s="33">
        <f t="shared" si="53"/>
        <v>1912.2570599999999</v>
      </c>
      <c r="J470" s="33"/>
      <c r="K470" s="33" t="e">
        <f t="shared" si="52"/>
        <v>#DIV/0!</v>
      </c>
      <c r="L470" s="59" t="e">
        <f t="shared" si="54"/>
        <v>#DIV/0!</v>
      </c>
      <c r="M470" s="60" t="str">
        <f>IFERROR((#REF!/1.18)*1000,"")</f>
        <v/>
      </c>
    </row>
    <row r="471" spans="1:13" x14ac:dyDescent="0.55000000000000004">
      <c r="A471" s="165"/>
      <c r="B471" s="35">
        <f t="shared" ref="B471:B534" si="56">DAY(D471)</f>
        <v>16</v>
      </c>
      <c r="C471" s="36" t="str">
        <f t="shared" si="51"/>
        <v>102017</v>
      </c>
      <c r="D471" s="44">
        <f t="shared" si="55"/>
        <v>43024</v>
      </c>
      <c r="E471" s="38">
        <v>3.6467000000000001</v>
      </c>
      <c r="F471" s="39">
        <v>521.5</v>
      </c>
      <c r="G471" s="33">
        <f t="shared" si="50"/>
        <v>1901.75405</v>
      </c>
      <c r="H471" s="33"/>
      <c r="I471" s="33">
        <f t="shared" si="53"/>
        <v>1916.8254000000002</v>
      </c>
      <c r="J471" s="33"/>
      <c r="K471" s="33" t="e">
        <f t="shared" si="52"/>
        <v>#DIV/0!</v>
      </c>
      <c r="L471" s="59" t="e">
        <f t="shared" si="54"/>
        <v>#DIV/0!</v>
      </c>
      <c r="M471" s="60" t="str">
        <f>IFERROR((#REF!/1.18)*1000,"")</f>
        <v/>
      </c>
    </row>
    <row r="472" spans="1:13" x14ac:dyDescent="0.55000000000000004">
      <c r="A472" s="165"/>
      <c r="B472" s="35">
        <f t="shared" si="56"/>
        <v>17</v>
      </c>
      <c r="C472" s="36" t="str">
        <f t="shared" si="51"/>
        <v>102017</v>
      </c>
      <c r="D472" s="44">
        <f t="shared" si="55"/>
        <v>43025</v>
      </c>
      <c r="E472" s="38">
        <v>3.6612</v>
      </c>
      <c r="F472" s="39">
        <v>521.5</v>
      </c>
      <c r="G472" s="33">
        <f t="shared" si="50"/>
        <v>1909.3158000000001</v>
      </c>
      <c r="H472" s="33"/>
      <c r="I472" s="33">
        <f t="shared" si="53"/>
        <v>1910.99503</v>
      </c>
      <c r="J472" s="33"/>
      <c r="K472" s="33" t="e">
        <f t="shared" si="52"/>
        <v>#DIV/0!</v>
      </c>
      <c r="L472" s="59" t="e">
        <f t="shared" si="54"/>
        <v>#DIV/0!</v>
      </c>
      <c r="M472" s="60" t="str">
        <f>IFERROR((#REF!/1.18)*1000,"")</f>
        <v/>
      </c>
    </row>
    <row r="473" spans="1:13" x14ac:dyDescent="0.55000000000000004">
      <c r="A473" s="165"/>
      <c r="B473" s="35">
        <f t="shared" si="56"/>
        <v>18</v>
      </c>
      <c r="C473" s="36" t="str">
        <f t="shared" si="51"/>
        <v>102017</v>
      </c>
      <c r="D473" s="44">
        <f t="shared" si="55"/>
        <v>43026</v>
      </c>
      <c r="E473" s="38">
        <v>3.6815000000000002</v>
      </c>
      <c r="F473" s="39">
        <v>521.5</v>
      </c>
      <c r="G473" s="33">
        <f t="shared" si="50"/>
        <v>1919.9022500000001</v>
      </c>
      <c r="H473" s="33"/>
      <c r="I473" s="33">
        <f t="shared" si="53"/>
        <v>1908.23108</v>
      </c>
      <c r="J473" s="33"/>
      <c r="K473" s="33" t="e">
        <f t="shared" si="52"/>
        <v>#DIV/0!</v>
      </c>
      <c r="L473" s="59" t="e">
        <f t="shared" si="54"/>
        <v>#DIV/0!</v>
      </c>
      <c r="M473" s="60" t="str">
        <f>IFERROR((#REF!/1.18)*1000,"")</f>
        <v/>
      </c>
    </row>
    <row r="474" spans="1:13" x14ac:dyDescent="0.55000000000000004">
      <c r="A474" s="165"/>
      <c r="B474" s="35">
        <f t="shared" si="56"/>
        <v>19</v>
      </c>
      <c r="C474" s="36" t="str">
        <f t="shared" si="51"/>
        <v>102017</v>
      </c>
      <c r="D474" s="44">
        <f t="shared" si="55"/>
        <v>43027</v>
      </c>
      <c r="E474" s="38">
        <v>3.6665999999999999</v>
      </c>
      <c r="F474" s="39">
        <v>521.5</v>
      </c>
      <c r="G474" s="33">
        <f t="shared" si="50"/>
        <v>1912.1318999999999</v>
      </c>
      <c r="H474" s="33"/>
      <c r="I474" s="33">
        <f t="shared" si="53"/>
        <v>1908.1893600000003</v>
      </c>
      <c r="J474" s="33"/>
      <c r="K474" s="33" t="e">
        <f t="shared" si="52"/>
        <v>#DIV/0!</v>
      </c>
      <c r="L474" s="59" t="e">
        <f t="shared" si="54"/>
        <v>#DIV/0!</v>
      </c>
      <c r="M474" s="60" t="str">
        <f>IFERROR((#REF!/1.18)*1000,"")</f>
        <v/>
      </c>
    </row>
    <row r="475" spans="1:13" x14ac:dyDescent="0.55000000000000004">
      <c r="A475" s="165"/>
      <c r="B475" s="35">
        <f t="shared" si="56"/>
        <v>20</v>
      </c>
      <c r="C475" s="36" t="str">
        <f t="shared" si="51"/>
        <v>102017</v>
      </c>
      <c r="D475" s="44">
        <f t="shared" si="55"/>
        <v>43028</v>
      </c>
      <c r="E475" s="38">
        <v>3.6661000000000001</v>
      </c>
      <c r="F475" s="39">
        <v>521.5</v>
      </c>
      <c r="G475" s="33">
        <f t="shared" si="50"/>
        <v>1911.8711500000002</v>
      </c>
      <c r="H475" s="33"/>
      <c r="I475" s="33">
        <f t="shared" si="53"/>
        <v>1909.7747200000001</v>
      </c>
      <c r="J475" s="33"/>
      <c r="K475" s="33" t="e">
        <f t="shared" si="52"/>
        <v>#DIV/0!</v>
      </c>
      <c r="L475" s="59" t="e">
        <f t="shared" si="54"/>
        <v>#DIV/0!</v>
      </c>
      <c r="M475" s="60" t="str">
        <f>IFERROR((#REF!/1.18)*1000,"")</f>
        <v/>
      </c>
    </row>
    <row r="476" spans="1:13" x14ac:dyDescent="0.55000000000000004">
      <c r="A476" s="165"/>
      <c r="B476" s="35">
        <f t="shared" si="56"/>
        <v>23</v>
      </c>
      <c r="C476" s="36" t="str">
        <f t="shared" si="51"/>
        <v>102017</v>
      </c>
      <c r="D476" s="44">
        <f t="shared" si="55"/>
        <v>43031</v>
      </c>
      <c r="E476" s="38">
        <v>3.7050999999999998</v>
      </c>
      <c r="F476" s="39">
        <v>521.5</v>
      </c>
      <c r="G476" s="33">
        <f t="shared" si="50"/>
        <v>1932.20965</v>
      </c>
      <c r="H476" s="33"/>
      <c r="I476" s="33">
        <f t="shared" si="53"/>
        <v>1910.99503</v>
      </c>
      <c r="J476" s="33"/>
      <c r="K476" s="33" t="e">
        <f t="shared" si="52"/>
        <v>#DIV/0!</v>
      </c>
      <c r="L476" s="59" t="e">
        <f t="shared" si="54"/>
        <v>#DIV/0!</v>
      </c>
      <c r="M476" s="60" t="str">
        <f>IFERROR((#REF!/1.18)*1000,"")</f>
        <v/>
      </c>
    </row>
    <row r="477" spans="1:13" x14ac:dyDescent="0.55000000000000004">
      <c r="A477" s="165"/>
      <c r="B477" s="35">
        <f t="shared" si="56"/>
        <v>24</v>
      </c>
      <c r="C477" s="36" t="str">
        <f t="shared" si="51"/>
        <v>102017</v>
      </c>
      <c r="D477" s="44">
        <f t="shared" si="55"/>
        <v>43032</v>
      </c>
      <c r="E477" s="38">
        <v>3.7178</v>
      </c>
      <c r="F477" s="39">
        <v>521.5</v>
      </c>
      <c r="G477" s="33">
        <f t="shared" si="50"/>
        <v>1938.8326999999999</v>
      </c>
      <c r="H477" s="33"/>
      <c r="I477" s="33">
        <f t="shared" si="53"/>
        <v>1917.0861499999999</v>
      </c>
      <c r="J477" s="33"/>
      <c r="K477" s="33" t="e">
        <f t="shared" si="52"/>
        <v>#DIV/0!</v>
      </c>
      <c r="L477" s="59" t="e">
        <f t="shared" si="54"/>
        <v>#DIV/0!</v>
      </c>
      <c r="M477" s="60" t="str">
        <f>IFERROR((#REF!/1.18)*1000,"")</f>
        <v/>
      </c>
    </row>
    <row r="478" spans="1:13" x14ac:dyDescent="0.55000000000000004">
      <c r="A478" s="165"/>
      <c r="B478" s="35">
        <f t="shared" si="56"/>
        <v>25</v>
      </c>
      <c r="C478" s="36" t="str">
        <f t="shared" si="51"/>
        <v>102017</v>
      </c>
      <c r="D478" s="44">
        <f t="shared" si="55"/>
        <v>43033</v>
      </c>
      <c r="E478" s="38">
        <v>3.7376</v>
      </c>
      <c r="F478" s="39">
        <v>521.5</v>
      </c>
      <c r="G478" s="33">
        <f t="shared" si="50"/>
        <v>1949.1584</v>
      </c>
      <c r="H478" s="33"/>
      <c r="I478" s="33">
        <f t="shared" si="53"/>
        <v>1922.9895300000001</v>
      </c>
      <c r="J478" s="33"/>
      <c r="K478" s="33" t="e">
        <f t="shared" si="52"/>
        <v>#DIV/0!</v>
      </c>
      <c r="L478" s="59" t="e">
        <f t="shared" si="54"/>
        <v>#DIV/0!</v>
      </c>
      <c r="M478" s="60" t="str">
        <f>IFERROR((#REF!/1.18)*1000,"")</f>
        <v/>
      </c>
    </row>
    <row r="479" spans="1:13" x14ac:dyDescent="0.55000000000000004">
      <c r="A479" s="165"/>
      <c r="B479" s="35">
        <f t="shared" si="56"/>
        <v>26</v>
      </c>
      <c r="C479" s="36" t="str">
        <f t="shared" si="51"/>
        <v>102017</v>
      </c>
      <c r="D479" s="44">
        <f t="shared" si="55"/>
        <v>43034</v>
      </c>
      <c r="E479" s="38">
        <v>3.7728999999999999</v>
      </c>
      <c r="F479" s="39">
        <v>521.5</v>
      </c>
      <c r="G479" s="33">
        <f t="shared" si="50"/>
        <v>1967.56735</v>
      </c>
      <c r="H479" s="33"/>
      <c r="I479" s="33">
        <f t="shared" si="53"/>
        <v>1928.8407599999998</v>
      </c>
      <c r="J479" s="33"/>
      <c r="K479" s="33" t="e">
        <f t="shared" si="52"/>
        <v>#DIV/0!</v>
      </c>
      <c r="L479" s="59" t="e">
        <f t="shared" si="54"/>
        <v>#DIV/0!</v>
      </c>
      <c r="M479" s="60" t="str">
        <f>IFERROR((#REF!/1.18)*1000,"")</f>
        <v/>
      </c>
    </row>
    <row r="480" spans="1:13" x14ac:dyDescent="0.55000000000000004">
      <c r="A480" s="165"/>
      <c r="B480" s="35">
        <f t="shared" si="56"/>
        <v>27</v>
      </c>
      <c r="C480" s="36" t="str">
        <f t="shared" si="51"/>
        <v>102017</v>
      </c>
      <c r="D480" s="44">
        <f t="shared" si="55"/>
        <v>43035</v>
      </c>
      <c r="E480" s="38">
        <v>3.8243</v>
      </c>
      <c r="F480" s="39">
        <v>521.5</v>
      </c>
      <c r="G480" s="33">
        <f t="shared" si="50"/>
        <v>1994.3724500000001</v>
      </c>
      <c r="H480" s="33"/>
      <c r="I480" s="33">
        <f t="shared" si="53"/>
        <v>1939.92785</v>
      </c>
      <c r="J480" s="33"/>
      <c r="K480" s="33" t="e">
        <f t="shared" si="52"/>
        <v>#DIV/0!</v>
      </c>
      <c r="L480" s="59" t="e">
        <f t="shared" si="54"/>
        <v>#DIV/0!</v>
      </c>
      <c r="M480" s="60" t="str">
        <f>IFERROR((#REF!/1.18)*1000,"")</f>
        <v/>
      </c>
    </row>
    <row r="481" spans="1:13" x14ac:dyDescent="0.55000000000000004">
      <c r="A481" s="165"/>
      <c r="B481" s="35">
        <f t="shared" si="56"/>
        <v>30</v>
      </c>
      <c r="C481" s="36" t="str">
        <f t="shared" si="51"/>
        <v>102017</v>
      </c>
      <c r="D481" s="44">
        <f>WORKDAY(D480,1)</f>
        <v>43038</v>
      </c>
      <c r="E481" s="38">
        <v>3.7768000000000002</v>
      </c>
      <c r="F481" s="39">
        <v>521.5</v>
      </c>
      <c r="G481" s="33">
        <f t="shared" si="50"/>
        <v>1969.6012000000001</v>
      </c>
      <c r="H481" s="33"/>
      <c r="I481" s="33">
        <f t="shared" si="53"/>
        <v>1956.4281100000001</v>
      </c>
      <c r="J481" s="33"/>
      <c r="K481" s="33" t="e">
        <f t="shared" si="52"/>
        <v>#DIV/0!</v>
      </c>
      <c r="L481" s="59" t="e">
        <f t="shared" si="54"/>
        <v>#DIV/0!</v>
      </c>
      <c r="M481" s="60" t="str">
        <f>IFERROR((#REF!/1.18)*1000,"")</f>
        <v/>
      </c>
    </row>
    <row r="482" spans="1:13" ht="14.7" thickBot="1" x14ac:dyDescent="0.6">
      <c r="A482" s="166"/>
      <c r="B482" s="35">
        <f t="shared" si="56"/>
        <v>31</v>
      </c>
      <c r="C482" s="36" t="str">
        <f t="shared" si="51"/>
        <v>102017</v>
      </c>
      <c r="D482" s="53">
        <f>WORKDAY(D481,1)</f>
        <v>43039</v>
      </c>
      <c r="E482" s="38">
        <v>3.7822</v>
      </c>
      <c r="F482" s="39">
        <v>521.5</v>
      </c>
      <c r="G482" s="33">
        <f t="shared" si="50"/>
        <v>1972.4173000000001</v>
      </c>
      <c r="H482" s="33"/>
      <c r="I482" s="33">
        <f t="shared" si="53"/>
        <v>1963.90642</v>
      </c>
      <c r="J482" s="33"/>
      <c r="K482" s="33" t="e">
        <f t="shared" si="52"/>
        <v>#DIV/0!</v>
      </c>
      <c r="L482" s="59" t="e">
        <f t="shared" si="54"/>
        <v>#DIV/0!</v>
      </c>
      <c r="M482" s="60" t="str">
        <f>IFERROR((#REF!/1.18)*1000,"")</f>
        <v/>
      </c>
    </row>
    <row r="483" spans="1:13" x14ac:dyDescent="0.55000000000000004">
      <c r="A483" s="164" t="s">
        <v>103</v>
      </c>
      <c r="B483" s="35">
        <f t="shared" si="56"/>
        <v>1</v>
      </c>
      <c r="C483" s="36" t="str">
        <f t="shared" si="51"/>
        <v>112017</v>
      </c>
      <c r="D483" s="37">
        <f>WORKDAY(D482,1)</f>
        <v>43040</v>
      </c>
      <c r="E483" s="38">
        <v>3.8149000000000002</v>
      </c>
      <c r="F483" s="39">
        <v>527.09999999999991</v>
      </c>
      <c r="G483" s="33">
        <f t="shared" si="50"/>
        <v>2010.8337899999997</v>
      </c>
      <c r="H483" s="33"/>
      <c r="I483" s="33">
        <f t="shared" si="53"/>
        <v>1970.6233400000001</v>
      </c>
      <c r="J483" s="33"/>
      <c r="K483" s="33" t="e">
        <f t="shared" si="52"/>
        <v>#DIV/0!</v>
      </c>
      <c r="L483" s="59" t="e">
        <f t="shared" si="54"/>
        <v>#DIV/0!</v>
      </c>
      <c r="M483" s="60" t="str">
        <f>IFERROR((#REF!/1.18)*1000,"")</f>
        <v/>
      </c>
    </row>
    <row r="484" spans="1:13" x14ac:dyDescent="0.55000000000000004">
      <c r="A484" s="165"/>
      <c r="B484" s="35">
        <f t="shared" si="56"/>
        <v>2</v>
      </c>
      <c r="C484" s="36" t="str">
        <f t="shared" si="51"/>
        <v>112017</v>
      </c>
      <c r="D484" s="44">
        <f t="shared" ref="D484:D500" si="57">WORKDAY(D483,1)</f>
        <v>43041</v>
      </c>
      <c r="E484" s="38">
        <v>3.8140999999999998</v>
      </c>
      <c r="F484" s="39">
        <v>527.09999999999991</v>
      </c>
      <c r="G484" s="33">
        <f t="shared" si="50"/>
        <v>2010.4121099999995</v>
      </c>
      <c r="H484" s="33"/>
      <c r="I484" s="33">
        <f t="shared" si="53"/>
        <v>1982.9584179999997</v>
      </c>
      <c r="J484" s="33"/>
      <c r="K484" s="33" t="e">
        <f t="shared" si="52"/>
        <v>#DIV/0!</v>
      </c>
      <c r="L484" s="59" t="e">
        <f t="shared" si="54"/>
        <v>#DIV/0!</v>
      </c>
      <c r="M484" s="60" t="str">
        <f>IFERROR((#REF!/1.18)*1000,"")</f>
        <v/>
      </c>
    </row>
    <row r="485" spans="1:13" x14ac:dyDescent="0.55000000000000004">
      <c r="A485" s="165"/>
      <c r="B485" s="35">
        <f t="shared" si="56"/>
        <v>3</v>
      </c>
      <c r="C485" s="36" t="str">
        <f t="shared" si="51"/>
        <v>112017</v>
      </c>
      <c r="D485" s="44">
        <f t="shared" si="57"/>
        <v>43042</v>
      </c>
      <c r="E485" s="38">
        <v>3.8271999999999999</v>
      </c>
      <c r="F485" s="39">
        <v>527.09999999999991</v>
      </c>
      <c r="G485" s="33">
        <f t="shared" ref="G485:G548" si="58">E485*F485</f>
        <v>2017.3171199999997</v>
      </c>
      <c r="H485" s="33"/>
      <c r="I485" s="33">
        <f t="shared" si="53"/>
        <v>1991.5273699999998</v>
      </c>
      <c r="J485" s="33"/>
      <c r="K485" s="33" t="e">
        <f t="shared" si="52"/>
        <v>#DIV/0!</v>
      </c>
      <c r="L485" s="59" t="e">
        <f t="shared" si="54"/>
        <v>#DIV/0!</v>
      </c>
      <c r="M485" s="60" t="str">
        <f>IFERROR((#REF!/1.18)*1000,"")</f>
        <v/>
      </c>
    </row>
    <row r="486" spans="1:13" x14ac:dyDescent="0.55000000000000004">
      <c r="A486" s="165"/>
      <c r="B486" s="35">
        <f t="shared" si="56"/>
        <v>6</v>
      </c>
      <c r="C486" s="36" t="str">
        <f t="shared" si="51"/>
        <v>112017</v>
      </c>
      <c r="D486" s="44">
        <f t="shared" si="57"/>
        <v>43045</v>
      </c>
      <c r="E486" s="38">
        <v>3.8660000000000001</v>
      </c>
      <c r="F486" s="39">
        <v>527.09999999999991</v>
      </c>
      <c r="G486" s="33">
        <f t="shared" si="58"/>
        <v>2037.7685999999997</v>
      </c>
      <c r="H486" s="33"/>
      <c r="I486" s="33">
        <f t="shared" si="53"/>
        <v>1996.1163039999999</v>
      </c>
      <c r="J486" s="33"/>
      <c r="K486" s="33" t="e">
        <f t="shared" si="52"/>
        <v>#DIV/0!</v>
      </c>
      <c r="L486" s="59" t="e">
        <f t="shared" si="54"/>
        <v>#DIV/0!</v>
      </c>
      <c r="M486" s="60" t="str">
        <f>IFERROR((#REF!/1.18)*1000,"")</f>
        <v/>
      </c>
    </row>
    <row r="487" spans="1:13" x14ac:dyDescent="0.55000000000000004">
      <c r="A487" s="165"/>
      <c r="B487" s="35">
        <f t="shared" si="56"/>
        <v>7</v>
      </c>
      <c r="C487" s="36" t="str">
        <f t="shared" si="51"/>
        <v>112017</v>
      </c>
      <c r="D487" s="44">
        <f t="shared" si="57"/>
        <v>43046</v>
      </c>
      <c r="E487" s="38">
        <v>3.8601999999999999</v>
      </c>
      <c r="F487" s="39">
        <v>527.09999999999991</v>
      </c>
      <c r="G487" s="33">
        <f t="shared" si="58"/>
        <v>2034.7114199999996</v>
      </c>
      <c r="H487" s="33"/>
      <c r="I487" s="33">
        <f t="shared" si="53"/>
        <v>2009.7497839999996</v>
      </c>
      <c r="J487" s="33"/>
      <c r="K487" s="33" t="e">
        <f t="shared" si="52"/>
        <v>#DIV/0!</v>
      </c>
      <c r="L487" s="59" t="e">
        <f t="shared" si="54"/>
        <v>#DIV/0!</v>
      </c>
      <c r="M487" s="60" t="str">
        <f>IFERROR((#REF!/1.18)*1000,"")</f>
        <v/>
      </c>
    </row>
    <row r="488" spans="1:13" x14ac:dyDescent="0.55000000000000004">
      <c r="A488" s="165"/>
      <c r="B488" s="35">
        <f t="shared" si="56"/>
        <v>8</v>
      </c>
      <c r="C488" s="36" t="str">
        <f t="shared" si="51"/>
        <v>112017</v>
      </c>
      <c r="D488" s="44">
        <f t="shared" si="57"/>
        <v>43047</v>
      </c>
      <c r="E488" s="38">
        <v>3.8885000000000001</v>
      </c>
      <c r="F488" s="39">
        <v>527.09999999999991</v>
      </c>
      <c r="G488" s="33">
        <f t="shared" si="58"/>
        <v>2049.6283499999995</v>
      </c>
      <c r="H488" s="33"/>
      <c r="I488" s="33">
        <f t="shared" si="53"/>
        <v>2022.2086079999995</v>
      </c>
      <c r="J488" s="33"/>
      <c r="K488" s="33" t="e">
        <f t="shared" si="52"/>
        <v>#DIV/0!</v>
      </c>
      <c r="L488" s="59" t="e">
        <f t="shared" si="54"/>
        <v>#DIV/0!</v>
      </c>
      <c r="M488" s="60" t="str">
        <f>IFERROR((#REF!/1.18)*1000,"")</f>
        <v/>
      </c>
    </row>
    <row r="489" spans="1:13" x14ac:dyDescent="0.55000000000000004">
      <c r="A489" s="165"/>
      <c r="B489" s="35">
        <f t="shared" si="56"/>
        <v>9</v>
      </c>
      <c r="C489" s="36" t="str">
        <f t="shared" si="51"/>
        <v>112017</v>
      </c>
      <c r="D489" s="44">
        <f t="shared" si="57"/>
        <v>43048</v>
      </c>
      <c r="E489" s="38">
        <v>3.8603999999999998</v>
      </c>
      <c r="F489" s="39">
        <v>527.09999999999991</v>
      </c>
      <c r="G489" s="33">
        <f t="shared" si="58"/>
        <v>2034.8168399999995</v>
      </c>
      <c r="H489" s="33"/>
      <c r="I489" s="33">
        <f t="shared" si="53"/>
        <v>2029.9675199999995</v>
      </c>
      <c r="J489" s="33"/>
      <c r="K489" s="33" t="e">
        <f t="shared" si="52"/>
        <v>#DIV/0!</v>
      </c>
      <c r="L489" s="59" t="e">
        <f t="shared" si="54"/>
        <v>#DIV/0!</v>
      </c>
      <c r="M489" s="60" t="str">
        <f>IFERROR((#REF!/1.18)*1000,"")</f>
        <v/>
      </c>
    </row>
    <row r="490" spans="1:13" x14ac:dyDescent="0.55000000000000004">
      <c r="A490" s="165"/>
      <c r="B490" s="35">
        <f t="shared" si="56"/>
        <v>10</v>
      </c>
      <c r="C490" s="36" t="str">
        <f t="shared" si="51"/>
        <v>112017</v>
      </c>
      <c r="D490" s="44">
        <f t="shared" si="57"/>
        <v>43049</v>
      </c>
      <c r="E490" s="38">
        <v>3.8713000000000002</v>
      </c>
      <c r="F490" s="39">
        <v>527.09999999999991</v>
      </c>
      <c r="G490" s="33">
        <f t="shared" si="58"/>
        <v>2040.5622299999998</v>
      </c>
      <c r="H490" s="33"/>
      <c r="I490" s="33">
        <f t="shared" si="53"/>
        <v>2034.8484659999995</v>
      </c>
      <c r="J490" s="33"/>
      <c r="K490" s="33" t="e">
        <f t="shared" si="52"/>
        <v>#DIV/0!</v>
      </c>
      <c r="L490" s="59" t="e">
        <f t="shared" si="54"/>
        <v>#DIV/0!</v>
      </c>
      <c r="M490" s="60" t="str">
        <f>IFERROR((#REF!/1.18)*1000,"")</f>
        <v/>
      </c>
    </row>
    <row r="491" spans="1:13" x14ac:dyDescent="0.55000000000000004">
      <c r="A491" s="165"/>
      <c r="B491" s="35">
        <f t="shared" si="56"/>
        <v>13</v>
      </c>
      <c r="C491" s="36" t="str">
        <f t="shared" si="51"/>
        <v>112017</v>
      </c>
      <c r="D491" s="44">
        <f t="shared" si="57"/>
        <v>43052</v>
      </c>
      <c r="E491" s="38">
        <v>3.8786</v>
      </c>
      <c r="F491" s="39">
        <v>527.09999999999991</v>
      </c>
      <c r="G491" s="33">
        <f t="shared" si="58"/>
        <v>2044.4100599999997</v>
      </c>
      <c r="H491" s="33"/>
      <c r="I491" s="33">
        <f t="shared" si="53"/>
        <v>2039.4974879999995</v>
      </c>
      <c r="J491" s="33"/>
      <c r="K491" s="33" t="e">
        <f t="shared" si="52"/>
        <v>#DIV/0!</v>
      </c>
      <c r="L491" s="59" t="e">
        <f t="shared" si="54"/>
        <v>#DIV/0!</v>
      </c>
      <c r="M491" s="60" t="str">
        <f>IFERROR((#REF!/1.18)*1000,"")</f>
        <v/>
      </c>
    </row>
    <row r="492" spans="1:13" x14ac:dyDescent="0.55000000000000004">
      <c r="A492" s="165"/>
      <c r="B492" s="35">
        <f t="shared" si="56"/>
        <v>14</v>
      </c>
      <c r="C492" s="36" t="str">
        <f t="shared" si="51"/>
        <v>112017</v>
      </c>
      <c r="D492" s="44">
        <f t="shared" si="57"/>
        <v>43053</v>
      </c>
      <c r="E492" s="38">
        <v>3.8734000000000002</v>
      </c>
      <c r="F492" s="39">
        <v>527.09999999999991</v>
      </c>
      <c r="G492" s="33">
        <f t="shared" si="58"/>
        <v>2041.6691399999997</v>
      </c>
      <c r="H492" s="33"/>
      <c r="I492" s="33">
        <f t="shared" si="53"/>
        <v>2040.8257799999997</v>
      </c>
      <c r="J492" s="33"/>
      <c r="K492" s="33" t="e">
        <f t="shared" si="52"/>
        <v>#DIV/0!</v>
      </c>
      <c r="L492" s="59" t="e">
        <f t="shared" si="54"/>
        <v>#DIV/0!</v>
      </c>
      <c r="M492" s="60" t="str">
        <f>IFERROR((#REF!/1.18)*1000,"")</f>
        <v/>
      </c>
    </row>
    <row r="493" spans="1:13" x14ac:dyDescent="0.55000000000000004">
      <c r="A493" s="165"/>
      <c r="B493" s="35">
        <f t="shared" si="56"/>
        <v>15</v>
      </c>
      <c r="C493" s="36" t="str">
        <f t="shared" si="51"/>
        <v>112017</v>
      </c>
      <c r="D493" s="44">
        <f t="shared" si="57"/>
        <v>43054</v>
      </c>
      <c r="E493" s="38">
        <v>3.8906000000000001</v>
      </c>
      <c r="F493" s="39">
        <v>527.09999999999991</v>
      </c>
      <c r="G493" s="33">
        <f t="shared" si="58"/>
        <v>2050.7352599999995</v>
      </c>
      <c r="H493" s="33"/>
      <c r="I493" s="33">
        <f t="shared" si="53"/>
        <v>2042.2173239999997</v>
      </c>
      <c r="J493" s="33"/>
      <c r="K493" s="33" t="e">
        <f t="shared" si="52"/>
        <v>#DIV/0!</v>
      </c>
      <c r="L493" s="59" t="e">
        <f t="shared" si="54"/>
        <v>#DIV/0!</v>
      </c>
      <c r="M493" s="60" t="str">
        <f>IFERROR((#REF!/1.18)*1000,"")</f>
        <v/>
      </c>
    </row>
    <row r="494" spans="1:13" x14ac:dyDescent="0.55000000000000004">
      <c r="A494" s="165"/>
      <c r="B494" s="35">
        <f t="shared" si="56"/>
        <v>16</v>
      </c>
      <c r="C494" s="36" t="str">
        <f t="shared" si="51"/>
        <v>112017</v>
      </c>
      <c r="D494" s="44">
        <f t="shared" si="57"/>
        <v>43055</v>
      </c>
      <c r="E494" s="38">
        <v>3.8753000000000002</v>
      </c>
      <c r="F494" s="39">
        <v>527.09999999999991</v>
      </c>
      <c r="G494" s="33">
        <f t="shared" si="58"/>
        <v>2042.6706299999998</v>
      </c>
      <c r="H494" s="33"/>
      <c r="I494" s="33">
        <f t="shared" si="53"/>
        <v>2042.4387059999997</v>
      </c>
      <c r="J494" s="33"/>
      <c r="K494" s="33" t="e">
        <f t="shared" si="52"/>
        <v>#DIV/0!</v>
      </c>
      <c r="L494" s="59" t="e">
        <f t="shared" si="54"/>
        <v>#DIV/0!</v>
      </c>
      <c r="M494" s="60" t="str">
        <f>IFERROR((#REF!/1.18)*1000,"")</f>
        <v/>
      </c>
    </row>
    <row r="495" spans="1:13" x14ac:dyDescent="0.55000000000000004">
      <c r="A495" s="165"/>
      <c r="B495" s="35">
        <f t="shared" si="56"/>
        <v>17</v>
      </c>
      <c r="C495" s="36" t="str">
        <f t="shared" si="51"/>
        <v>112017</v>
      </c>
      <c r="D495" s="44">
        <f t="shared" si="57"/>
        <v>43056</v>
      </c>
      <c r="E495" s="38">
        <v>3.8862000000000001</v>
      </c>
      <c r="F495" s="39">
        <v>527.09999999999991</v>
      </c>
      <c r="G495" s="33">
        <f t="shared" si="58"/>
        <v>2048.4160199999997</v>
      </c>
      <c r="H495" s="33"/>
      <c r="I495" s="33">
        <f t="shared" si="53"/>
        <v>2044.009464</v>
      </c>
      <c r="J495" s="33"/>
      <c r="K495" s="33" t="e">
        <f t="shared" si="52"/>
        <v>#DIV/0!</v>
      </c>
      <c r="L495" s="59" t="e">
        <f t="shared" si="54"/>
        <v>#DIV/0!</v>
      </c>
      <c r="M495" s="60" t="str">
        <f>IFERROR((#REF!/1.18)*1000,"")</f>
        <v/>
      </c>
    </row>
    <row r="496" spans="1:13" x14ac:dyDescent="0.55000000000000004">
      <c r="A496" s="165"/>
      <c r="B496" s="35">
        <f t="shared" si="56"/>
        <v>20</v>
      </c>
      <c r="C496" s="36" t="str">
        <f t="shared" si="51"/>
        <v>112017</v>
      </c>
      <c r="D496" s="44">
        <f t="shared" si="57"/>
        <v>43059</v>
      </c>
      <c r="E496" s="38">
        <v>3.8942000000000001</v>
      </c>
      <c r="F496" s="39">
        <v>527.09999999999991</v>
      </c>
      <c r="G496" s="33">
        <f t="shared" si="58"/>
        <v>2052.6328199999998</v>
      </c>
      <c r="H496" s="33"/>
      <c r="I496" s="33">
        <f t="shared" si="53"/>
        <v>2045.5802219999998</v>
      </c>
      <c r="J496" s="33"/>
      <c r="K496" s="33" t="e">
        <f t="shared" si="52"/>
        <v>#DIV/0!</v>
      </c>
      <c r="L496" s="59" t="e">
        <f t="shared" si="54"/>
        <v>#DIV/0!</v>
      </c>
      <c r="M496" s="60" t="str">
        <f>IFERROR((#REF!/1.18)*1000,"")</f>
        <v/>
      </c>
    </row>
    <row r="497" spans="1:13" x14ac:dyDescent="0.55000000000000004">
      <c r="A497" s="165"/>
      <c r="B497" s="35">
        <f t="shared" si="56"/>
        <v>21</v>
      </c>
      <c r="C497" s="36" t="str">
        <f t="shared" si="51"/>
        <v>112017</v>
      </c>
      <c r="D497" s="44">
        <f t="shared" si="57"/>
        <v>43060</v>
      </c>
      <c r="E497" s="38">
        <v>3.9596</v>
      </c>
      <c r="F497" s="39">
        <v>527.09999999999991</v>
      </c>
      <c r="G497" s="33">
        <f t="shared" si="58"/>
        <v>2087.1051599999996</v>
      </c>
      <c r="H497" s="33"/>
      <c r="I497" s="33">
        <f t="shared" si="53"/>
        <v>2047.2247739999998</v>
      </c>
      <c r="J497" s="33"/>
      <c r="K497" s="33" t="e">
        <f t="shared" si="52"/>
        <v>#DIV/0!</v>
      </c>
      <c r="L497" s="59" t="e">
        <f t="shared" si="54"/>
        <v>#DIV/0!</v>
      </c>
      <c r="M497" s="60" t="str">
        <f>IFERROR((#REF!/1.18)*1000,"")</f>
        <v/>
      </c>
    </row>
    <row r="498" spans="1:13" x14ac:dyDescent="0.55000000000000004">
      <c r="A498" s="165"/>
      <c r="B498" s="35">
        <f t="shared" si="56"/>
        <v>22</v>
      </c>
      <c r="C498" s="36" t="str">
        <f t="shared" si="51"/>
        <v>112017</v>
      </c>
      <c r="D498" s="44">
        <f t="shared" si="57"/>
        <v>43061</v>
      </c>
      <c r="E498" s="38">
        <v>3.9664999999999999</v>
      </c>
      <c r="F498" s="39">
        <v>527.09999999999991</v>
      </c>
      <c r="G498" s="33">
        <f t="shared" si="58"/>
        <v>2090.7421499999996</v>
      </c>
      <c r="H498" s="33"/>
      <c r="I498" s="33">
        <f t="shared" si="53"/>
        <v>2056.3119779999993</v>
      </c>
      <c r="J498" s="33"/>
      <c r="K498" s="33" t="e">
        <f t="shared" si="52"/>
        <v>#DIV/0!</v>
      </c>
      <c r="L498" s="59" t="e">
        <f t="shared" si="54"/>
        <v>#DIV/0!</v>
      </c>
      <c r="M498" s="60" t="str">
        <f>IFERROR((#REF!/1.18)*1000,"")</f>
        <v/>
      </c>
    </row>
    <row r="499" spans="1:13" x14ac:dyDescent="0.55000000000000004">
      <c r="A499" s="165"/>
      <c r="B499" s="35">
        <f t="shared" si="56"/>
        <v>23</v>
      </c>
      <c r="C499" s="36" t="str">
        <f t="shared" si="51"/>
        <v>112017</v>
      </c>
      <c r="D499" s="44">
        <f t="shared" si="57"/>
        <v>43062</v>
      </c>
      <c r="E499" s="38">
        <v>3.9241000000000001</v>
      </c>
      <c r="F499" s="39">
        <v>527.09999999999991</v>
      </c>
      <c r="G499" s="33">
        <f t="shared" si="58"/>
        <v>2068.3931099999995</v>
      </c>
      <c r="H499" s="33"/>
      <c r="I499" s="33">
        <f t="shared" si="53"/>
        <v>2064.3133559999997</v>
      </c>
      <c r="J499" s="33"/>
      <c r="K499" s="33" t="e">
        <f t="shared" si="52"/>
        <v>#DIV/0!</v>
      </c>
      <c r="L499" s="59" t="e">
        <f t="shared" si="54"/>
        <v>#DIV/0!</v>
      </c>
      <c r="M499" s="60" t="str">
        <f>IFERROR((#REF!/1.18)*1000,"")</f>
        <v/>
      </c>
    </row>
    <row r="500" spans="1:13" x14ac:dyDescent="0.55000000000000004">
      <c r="A500" s="165"/>
      <c r="B500" s="35">
        <f t="shared" si="56"/>
        <v>24</v>
      </c>
      <c r="C500" s="36" t="str">
        <f t="shared" si="51"/>
        <v>112017</v>
      </c>
      <c r="D500" s="44">
        <f t="shared" si="57"/>
        <v>43063</v>
      </c>
      <c r="E500" s="38">
        <v>3.9436</v>
      </c>
      <c r="F500" s="39">
        <v>527.09999999999991</v>
      </c>
      <c r="G500" s="33">
        <f t="shared" si="58"/>
        <v>2078.6715599999998</v>
      </c>
      <c r="H500" s="33"/>
      <c r="I500" s="33">
        <f t="shared" si="53"/>
        <v>2069.4578519999995</v>
      </c>
      <c r="J500" s="33"/>
      <c r="K500" s="33" t="e">
        <f t="shared" si="52"/>
        <v>#DIV/0!</v>
      </c>
      <c r="L500" s="59" t="e">
        <f t="shared" si="54"/>
        <v>#DIV/0!</v>
      </c>
      <c r="M500" s="60" t="str">
        <f>IFERROR((#REF!/1.18)*1000,"")</f>
        <v/>
      </c>
    </row>
    <row r="501" spans="1:13" x14ac:dyDescent="0.55000000000000004">
      <c r="A501" s="165"/>
      <c r="B501" s="35">
        <f t="shared" si="56"/>
        <v>27</v>
      </c>
      <c r="C501" s="36" t="str">
        <f t="shared" si="51"/>
        <v>112017</v>
      </c>
      <c r="D501" s="44">
        <f>WORKDAY(D500,1)</f>
        <v>43066</v>
      </c>
      <c r="E501" s="38">
        <v>3.9356</v>
      </c>
      <c r="F501" s="39">
        <v>527.09999999999991</v>
      </c>
      <c r="G501" s="33">
        <f t="shared" si="58"/>
        <v>2074.4547599999996</v>
      </c>
      <c r="H501" s="33"/>
      <c r="I501" s="33">
        <f t="shared" si="53"/>
        <v>2075.5089600000001</v>
      </c>
      <c r="J501" s="33"/>
      <c r="K501" s="33" t="e">
        <f t="shared" si="52"/>
        <v>#DIV/0!</v>
      </c>
      <c r="L501" s="59" t="e">
        <f t="shared" si="54"/>
        <v>#DIV/0!</v>
      </c>
      <c r="M501" s="60" t="str">
        <f>IFERROR((#REF!/1.18)*1000,"")</f>
        <v/>
      </c>
    </row>
    <row r="502" spans="1:13" x14ac:dyDescent="0.55000000000000004">
      <c r="A502" s="165"/>
      <c r="B502" s="35">
        <f t="shared" si="56"/>
        <v>28</v>
      </c>
      <c r="C502" s="36" t="str">
        <f t="shared" si="51"/>
        <v>112017</v>
      </c>
      <c r="D502" s="44">
        <f>WORKDAY(D501,1)</f>
        <v>43067</v>
      </c>
      <c r="E502" s="38">
        <v>3.9285000000000001</v>
      </c>
      <c r="F502" s="39">
        <v>527.09999999999991</v>
      </c>
      <c r="G502" s="33">
        <f t="shared" si="58"/>
        <v>2070.7123499999998</v>
      </c>
      <c r="H502" s="33"/>
      <c r="I502" s="33">
        <f t="shared" si="53"/>
        <v>2079.8733479999996</v>
      </c>
      <c r="J502" s="33"/>
      <c r="K502" s="33" t="e">
        <f t="shared" si="52"/>
        <v>#DIV/0!</v>
      </c>
      <c r="L502" s="59" t="e">
        <f t="shared" si="54"/>
        <v>#DIV/0!</v>
      </c>
      <c r="M502" s="60" t="str">
        <f>IFERROR((#REF!/1.18)*1000,"")</f>
        <v/>
      </c>
    </row>
    <row r="503" spans="1:13" x14ac:dyDescent="0.55000000000000004">
      <c r="A503" s="165"/>
      <c r="B503" s="35">
        <f t="shared" si="56"/>
        <v>29</v>
      </c>
      <c r="C503" s="36" t="str">
        <f t="shared" si="51"/>
        <v>112017</v>
      </c>
      <c r="D503" s="44">
        <f>WORKDAY(D502,1)</f>
        <v>43068</v>
      </c>
      <c r="E503" s="38">
        <v>3.9575999999999998</v>
      </c>
      <c r="F503" s="39">
        <v>527.09999999999991</v>
      </c>
      <c r="G503" s="33">
        <f t="shared" si="58"/>
        <v>2086.0509599999996</v>
      </c>
      <c r="H503" s="33"/>
      <c r="I503" s="33">
        <f t="shared" si="53"/>
        <v>2076.5947859999997</v>
      </c>
      <c r="J503" s="33"/>
      <c r="K503" s="33" t="e">
        <f t="shared" si="52"/>
        <v>#DIV/0!</v>
      </c>
      <c r="L503" s="59" t="e">
        <f t="shared" si="54"/>
        <v>#DIV/0!</v>
      </c>
      <c r="M503" s="60" t="str">
        <f>IFERROR((#REF!/1.18)*1000,"")</f>
        <v/>
      </c>
    </row>
    <row r="504" spans="1:13" ht="14.7" thickBot="1" x14ac:dyDescent="0.6">
      <c r="A504" s="166"/>
      <c r="B504" s="35">
        <f t="shared" si="56"/>
        <v>30</v>
      </c>
      <c r="C504" s="36" t="str">
        <f t="shared" si="51"/>
        <v>112017</v>
      </c>
      <c r="D504" s="53">
        <f>WORKDAY(D503,1)</f>
        <v>43069</v>
      </c>
      <c r="E504" s="38">
        <v>3.9460999999999999</v>
      </c>
      <c r="F504" s="39">
        <v>527.09999999999991</v>
      </c>
      <c r="G504" s="33">
        <f t="shared" si="58"/>
        <v>2079.9893099999995</v>
      </c>
      <c r="H504" s="33"/>
      <c r="I504" s="33">
        <f t="shared" si="53"/>
        <v>2075.6565479999999</v>
      </c>
      <c r="J504" s="33"/>
      <c r="K504" s="33" t="e">
        <f t="shared" si="52"/>
        <v>#DIV/0!</v>
      </c>
      <c r="L504" s="59" t="e">
        <f t="shared" si="54"/>
        <v>#DIV/0!</v>
      </c>
      <c r="M504" s="60" t="str">
        <f>IFERROR((#REF!/1.18)*1000,"")</f>
        <v/>
      </c>
    </row>
    <row r="505" spans="1:13" x14ac:dyDescent="0.55000000000000004">
      <c r="A505" s="164" t="s">
        <v>104</v>
      </c>
      <c r="B505" s="35">
        <f t="shared" si="56"/>
        <v>1</v>
      </c>
      <c r="C505" s="36" t="str">
        <f t="shared" si="51"/>
        <v>122017</v>
      </c>
      <c r="D505" s="37">
        <f>WORKDAY(D504,1)</f>
        <v>43070</v>
      </c>
      <c r="E505" s="38">
        <v>3.9394999999999998</v>
      </c>
      <c r="F505" s="39">
        <v>539</v>
      </c>
      <c r="G505" s="33">
        <f t="shared" si="58"/>
        <v>2123.3905</v>
      </c>
      <c r="H505" s="33"/>
      <c r="I505" s="33">
        <f t="shared" si="53"/>
        <v>2077.9757879999993</v>
      </c>
      <c r="J505" s="33"/>
      <c r="K505" s="33" t="e">
        <f t="shared" si="52"/>
        <v>#DIV/0!</v>
      </c>
      <c r="L505" s="59" t="e">
        <f t="shared" si="54"/>
        <v>#DIV/0!</v>
      </c>
      <c r="M505" s="60" t="str">
        <f>IFERROR((#REF!/1.18)*1000,"")</f>
        <v/>
      </c>
    </row>
    <row r="506" spans="1:13" x14ac:dyDescent="0.55000000000000004">
      <c r="A506" s="165"/>
      <c r="B506" s="35">
        <f t="shared" si="56"/>
        <v>4</v>
      </c>
      <c r="C506" s="36" t="str">
        <f t="shared" si="51"/>
        <v>122017</v>
      </c>
      <c r="D506" s="44">
        <f t="shared" ref="D506:D569" si="59">WORKDAY(D505,1)</f>
        <v>43073</v>
      </c>
      <c r="E506" s="38">
        <v>3.9260999999999999</v>
      </c>
      <c r="F506" s="39">
        <v>539</v>
      </c>
      <c r="G506" s="33">
        <f t="shared" si="58"/>
        <v>2116.1678999999999</v>
      </c>
      <c r="H506" s="33"/>
      <c r="I506" s="33">
        <f t="shared" si="53"/>
        <v>2086.9195759999993</v>
      </c>
      <c r="J506" s="33"/>
      <c r="K506" s="33" t="e">
        <f t="shared" si="52"/>
        <v>#DIV/0!</v>
      </c>
      <c r="L506" s="59" t="e">
        <f t="shared" si="54"/>
        <v>#DIV/0!</v>
      </c>
      <c r="M506" s="60" t="str">
        <f>IFERROR((#REF!/1.18)*1000,"")</f>
        <v/>
      </c>
    </row>
    <row r="507" spans="1:13" x14ac:dyDescent="0.55000000000000004">
      <c r="A507" s="165"/>
      <c r="B507" s="35">
        <f t="shared" si="56"/>
        <v>5</v>
      </c>
      <c r="C507" s="36" t="str">
        <f t="shared" si="51"/>
        <v>122017</v>
      </c>
      <c r="D507" s="44">
        <f t="shared" si="59"/>
        <v>43074</v>
      </c>
      <c r="E507" s="38">
        <v>3.8693</v>
      </c>
      <c r="F507" s="39">
        <v>539</v>
      </c>
      <c r="G507" s="33">
        <f t="shared" si="58"/>
        <v>2085.5527000000002</v>
      </c>
      <c r="H507" s="33"/>
      <c r="I507" s="33">
        <f t="shared" si="53"/>
        <v>2095.2622039999997</v>
      </c>
      <c r="J507" s="33"/>
      <c r="K507" s="33" t="e">
        <f t="shared" si="52"/>
        <v>#DIV/0!</v>
      </c>
      <c r="L507" s="59" t="e">
        <f t="shared" si="54"/>
        <v>#DIV/0!</v>
      </c>
      <c r="M507" s="60" t="str">
        <f>IFERROR((#REF!/1.18)*1000,"")</f>
        <v/>
      </c>
    </row>
    <row r="508" spans="1:13" x14ac:dyDescent="0.55000000000000004">
      <c r="A508" s="165"/>
      <c r="B508" s="35">
        <f t="shared" si="56"/>
        <v>6</v>
      </c>
      <c r="C508" s="36" t="str">
        <f t="shared" si="51"/>
        <v>122017</v>
      </c>
      <c r="D508" s="44">
        <f t="shared" si="59"/>
        <v>43075</v>
      </c>
      <c r="E508" s="38">
        <v>3.8597000000000001</v>
      </c>
      <c r="F508" s="39">
        <v>539</v>
      </c>
      <c r="G508" s="33">
        <f t="shared" si="58"/>
        <v>2080.3782999999999</v>
      </c>
      <c r="H508" s="33"/>
      <c r="I508" s="33">
        <f t="shared" si="53"/>
        <v>2098.230274</v>
      </c>
      <c r="J508" s="33"/>
      <c r="K508" s="33" t="e">
        <f t="shared" si="52"/>
        <v>#DIV/0!</v>
      </c>
      <c r="L508" s="59" t="e">
        <f t="shared" si="54"/>
        <v>#DIV/0!</v>
      </c>
      <c r="M508" s="60" t="str">
        <f>IFERROR((#REF!/1.18)*1000,"")</f>
        <v/>
      </c>
    </row>
    <row r="509" spans="1:13" x14ac:dyDescent="0.55000000000000004">
      <c r="A509" s="165"/>
      <c r="B509" s="35">
        <f t="shared" si="56"/>
        <v>7</v>
      </c>
      <c r="C509" s="36" t="str">
        <f t="shared" si="51"/>
        <v>122017</v>
      </c>
      <c r="D509" s="44">
        <f t="shared" si="59"/>
        <v>43076</v>
      </c>
      <c r="E509" s="38">
        <v>3.8677000000000001</v>
      </c>
      <c r="F509" s="39">
        <v>539</v>
      </c>
      <c r="G509" s="33">
        <f t="shared" si="58"/>
        <v>2084.6903000000002</v>
      </c>
      <c r="H509" s="33"/>
      <c r="I509" s="33">
        <f t="shared" si="53"/>
        <v>2097.095742</v>
      </c>
      <c r="J509" s="33"/>
      <c r="K509" s="33" t="e">
        <f t="shared" si="52"/>
        <v>#DIV/0!</v>
      </c>
      <c r="L509" s="59" t="e">
        <f t="shared" si="54"/>
        <v>#DIV/0!</v>
      </c>
      <c r="M509" s="60" t="str">
        <f>IFERROR((#REF!/1.18)*1000,"")</f>
        <v/>
      </c>
    </row>
    <row r="510" spans="1:13" x14ac:dyDescent="0.55000000000000004">
      <c r="A510" s="165"/>
      <c r="B510" s="35">
        <f t="shared" si="56"/>
        <v>8</v>
      </c>
      <c r="C510" s="36" t="str">
        <f t="shared" si="51"/>
        <v>122017</v>
      </c>
      <c r="D510" s="44">
        <f t="shared" si="59"/>
        <v>43077</v>
      </c>
      <c r="E510" s="38">
        <v>3.8616000000000001</v>
      </c>
      <c r="F510" s="39">
        <v>539</v>
      </c>
      <c r="G510" s="33">
        <f t="shared" si="58"/>
        <v>2081.4023999999999</v>
      </c>
      <c r="H510" s="33"/>
      <c r="I510" s="33">
        <f t="shared" si="53"/>
        <v>2098.0359400000002</v>
      </c>
      <c r="J510" s="33"/>
      <c r="K510" s="33" t="e">
        <f t="shared" si="52"/>
        <v>#DIV/0!</v>
      </c>
      <c r="L510" s="59" t="e">
        <f t="shared" si="54"/>
        <v>#DIV/0!</v>
      </c>
      <c r="M510" s="60" t="str">
        <f>IFERROR((#REF!/1.18)*1000,"")</f>
        <v/>
      </c>
    </row>
    <row r="511" spans="1:13" x14ac:dyDescent="0.55000000000000004">
      <c r="A511" s="165"/>
      <c r="B511" s="35">
        <f t="shared" si="56"/>
        <v>11</v>
      </c>
      <c r="C511" s="36" t="str">
        <f t="shared" si="51"/>
        <v>122017</v>
      </c>
      <c r="D511" s="44">
        <f t="shared" si="59"/>
        <v>43080</v>
      </c>
      <c r="E511" s="38">
        <v>3.8344</v>
      </c>
      <c r="F511" s="39">
        <v>539</v>
      </c>
      <c r="G511" s="33">
        <f t="shared" si="58"/>
        <v>2066.7415999999998</v>
      </c>
      <c r="H511" s="33"/>
      <c r="I511" s="33">
        <f t="shared" si="53"/>
        <v>2089.6383200000005</v>
      </c>
      <c r="J511" s="33"/>
      <c r="K511" s="33" t="e">
        <f t="shared" si="52"/>
        <v>#DIV/0!</v>
      </c>
      <c r="L511" s="59" t="e">
        <f t="shared" si="54"/>
        <v>#DIV/0!</v>
      </c>
      <c r="M511" s="60" t="str">
        <f>IFERROR((#REF!/1.18)*1000,"")</f>
        <v/>
      </c>
    </row>
    <row r="512" spans="1:13" x14ac:dyDescent="0.55000000000000004">
      <c r="A512" s="165"/>
      <c r="B512" s="35">
        <f t="shared" si="56"/>
        <v>12</v>
      </c>
      <c r="C512" s="36" t="str">
        <f t="shared" si="51"/>
        <v>122017</v>
      </c>
      <c r="D512" s="44">
        <f t="shared" si="59"/>
        <v>43081</v>
      </c>
      <c r="E512" s="38">
        <v>3.8346</v>
      </c>
      <c r="F512" s="39">
        <v>539</v>
      </c>
      <c r="G512" s="33">
        <f t="shared" si="58"/>
        <v>2066.8494000000001</v>
      </c>
      <c r="H512" s="33"/>
      <c r="I512" s="33">
        <f t="shared" si="53"/>
        <v>2079.75306</v>
      </c>
      <c r="J512" s="33"/>
      <c r="K512" s="33" t="e">
        <f t="shared" si="52"/>
        <v>#DIV/0!</v>
      </c>
      <c r="L512" s="59" t="e">
        <f t="shared" si="54"/>
        <v>#DIV/0!</v>
      </c>
      <c r="M512" s="60" t="str">
        <f>IFERROR((#REF!/1.18)*1000,"")</f>
        <v/>
      </c>
    </row>
    <row r="513" spans="1:13" x14ac:dyDescent="0.55000000000000004">
      <c r="A513" s="165"/>
      <c r="B513" s="35">
        <f t="shared" si="56"/>
        <v>13</v>
      </c>
      <c r="C513" s="36" t="str">
        <f t="shared" si="51"/>
        <v>122017</v>
      </c>
      <c r="D513" s="44">
        <f t="shared" si="59"/>
        <v>43082</v>
      </c>
      <c r="E513" s="38">
        <v>3.8458999999999999</v>
      </c>
      <c r="F513" s="39">
        <v>539</v>
      </c>
      <c r="G513" s="33">
        <f t="shared" si="58"/>
        <v>2072.9400999999998</v>
      </c>
      <c r="H513" s="33"/>
      <c r="I513" s="33">
        <f t="shared" si="53"/>
        <v>2076.0124000000005</v>
      </c>
      <c r="J513" s="33"/>
      <c r="K513" s="33" t="e">
        <f t="shared" si="52"/>
        <v>#DIV/0!</v>
      </c>
      <c r="L513" s="59" t="e">
        <f t="shared" si="54"/>
        <v>#DIV/0!</v>
      </c>
      <c r="M513" s="60" t="str">
        <f>IFERROR((#REF!/1.18)*1000,"")</f>
        <v/>
      </c>
    </row>
    <row r="514" spans="1:13" x14ac:dyDescent="0.55000000000000004">
      <c r="A514" s="165"/>
      <c r="B514" s="35">
        <f t="shared" si="56"/>
        <v>14</v>
      </c>
      <c r="C514" s="36" t="str">
        <f t="shared" ref="C514:C577" si="60">IF(F514&gt;0,MONTH(D514)&amp;YEAR(D514),"")</f>
        <v>122017</v>
      </c>
      <c r="D514" s="44">
        <f t="shared" si="59"/>
        <v>43083</v>
      </c>
      <c r="E514" s="38">
        <v>3.8391999999999999</v>
      </c>
      <c r="F514" s="39">
        <v>539</v>
      </c>
      <c r="G514" s="33">
        <f t="shared" si="58"/>
        <v>2069.3287999999998</v>
      </c>
      <c r="H514" s="33"/>
      <c r="I514" s="33">
        <f t="shared" si="53"/>
        <v>2074.5247600000002</v>
      </c>
      <c r="J514" s="33"/>
      <c r="K514" s="33" t="e">
        <f t="shared" si="52"/>
        <v>#DIV/0!</v>
      </c>
      <c r="L514" s="59" t="e">
        <f t="shared" si="54"/>
        <v>#DIV/0!</v>
      </c>
      <c r="M514" s="60" t="str">
        <f>IFERROR((#REF!/1.18)*1000,"")</f>
        <v/>
      </c>
    </row>
    <row r="515" spans="1:13" x14ac:dyDescent="0.55000000000000004">
      <c r="A515" s="165"/>
      <c r="B515" s="35">
        <f t="shared" si="56"/>
        <v>15</v>
      </c>
      <c r="C515" s="36" t="str">
        <f t="shared" si="60"/>
        <v>122017</v>
      </c>
      <c r="D515" s="44">
        <f t="shared" si="59"/>
        <v>43084</v>
      </c>
      <c r="E515" s="38">
        <v>3.8660000000000001</v>
      </c>
      <c r="F515" s="39">
        <v>539</v>
      </c>
      <c r="G515" s="33">
        <f t="shared" si="58"/>
        <v>2083.7739999999999</v>
      </c>
      <c r="H515" s="33"/>
      <c r="I515" s="33">
        <f t="shared" si="53"/>
        <v>2071.4524599999995</v>
      </c>
      <c r="J515" s="33"/>
      <c r="K515" s="33" t="e">
        <f t="shared" si="52"/>
        <v>#DIV/0!</v>
      </c>
      <c r="L515" s="59" t="e">
        <f t="shared" si="54"/>
        <v>#DIV/0!</v>
      </c>
      <c r="M515" s="60" t="str">
        <f>IFERROR((#REF!/1.18)*1000,"")</f>
        <v/>
      </c>
    </row>
    <row r="516" spans="1:13" x14ac:dyDescent="0.55000000000000004">
      <c r="A516" s="165"/>
      <c r="B516" s="35">
        <f t="shared" si="56"/>
        <v>18</v>
      </c>
      <c r="C516" s="36" t="str">
        <f t="shared" si="60"/>
        <v>122017</v>
      </c>
      <c r="D516" s="44">
        <f t="shared" si="59"/>
        <v>43087</v>
      </c>
      <c r="E516" s="38">
        <v>3.8576000000000001</v>
      </c>
      <c r="F516" s="39">
        <v>539</v>
      </c>
      <c r="G516" s="33">
        <f t="shared" si="58"/>
        <v>2079.2464</v>
      </c>
      <c r="H516" s="33"/>
      <c r="I516" s="33">
        <f t="shared" si="53"/>
        <v>2071.9267799999998</v>
      </c>
      <c r="J516" s="33"/>
      <c r="K516" s="33" t="e">
        <f t="shared" si="52"/>
        <v>#DIV/0!</v>
      </c>
      <c r="L516" s="59" t="e">
        <f t="shared" si="54"/>
        <v>#DIV/0!</v>
      </c>
      <c r="M516" s="60" t="str">
        <f>IFERROR((#REF!/1.18)*1000,"")</f>
        <v/>
      </c>
    </row>
    <row r="517" spans="1:13" x14ac:dyDescent="0.55000000000000004">
      <c r="A517" s="165"/>
      <c r="B517" s="35">
        <f t="shared" si="56"/>
        <v>19</v>
      </c>
      <c r="C517" s="36" t="str">
        <f t="shared" si="60"/>
        <v>122017</v>
      </c>
      <c r="D517" s="44">
        <f t="shared" si="59"/>
        <v>43088</v>
      </c>
      <c r="E517" s="38">
        <v>3.8418000000000001</v>
      </c>
      <c r="F517" s="39">
        <v>539</v>
      </c>
      <c r="G517" s="33">
        <f t="shared" si="58"/>
        <v>2070.7302</v>
      </c>
      <c r="H517" s="33"/>
      <c r="I517" s="33">
        <f t="shared" si="53"/>
        <v>2074.4277400000001</v>
      </c>
      <c r="J517" s="33"/>
      <c r="K517" s="33" t="e">
        <f t="shared" si="52"/>
        <v>#DIV/0!</v>
      </c>
      <c r="L517" s="59" t="e">
        <f t="shared" si="54"/>
        <v>#DIV/0!</v>
      </c>
      <c r="M517" s="60" t="str">
        <f>IFERROR((#REF!/1.18)*1000,"")</f>
        <v/>
      </c>
    </row>
    <row r="518" spans="1:13" x14ac:dyDescent="0.55000000000000004">
      <c r="A518" s="165"/>
      <c r="B518" s="35">
        <f t="shared" si="56"/>
        <v>20</v>
      </c>
      <c r="C518" s="36" t="str">
        <f t="shared" si="60"/>
        <v>122017</v>
      </c>
      <c r="D518" s="44">
        <f t="shared" si="59"/>
        <v>43089</v>
      </c>
      <c r="E518" s="38">
        <v>3.8411</v>
      </c>
      <c r="F518" s="39">
        <v>539</v>
      </c>
      <c r="G518" s="33">
        <f t="shared" si="58"/>
        <v>2070.3528999999999</v>
      </c>
      <c r="H518" s="33"/>
      <c r="I518" s="33">
        <f t="shared" si="53"/>
        <v>2075.2038999999995</v>
      </c>
      <c r="J518" s="33"/>
      <c r="K518" s="33" t="e">
        <f t="shared" si="52"/>
        <v>#DIV/0!</v>
      </c>
      <c r="L518" s="59" t="e">
        <f t="shared" si="54"/>
        <v>#DIV/0!</v>
      </c>
      <c r="M518" s="60" t="str">
        <f>IFERROR((#REF!/1.18)*1000,"")</f>
        <v/>
      </c>
    </row>
    <row r="519" spans="1:13" x14ac:dyDescent="0.55000000000000004">
      <c r="A519" s="165"/>
      <c r="B519" s="35">
        <f t="shared" si="56"/>
        <v>21</v>
      </c>
      <c r="C519" s="36" t="str">
        <f t="shared" si="60"/>
        <v>122017</v>
      </c>
      <c r="D519" s="44">
        <f t="shared" si="59"/>
        <v>43090</v>
      </c>
      <c r="E519" s="38">
        <v>3.8292000000000002</v>
      </c>
      <c r="F519" s="39">
        <v>539</v>
      </c>
      <c r="G519" s="33">
        <f t="shared" si="58"/>
        <v>2063.9387999999999</v>
      </c>
      <c r="H519" s="33"/>
      <c r="I519" s="33">
        <f t="shared" si="53"/>
        <v>2074.6864599999999</v>
      </c>
      <c r="J519" s="33"/>
      <c r="K519" s="33" t="e">
        <f t="shared" ref="K519:K527" si="61">IF(L518&gt;3%,G517,IF(L518&lt;-3%,G517,K518))</f>
        <v>#DIV/0!</v>
      </c>
      <c r="L519" s="59" t="e">
        <f t="shared" si="54"/>
        <v>#DIV/0!</v>
      </c>
      <c r="M519" s="60" t="str">
        <f>IFERROR((#REF!/1.18)*1000,"")</f>
        <v/>
      </c>
    </row>
    <row r="520" spans="1:13" x14ac:dyDescent="0.55000000000000004">
      <c r="A520" s="165"/>
      <c r="B520" s="35">
        <f t="shared" si="56"/>
        <v>22</v>
      </c>
      <c r="C520" s="36" t="str">
        <f t="shared" si="60"/>
        <v>122017</v>
      </c>
      <c r="D520" s="44">
        <f t="shared" si="59"/>
        <v>43091</v>
      </c>
      <c r="E520" s="38">
        <v>3.8182</v>
      </c>
      <c r="F520" s="39">
        <v>539</v>
      </c>
      <c r="G520" s="33">
        <f t="shared" si="58"/>
        <v>2058.0097999999998</v>
      </c>
      <c r="H520" s="33"/>
      <c r="I520" s="33">
        <f t="shared" ref="I520:I583" si="62">IF(M519&lt;&gt;"",AVERAGE(G519),IF(M518&lt;&gt;"",AVERAGE(G518:G519),IF(M517&lt;&gt;"",AVERAGE(G517:G519),IF(M516&lt;&gt;"",AVERAGE(G516:G519),AVERAGE(G515:G519)))))</f>
        <v>2073.6084599999999</v>
      </c>
      <c r="J520" s="33"/>
      <c r="K520" s="33" t="e">
        <f t="shared" si="61"/>
        <v>#DIV/0!</v>
      </c>
      <c r="L520" s="59" t="e">
        <f t="shared" si="54"/>
        <v>#DIV/0!</v>
      </c>
      <c r="M520" s="60" t="str">
        <f>IFERROR((#REF!/1.18)*1000,"")</f>
        <v/>
      </c>
    </row>
    <row r="521" spans="1:13" x14ac:dyDescent="0.55000000000000004">
      <c r="A521" s="165"/>
      <c r="B521" s="35">
        <f t="shared" si="56"/>
        <v>25</v>
      </c>
      <c r="C521" s="36" t="str">
        <f t="shared" si="60"/>
        <v>122017</v>
      </c>
      <c r="D521" s="44">
        <f t="shared" si="59"/>
        <v>43094</v>
      </c>
      <c r="E521" s="38">
        <v>3.8155999999999999</v>
      </c>
      <c r="F521" s="39">
        <v>539</v>
      </c>
      <c r="G521" s="33">
        <f t="shared" si="58"/>
        <v>2056.6084000000001</v>
      </c>
      <c r="H521" s="33"/>
      <c r="I521" s="33">
        <f t="shared" si="62"/>
        <v>2068.4556199999997</v>
      </c>
      <c r="J521" s="33"/>
      <c r="K521" s="33" t="e">
        <f t="shared" si="61"/>
        <v>#DIV/0!</v>
      </c>
      <c r="L521" s="59" t="e">
        <f t="shared" si="54"/>
        <v>#DIV/0!</v>
      </c>
      <c r="M521" s="60" t="str">
        <f>IFERROR((#REF!/1.18)*1000,"")</f>
        <v/>
      </c>
    </row>
    <row r="522" spans="1:13" x14ac:dyDescent="0.55000000000000004">
      <c r="A522" s="165"/>
      <c r="B522" s="35">
        <f t="shared" si="56"/>
        <v>26</v>
      </c>
      <c r="C522" s="36" t="str">
        <f t="shared" si="60"/>
        <v>122017</v>
      </c>
      <c r="D522" s="44">
        <f t="shared" si="59"/>
        <v>43095</v>
      </c>
      <c r="E522" s="38">
        <v>3.8096999999999999</v>
      </c>
      <c r="F522" s="39">
        <v>539</v>
      </c>
      <c r="G522" s="33">
        <f t="shared" si="58"/>
        <v>2053.4283</v>
      </c>
      <c r="H522" s="33"/>
      <c r="I522" s="33">
        <f t="shared" si="62"/>
        <v>2063.9280200000003</v>
      </c>
      <c r="J522" s="33"/>
      <c r="K522" s="33" t="e">
        <f t="shared" si="61"/>
        <v>#DIV/0!</v>
      </c>
      <c r="L522" s="59" t="e">
        <f t="shared" si="54"/>
        <v>#DIV/0!</v>
      </c>
      <c r="M522" s="60" t="str">
        <f>IFERROR((#REF!/1.18)*1000,"")</f>
        <v/>
      </c>
    </row>
    <row r="523" spans="1:13" x14ac:dyDescent="0.55000000000000004">
      <c r="A523" s="165"/>
      <c r="B523" s="35">
        <f t="shared" si="56"/>
        <v>27</v>
      </c>
      <c r="C523" s="36" t="str">
        <f t="shared" si="60"/>
        <v>122017</v>
      </c>
      <c r="D523" s="44">
        <f t="shared" si="59"/>
        <v>43096</v>
      </c>
      <c r="E523" s="38">
        <v>3.8264999999999998</v>
      </c>
      <c r="F523" s="39">
        <v>539</v>
      </c>
      <c r="G523" s="33">
        <f t="shared" si="58"/>
        <v>2062.4834999999998</v>
      </c>
      <c r="H523" s="33"/>
      <c r="I523" s="33">
        <f t="shared" si="62"/>
        <v>2060.4676399999998</v>
      </c>
      <c r="J523" s="33"/>
      <c r="K523" s="33" t="e">
        <f t="shared" si="61"/>
        <v>#DIV/0!</v>
      </c>
      <c r="L523" s="59" t="e">
        <f t="shared" si="54"/>
        <v>#DIV/0!</v>
      </c>
      <c r="M523" s="60" t="str">
        <f>IFERROR((#REF!/1.18)*1000,"")</f>
        <v/>
      </c>
    </row>
    <row r="524" spans="1:13" x14ac:dyDescent="0.55000000000000004">
      <c r="A524" s="165"/>
      <c r="B524" s="35">
        <f t="shared" si="56"/>
        <v>28</v>
      </c>
      <c r="C524" s="36" t="str">
        <f t="shared" si="60"/>
        <v>122017</v>
      </c>
      <c r="D524" s="44">
        <f t="shared" si="59"/>
        <v>43097</v>
      </c>
      <c r="E524" s="38">
        <v>3.8172999999999999</v>
      </c>
      <c r="F524" s="39">
        <v>539</v>
      </c>
      <c r="G524" s="33">
        <f t="shared" si="58"/>
        <v>2057.5246999999999</v>
      </c>
      <c r="H524" s="33"/>
      <c r="I524" s="33">
        <f t="shared" si="62"/>
        <v>2058.8937599999999</v>
      </c>
      <c r="J524" s="33"/>
      <c r="K524" s="33" t="e">
        <f t="shared" si="61"/>
        <v>#DIV/0!</v>
      </c>
      <c r="L524" s="59" t="e">
        <f>(I524-K524)/K524</f>
        <v>#DIV/0!</v>
      </c>
      <c r="M524" s="60" t="str">
        <f>IFERROR((#REF!/1.18)*1000,"")</f>
        <v/>
      </c>
    </row>
    <row r="525" spans="1:13" ht="14.7" thickBot="1" x14ac:dyDescent="0.6">
      <c r="A525" s="166"/>
      <c r="B525" s="35">
        <f t="shared" si="56"/>
        <v>29</v>
      </c>
      <c r="C525" s="36" t="str">
        <f t="shared" si="60"/>
        <v>122017</v>
      </c>
      <c r="D525" s="53">
        <f t="shared" si="59"/>
        <v>43098</v>
      </c>
      <c r="E525" s="38">
        <v>3.7787000000000002</v>
      </c>
      <c r="F525" s="39">
        <v>539</v>
      </c>
      <c r="G525" s="33">
        <f t="shared" si="58"/>
        <v>2036.7193000000002</v>
      </c>
      <c r="H525" s="33"/>
      <c r="I525" s="33">
        <f t="shared" si="62"/>
        <v>2057.61094</v>
      </c>
      <c r="J525" s="33"/>
      <c r="K525" s="33" t="e">
        <f t="shared" si="61"/>
        <v>#DIV/0!</v>
      </c>
      <c r="L525" s="59" t="e">
        <f>(I525-K525)/K525</f>
        <v>#DIV/0!</v>
      </c>
      <c r="M525" s="60" t="str">
        <f>IFERROR((#REF!/1.18)*1000,"")</f>
        <v/>
      </c>
    </row>
    <row r="526" spans="1:13" x14ac:dyDescent="0.55000000000000004">
      <c r="A526" s="165"/>
      <c r="B526" s="35">
        <f t="shared" si="56"/>
        <v>2</v>
      </c>
      <c r="C526" s="36" t="str">
        <f t="shared" si="60"/>
        <v>12018</v>
      </c>
      <c r="D526" s="44">
        <f>WORKDAY(D525+3,1)</f>
        <v>43102</v>
      </c>
      <c r="E526" s="38">
        <v>3.7719</v>
      </c>
      <c r="F526" s="39">
        <v>576</v>
      </c>
      <c r="G526" s="33">
        <f t="shared" si="58"/>
        <v>2172.6143999999999</v>
      </c>
      <c r="H526" s="33"/>
      <c r="I526" s="33">
        <f t="shared" si="62"/>
        <v>2053.3528400000005</v>
      </c>
      <c r="J526" s="33"/>
      <c r="K526" s="33" t="e">
        <f t="shared" si="61"/>
        <v>#DIV/0!</v>
      </c>
      <c r="L526" s="59" t="e">
        <f>(I526-K526)/K526</f>
        <v>#DIV/0!</v>
      </c>
      <c r="M526" s="60" t="e">
        <f t="shared" ref="M526:M590" si="63">IF(OR(L526&lt;-3%,L526&gt;3%),K527-K526,"")</f>
        <v>#DIV/0!</v>
      </c>
    </row>
    <row r="527" spans="1:13" x14ac:dyDescent="0.55000000000000004">
      <c r="A527" s="165"/>
      <c r="B527" s="35">
        <f t="shared" si="56"/>
        <v>3</v>
      </c>
      <c r="C527" s="36" t="str">
        <f t="shared" si="60"/>
        <v>12018</v>
      </c>
      <c r="D527" s="44">
        <f t="shared" si="59"/>
        <v>43103</v>
      </c>
      <c r="E527" s="38">
        <v>3.7685</v>
      </c>
      <c r="F527" s="39">
        <v>576</v>
      </c>
      <c r="G527" s="33">
        <f t="shared" si="58"/>
        <v>2170.6559999999999</v>
      </c>
      <c r="H527" s="33"/>
      <c r="I527" s="33" t="e">
        <f t="shared" si="62"/>
        <v>#DIV/0!</v>
      </c>
      <c r="J527" s="33"/>
      <c r="K527" s="33" t="e">
        <f t="shared" si="61"/>
        <v>#DIV/0!</v>
      </c>
      <c r="L527" s="59" t="e">
        <f>(I527-K527)/K527</f>
        <v>#DIV/0!</v>
      </c>
      <c r="M527" s="60" t="e">
        <f t="shared" si="63"/>
        <v>#DIV/0!</v>
      </c>
    </row>
    <row r="528" spans="1:13" x14ac:dyDescent="0.55000000000000004">
      <c r="A528" s="165"/>
      <c r="B528" s="35">
        <f t="shared" si="56"/>
        <v>4</v>
      </c>
      <c r="C528" s="36" t="str">
        <f t="shared" si="60"/>
        <v>12018</v>
      </c>
      <c r="D528" s="44">
        <f t="shared" si="59"/>
        <v>43104</v>
      </c>
      <c r="E528" s="38">
        <v>3.7667999999999999</v>
      </c>
      <c r="F528" s="39">
        <v>576</v>
      </c>
      <c r="G528" s="33">
        <f t="shared" si="58"/>
        <v>2169.6768000000002</v>
      </c>
      <c r="H528" s="33"/>
      <c r="I528" s="33" t="e">
        <f t="shared" si="62"/>
        <v>#DIV/0!</v>
      </c>
      <c r="J528" s="33"/>
      <c r="K528" s="33" t="e">
        <f>IF(L528&gt;3%,I528,IF(L528&lt;-3%,I528,K527))</f>
        <v>#DIV/0!</v>
      </c>
      <c r="L528" s="59" t="e">
        <f t="shared" ref="L528:L535" si="64">(I528-K527)/K527</f>
        <v>#DIV/0!</v>
      </c>
      <c r="M528" s="60" t="e">
        <f t="shared" si="63"/>
        <v>#DIV/0!</v>
      </c>
    </row>
    <row r="529" spans="1:13" x14ac:dyDescent="0.55000000000000004">
      <c r="A529" s="165"/>
      <c r="B529" s="35">
        <f t="shared" si="56"/>
        <v>5</v>
      </c>
      <c r="C529" s="36" t="str">
        <f t="shared" si="60"/>
        <v>12018</v>
      </c>
      <c r="D529" s="44">
        <f t="shared" si="59"/>
        <v>43105</v>
      </c>
      <c r="E529" s="38">
        <v>3.7523</v>
      </c>
      <c r="F529" s="39">
        <v>576</v>
      </c>
      <c r="G529" s="33">
        <f t="shared" si="58"/>
        <v>2161.3247999999999</v>
      </c>
      <c r="H529" s="33"/>
      <c r="I529" s="33" t="e">
        <f t="shared" si="62"/>
        <v>#DIV/0!</v>
      </c>
      <c r="J529" s="33"/>
      <c r="K529" s="33" t="e">
        <f>IF(L528&gt;3%,I528,IF(L528&lt;-3%,I528,K527))</f>
        <v>#DIV/0!</v>
      </c>
      <c r="L529" s="59" t="e">
        <f t="shared" si="64"/>
        <v>#DIV/0!</v>
      </c>
      <c r="M529" s="60" t="e">
        <f t="shared" si="63"/>
        <v>#DIV/0!</v>
      </c>
    </row>
    <row r="530" spans="1:13" x14ac:dyDescent="0.55000000000000004">
      <c r="A530" s="165"/>
      <c r="B530" s="35">
        <f t="shared" si="56"/>
        <v>8</v>
      </c>
      <c r="C530" s="36" t="str">
        <f t="shared" si="60"/>
        <v>12018</v>
      </c>
      <c r="D530" s="44">
        <f t="shared" si="59"/>
        <v>43108</v>
      </c>
      <c r="E530" s="38">
        <v>3.7521</v>
      </c>
      <c r="F530" s="39">
        <v>576</v>
      </c>
      <c r="G530" s="33">
        <f t="shared" si="58"/>
        <v>2161.2096000000001</v>
      </c>
      <c r="H530" s="33"/>
      <c r="I530" s="33" t="e">
        <f t="shared" si="62"/>
        <v>#DIV/0!</v>
      </c>
      <c r="J530" s="33"/>
      <c r="K530" s="33" t="e">
        <f>IF(L529&gt;3%,I529,IF(L529&lt;-3%,I529,K528))</f>
        <v>#DIV/0!</v>
      </c>
      <c r="L530" s="59" t="e">
        <f t="shared" si="64"/>
        <v>#DIV/0!</v>
      </c>
      <c r="M530" s="60" t="e">
        <f t="shared" si="63"/>
        <v>#DIV/0!</v>
      </c>
    </row>
    <row r="531" spans="1:13" x14ac:dyDescent="0.55000000000000004">
      <c r="A531" s="165"/>
      <c r="B531" s="35">
        <f t="shared" si="56"/>
        <v>9</v>
      </c>
      <c r="C531" s="36" t="str">
        <f t="shared" si="60"/>
        <v>12018</v>
      </c>
      <c r="D531" s="44">
        <f t="shared" si="59"/>
        <v>43109</v>
      </c>
      <c r="E531" s="38">
        <v>3.7621000000000002</v>
      </c>
      <c r="F531" s="39">
        <v>576</v>
      </c>
      <c r="G531" s="33">
        <f t="shared" si="58"/>
        <v>2166.9696000000004</v>
      </c>
      <c r="H531" s="33"/>
      <c r="I531" s="33" t="e">
        <f t="shared" si="62"/>
        <v>#DIV/0!</v>
      </c>
      <c r="J531" s="33"/>
      <c r="K531" s="33" t="e">
        <f>IF(L530&gt;3%,I530,IF(L530&lt;-3%,I530,K529))</f>
        <v>#DIV/0!</v>
      </c>
      <c r="L531" s="59" t="e">
        <f t="shared" si="64"/>
        <v>#DIV/0!</v>
      </c>
      <c r="M531" s="60" t="e">
        <f t="shared" si="63"/>
        <v>#DIV/0!</v>
      </c>
    </row>
    <row r="532" spans="1:13" x14ac:dyDescent="0.55000000000000004">
      <c r="A532" s="165"/>
      <c r="B532" s="35">
        <f t="shared" si="56"/>
        <v>10</v>
      </c>
      <c r="C532" s="36" t="str">
        <f t="shared" si="60"/>
        <v>12018</v>
      </c>
      <c r="D532" s="44">
        <f t="shared" si="59"/>
        <v>43110</v>
      </c>
      <c r="E532" s="38">
        <v>3.7911999999999999</v>
      </c>
      <c r="F532" s="39">
        <v>576</v>
      </c>
      <c r="G532" s="33">
        <f t="shared" si="58"/>
        <v>2183.7312000000002</v>
      </c>
      <c r="H532" s="33"/>
      <c r="I532" s="33" t="e">
        <f t="shared" si="62"/>
        <v>#DIV/0!</v>
      </c>
      <c r="J532" s="33"/>
      <c r="K532" s="33" t="e">
        <f t="shared" ref="K532:K595" si="65">IF(L531&gt;3%,I531,IF(L531&lt;-3%,I531,K531))</f>
        <v>#DIV/0!</v>
      </c>
      <c r="L532" s="59" t="e">
        <f t="shared" si="64"/>
        <v>#DIV/0!</v>
      </c>
      <c r="M532" s="60" t="e">
        <f t="shared" si="63"/>
        <v>#DIV/0!</v>
      </c>
    </row>
    <row r="533" spans="1:13" x14ac:dyDescent="0.55000000000000004">
      <c r="A533" s="165"/>
      <c r="B533" s="35">
        <f t="shared" si="56"/>
        <v>11</v>
      </c>
      <c r="C533" s="36" t="str">
        <f t="shared" si="60"/>
        <v>12018</v>
      </c>
      <c r="D533" s="44">
        <f t="shared" si="59"/>
        <v>43111</v>
      </c>
      <c r="E533" s="38">
        <v>3.7988</v>
      </c>
      <c r="F533" s="39">
        <v>576</v>
      </c>
      <c r="G533" s="33">
        <f t="shared" si="58"/>
        <v>2188.1088</v>
      </c>
      <c r="H533" s="33"/>
      <c r="I533" s="33" t="e">
        <f t="shared" si="62"/>
        <v>#DIV/0!</v>
      </c>
      <c r="J533" s="33"/>
      <c r="K533" s="33" t="e">
        <f t="shared" si="65"/>
        <v>#DIV/0!</v>
      </c>
      <c r="L533" s="59" t="e">
        <f t="shared" si="64"/>
        <v>#DIV/0!</v>
      </c>
      <c r="M533" s="60" t="e">
        <f t="shared" si="63"/>
        <v>#DIV/0!</v>
      </c>
    </row>
    <row r="534" spans="1:13" x14ac:dyDescent="0.55000000000000004">
      <c r="A534" s="165"/>
      <c r="B534" s="35">
        <f t="shared" si="56"/>
        <v>12</v>
      </c>
      <c r="C534" s="36" t="str">
        <f t="shared" si="60"/>
        <v>12018</v>
      </c>
      <c r="D534" s="44">
        <f t="shared" si="59"/>
        <v>43112</v>
      </c>
      <c r="E534" s="38">
        <v>3.7690000000000001</v>
      </c>
      <c r="F534" s="39">
        <v>576</v>
      </c>
      <c r="G534" s="33">
        <f t="shared" si="58"/>
        <v>2170.944</v>
      </c>
      <c r="H534" s="33"/>
      <c r="I534" s="33" t="e">
        <f t="shared" si="62"/>
        <v>#DIV/0!</v>
      </c>
      <c r="J534" s="33"/>
      <c r="K534" s="33" t="e">
        <f t="shared" si="65"/>
        <v>#DIV/0!</v>
      </c>
      <c r="L534" s="59" t="e">
        <f t="shared" si="64"/>
        <v>#DIV/0!</v>
      </c>
      <c r="M534" s="60" t="e">
        <f t="shared" si="63"/>
        <v>#DIV/0!</v>
      </c>
    </row>
    <row r="535" spans="1:13" x14ac:dyDescent="0.55000000000000004">
      <c r="A535" s="165"/>
      <c r="B535" s="35">
        <f t="shared" ref="B535:B598" si="66">DAY(D535)</f>
        <v>15</v>
      </c>
      <c r="C535" s="36" t="str">
        <f t="shared" si="60"/>
        <v>12018</v>
      </c>
      <c r="D535" s="44">
        <f t="shared" si="59"/>
        <v>43115</v>
      </c>
      <c r="E535" s="38">
        <v>3.7660999999999998</v>
      </c>
      <c r="F535" s="39">
        <v>576</v>
      </c>
      <c r="G535" s="33">
        <f t="shared" si="58"/>
        <v>2169.2736</v>
      </c>
      <c r="H535" s="33"/>
      <c r="I535" s="33" t="e">
        <f t="shared" si="62"/>
        <v>#DIV/0!</v>
      </c>
      <c r="J535" s="33"/>
      <c r="K535" s="33" t="e">
        <f t="shared" si="65"/>
        <v>#DIV/0!</v>
      </c>
      <c r="L535" s="59" t="e">
        <f t="shared" si="64"/>
        <v>#DIV/0!</v>
      </c>
      <c r="M535" s="60" t="e">
        <f t="shared" si="63"/>
        <v>#DIV/0!</v>
      </c>
    </row>
    <row r="536" spans="1:13" x14ac:dyDescent="0.55000000000000004">
      <c r="A536" s="165"/>
      <c r="B536" s="35">
        <f t="shared" si="66"/>
        <v>16</v>
      </c>
      <c r="C536" s="36" t="str">
        <f t="shared" si="60"/>
        <v>12018</v>
      </c>
      <c r="D536" s="44">
        <f t="shared" si="59"/>
        <v>43116</v>
      </c>
      <c r="E536" s="38">
        <v>3.8218999999999999</v>
      </c>
      <c r="F536" s="39">
        <v>576</v>
      </c>
      <c r="G536" s="33">
        <f t="shared" si="58"/>
        <v>2201.4144000000001</v>
      </c>
      <c r="H536" s="33"/>
      <c r="I536" s="33" t="e">
        <f t="shared" si="62"/>
        <v>#DIV/0!</v>
      </c>
      <c r="J536" s="33"/>
      <c r="K536" s="33" t="e">
        <f t="shared" si="65"/>
        <v>#DIV/0!</v>
      </c>
      <c r="L536" s="59" t="e">
        <f t="shared" ref="L536:L599" si="67">(I536-K536)/K536</f>
        <v>#DIV/0!</v>
      </c>
      <c r="M536" s="60" t="e">
        <f t="shared" si="63"/>
        <v>#DIV/0!</v>
      </c>
    </row>
    <row r="537" spans="1:13" x14ac:dyDescent="0.55000000000000004">
      <c r="A537" s="165"/>
      <c r="B537" s="35">
        <f t="shared" si="66"/>
        <v>17</v>
      </c>
      <c r="C537" s="36" t="str">
        <f t="shared" si="60"/>
        <v>12018</v>
      </c>
      <c r="D537" s="44">
        <f t="shared" si="59"/>
        <v>43117</v>
      </c>
      <c r="E537" s="38">
        <v>3.8212000000000002</v>
      </c>
      <c r="F537" s="39">
        <v>576</v>
      </c>
      <c r="G537" s="33">
        <f t="shared" si="58"/>
        <v>2201.0111999999999</v>
      </c>
      <c r="H537" s="33"/>
      <c r="I537" s="33" t="e">
        <f t="shared" si="62"/>
        <v>#DIV/0!</v>
      </c>
      <c r="J537" s="33"/>
      <c r="K537" s="33" t="e">
        <f t="shared" si="65"/>
        <v>#DIV/0!</v>
      </c>
      <c r="L537" s="59" t="e">
        <f t="shared" si="67"/>
        <v>#DIV/0!</v>
      </c>
      <c r="M537" s="60" t="e">
        <f t="shared" si="63"/>
        <v>#DIV/0!</v>
      </c>
    </row>
    <row r="538" spans="1:13" x14ac:dyDescent="0.55000000000000004">
      <c r="A538" s="165"/>
      <c r="B538" s="35">
        <f t="shared" si="66"/>
        <v>18</v>
      </c>
      <c r="C538" s="36" t="str">
        <f t="shared" si="60"/>
        <v>12018</v>
      </c>
      <c r="D538" s="44">
        <f t="shared" si="59"/>
        <v>43118</v>
      </c>
      <c r="E538" s="38">
        <v>3.8035999999999999</v>
      </c>
      <c r="F538" s="39">
        <v>576</v>
      </c>
      <c r="G538" s="33">
        <f t="shared" si="58"/>
        <v>2190.8735999999999</v>
      </c>
      <c r="H538" s="33"/>
      <c r="I538" s="33" t="e">
        <f t="shared" si="62"/>
        <v>#DIV/0!</v>
      </c>
      <c r="J538" s="33"/>
      <c r="K538" s="33" t="e">
        <f t="shared" si="65"/>
        <v>#DIV/0!</v>
      </c>
      <c r="L538" s="59" t="e">
        <f t="shared" si="67"/>
        <v>#DIV/0!</v>
      </c>
      <c r="M538" s="60" t="e">
        <f t="shared" si="63"/>
        <v>#DIV/0!</v>
      </c>
    </row>
    <row r="539" spans="1:13" x14ac:dyDescent="0.55000000000000004">
      <c r="A539" s="165"/>
      <c r="B539" s="35">
        <f t="shared" si="66"/>
        <v>19</v>
      </c>
      <c r="C539" s="36" t="str">
        <f t="shared" si="60"/>
        <v>12018</v>
      </c>
      <c r="D539" s="44">
        <f t="shared" si="59"/>
        <v>43119</v>
      </c>
      <c r="E539" s="38">
        <v>3.7845</v>
      </c>
      <c r="F539" s="39">
        <v>576</v>
      </c>
      <c r="G539" s="33">
        <f t="shared" si="58"/>
        <v>2179.8719999999998</v>
      </c>
      <c r="H539" s="33"/>
      <c r="I539" s="33" t="e">
        <f t="shared" si="62"/>
        <v>#DIV/0!</v>
      </c>
      <c r="J539" s="33"/>
      <c r="K539" s="33" t="e">
        <f t="shared" si="65"/>
        <v>#DIV/0!</v>
      </c>
      <c r="L539" s="59" t="e">
        <f t="shared" si="67"/>
        <v>#DIV/0!</v>
      </c>
      <c r="M539" s="60" t="e">
        <f t="shared" si="63"/>
        <v>#DIV/0!</v>
      </c>
    </row>
    <row r="540" spans="1:13" x14ac:dyDescent="0.55000000000000004">
      <c r="A540" s="165"/>
      <c r="B540" s="35">
        <f t="shared" si="66"/>
        <v>22</v>
      </c>
      <c r="C540" s="36" t="str">
        <f t="shared" si="60"/>
        <v>12018</v>
      </c>
      <c r="D540" s="44">
        <f t="shared" si="59"/>
        <v>43122</v>
      </c>
      <c r="E540" s="38">
        <v>3.8167</v>
      </c>
      <c r="F540" s="39">
        <v>576</v>
      </c>
      <c r="G540" s="33">
        <f t="shared" si="58"/>
        <v>2198.4191999999998</v>
      </c>
      <c r="H540" s="33"/>
      <c r="I540" s="33" t="e">
        <f t="shared" si="62"/>
        <v>#DIV/0!</v>
      </c>
      <c r="J540" s="33"/>
      <c r="K540" s="33" t="e">
        <f t="shared" si="65"/>
        <v>#DIV/0!</v>
      </c>
      <c r="L540" s="59" t="e">
        <f t="shared" si="67"/>
        <v>#DIV/0!</v>
      </c>
      <c r="M540" s="60" t="e">
        <f t="shared" si="63"/>
        <v>#DIV/0!</v>
      </c>
    </row>
    <row r="541" spans="1:13" x14ac:dyDescent="0.55000000000000004">
      <c r="A541" s="165"/>
      <c r="B541" s="35">
        <f t="shared" si="66"/>
        <v>23</v>
      </c>
      <c r="C541" s="36" t="str">
        <f t="shared" si="60"/>
        <v>12018</v>
      </c>
      <c r="D541" s="44">
        <f t="shared" si="59"/>
        <v>43123</v>
      </c>
      <c r="E541" s="38">
        <v>3.7942</v>
      </c>
      <c r="F541" s="39">
        <v>576</v>
      </c>
      <c r="G541" s="33">
        <f t="shared" si="58"/>
        <v>2185.4592000000002</v>
      </c>
      <c r="H541" s="33"/>
      <c r="I541" s="33" t="e">
        <f t="shared" si="62"/>
        <v>#DIV/0!</v>
      </c>
      <c r="J541" s="33"/>
      <c r="K541" s="33" t="e">
        <f t="shared" si="65"/>
        <v>#DIV/0!</v>
      </c>
      <c r="L541" s="59" t="e">
        <f t="shared" si="67"/>
        <v>#DIV/0!</v>
      </c>
      <c r="M541" s="60" t="e">
        <f t="shared" si="63"/>
        <v>#DIV/0!</v>
      </c>
    </row>
    <row r="542" spans="1:13" x14ac:dyDescent="0.55000000000000004">
      <c r="A542" s="165"/>
      <c r="B542" s="35">
        <f t="shared" si="66"/>
        <v>24</v>
      </c>
      <c r="C542" s="36" t="str">
        <f t="shared" si="60"/>
        <v>12018</v>
      </c>
      <c r="D542" s="44">
        <f t="shared" si="59"/>
        <v>43124</v>
      </c>
      <c r="E542" s="38">
        <v>3.7625000000000002</v>
      </c>
      <c r="F542" s="39">
        <v>576</v>
      </c>
      <c r="G542" s="33">
        <f t="shared" si="58"/>
        <v>2167.2000000000003</v>
      </c>
      <c r="H542" s="33"/>
      <c r="I542" s="33" t="e">
        <f t="shared" si="62"/>
        <v>#DIV/0!</v>
      </c>
      <c r="J542" s="33"/>
      <c r="K542" s="33" t="e">
        <f t="shared" si="65"/>
        <v>#DIV/0!</v>
      </c>
      <c r="L542" s="59" t="e">
        <f t="shared" si="67"/>
        <v>#DIV/0!</v>
      </c>
      <c r="M542" s="60" t="e">
        <f t="shared" si="63"/>
        <v>#DIV/0!</v>
      </c>
    </row>
    <row r="543" spans="1:13" x14ac:dyDescent="0.55000000000000004">
      <c r="A543" s="165"/>
      <c r="B543" s="35">
        <f t="shared" si="66"/>
        <v>25</v>
      </c>
      <c r="C543" s="36" t="str">
        <f t="shared" si="60"/>
        <v>12018</v>
      </c>
      <c r="D543" s="44">
        <f t="shared" si="59"/>
        <v>43125</v>
      </c>
      <c r="E543" s="38">
        <v>3.7488999999999999</v>
      </c>
      <c r="F543" s="39">
        <v>576</v>
      </c>
      <c r="G543" s="33">
        <f t="shared" si="58"/>
        <v>2159.3663999999999</v>
      </c>
      <c r="H543" s="33"/>
      <c r="I543" s="33" t="e">
        <f t="shared" si="62"/>
        <v>#DIV/0!</v>
      </c>
      <c r="J543" s="33"/>
      <c r="K543" s="33" t="e">
        <f t="shared" si="65"/>
        <v>#DIV/0!</v>
      </c>
      <c r="L543" s="59" t="e">
        <f t="shared" si="67"/>
        <v>#DIV/0!</v>
      </c>
      <c r="M543" s="60" t="e">
        <f t="shared" si="63"/>
        <v>#DIV/0!</v>
      </c>
    </row>
    <row r="544" spans="1:13" x14ac:dyDescent="0.55000000000000004">
      <c r="A544" s="165"/>
      <c r="B544" s="35">
        <f t="shared" si="66"/>
        <v>26</v>
      </c>
      <c r="C544" s="36" t="str">
        <f t="shared" si="60"/>
        <v>12018</v>
      </c>
      <c r="D544" s="44">
        <f t="shared" si="59"/>
        <v>43126</v>
      </c>
      <c r="E544" s="38">
        <v>3.7437999999999998</v>
      </c>
      <c r="F544" s="39">
        <v>576</v>
      </c>
      <c r="G544" s="33">
        <f t="shared" si="58"/>
        <v>2156.4287999999997</v>
      </c>
      <c r="H544" s="33"/>
      <c r="I544" s="33" t="e">
        <f t="shared" si="62"/>
        <v>#DIV/0!</v>
      </c>
      <c r="J544" s="33"/>
      <c r="K544" s="33" t="e">
        <f t="shared" si="65"/>
        <v>#DIV/0!</v>
      </c>
      <c r="L544" s="59" t="e">
        <f t="shared" si="67"/>
        <v>#DIV/0!</v>
      </c>
      <c r="M544" s="60" t="e">
        <f t="shared" si="63"/>
        <v>#DIV/0!</v>
      </c>
    </row>
    <row r="545" spans="1:13" x14ac:dyDescent="0.55000000000000004">
      <c r="A545" s="165"/>
      <c r="B545" s="35">
        <f t="shared" si="66"/>
        <v>29</v>
      </c>
      <c r="C545" s="36" t="str">
        <f t="shared" si="60"/>
        <v>12018</v>
      </c>
      <c r="D545" s="44">
        <f t="shared" si="59"/>
        <v>43129</v>
      </c>
      <c r="E545" s="38">
        <v>3.7795999999999998</v>
      </c>
      <c r="F545" s="39">
        <v>576</v>
      </c>
      <c r="G545" s="33">
        <f t="shared" si="58"/>
        <v>2177.0495999999998</v>
      </c>
      <c r="H545" s="33"/>
      <c r="I545" s="33" t="e">
        <f t="shared" si="62"/>
        <v>#DIV/0!</v>
      </c>
      <c r="J545" s="33"/>
      <c r="K545" s="33" t="e">
        <f t="shared" si="65"/>
        <v>#DIV/0!</v>
      </c>
      <c r="L545" s="59" t="e">
        <f t="shared" si="67"/>
        <v>#DIV/0!</v>
      </c>
      <c r="M545" s="60" t="e">
        <f t="shared" si="63"/>
        <v>#DIV/0!</v>
      </c>
    </row>
    <row r="546" spans="1:13" x14ac:dyDescent="0.55000000000000004">
      <c r="A546" s="165"/>
      <c r="B546" s="35">
        <f t="shared" si="66"/>
        <v>30</v>
      </c>
      <c r="C546" s="36" t="str">
        <f t="shared" si="60"/>
        <v>12018</v>
      </c>
      <c r="D546" s="44">
        <f t="shared" si="59"/>
        <v>43130</v>
      </c>
      <c r="E546" s="38">
        <v>3.7863000000000002</v>
      </c>
      <c r="F546" s="39">
        <v>576</v>
      </c>
      <c r="G546" s="33">
        <f t="shared" si="58"/>
        <v>2180.9088000000002</v>
      </c>
      <c r="H546" s="33"/>
      <c r="I546" s="33" t="e">
        <f t="shared" si="62"/>
        <v>#DIV/0!</v>
      </c>
      <c r="J546" s="33"/>
      <c r="K546" s="33" t="e">
        <f t="shared" si="65"/>
        <v>#DIV/0!</v>
      </c>
      <c r="L546" s="59" t="e">
        <f t="shared" si="67"/>
        <v>#DIV/0!</v>
      </c>
      <c r="M546" s="60" t="e">
        <f t="shared" si="63"/>
        <v>#DIV/0!</v>
      </c>
    </row>
    <row r="547" spans="1:13" ht="14.7" thickBot="1" x14ac:dyDescent="0.6">
      <c r="A547" s="166"/>
      <c r="B547" s="35">
        <f t="shared" si="66"/>
        <v>31</v>
      </c>
      <c r="C547" s="36" t="str">
        <f t="shared" si="60"/>
        <v>12018</v>
      </c>
      <c r="D547" s="53">
        <f t="shared" si="59"/>
        <v>43131</v>
      </c>
      <c r="E547" s="38">
        <v>3.7608000000000001</v>
      </c>
      <c r="F547" s="39">
        <v>576</v>
      </c>
      <c r="G547" s="33">
        <f t="shared" si="58"/>
        <v>2166.2208000000001</v>
      </c>
      <c r="H547" s="33"/>
      <c r="I547" s="33" t="e">
        <f t="shared" si="62"/>
        <v>#DIV/0!</v>
      </c>
      <c r="J547" s="33"/>
      <c r="K547" s="33" t="e">
        <f t="shared" si="65"/>
        <v>#DIV/0!</v>
      </c>
      <c r="L547" s="59" t="e">
        <f t="shared" si="67"/>
        <v>#DIV/0!</v>
      </c>
      <c r="M547" s="60" t="e">
        <f t="shared" si="63"/>
        <v>#DIV/0!</v>
      </c>
    </row>
    <row r="548" spans="1:13" x14ac:dyDescent="0.55000000000000004">
      <c r="A548" s="164" t="s">
        <v>105</v>
      </c>
      <c r="B548" s="35">
        <f t="shared" si="66"/>
        <v>1</v>
      </c>
      <c r="C548" s="36" t="str">
        <f t="shared" si="60"/>
        <v>22018</v>
      </c>
      <c r="D548" s="37">
        <f t="shared" si="59"/>
        <v>43132</v>
      </c>
      <c r="E548" s="38">
        <v>3.7635000000000001</v>
      </c>
      <c r="F548" s="39">
        <v>522</v>
      </c>
      <c r="G548" s="33">
        <f t="shared" si="58"/>
        <v>1964.547</v>
      </c>
      <c r="H548" s="33"/>
      <c r="I548" s="33" t="e">
        <f t="shared" si="62"/>
        <v>#DIV/0!</v>
      </c>
      <c r="J548" s="33"/>
      <c r="K548" s="33" t="e">
        <f t="shared" si="65"/>
        <v>#DIV/0!</v>
      </c>
      <c r="L548" s="59" t="e">
        <f t="shared" si="67"/>
        <v>#DIV/0!</v>
      </c>
      <c r="M548" s="60" t="e">
        <f t="shared" si="63"/>
        <v>#DIV/0!</v>
      </c>
    </row>
    <row r="549" spans="1:13" x14ac:dyDescent="0.55000000000000004">
      <c r="A549" s="165"/>
      <c r="B549" s="35">
        <f t="shared" si="66"/>
        <v>2</v>
      </c>
      <c r="C549" s="36" t="str">
        <f t="shared" si="60"/>
        <v>22018</v>
      </c>
      <c r="D549" s="44">
        <f t="shared" si="59"/>
        <v>43133</v>
      </c>
      <c r="E549" s="38">
        <v>3.7521</v>
      </c>
      <c r="F549" s="39">
        <v>522</v>
      </c>
      <c r="G549" s="33">
        <f t="shared" ref="G549:G612" si="68">E549*F549</f>
        <v>1958.5962</v>
      </c>
      <c r="H549" s="33"/>
      <c r="I549" s="33" t="e">
        <f t="shared" si="62"/>
        <v>#DIV/0!</v>
      </c>
      <c r="J549" s="33"/>
      <c r="K549" s="33" t="e">
        <f t="shared" si="65"/>
        <v>#DIV/0!</v>
      </c>
      <c r="L549" s="59" t="e">
        <f t="shared" si="67"/>
        <v>#DIV/0!</v>
      </c>
      <c r="M549" s="60" t="e">
        <f t="shared" si="63"/>
        <v>#DIV/0!</v>
      </c>
    </row>
    <row r="550" spans="1:13" x14ac:dyDescent="0.55000000000000004">
      <c r="A550" s="165"/>
      <c r="B550" s="35">
        <f t="shared" si="66"/>
        <v>5</v>
      </c>
      <c r="C550" s="36" t="str">
        <f t="shared" si="60"/>
        <v>22018</v>
      </c>
      <c r="D550" s="44">
        <f t="shared" si="59"/>
        <v>43136</v>
      </c>
      <c r="E550" s="38">
        <v>3.77</v>
      </c>
      <c r="F550" s="39">
        <v>522</v>
      </c>
      <c r="G550" s="33">
        <f t="shared" si="68"/>
        <v>1967.94</v>
      </c>
      <c r="H550" s="33"/>
      <c r="I550" s="33" t="e">
        <f t="shared" si="62"/>
        <v>#DIV/0!</v>
      </c>
      <c r="J550" s="33"/>
      <c r="K550" s="33" t="e">
        <f t="shared" si="65"/>
        <v>#DIV/0!</v>
      </c>
      <c r="L550" s="59" t="e">
        <f t="shared" si="67"/>
        <v>#DIV/0!</v>
      </c>
      <c r="M550" s="60" t="e">
        <f t="shared" si="63"/>
        <v>#DIV/0!</v>
      </c>
    </row>
    <row r="551" spans="1:13" x14ac:dyDescent="0.55000000000000004">
      <c r="A551" s="165"/>
      <c r="B551" s="35">
        <f t="shared" si="66"/>
        <v>6</v>
      </c>
      <c r="C551" s="36" t="str">
        <f t="shared" si="60"/>
        <v>22018</v>
      </c>
      <c r="D551" s="44">
        <f t="shared" si="59"/>
        <v>43137</v>
      </c>
      <c r="E551" s="38">
        <v>3.7854000000000001</v>
      </c>
      <c r="F551" s="39">
        <v>522</v>
      </c>
      <c r="G551" s="33">
        <f t="shared" si="68"/>
        <v>1975.9788000000001</v>
      </c>
      <c r="H551" s="33"/>
      <c r="I551" s="33" t="e">
        <f t="shared" si="62"/>
        <v>#DIV/0!</v>
      </c>
      <c r="J551" s="33"/>
      <c r="K551" s="33" t="e">
        <f t="shared" si="65"/>
        <v>#DIV/0!</v>
      </c>
      <c r="L551" s="59" t="e">
        <f t="shared" si="67"/>
        <v>#DIV/0!</v>
      </c>
      <c r="M551" s="60" t="e">
        <f t="shared" si="63"/>
        <v>#DIV/0!</v>
      </c>
    </row>
    <row r="552" spans="1:13" x14ac:dyDescent="0.55000000000000004">
      <c r="A552" s="165"/>
      <c r="B552" s="35">
        <f t="shared" si="66"/>
        <v>7</v>
      </c>
      <c r="C552" s="36" t="str">
        <f t="shared" si="60"/>
        <v>22018</v>
      </c>
      <c r="D552" s="44">
        <f t="shared" si="59"/>
        <v>43138</v>
      </c>
      <c r="E552" s="38">
        <v>3.7782</v>
      </c>
      <c r="F552" s="39">
        <v>522</v>
      </c>
      <c r="G552" s="33">
        <f t="shared" si="68"/>
        <v>1972.2203999999999</v>
      </c>
      <c r="H552" s="33"/>
      <c r="I552" s="33" t="e">
        <f t="shared" si="62"/>
        <v>#DIV/0!</v>
      </c>
      <c r="J552" s="33"/>
      <c r="K552" s="33" t="e">
        <f t="shared" si="65"/>
        <v>#DIV/0!</v>
      </c>
      <c r="L552" s="59" t="e">
        <f t="shared" si="67"/>
        <v>#DIV/0!</v>
      </c>
      <c r="M552" s="60" t="e">
        <f t="shared" si="63"/>
        <v>#DIV/0!</v>
      </c>
    </row>
    <row r="553" spans="1:13" x14ac:dyDescent="0.55000000000000004">
      <c r="A553" s="165"/>
      <c r="B553" s="35">
        <f t="shared" si="66"/>
        <v>8</v>
      </c>
      <c r="C553" s="36" t="str">
        <f t="shared" si="60"/>
        <v>22018</v>
      </c>
      <c r="D553" s="44">
        <f t="shared" si="59"/>
        <v>43139</v>
      </c>
      <c r="E553" s="38">
        <v>3.8142</v>
      </c>
      <c r="F553" s="39">
        <v>522</v>
      </c>
      <c r="G553" s="33">
        <f t="shared" si="68"/>
        <v>1991.0124000000001</v>
      </c>
      <c r="H553" s="33"/>
      <c r="I553" s="33" t="e">
        <f t="shared" si="62"/>
        <v>#DIV/0!</v>
      </c>
      <c r="J553" s="33"/>
      <c r="K553" s="33" t="e">
        <f t="shared" si="65"/>
        <v>#DIV/0!</v>
      </c>
      <c r="L553" s="59" t="e">
        <f t="shared" si="67"/>
        <v>#DIV/0!</v>
      </c>
      <c r="M553" s="60" t="e">
        <f t="shared" si="63"/>
        <v>#DIV/0!</v>
      </c>
    </row>
    <row r="554" spans="1:13" x14ac:dyDescent="0.55000000000000004">
      <c r="A554" s="165"/>
      <c r="B554" s="35">
        <f t="shared" si="66"/>
        <v>9</v>
      </c>
      <c r="C554" s="36" t="str">
        <f t="shared" si="60"/>
        <v>22018</v>
      </c>
      <c r="D554" s="44">
        <f t="shared" si="59"/>
        <v>43140</v>
      </c>
      <c r="E554" s="38">
        <v>3.8188</v>
      </c>
      <c r="F554" s="39">
        <v>522</v>
      </c>
      <c r="G554" s="33">
        <f t="shared" si="68"/>
        <v>1993.4136000000001</v>
      </c>
      <c r="H554" s="33"/>
      <c r="I554" s="33" t="e">
        <f t="shared" si="62"/>
        <v>#DIV/0!</v>
      </c>
      <c r="J554" s="33"/>
      <c r="K554" s="33" t="e">
        <f t="shared" si="65"/>
        <v>#DIV/0!</v>
      </c>
      <c r="L554" s="59" t="e">
        <f t="shared" si="67"/>
        <v>#DIV/0!</v>
      </c>
      <c r="M554" s="60" t="e">
        <f t="shared" si="63"/>
        <v>#DIV/0!</v>
      </c>
    </row>
    <row r="555" spans="1:13" x14ac:dyDescent="0.55000000000000004">
      <c r="A555" s="165"/>
      <c r="B555" s="35">
        <f t="shared" si="66"/>
        <v>12</v>
      </c>
      <c r="C555" s="36" t="str">
        <f t="shared" si="60"/>
        <v>22018</v>
      </c>
      <c r="D555" s="44">
        <f t="shared" si="59"/>
        <v>43143</v>
      </c>
      <c r="E555" s="38">
        <v>3.8136999999999999</v>
      </c>
      <c r="F555" s="39">
        <v>522</v>
      </c>
      <c r="G555" s="33">
        <f t="shared" si="68"/>
        <v>1990.7513999999999</v>
      </c>
      <c r="H555" s="33"/>
      <c r="I555" s="33" t="e">
        <f t="shared" si="62"/>
        <v>#DIV/0!</v>
      </c>
      <c r="J555" s="33"/>
      <c r="K555" s="33" t="e">
        <f t="shared" si="65"/>
        <v>#DIV/0!</v>
      </c>
      <c r="L555" s="59" t="e">
        <f t="shared" si="67"/>
        <v>#DIV/0!</v>
      </c>
      <c r="M555" s="60" t="e">
        <f t="shared" si="63"/>
        <v>#DIV/0!</v>
      </c>
    </row>
    <row r="556" spans="1:13" x14ac:dyDescent="0.55000000000000004">
      <c r="A556" s="165"/>
      <c r="B556" s="35">
        <f t="shared" si="66"/>
        <v>13</v>
      </c>
      <c r="C556" s="36" t="str">
        <f t="shared" si="60"/>
        <v>22018</v>
      </c>
      <c r="D556" s="44">
        <f t="shared" si="59"/>
        <v>43144</v>
      </c>
      <c r="E556" s="38">
        <v>3.8031000000000001</v>
      </c>
      <c r="F556" s="39">
        <v>522</v>
      </c>
      <c r="G556" s="33">
        <f t="shared" si="68"/>
        <v>1985.2182</v>
      </c>
      <c r="H556" s="33"/>
      <c r="I556" s="33" t="e">
        <f t="shared" si="62"/>
        <v>#DIV/0!</v>
      </c>
      <c r="J556" s="33"/>
      <c r="K556" s="33" t="e">
        <f t="shared" si="65"/>
        <v>#DIV/0!</v>
      </c>
      <c r="L556" s="59" t="e">
        <f t="shared" si="67"/>
        <v>#DIV/0!</v>
      </c>
      <c r="M556" s="60" t="e">
        <f t="shared" si="63"/>
        <v>#DIV/0!</v>
      </c>
    </row>
    <row r="557" spans="1:13" x14ac:dyDescent="0.55000000000000004">
      <c r="A557" s="165"/>
      <c r="B557" s="35">
        <f t="shared" si="66"/>
        <v>14</v>
      </c>
      <c r="C557" s="36" t="str">
        <f t="shared" si="60"/>
        <v>22018</v>
      </c>
      <c r="D557" s="44">
        <f t="shared" si="59"/>
        <v>43145</v>
      </c>
      <c r="E557" s="38">
        <v>3.8041</v>
      </c>
      <c r="F557" s="39">
        <v>522</v>
      </c>
      <c r="G557" s="33">
        <f t="shared" si="68"/>
        <v>1985.7402</v>
      </c>
      <c r="H557" s="33"/>
      <c r="I557" s="33" t="e">
        <f t="shared" si="62"/>
        <v>#DIV/0!</v>
      </c>
      <c r="J557" s="33"/>
      <c r="K557" s="33" t="e">
        <f t="shared" si="65"/>
        <v>#DIV/0!</v>
      </c>
      <c r="L557" s="59" t="e">
        <f t="shared" si="67"/>
        <v>#DIV/0!</v>
      </c>
      <c r="M557" s="60" t="e">
        <f t="shared" si="63"/>
        <v>#DIV/0!</v>
      </c>
    </row>
    <row r="558" spans="1:13" x14ac:dyDescent="0.55000000000000004">
      <c r="A558" s="165"/>
      <c r="B558" s="35">
        <f t="shared" si="66"/>
        <v>15</v>
      </c>
      <c r="C558" s="36" t="str">
        <f t="shared" si="60"/>
        <v>22018</v>
      </c>
      <c r="D558" s="44">
        <f t="shared" si="59"/>
        <v>43146</v>
      </c>
      <c r="E558" s="38">
        <v>3.7789000000000001</v>
      </c>
      <c r="F558" s="39">
        <v>522</v>
      </c>
      <c r="G558" s="33">
        <f t="shared" si="68"/>
        <v>1972.5858000000001</v>
      </c>
      <c r="H558" s="33"/>
      <c r="I558" s="33" t="e">
        <f t="shared" si="62"/>
        <v>#DIV/0!</v>
      </c>
      <c r="J558" s="33"/>
      <c r="K558" s="33" t="e">
        <f t="shared" si="65"/>
        <v>#DIV/0!</v>
      </c>
      <c r="L558" s="59" t="e">
        <f t="shared" si="67"/>
        <v>#DIV/0!</v>
      </c>
      <c r="M558" s="60" t="e">
        <f t="shared" si="63"/>
        <v>#DIV/0!</v>
      </c>
    </row>
    <row r="559" spans="1:13" x14ac:dyDescent="0.55000000000000004">
      <c r="A559" s="165"/>
      <c r="B559" s="35">
        <f t="shared" si="66"/>
        <v>16</v>
      </c>
      <c r="C559" s="36" t="str">
        <f t="shared" si="60"/>
        <v>22018</v>
      </c>
      <c r="D559" s="44">
        <f t="shared" si="59"/>
        <v>43147</v>
      </c>
      <c r="E559" s="38">
        <v>3.7591000000000001</v>
      </c>
      <c r="F559" s="39">
        <v>522</v>
      </c>
      <c r="G559" s="33">
        <f t="shared" si="68"/>
        <v>1962.2501999999999</v>
      </c>
      <c r="H559" s="33"/>
      <c r="I559" s="33" t="e">
        <f t="shared" si="62"/>
        <v>#DIV/0!</v>
      </c>
      <c r="J559" s="33"/>
      <c r="K559" s="33" t="e">
        <f t="shared" si="65"/>
        <v>#DIV/0!</v>
      </c>
      <c r="L559" s="59" t="e">
        <f t="shared" si="67"/>
        <v>#DIV/0!</v>
      </c>
      <c r="M559" s="60" t="e">
        <f t="shared" si="63"/>
        <v>#DIV/0!</v>
      </c>
    </row>
    <row r="560" spans="1:13" x14ac:dyDescent="0.55000000000000004">
      <c r="A560" s="165"/>
      <c r="B560" s="35">
        <f t="shared" si="66"/>
        <v>19</v>
      </c>
      <c r="C560" s="36" t="str">
        <f t="shared" si="60"/>
        <v>22018</v>
      </c>
      <c r="D560" s="44">
        <f t="shared" si="59"/>
        <v>43150</v>
      </c>
      <c r="E560" s="38">
        <v>3.7599</v>
      </c>
      <c r="F560" s="39">
        <v>522</v>
      </c>
      <c r="G560" s="33">
        <f t="shared" si="68"/>
        <v>1962.6677999999999</v>
      </c>
      <c r="H560" s="33"/>
      <c r="I560" s="33" t="e">
        <f t="shared" si="62"/>
        <v>#DIV/0!</v>
      </c>
      <c r="J560" s="33"/>
      <c r="K560" s="33" t="e">
        <f t="shared" si="65"/>
        <v>#DIV/0!</v>
      </c>
      <c r="L560" s="59" t="e">
        <f t="shared" si="67"/>
        <v>#DIV/0!</v>
      </c>
      <c r="M560" s="60" t="e">
        <f t="shared" si="63"/>
        <v>#DIV/0!</v>
      </c>
    </row>
    <row r="561" spans="1:13" x14ac:dyDescent="0.55000000000000004">
      <c r="A561" s="165"/>
      <c r="B561" s="35">
        <f t="shared" si="66"/>
        <v>20</v>
      </c>
      <c r="C561" s="36" t="str">
        <f t="shared" si="60"/>
        <v>22018</v>
      </c>
      <c r="D561" s="44">
        <f t="shared" si="59"/>
        <v>43151</v>
      </c>
      <c r="E561" s="38">
        <v>3.7766000000000002</v>
      </c>
      <c r="F561" s="39">
        <v>522</v>
      </c>
      <c r="G561" s="33">
        <f t="shared" si="68"/>
        <v>1971.3852000000002</v>
      </c>
      <c r="H561" s="33"/>
      <c r="I561" s="33" t="e">
        <f t="shared" si="62"/>
        <v>#DIV/0!</v>
      </c>
      <c r="J561" s="33"/>
      <c r="K561" s="33" t="e">
        <f t="shared" si="65"/>
        <v>#DIV/0!</v>
      </c>
      <c r="L561" s="59" t="e">
        <f t="shared" si="67"/>
        <v>#DIV/0!</v>
      </c>
      <c r="M561" s="60" t="e">
        <f t="shared" si="63"/>
        <v>#DIV/0!</v>
      </c>
    </row>
    <row r="562" spans="1:13" x14ac:dyDescent="0.55000000000000004">
      <c r="A562" s="165"/>
      <c r="B562" s="35">
        <f t="shared" si="66"/>
        <v>21</v>
      </c>
      <c r="C562" s="36" t="str">
        <f t="shared" si="60"/>
        <v>22018</v>
      </c>
      <c r="D562" s="44">
        <f t="shared" si="59"/>
        <v>43152</v>
      </c>
      <c r="E562" s="38">
        <v>3.7913000000000001</v>
      </c>
      <c r="F562" s="39">
        <v>522</v>
      </c>
      <c r="G562" s="33">
        <f t="shared" si="68"/>
        <v>1979.0586000000001</v>
      </c>
      <c r="H562" s="33"/>
      <c r="I562" s="33" t="e">
        <f t="shared" si="62"/>
        <v>#DIV/0!</v>
      </c>
      <c r="J562" s="33"/>
      <c r="K562" s="33" t="e">
        <f t="shared" si="65"/>
        <v>#DIV/0!</v>
      </c>
      <c r="L562" s="59" t="e">
        <f t="shared" si="67"/>
        <v>#DIV/0!</v>
      </c>
      <c r="M562" s="60" t="e">
        <f t="shared" si="63"/>
        <v>#DIV/0!</v>
      </c>
    </row>
    <row r="563" spans="1:13" x14ac:dyDescent="0.55000000000000004">
      <c r="A563" s="165"/>
      <c r="B563" s="35">
        <f t="shared" si="66"/>
        <v>22</v>
      </c>
      <c r="C563" s="36" t="str">
        <f t="shared" si="60"/>
        <v>22018</v>
      </c>
      <c r="D563" s="44">
        <f t="shared" si="59"/>
        <v>43153</v>
      </c>
      <c r="E563" s="38">
        <v>3.8062</v>
      </c>
      <c r="F563" s="39">
        <v>522</v>
      </c>
      <c r="G563" s="33">
        <f t="shared" si="68"/>
        <v>1986.8363999999999</v>
      </c>
      <c r="H563" s="33"/>
      <c r="I563" s="33" t="e">
        <f t="shared" si="62"/>
        <v>#DIV/0!</v>
      </c>
      <c r="J563" s="33"/>
      <c r="K563" s="33" t="e">
        <f t="shared" si="65"/>
        <v>#DIV/0!</v>
      </c>
      <c r="L563" s="59" t="e">
        <f t="shared" si="67"/>
        <v>#DIV/0!</v>
      </c>
      <c r="M563" s="60" t="e">
        <f t="shared" si="63"/>
        <v>#DIV/0!</v>
      </c>
    </row>
    <row r="564" spans="1:13" x14ac:dyDescent="0.55000000000000004">
      <c r="A564" s="165"/>
      <c r="B564" s="35">
        <f t="shared" si="66"/>
        <v>23</v>
      </c>
      <c r="C564" s="36" t="str">
        <f t="shared" si="60"/>
        <v>22018</v>
      </c>
      <c r="D564" s="44">
        <f t="shared" si="59"/>
        <v>43154</v>
      </c>
      <c r="E564" s="38">
        <v>3.7884000000000002</v>
      </c>
      <c r="F564" s="39">
        <v>522</v>
      </c>
      <c r="G564" s="33">
        <f t="shared" si="68"/>
        <v>1977.5448000000001</v>
      </c>
      <c r="H564" s="33"/>
      <c r="I564" s="33" t="e">
        <f t="shared" si="62"/>
        <v>#DIV/0!</v>
      </c>
      <c r="J564" s="33"/>
      <c r="K564" s="33" t="e">
        <f t="shared" si="65"/>
        <v>#DIV/0!</v>
      </c>
      <c r="L564" s="59" t="e">
        <f t="shared" si="67"/>
        <v>#DIV/0!</v>
      </c>
      <c r="M564" s="60" t="e">
        <f t="shared" si="63"/>
        <v>#DIV/0!</v>
      </c>
    </row>
    <row r="565" spans="1:13" x14ac:dyDescent="0.55000000000000004">
      <c r="A565" s="165"/>
      <c r="B565" s="35">
        <f t="shared" si="66"/>
        <v>26</v>
      </c>
      <c r="C565" s="36" t="str">
        <f t="shared" si="60"/>
        <v>22018</v>
      </c>
      <c r="D565" s="44">
        <f t="shared" si="59"/>
        <v>43157</v>
      </c>
      <c r="E565" s="38">
        <v>3.7822</v>
      </c>
      <c r="F565" s="39">
        <v>522</v>
      </c>
      <c r="G565" s="33">
        <f t="shared" si="68"/>
        <v>1974.3083999999999</v>
      </c>
      <c r="H565" s="33"/>
      <c r="I565" s="33" t="e">
        <f t="shared" si="62"/>
        <v>#DIV/0!</v>
      </c>
      <c r="J565" s="33"/>
      <c r="K565" s="33" t="e">
        <f t="shared" si="65"/>
        <v>#DIV/0!</v>
      </c>
      <c r="L565" s="59" t="e">
        <f t="shared" si="67"/>
        <v>#DIV/0!</v>
      </c>
      <c r="M565" s="60" t="e">
        <f t="shared" si="63"/>
        <v>#DIV/0!</v>
      </c>
    </row>
    <row r="566" spans="1:13" x14ac:dyDescent="0.55000000000000004">
      <c r="A566" s="165"/>
      <c r="B566" s="35">
        <f t="shared" si="66"/>
        <v>27</v>
      </c>
      <c r="C566" s="36" t="str">
        <f t="shared" si="60"/>
        <v>22018</v>
      </c>
      <c r="D566" s="44">
        <f t="shared" si="59"/>
        <v>43158</v>
      </c>
      <c r="E566" s="38">
        <v>3.7900999999999998</v>
      </c>
      <c r="F566" s="39">
        <v>522</v>
      </c>
      <c r="G566" s="33">
        <f t="shared" si="68"/>
        <v>1978.4322</v>
      </c>
      <c r="H566" s="33"/>
      <c r="I566" s="33" t="e">
        <f t="shared" si="62"/>
        <v>#DIV/0!</v>
      </c>
      <c r="J566" s="33"/>
      <c r="K566" s="33" t="e">
        <f t="shared" si="65"/>
        <v>#DIV/0!</v>
      </c>
      <c r="L566" s="59" t="e">
        <f t="shared" si="67"/>
        <v>#DIV/0!</v>
      </c>
      <c r="M566" s="60" t="e">
        <f t="shared" si="63"/>
        <v>#DIV/0!</v>
      </c>
    </row>
    <row r="567" spans="1:13" ht="14.7" thickBot="1" x14ac:dyDescent="0.6">
      <c r="A567" s="166"/>
      <c r="B567" s="35">
        <f t="shared" si="66"/>
        <v>28</v>
      </c>
      <c r="C567" s="36" t="str">
        <f t="shared" si="60"/>
        <v>22018</v>
      </c>
      <c r="D567" s="53">
        <f t="shared" si="59"/>
        <v>43159</v>
      </c>
      <c r="E567" s="38">
        <v>3.8065000000000002</v>
      </c>
      <c r="F567" s="39">
        <v>522</v>
      </c>
      <c r="G567" s="33">
        <f t="shared" si="68"/>
        <v>1986.9930000000002</v>
      </c>
      <c r="H567" s="33"/>
      <c r="I567" s="33" t="e">
        <f t="shared" si="62"/>
        <v>#DIV/0!</v>
      </c>
      <c r="J567" s="33"/>
      <c r="K567" s="33" t="e">
        <f t="shared" si="65"/>
        <v>#DIV/0!</v>
      </c>
      <c r="L567" s="59" t="e">
        <f t="shared" si="67"/>
        <v>#DIV/0!</v>
      </c>
      <c r="M567" s="60" t="e">
        <f t="shared" si="63"/>
        <v>#DIV/0!</v>
      </c>
    </row>
    <row r="568" spans="1:13" x14ac:dyDescent="0.55000000000000004">
      <c r="A568" s="164" t="s">
        <v>106</v>
      </c>
      <c r="B568" s="35">
        <f t="shared" si="66"/>
        <v>1</v>
      </c>
      <c r="C568" s="36" t="str">
        <f t="shared" si="60"/>
        <v>32018</v>
      </c>
      <c r="D568" s="37">
        <f t="shared" si="59"/>
        <v>43160</v>
      </c>
      <c r="E568" s="38">
        <v>3.8149999999999999</v>
      </c>
      <c r="F568" s="39">
        <v>477</v>
      </c>
      <c r="G568" s="33">
        <f t="shared" si="68"/>
        <v>1819.7549999999999</v>
      </c>
      <c r="H568" s="33"/>
      <c r="I568" s="33" t="e">
        <f t="shared" si="62"/>
        <v>#DIV/0!</v>
      </c>
      <c r="J568" s="33"/>
      <c r="K568" s="33" t="e">
        <f t="shared" si="65"/>
        <v>#DIV/0!</v>
      </c>
      <c r="L568" s="59" t="e">
        <f t="shared" si="67"/>
        <v>#DIV/0!</v>
      </c>
      <c r="M568" s="60" t="e">
        <f t="shared" si="63"/>
        <v>#DIV/0!</v>
      </c>
    </row>
    <row r="569" spans="1:13" x14ac:dyDescent="0.55000000000000004">
      <c r="A569" s="165"/>
      <c r="B569" s="35">
        <f t="shared" si="66"/>
        <v>2</v>
      </c>
      <c r="C569" s="36" t="str">
        <f t="shared" si="60"/>
        <v>32018</v>
      </c>
      <c r="D569" s="44">
        <f t="shared" si="59"/>
        <v>43161</v>
      </c>
      <c r="E569" s="38">
        <v>3.8106</v>
      </c>
      <c r="F569" s="39">
        <v>477</v>
      </c>
      <c r="G569" s="33">
        <f t="shared" si="68"/>
        <v>1817.6561999999999</v>
      </c>
      <c r="H569" s="33"/>
      <c r="I569" s="33" t="e">
        <f t="shared" si="62"/>
        <v>#DIV/0!</v>
      </c>
      <c r="J569" s="33"/>
      <c r="K569" s="33" t="e">
        <f t="shared" si="65"/>
        <v>#DIV/0!</v>
      </c>
      <c r="L569" s="59" t="e">
        <f t="shared" si="67"/>
        <v>#DIV/0!</v>
      </c>
      <c r="M569" s="60" t="e">
        <f t="shared" si="63"/>
        <v>#DIV/0!</v>
      </c>
    </row>
    <row r="570" spans="1:13" x14ac:dyDescent="0.55000000000000004">
      <c r="A570" s="165"/>
      <c r="B570" s="35">
        <f t="shared" si="66"/>
        <v>5</v>
      </c>
      <c r="C570" s="36" t="str">
        <f t="shared" si="60"/>
        <v>32018</v>
      </c>
      <c r="D570" s="44">
        <f t="shared" ref="D570:D633" si="69">WORKDAY(D569,1)</f>
        <v>43164</v>
      </c>
      <c r="E570" s="38">
        <v>3.823</v>
      </c>
      <c r="F570" s="39">
        <v>477</v>
      </c>
      <c r="G570" s="33">
        <f t="shared" si="68"/>
        <v>1823.5709999999999</v>
      </c>
      <c r="H570" s="33"/>
      <c r="I570" s="33" t="e">
        <f t="shared" si="62"/>
        <v>#DIV/0!</v>
      </c>
      <c r="J570" s="33"/>
      <c r="K570" s="33" t="e">
        <f t="shared" si="65"/>
        <v>#DIV/0!</v>
      </c>
      <c r="L570" s="59" t="e">
        <f t="shared" si="67"/>
        <v>#DIV/0!</v>
      </c>
      <c r="M570" s="60" t="e">
        <f t="shared" si="63"/>
        <v>#DIV/0!</v>
      </c>
    </row>
    <row r="571" spans="1:13" x14ac:dyDescent="0.55000000000000004">
      <c r="A571" s="165"/>
      <c r="B571" s="35">
        <f t="shared" si="66"/>
        <v>6</v>
      </c>
      <c r="C571" s="36" t="str">
        <f t="shared" si="60"/>
        <v>32018</v>
      </c>
      <c r="D571" s="44">
        <f t="shared" si="69"/>
        <v>43165</v>
      </c>
      <c r="E571" s="38">
        <v>3.8069000000000002</v>
      </c>
      <c r="F571" s="39">
        <v>477</v>
      </c>
      <c r="G571" s="33">
        <f t="shared" si="68"/>
        <v>1815.8913</v>
      </c>
      <c r="H571" s="33"/>
      <c r="I571" s="33" t="e">
        <f t="shared" si="62"/>
        <v>#DIV/0!</v>
      </c>
      <c r="J571" s="33"/>
      <c r="K571" s="33" t="e">
        <f t="shared" si="65"/>
        <v>#DIV/0!</v>
      </c>
      <c r="L571" s="59" t="e">
        <f t="shared" si="67"/>
        <v>#DIV/0!</v>
      </c>
      <c r="M571" s="60" t="e">
        <f t="shared" si="63"/>
        <v>#DIV/0!</v>
      </c>
    </row>
    <row r="572" spans="1:13" x14ac:dyDescent="0.55000000000000004">
      <c r="A572" s="165"/>
      <c r="B572" s="35">
        <f t="shared" si="66"/>
        <v>7</v>
      </c>
      <c r="C572" s="36" t="str">
        <f t="shared" si="60"/>
        <v>32018</v>
      </c>
      <c r="D572" s="44">
        <f t="shared" si="69"/>
        <v>43166</v>
      </c>
      <c r="E572" s="38">
        <v>3.8039000000000001</v>
      </c>
      <c r="F572" s="39">
        <v>477</v>
      </c>
      <c r="G572" s="33">
        <f t="shared" si="68"/>
        <v>1814.4603</v>
      </c>
      <c r="H572" s="33"/>
      <c r="I572" s="33" t="e">
        <f t="shared" si="62"/>
        <v>#DIV/0!</v>
      </c>
      <c r="J572" s="33"/>
      <c r="K572" s="33" t="e">
        <f t="shared" si="65"/>
        <v>#DIV/0!</v>
      </c>
      <c r="L572" s="59" t="e">
        <f t="shared" si="67"/>
        <v>#DIV/0!</v>
      </c>
      <c r="M572" s="60" t="e">
        <f t="shared" si="63"/>
        <v>#DIV/0!</v>
      </c>
    </row>
    <row r="573" spans="1:13" x14ac:dyDescent="0.55000000000000004">
      <c r="A573" s="165"/>
      <c r="B573" s="35">
        <f t="shared" si="66"/>
        <v>8</v>
      </c>
      <c r="C573" s="36" t="str">
        <f t="shared" si="60"/>
        <v>32018</v>
      </c>
      <c r="D573" s="44">
        <f t="shared" si="69"/>
        <v>43167</v>
      </c>
      <c r="E573" s="38">
        <v>3.8157000000000001</v>
      </c>
      <c r="F573" s="39">
        <v>477</v>
      </c>
      <c r="G573" s="33">
        <f t="shared" si="68"/>
        <v>1820.0889</v>
      </c>
      <c r="H573" s="33"/>
      <c r="I573" s="33" t="e">
        <f t="shared" si="62"/>
        <v>#DIV/0!</v>
      </c>
      <c r="J573" s="33"/>
      <c r="K573" s="33" t="e">
        <f t="shared" si="65"/>
        <v>#DIV/0!</v>
      </c>
      <c r="L573" s="59" t="e">
        <f t="shared" si="67"/>
        <v>#DIV/0!</v>
      </c>
      <c r="M573" s="60" t="e">
        <f t="shared" si="63"/>
        <v>#DIV/0!</v>
      </c>
    </row>
    <row r="574" spans="1:13" x14ac:dyDescent="0.55000000000000004">
      <c r="A574" s="165"/>
      <c r="B574" s="35">
        <f t="shared" si="66"/>
        <v>9</v>
      </c>
      <c r="C574" s="36" t="str">
        <f t="shared" si="60"/>
        <v>32018</v>
      </c>
      <c r="D574" s="44">
        <f t="shared" si="69"/>
        <v>43168</v>
      </c>
      <c r="E574" s="38">
        <v>3.8233000000000001</v>
      </c>
      <c r="F574" s="39">
        <v>477</v>
      </c>
      <c r="G574" s="33">
        <f t="shared" si="68"/>
        <v>1823.7141000000001</v>
      </c>
      <c r="H574" s="33"/>
      <c r="I574" s="33" t="e">
        <f t="shared" si="62"/>
        <v>#DIV/0!</v>
      </c>
      <c r="J574" s="33"/>
      <c r="K574" s="33" t="e">
        <f t="shared" si="65"/>
        <v>#DIV/0!</v>
      </c>
      <c r="L574" s="59" t="e">
        <f t="shared" si="67"/>
        <v>#DIV/0!</v>
      </c>
      <c r="M574" s="60" t="e">
        <f t="shared" si="63"/>
        <v>#DIV/0!</v>
      </c>
    </row>
    <row r="575" spans="1:13" x14ac:dyDescent="0.55000000000000004">
      <c r="A575" s="165"/>
      <c r="B575" s="35">
        <f t="shared" si="66"/>
        <v>12</v>
      </c>
      <c r="C575" s="36" t="str">
        <f t="shared" si="60"/>
        <v>32018</v>
      </c>
      <c r="D575" s="44">
        <f t="shared" si="69"/>
        <v>43171</v>
      </c>
      <c r="E575" s="38">
        <v>3.8218999999999999</v>
      </c>
      <c r="F575" s="39">
        <v>477</v>
      </c>
      <c r="G575" s="33">
        <f t="shared" si="68"/>
        <v>1823.0463</v>
      </c>
      <c r="H575" s="33"/>
      <c r="I575" s="33" t="e">
        <f t="shared" si="62"/>
        <v>#DIV/0!</v>
      </c>
      <c r="J575" s="33"/>
      <c r="K575" s="33" t="e">
        <f t="shared" si="65"/>
        <v>#DIV/0!</v>
      </c>
      <c r="L575" s="59" t="e">
        <f t="shared" si="67"/>
        <v>#DIV/0!</v>
      </c>
      <c r="M575" s="60" t="e">
        <f t="shared" si="63"/>
        <v>#DIV/0!</v>
      </c>
    </row>
    <row r="576" spans="1:13" x14ac:dyDescent="0.55000000000000004">
      <c r="A576" s="165"/>
      <c r="B576" s="35">
        <f t="shared" si="66"/>
        <v>13</v>
      </c>
      <c r="C576" s="36" t="str">
        <f t="shared" si="60"/>
        <v>32018</v>
      </c>
      <c r="D576" s="44">
        <f t="shared" si="69"/>
        <v>43172</v>
      </c>
      <c r="E576" s="38">
        <v>3.8628999999999998</v>
      </c>
      <c r="F576" s="39">
        <v>477</v>
      </c>
      <c r="G576" s="33">
        <f t="shared" si="68"/>
        <v>1842.6033</v>
      </c>
      <c r="H576" s="33"/>
      <c r="I576" s="33" t="e">
        <f t="shared" si="62"/>
        <v>#DIV/0!</v>
      </c>
      <c r="J576" s="33"/>
      <c r="K576" s="33" t="e">
        <f t="shared" si="65"/>
        <v>#DIV/0!</v>
      </c>
      <c r="L576" s="59" t="e">
        <f t="shared" si="67"/>
        <v>#DIV/0!</v>
      </c>
      <c r="M576" s="60" t="e">
        <f t="shared" si="63"/>
        <v>#DIV/0!</v>
      </c>
    </row>
    <row r="577" spans="1:13" x14ac:dyDescent="0.55000000000000004">
      <c r="A577" s="165"/>
      <c r="B577" s="35">
        <f t="shared" si="66"/>
        <v>14</v>
      </c>
      <c r="C577" s="36" t="str">
        <f t="shared" si="60"/>
        <v>32018</v>
      </c>
      <c r="D577" s="44">
        <f t="shared" si="69"/>
        <v>43173</v>
      </c>
      <c r="E577" s="38">
        <v>3.8666999999999998</v>
      </c>
      <c r="F577" s="39">
        <v>477</v>
      </c>
      <c r="G577" s="33">
        <f t="shared" si="68"/>
        <v>1844.4159</v>
      </c>
      <c r="H577" s="33"/>
      <c r="I577" s="33" t="e">
        <f t="shared" si="62"/>
        <v>#DIV/0!</v>
      </c>
      <c r="J577" s="33"/>
      <c r="K577" s="33" t="e">
        <f t="shared" si="65"/>
        <v>#DIV/0!</v>
      </c>
      <c r="L577" s="59" t="e">
        <f t="shared" si="67"/>
        <v>#DIV/0!</v>
      </c>
      <c r="M577" s="60" t="e">
        <f t="shared" si="63"/>
        <v>#DIV/0!</v>
      </c>
    </row>
    <row r="578" spans="1:13" x14ac:dyDescent="0.55000000000000004">
      <c r="A578" s="165"/>
      <c r="B578" s="35">
        <f t="shared" si="66"/>
        <v>15</v>
      </c>
      <c r="C578" s="36" t="str">
        <f t="shared" ref="C578:C641" si="70">IF(F578&gt;0,MONTH(D578)&amp;YEAR(D578),"")</f>
        <v>32018</v>
      </c>
      <c r="D578" s="44">
        <f t="shared" si="69"/>
        <v>43174</v>
      </c>
      <c r="E578" s="38">
        <v>3.8944999999999999</v>
      </c>
      <c r="F578" s="39">
        <v>477</v>
      </c>
      <c r="G578" s="33">
        <f t="shared" si="68"/>
        <v>1857.6765</v>
      </c>
      <c r="H578" s="33"/>
      <c r="I578" s="33" t="e">
        <f t="shared" si="62"/>
        <v>#DIV/0!</v>
      </c>
      <c r="J578" s="33"/>
      <c r="K578" s="33" t="e">
        <f t="shared" si="65"/>
        <v>#DIV/0!</v>
      </c>
      <c r="L578" s="59" t="e">
        <f t="shared" si="67"/>
        <v>#DIV/0!</v>
      </c>
      <c r="M578" s="60" t="e">
        <f t="shared" si="63"/>
        <v>#DIV/0!</v>
      </c>
    </row>
    <row r="579" spans="1:13" x14ac:dyDescent="0.55000000000000004">
      <c r="A579" s="165"/>
      <c r="B579" s="35">
        <f t="shared" si="66"/>
        <v>16</v>
      </c>
      <c r="C579" s="36" t="str">
        <f t="shared" si="70"/>
        <v>32018</v>
      </c>
      <c r="D579" s="44">
        <f t="shared" si="69"/>
        <v>43175</v>
      </c>
      <c r="E579" s="38">
        <v>3.911</v>
      </c>
      <c r="F579" s="39">
        <v>477</v>
      </c>
      <c r="G579" s="33">
        <f t="shared" si="68"/>
        <v>1865.547</v>
      </c>
      <c r="H579" s="33"/>
      <c r="I579" s="33" t="e">
        <f t="shared" si="62"/>
        <v>#DIV/0!</v>
      </c>
      <c r="J579" s="33"/>
      <c r="K579" s="33" t="e">
        <f t="shared" si="65"/>
        <v>#DIV/0!</v>
      </c>
      <c r="L579" s="59" t="e">
        <f t="shared" si="67"/>
        <v>#DIV/0!</v>
      </c>
      <c r="M579" s="60" t="e">
        <f t="shared" si="63"/>
        <v>#DIV/0!</v>
      </c>
    </row>
    <row r="580" spans="1:13" x14ac:dyDescent="0.55000000000000004">
      <c r="A580" s="165"/>
      <c r="B580" s="35">
        <f t="shared" si="66"/>
        <v>19</v>
      </c>
      <c r="C580" s="36" t="str">
        <f t="shared" si="70"/>
        <v>32018</v>
      </c>
      <c r="D580" s="44">
        <f t="shared" si="69"/>
        <v>43178</v>
      </c>
      <c r="E580" s="38">
        <v>3.9432999999999998</v>
      </c>
      <c r="F580" s="39">
        <v>477</v>
      </c>
      <c r="G580" s="33">
        <f t="shared" si="68"/>
        <v>1880.9540999999999</v>
      </c>
      <c r="H580" s="33"/>
      <c r="I580" s="33" t="e">
        <f t="shared" si="62"/>
        <v>#DIV/0!</v>
      </c>
      <c r="J580" s="33"/>
      <c r="K580" s="33" t="e">
        <f t="shared" si="65"/>
        <v>#DIV/0!</v>
      </c>
      <c r="L580" s="59" t="e">
        <f t="shared" si="67"/>
        <v>#DIV/0!</v>
      </c>
      <c r="M580" s="60" t="e">
        <f t="shared" si="63"/>
        <v>#DIV/0!</v>
      </c>
    </row>
    <row r="581" spans="1:13" x14ac:dyDescent="0.55000000000000004">
      <c r="A581" s="165"/>
      <c r="B581" s="35">
        <f t="shared" si="66"/>
        <v>20</v>
      </c>
      <c r="C581" s="36" t="str">
        <f t="shared" si="70"/>
        <v>32018</v>
      </c>
      <c r="D581" s="44">
        <f t="shared" si="69"/>
        <v>43179</v>
      </c>
      <c r="E581" s="38">
        <v>3.9426999999999999</v>
      </c>
      <c r="F581" s="39">
        <v>477</v>
      </c>
      <c r="G581" s="33">
        <f t="shared" si="68"/>
        <v>1880.6678999999999</v>
      </c>
      <c r="H581" s="33"/>
      <c r="I581" s="33" t="e">
        <f t="shared" si="62"/>
        <v>#DIV/0!</v>
      </c>
      <c r="J581" s="33"/>
      <c r="K581" s="33" t="e">
        <f t="shared" si="65"/>
        <v>#DIV/0!</v>
      </c>
      <c r="L581" s="59" t="e">
        <f t="shared" si="67"/>
        <v>#DIV/0!</v>
      </c>
      <c r="M581" s="60" t="e">
        <f t="shared" si="63"/>
        <v>#DIV/0!</v>
      </c>
    </row>
    <row r="582" spans="1:13" x14ac:dyDescent="0.55000000000000004">
      <c r="A582" s="165"/>
      <c r="B582" s="35">
        <f t="shared" si="66"/>
        <v>21</v>
      </c>
      <c r="C582" s="36" t="str">
        <f t="shared" si="70"/>
        <v>32018</v>
      </c>
      <c r="D582" s="44">
        <f t="shared" si="69"/>
        <v>43180</v>
      </c>
      <c r="E582" s="38">
        <v>3.9346999999999999</v>
      </c>
      <c r="F582" s="39">
        <v>477</v>
      </c>
      <c r="G582" s="33">
        <f t="shared" si="68"/>
        <v>1876.8518999999999</v>
      </c>
      <c r="H582" s="33"/>
      <c r="I582" s="33" t="e">
        <f t="shared" si="62"/>
        <v>#DIV/0!</v>
      </c>
      <c r="J582" s="33"/>
      <c r="K582" s="33" t="e">
        <f t="shared" si="65"/>
        <v>#DIV/0!</v>
      </c>
      <c r="L582" s="59" t="e">
        <f t="shared" si="67"/>
        <v>#DIV/0!</v>
      </c>
      <c r="M582" s="60" t="e">
        <f t="shared" si="63"/>
        <v>#DIV/0!</v>
      </c>
    </row>
    <row r="583" spans="1:13" x14ac:dyDescent="0.55000000000000004">
      <c r="A583" s="165"/>
      <c r="B583" s="35">
        <f t="shared" si="66"/>
        <v>22</v>
      </c>
      <c r="C583" s="36" t="str">
        <f t="shared" si="70"/>
        <v>32018</v>
      </c>
      <c r="D583" s="44">
        <f t="shared" si="69"/>
        <v>43181</v>
      </c>
      <c r="E583" s="38">
        <v>3.9157000000000002</v>
      </c>
      <c r="F583" s="39">
        <v>477</v>
      </c>
      <c r="G583" s="33">
        <f t="shared" si="68"/>
        <v>1867.7889</v>
      </c>
      <c r="H583" s="33"/>
      <c r="I583" s="33" t="e">
        <f t="shared" si="62"/>
        <v>#DIV/0!</v>
      </c>
      <c r="J583" s="33"/>
      <c r="K583" s="33" t="e">
        <f t="shared" si="65"/>
        <v>#DIV/0!</v>
      </c>
      <c r="L583" s="59" t="e">
        <f t="shared" si="67"/>
        <v>#DIV/0!</v>
      </c>
      <c r="M583" s="60" t="e">
        <f t="shared" si="63"/>
        <v>#DIV/0!</v>
      </c>
    </row>
    <row r="584" spans="1:13" x14ac:dyDescent="0.55000000000000004">
      <c r="A584" s="165"/>
      <c r="B584" s="35">
        <f t="shared" si="66"/>
        <v>23</v>
      </c>
      <c r="C584" s="36" t="str">
        <f t="shared" si="70"/>
        <v>32018</v>
      </c>
      <c r="D584" s="44">
        <f t="shared" si="69"/>
        <v>43182</v>
      </c>
      <c r="E584" s="38">
        <v>3.9679000000000002</v>
      </c>
      <c r="F584" s="39">
        <v>477</v>
      </c>
      <c r="G584" s="33">
        <f t="shared" si="68"/>
        <v>1892.6883</v>
      </c>
      <c r="H584" s="33"/>
      <c r="I584" s="33" t="e">
        <f t="shared" ref="I584:I619" si="71">IF(M583&lt;&gt;"",AVERAGE(G583),IF(M582&lt;&gt;"",AVERAGE(G582:G583),IF(M581&lt;&gt;"",AVERAGE(G581:G583),IF(M580&lt;&gt;"",AVERAGE(G580:G583),AVERAGE(G579:G583)))))</f>
        <v>#DIV/0!</v>
      </c>
      <c r="J584" s="33"/>
      <c r="K584" s="33" t="e">
        <f t="shared" si="65"/>
        <v>#DIV/0!</v>
      </c>
      <c r="L584" s="59" t="e">
        <f t="shared" si="67"/>
        <v>#DIV/0!</v>
      </c>
      <c r="M584" s="60" t="e">
        <f t="shared" si="63"/>
        <v>#DIV/0!</v>
      </c>
    </row>
    <row r="585" spans="1:13" x14ac:dyDescent="0.55000000000000004">
      <c r="A585" s="165"/>
      <c r="B585" s="35">
        <f t="shared" si="66"/>
        <v>26</v>
      </c>
      <c r="C585" s="36" t="str">
        <f t="shared" si="70"/>
        <v>32018</v>
      </c>
      <c r="D585" s="44">
        <f t="shared" si="69"/>
        <v>43185</v>
      </c>
      <c r="E585" s="38">
        <v>3.9813999999999998</v>
      </c>
      <c r="F585" s="39">
        <v>477</v>
      </c>
      <c r="G585" s="33">
        <f t="shared" si="68"/>
        <v>1899.1278</v>
      </c>
      <c r="H585" s="33"/>
      <c r="I585" s="33" t="e">
        <f t="shared" si="71"/>
        <v>#DIV/0!</v>
      </c>
      <c r="J585" s="33"/>
      <c r="K585" s="33" t="e">
        <f t="shared" si="65"/>
        <v>#DIV/0!</v>
      </c>
      <c r="L585" s="59" t="e">
        <f t="shared" si="67"/>
        <v>#DIV/0!</v>
      </c>
      <c r="M585" s="60" t="e">
        <f t="shared" si="63"/>
        <v>#DIV/0!</v>
      </c>
    </row>
    <row r="586" spans="1:13" x14ac:dyDescent="0.55000000000000004">
      <c r="A586" s="165"/>
      <c r="B586" s="35">
        <f t="shared" si="66"/>
        <v>27</v>
      </c>
      <c r="C586" s="36" t="str">
        <f t="shared" si="70"/>
        <v>32018</v>
      </c>
      <c r="D586" s="44">
        <f t="shared" si="69"/>
        <v>43186</v>
      </c>
      <c r="E586" s="38">
        <v>3.9828999999999999</v>
      </c>
      <c r="F586" s="39">
        <v>477</v>
      </c>
      <c r="G586" s="33">
        <f t="shared" si="68"/>
        <v>1899.8433</v>
      </c>
      <c r="H586" s="33"/>
      <c r="I586" s="33" t="e">
        <f t="shared" si="71"/>
        <v>#DIV/0!</v>
      </c>
      <c r="J586" s="33"/>
      <c r="K586" s="33" t="e">
        <f t="shared" si="65"/>
        <v>#DIV/0!</v>
      </c>
      <c r="L586" s="59" t="e">
        <f t="shared" si="67"/>
        <v>#DIV/0!</v>
      </c>
      <c r="M586" s="60" t="e">
        <f t="shared" si="63"/>
        <v>#DIV/0!</v>
      </c>
    </row>
    <row r="587" spans="1:13" x14ac:dyDescent="0.55000000000000004">
      <c r="A587" s="165"/>
      <c r="B587" s="35">
        <f t="shared" si="66"/>
        <v>28</v>
      </c>
      <c r="C587" s="36" t="str">
        <f t="shared" si="70"/>
        <v>32018</v>
      </c>
      <c r="D587" s="44">
        <f t="shared" si="69"/>
        <v>43187</v>
      </c>
      <c r="E587" s="38">
        <v>4.0002000000000004</v>
      </c>
      <c r="F587" s="39">
        <v>477</v>
      </c>
      <c r="G587" s="33">
        <f t="shared" si="68"/>
        <v>1908.0954000000002</v>
      </c>
      <c r="H587" s="33"/>
      <c r="I587" s="33" t="e">
        <f t="shared" si="71"/>
        <v>#DIV/0!</v>
      </c>
      <c r="J587" s="33"/>
      <c r="K587" s="33" t="e">
        <f t="shared" si="65"/>
        <v>#DIV/0!</v>
      </c>
      <c r="L587" s="59" t="e">
        <f t="shared" si="67"/>
        <v>#DIV/0!</v>
      </c>
      <c r="M587" s="60" t="e">
        <f t="shared" si="63"/>
        <v>#DIV/0!</v>
      </c>
    </row>
    <row r="588" spans="1:13" x14ac:dyDescent="0.55000000000000004">
      <c r="A588" s="165"/>
      <c r="B588" s="35">
        <f t="shared" si="66"/>
        <v>29</v>
      </c>
      <c r="C588" s="36" t="str">
        <f t="shared" si="70"/>
        <v>32018</v>
      </c>
      <c r="D588" s="44">
        <f t="shared" si="69"/>
        <v>43188</v>
      </c>
      <c r="E588" s="38">
        <v>4.0021000000000004</v>
      </c>
      <c r="F588" s="39">
        <v>477</v>
      </c>
      <c r="G588" s="33">
        <f t="shared" si="68"/>
        <v>1909.0017000000003</v>
      </c>
      <c r="H588" s="33"/>
      <c r="I588" s="33" t="e">
        <f t="shared" si="71"/>
        <v>#DIV/0!</v>
      </c>
      <c r="J588" s="33"/>
      <c r="K588" s="33" t="e">
        <f t="shared" si="65"/>
        <v>#DIV/0!</v>
      </c>
      <c r="L588" s="59" t="e">
        <f t="shared" si="67"/>
        <v>#DIV/0!</v>
      </c>
      <c r="M588" s="60" t="e">
        <f t="shared" si="63"/>
        <v>#DIV/0!</v>
      </c>
    </row>
    <row r="589" spans="1:13" ht="14.7" thickBot="1" x14ac:dyDescent="0.6">
      <c r="A589" s="166"/>
      <c r="B589" s="35">
        <f t="shared" si="66"/>
        <v>30</v>
      </c>
      <c r="C589" s="36" t="str">
        <f t="shared" si="70"/>
        <v>32018</v>
      </c>
      <c r="D589" s="53">
        <f t="shared" si="69"/>
        <v>43189</v>
      </c>
      <c r="E589" s="38">
        <v>3.956</v>
      </c>
      <c r="F589" s="39">
        <v>477</v>
      </c>
      <c r="G589" s="33">
        <f t="shared" si="68"/>
        <v>1887.0119999999999</v>
      </c>
      <c r="H589" s="33"/>
      <c r="I589" s="33" t="e">
        <f t="shared" si="71"/>
        <v>#DIV/0!</v>
      </c>
      <c r="J589" s="33"/>
      <c r="K589" s="33" t="e">
        <f t="shared" si="65"/>
        <v>#DIV/0!</v>
      </c>
      <c r="L589" s="59" t="e">
        <f t="shared" si="67"/>
        <v>#DIV/0!</v>
      </c>
      <c r="M589" s="60" t="e">
        <f t="shared" si="63"/>
        <v>#DIV/0!</v>
      </c>
    </row>
    <row r="590" spans="1:13" x14ac:dyDescent="0.55000000000000004">
      <c r="A590" s="164" t="s">
        <v>107</v>
      </c>
      <c r="B590" s="35">
        <f t="shared" si="66"/>
        <v>2</v>
      </c>
      <c r="C590" s="36" t="str">
        <f t="shared" si="70"/>
        <v>42018</v>
      </c>
      <c r="D590" s="37">
        <f t="shared" si="69"/>
        <v>43192</v>
      </c>
      <c r="E590" s="38">
        <v>3.9647999999999999</v>
      </c>
      <c r="F590" s="39">
        <v>485.5</v>
      </c>
      <c r="G590" s="33">
        <f t="shared" si="68"/>
        <v>1924.9104</v>
      </c>
      <c r="H590" s="33"/>
      <c r="I590" s="33" t="e">
        <f t="shared" si="71"/>
        <v>#DIV/0!</v>
      </c>
      <c r="J590" s="33"/>
      <c r="K590" s="33" t="e">
        <f t="shared" si="65"/>
        <v>#DIV/0!</v>
      </c>
      <c r="L590" s="59" t="e">
        <f t="shared" si="67"/>
        <v>#DIV/0!</v>
      </c>
      <c r="M590" s="60" t="e">
        <f t="shared" si="63"/>
        <v>#DIV/0!</v>
      </c>
    </row>
    <row r="591" spans="1:13" x14ac:dyDescent="0.55000000000000004">
      <c r="A591" s="165"/>
      <c r="B591" s="35">
        <f t="shared" si="66"/>
        <v>3</v>
      </c>
      <c r="C591" s="36" t="str">
        <f t="shared" si="70"/>
        <v>42018</v>
      </c>
      <c r="D591" s="44">
        <f t="shared" si="69"/>
        <v>43193</v>
      </c>
      <c r="E591" s="38">
        <v>3.9832000000000001</v>
      </c>
      <c r="F591" s="39">
        <v>485.5</v>
      </c>
      <c r="G591" s="33">
        <f t="shared" si="68"/>
        <v>1933.8435999999999</v>
      </c>
      <c r="H591" s="33"/>
      <c r="I591" s="33" t="e">
        <f t="shared" si="71"/>
        <v>#DIV/0!</v>
      </c>
      <c r="J591" s="33"/>
      <c r="K591" s="33" t="e">
        <f t="shared" si="65"/>
        <v>#DIV/0!</v>
      </c>
      <c r="L591" s="59" t="e">
        <f t="shared" si="67"/>
        <v>#DIV/0!</v>
      </c>
      <c r="M591" s="60" t="e">
        <f t="shared" ref="M591:M654" si="72">IF(OR(L591&lt;-3%,L591&gt;3%),K592-K591,"")</f>
        <v>#DIV/0!</v>
      </c>
    </row>
    <row r="592" spans="1:13" x14ac:dyDescent="0.55000000000000004">
      <c r="A592" s="165"/>
      <c r="B592" s="35">
        <f t="shared" si="66"/>
        <v>4</v>
      </c>
      <c r="C592" s="36" t="str">
        <f t="shared" si="70"/>
        <v>42018</v>
      </c>
      <c r="D592" s="44">
        <f t="shared" si="69"/>
        <v>43194</v>
      </c>
      <c r="E592" s="38">
        <v>4.0148000000000001</v>
      </c>
      <c r="F592" s="39">
        <v>485.5</v>
      </c>
      <c r="G592" s="33">
        <f t="shared" si="68"/>
        <v>1949.1854000000001</v>
      </c>
      <c r="H592" s="33"/>
      <c r="I592" s="33" t="e">
        <f t="shared" si="71"/>
        <v>#DIV/0!</v>
      </c>
      <c r="J592" s="33"/>
      <c r="K592" s="33" t="e">
        <f t="shared" si="65"/>
        <v>#DIV/0!</v>
      </c>
      <c r="L592" s="59" t="e">
        <f t="shared" si="67"/>
        <v>#DIV/0!</v>
      </c>
      <c r="M592" s="60" t="e">
        <f t="shared" si="72"/>
        <v>#DIV/0!</v>
      </c>
    </row>
    <row r="593" spans="1:13" x14ac:dyDescent="0.55000000000000004">
      <c r="A593" s="165"/>
      <c r="B593" s="35">
        <f t="shared" si="66"/>
        <v>5</v>
      </c>
      <c r="C593" s="36" t="str">
        <f t="shared" si="70"/>
        <v>42018</v>
      </c>
      <c r="D593" s="44">
        <f t="shared" si="69"/>
        <v>43195</v>
      </c>
      <c r="E593" s="38">
        <v>4.0342000000000002</v>
      </c>
      <c r="F593" s="39">
        <v>485.5</v>
      </c>
      <c r="G593" s="33">
        <f t="shared" si="68"/>
        <v>1958.6041</v>
      </c>
      <c r="H593" s="33"/>
      <c r="I593" s="33" t="e">
        <f t="shared" si="71"/>
        <v>#DIV/0!</v>
      </c>
      <c r="J593" s="33"/>
      <c r="K593" s="33" t="e">
        <f t="shared" si="65"/>
        <v>#DIV/0!</v>
      </c>
      <c r="L593" s="59" t="e">
        <f t="shared" si="67"/>
        <v>#DIV/0!</v>
      </c>
      <c r="M593" s="60" t="e">
        <f t="shared" si="72"/>
        <v>#DIV/0!</v>
      </c>
    </row>
    <row r="594" spans="1:13" x14ac:dyDescent="0.55000000000000004">
      <c r="A594" s="165"/>
      <c r="B594" s="35">
        <f t="shared" si="66"/>
        <v>6</v>
      </c>
      <c r="C594" s="36" t="str">
        <f t="shared" si="70"/>
        <v>42018</v>
      </c>
      <c r="D594" s="44">
        <f t="shared" si="69"/>
        <v>43196</v>
      </c>
      <c r="E594" s="38">
        <v>4.0599999999999996</v>
      </c>
      <c r="F594" s="39">
        <v>485.5</v>
      </c>
      <c r="G594" s="33">
        <f t="shared" si="68"/>
        <v>1971.1299999999999</v>
      </c>
      <c r="H594" s="33"/>
      <c r="I594" s="33" t="e">
        <f t="shared" si="71"/>
        <v>#DIV/0!</v>
      </c>
      <c r="J594" s="33"/>
      <c r="K594" s="33" t="e">
        <f t="shared" si="65"/>
        <v>#DIV/0!</v>
      </c>
      <c r="L594" s="59" t="e">
        <f t="shared" si="67"/>
        <v>#DIV/0!</v>
      </c>
      <c r="M594" s="60" t="e">
        <f t="shared" si="72"/>
        <v>#DIV/0!</v>
      </c>
    </row>
    <row r="595" spans="1:13" x14ac:dyDescent="0.55000000000000004">
      <c r="A595" s="165"/>
      <c r="B595" s="35">
        <f t="shared" si="66"/>
        <v>9</v>
      </c>
      <c r="C595" s="36" t="str">
        <f t="shared" si="70"/>
        <v>42018</v>
      </c>
      <c r="D595" s="44">
        <f t="shared" si="69"/>
        <v>43199</v>
      </c>
      <c r="E595" s="38">
        <v>4.0633999999999997</v>
      </c>
      <c r="F595" s="39">
        <v>485.5</v>
      </c>
      <c r="G595" s="33">
        <f t="shared" si="68"/>
        <v>1972.7806999999998</v>
      </c>
      <c r="H595" s="33"/>
      <c r="I595" s="33" t="e">
        <f t="shared" si="71"/>
        <v>#DIV/0!</v>
      </c>
      <c r="J595" s="33"/>
      <c r="K595" s="33" t="e">
        <f t="shared" si="65"/>
        <v>#DIV/0!</v>
      </c>
      <c r="L595" s="59" t="e">
        <f t="shared" si="67"/>
        <v>#DIV/0!</v>
      </c>
      <c r="M595" s="60" t="e">
        <f t="shared" si="72"/>
        <v>#DIV/0!</v>
      </c>
    </row>
    <row r="596" spans="1:13" x14ac:dyDescent="0.55000000000000004">
      <c r="A596" s="165"/>
      <c r="B596" s="35">
        <f t="shared" si="66"/>
        <v>10</v>
      </c>
      <c r="C596" s="36" t="str">
        <f t="shared" si="70"/>
        <v>42018</v>
      </c>
      <c r="D596" s="44">
        <f t="shared" si="69"/>
        <v>43200</v>
      </c>
      <c r="E596" s="38">
        <v>4.0780000000000003</v>
      </c>
      <c r="F596" s="39">
        <v>485.5</v>
      </c>
      <c r="G596" s="33">
        <f t="shared" si="68"/>
        <v>1979.8690000000001</v>
      </c>
      <c r="H596" s="33"/>
      <c r="I596" s="33" t="e">
        <f t="shared" si="71"/>
        <v>#DIV/0!</v>
      </c>
      <c r="J596" s="33"/>
      <c r="K596" s="33" t="e">
        <f t="shared" ref="K596:K614" si="73">IF(L595&gt;3%,I595,IF(L595&lt;-3%,I595,K595))</f>
        <v>#DIV/0!</v>
      </c>
      <c r="L596" s="59" t="e">
        <f t="shared" si="67"/>
        <v>#DIV/0!</v>
      </c>
      <c r="M596" s="60" t="e">
        <f t="shared" si="72"/>
        <v>#DIV/0!</v>
      </c>
    </row>
    <row r="597" spans="1:13" x14ac:dyDescent="0.55000000000000004">
      <c r="A597" s="165"/>
      <c r="B597" s="35">
        <f t="shared" si="66"/>
        <v>11</v>
      </c>
      <c r="C597" s="36" t="str">
        <f t="shared" si="70"/>
        <v>42018</v>
      </c>
      <c r="D597" s="44">
        <f t="shared" si="69"/>
        <v>43201</v>
      </c>
      <c r="E597" s="38">
        <v>4.1528</v>
      </c>
      <c r="F597" s="39">
        <v>485.5</v>
      </c>
      <c r="G597" s="33">
        <f t="shared" si="68"/>
        <v>2016.1844000000001</v>
      </c>
      <c r="H597" s="33"/>
      <c r="I597" s="33" t="e">
        <f t="shared" si="71"/>
        <v>#DIV/0!</v>
      </c>
      <c r="J597" s="33"/>
      <c r="K597" s="33" t="e">
        <f t="shared" si="73"/>
        <v>#DIV/0!</v>
      </c>
      <c r="L597" s="59" t="e">
        <f t="shared" si="67"/>
        <v>#DIV/0!</v>
      </c>
      <c r="M597" s="60" t="e">
        <f t="shared" si="72"/>
        <v>#DIV/0!</v>
      </c>
    </row>
    <row r="598" spans="1:13" x14ac:dyDescent="0.55000000000000004">
      <c r="A598" s="165"/>
      <c r="B598" s="35">
        <f t="shared" si="66"/>
        <v>12</v>
      </c>
      <c r="C598" s="36" t="str">
        <f t="shared" si="70"/>
        <v>42018</v>
      </c>
      <c r="D598" s="44">
        <f t="shared" si="69"/>
        <v>43202</v>
      </c>
      <c r="E598" s="38">
        <v>4.1357999999999997</v>
      </c>
      <c r="F598" s="39">
        <v>485.5</v>
      </c>
      <c r="G598" s="33">
        <f t="shared" si="68"/>
        <v>2007.9308999999998</v>
      </c>
      <c r="H598" s="33"/>
      <c r="I598" s="33" t="e">
        <f t="shared" si="71"/>
        <v>#DIV/0!</v>
      </c>
      <c r="J598" s="33"/>
      <c r="K598" s="33" t="e">
        <f t="shared" si="73"/>
        <v>#DIV/0!</v>
      </c>
      <c r="L598" s="59" t="e">
        <f t="shared" si="67"/>
        <v>#DIV/0!</v>
      </c>
      <c r="M598" s="60" t="e">
        <f t="shared" si="72"/>
        <v>#DIV/0!</v>
      </c>
    </row>
    <row r="599" spans="1:13" x14ac:dyDescent="0.55000000000000004">
      <c r="A599" s="165"/>
      <c r="B599" s="35">
        <f t="shared" ref="B599:B662" si="74">DAY(D599)</f>
        <v>13</v>
      </c>
      <c r="C599" s="36" t="str">
        <f t="shared" si="70"/>
        <v>42018</v>
      </c>
      <c r="D599" s="44">
        <f t="shared" si="69"/>
        <v>43203</v>
      </c>
      <c r="E599" s="38">
        <v>4.0858999999999996</v>
      </c>
      <c r="F599" s="39">
        <v>485.5</v>
      </c>
      <c r="G599" s="33">
        <f t="shared" si="68"/>
        <v>1983.7044499999997</v>
      </c>
      <c r="H599" s="33"/>
      <c r="I599" s="33" t="e">
        <f t="shared" si="71"/>
        <v>#DIV/0!</v>
      </c>
      <c r="J599" s="33"/>
      <c r="K599" s="33" t="e">
        <f t="shared" si="73"/>
        <v>#DIV/0!</v>
      </c>
      <c r="L599" s="59" t="e">
        <f t="shared" si="67"/>
        <v>#DIV/0!</v>
      </c>
      <c r="M599" s="60" t="e">
        <f t="shared" si="72"/>
        <v>#DIV/0!</v>
      </c>
    </row>
    <row r="600" spans="1:13" x14ac:dyDescent="0.55000000000000004">
      <c r="A600" s="165"/>
      <c r="B600" s="35">
        <f t="shared" si="74"/>
        <v>16</v>
      </c>
      <c r="C600" s="36" t="str">
        <f t="shared" si="70"/>
        <v>42018</v>
      </c>
      <c r="D600" s="44">
        <f t="shared" si="69"/>
        <v>43206</v>
      </c>
      <c r="E600" s="38">
        <v>4.1033999999999997</v>
      </c>
      <c r="F600" s="39">
        <v>485.5</v>
      </c>
      <c r="G600" s="33">
        <f t="shared" si="68"/>
        <v>1992.2006999999999</v>
      </c>
      <c r="H600" s="33"/>
      <c r="I600" s="33" t="e">
        <f t="shared" si="71"/>
        <v>#DIV/0!</v>
      </c>
      <c r="J600" s="33"/>
      <c r="K600" s="33" t="e">
        <f t="shared" si="73"/>
        <v>#DIV/0!</v>
      </c>
      <c r="L600" s="59" t="e">
        <f t="shared" ref="L600:L663" si="75">(I600-K600)/K600</f>
        <v>#DIV/0!</v>
      </c>
      <c r="M600" s="60" t="e">
        <f t="shared" si="72"/>
        <v>#DIV/0!</v>
      </c>
    </row>
    <row r="601" spans="1:13" x14ac:dyDescent="0.55000000000000004">
      <c r="A601" s="165"/>
      <c r="B601" s="35">
        <f t="shared" si="74"/>
        <v>17</v>
      </c>
      <c r="C601" s="36" t="str">
        <f t="shared" si="70"/>
        <v>42018</v>
      </c>
      <c r="D601" s="44">
        <f t="shared" si="69"/>
        <v>43207</v>
      </c>
      <c r="E601" s="38">
        <v>4.1054000000000004</v>
      </c>
      <c r="F601" s="39">
        <v>485.5</v>
      </c>
      <c r="G601" s="33">
        <f t="shared" si="68"/>
        <v>1993.1717000000001</v>
      </c>
      <c r="H601" s="33"/>
      <c r="I601" s="33" t="e">
        <f t="shared" si="71"/>
        <v>#DIV/0!</v>
      </c>
      <c r="J601" s="33"/>
      <c r="K601" s="33" t="e">
        <f t="shared" si="73"/>
        <v>#DIV/0!</v>
      </c>
      <c r="L601" s="59" t="e">
        <f t="shared" si="75"/>
        <v>#DIV/0!</v>
      </c>
      <c r="M601" s="60" t="e">
        <f t="shared" si="72"/>
        <v>#DIV/0!</v>
      </c>
    </row>
    <row r="602" spans="1:13" x14ac:dyDescent="0.55000000000000004">
      <c r="A602" s="165"/>
      <c r="B602" s="35">
        <f t="shared" si="74"/>
        <v>18</v>
      </c>
      <c r="C602" s="36" t="str">
        <f t="shared" si="70"/>
        <v>42018</v>
      </c>
      <c r="D602" s="44">
        <f t="shared" si="69"/>
        <v>43208</v>
      </c>
      <c r="E602" s="38">
        <v>4.1037999999999997</v>
      </c>
      <c r="F602" s="39">
        <v>485.5</v>
      </c>
      <c r="G602" s="33">
        <f t="shared" si="68"/>
        <v>1992.3948999999998</v>
      </c>
      <c r="H602" s="33"/>
      <c r="I602" s="33" t="e">
        <f t="shared" si="71"/>
        <v>#DIV/0!</v>
      </c>
      <c r="J602" s="33"/>
      <c r="K602" s="33" t="e">
        <f t="shared" si="73"/>
        <v>#DIV/0!</v>
      </c>
      <c r="L602" s="59" t="e">
        <f t="shared" si="75"/>
        <v>#DIV/0!</v>
      </c>
      <c r="M602" s="60" t="e">
        <f t="shared" si="72"/>
        <v>#DIV/0!</v>
      </c>
    </row>
    <row r="603" spans="1:13" x14ac:dyDescent="0.55000000000000004">
      <c r="A603" s="165"/>
      <c r="B603" s="35">
        <f t="shared" si="74"/>
        <v>19</v>
      </c>
      <c r="C603" s="36" t="str">
        <f t="shared" si="70"/>
        <v>42018</v>
      </c>
      <c r="D603" s="44">
        <f t="shared" si="69"/>
        <v>43209</v>
      </c>
      <c r="E603" s="38">
        <v>4.0345000000000004</v>
      </c>
      <c r="F603" s="39">
        <v>485.5</v>
      </c>
      <c r="G603" s="33">
        <f t="shared" si="68"/>
        <v>1958.7497500000002</v>
      </c>
      <c r="H603" s="33"/>
      <c r="I603" s="33" t="e">
        <f t="shared" si="71"/>
        <v>#DIV/0!</v>
      </c>
      <c r="J603" s="33"/>
      <c r="K603" s="33" t="e">
        <f t="shared" si="73"/>
        <v>#DIV/0!</v>
      </c>
      <c r="L603" s="59" t="e">
        <f t="shared" si="75"/>
        <v>#DIV/0!</v>
      </c>
      <c r="M603" s="60" t="e">
        <f t="shared" si="72"/>
        <v>#DIV/0!</v>
      </c>
    </row>
    <row r="604" spans="1:13" x14ac:dyDescent="0.55000000000000004">
      <c r="A604" s="165"/>
      <c r="B604" s="35">
        <f t="shared" si="74"/>
        <v>20</v>
      </c>
      <c r="C604" s="36" t="str">
        <f t="shared" si="70"/>
        <v>42018</v>
      </c>
      <c r="D604" s="44">
        <f t="shared" si="69"/>
        <v>43210</v>
      </c>
      <c r="E604" s="38">
        <v>4.0404999999999998</v>
      </c>
      <c r="F604" s="39">
        <v>485.5</v>
      </c>
      <c r="G604" s="33">
        <f t="shared" si="68"/>
        <v>1961.66275</v>
      </c>
      <c r="H604" s="33"/>
      <c r="I604" s="33" t="e">
        <f t="shared" si="71"/>
        <v>#DIV/0!</v>
      </c>
      <c r="J604" s="33"/>
      <c r="K604" s="33" t="e">
        <f t="shared" si="73"/>
        <v>#DIV/0!</v>
      </c>
      <c r="L604" s="59" t="e">
        <f t="shared" si="75"/>
        <v>#DIV/0!</v>
      </c>
      <c r="M604" s="60" t="e">
        <f t="shared" si="72"/>
        <v>#DIV/0!</v>
      </c>
    </row>
    <row r="605" spans="1:13" x14ac:dyDescent="0.55000000000000004">
      <c r="A605" s="165"/>
      <c r="B605" s="35">
        <f t="shared" si="74"/>
        <v>23</v>
      </c>
      <c r="C605" s="36" t="str">
        <f t="shared" si="70"/>
        <v>42018</v>
      </c>
      <c r="D605" s="44">
        <f t="shared" si="69"/>
        <v>43213</v>
      </c>
      <c r="E605" s="38">
        <v>4.0404999999999998</v>
      </c>
      <c r="F605" s="39">
        <v>485.5</v>
      </c>
      <c r="G605" s="33">
        <f t="shared" si="68"/>
        <v>1961.66275</v>
      </c>
      <c r="H605" s="33"/>
      <c r="I605" s="33" t="e">
        <f t="shared" si="71"/>
        <v>#DIV/0!</v>
      </c>
      <c r="J605" s="33"/>
      <c r="K605" s="33" t="e">
        <f t="shared" si="73"/>
        <v>#DIV/0!</v>
      </c>
      <c r="L605" s="59" t="e">
        <f t="shared" si="75"/>
        <v>#DIV/0!</v>
      </c>
      <c r="M605" s="60" t="e">
        <f t="shared" si="72"/>
        <v>#DIV/0!</v>
      </c>
    </row>
    <row r="606" spans="1:13" x14ac:dyDescent="0.55000000000000004">
      <c r="A606" s="165"/>
      <c r="B606" s="35">
        <f t="shared" si="74"/>
        <v>24</v>
      </c>
      <c r="C606" s="36" t="str">
        <f t="shared" si="70"/>
        <v>42018</v>
      </c>
      <c r="D606" s="44">
        <f t="shared" si="69"/>
        <v>43214</v>
      </c>
      <c r="E606" s="38">
        <v>4.0922000000000001</v>
      </c>
      <c r="F606" s="39">
        <v>485.5</v>
      </c>
      <c r="G606" s="33">
        <f t="shared" si="68"/>
        <v>1986.7631000000001</v>
      </c>
      <c r="H606" s="33"/>
      <c r="I606" s="33" t="e">
        <f t="shared" si="71"/>
        <v>#DIV/0!</v>
      </c>
      <c r="J606" s="33"/>
      <c r="K606" s="33" t="e">
        <f t="shared" si="73"/>
        <v>#DIV/0!</v>
      </c>
      <c r="L606" s="59" t="e">
        <f t="shared" si="75"/>
        <v>#DIV/0!</v>
      </c>
      <c r="M606" s="60" t="e">
        <f t="shared" si="72"/>
        <v>#DIV/0!</v>
      </c>
    </row>
    <row r="607" spans="1:13" x14ac:dyDescent="0.55000000000000004">
      <c r="A607" s="165"/>
      <c r="B607" s="35">
        <f t="shared" si="74"/>
        <v>25</v>
      </c>
      <c r="C607" s="36" t="str">
        <f t="shared" si="70"/>
        <v>42018</v>
      </c>
      <c r="D607" s="44">
        <f t="shared" si="69"/>
        <v>43215</v>
      </c>
      <c r="E607" s="38">
        <v>4.0831999999999997</v>
      </c>
      <c r="F607" s="39">
        <v>485.5</v>
      </c>
      <c r="G607" s="33">
        <f t="shared" si="68"/>
        <v>1982.3935999999999</v>
      </c>
      <c r="H607" s="33"/>
      <c r="I607" s="33" t="e">
        <f t="shared" si="71"/>
        <v>#DIV/0!</v>
      </c>
      <c r="J607" s="33"/>
      <c r="K607" s="33" t="e">
        <f t="shared" si="73"/>
        <v>#DIV/0!</v>
      </c>
      <c r="L607" s="59" t="e">
        <f t="shared" si="75"/>
        <v>#DIV/0!</v>
      </c>
      <c r="M607" s="60" t="e">
        <f t="shared" si="72"/>
        <v>#DIV/0!</v>
      </c>
    </row>
    <row r="608" spans="1:13" x14ac:dyDescent="0.55000000000000004">
      <c r="A608" s="165"/>
      <c r="B608" s="35">
        <f t="shared" si="74"/>
        <v>26</v>
      </c>
      <c r="C608" s="36" t="str">
        <f t="shared" si="70"/>
        <v>42018</v>
      </c>
      <c r="D608" s="44">
        <f t="shared" si="69"/>
        <v>43216</v>
      </c>
      <c r="E608" s="38">
        <v>4.0742000000000003</v>
      </c>
      <c r="F608" s="39">
        <v>485.5</v>
      </c>
      <c r="G608" s="33">
        <f t="shared" si="68"/>
        <v>1978.0241000000001</v>
      </c>
      <c r="H608" s="33"/>
      <c r="I608" s="33" t="e">
        <f t="shared" si="71"/>
        <v>#DIV/0!</v>
      </c>
      <c r="J608" s="33"/>
      <c r="K608" s="33" t="e">
        <f t="shared" si="73"/>
        <v>#DIV/0!</v>
      </c>
      <c r="L608" s="59" t="e">
        <f t="shared" si="75"/>
        <v>#DIV/0!</v>
      </c>
      <c r="M608" s="60" t="e">
        <f t="shared" si="72"/>
        <v>#DIV/0!</v>
      </c>
    </row>
    <row r="609" spans="1:13" x14ac:dyDescent="0.55000000000000004">
      <c r="A609" s="165"/>
      <c r="B609" s="35">
        <f t="shared" si="74"/>
        <v>27</v>
      </c>
      <c r="C609" s="36" t="str">
        <f t="shared" si="70"/>
        <v>42018</v>
      </c>
      <c r="D609" s="44">
        <f t="shared" si="69"/>
        <v>43217</v>
      </c>
      <c r="E609" s="38">
        <v>4.0608000000000004</v>
      </c>
      <c r="F609" s="39">
        <v>485.5</v>
      </c>
      <c r="G609" s="33">
        <f t="shared" si="68"/>
        <v>1971.5184000000002</v>
      </c>
      <c r="H609" s="33"/>
      <c r="I609" s="33" t="e">
        <f t="shared" si="71"/>
        <v>#DIV/0!</v>
      </c>
      <c r="J609" s="33"/>
      <c r="K609" s="33" t="e">
        <f t="shared" si="73"/>
        <v>#DIV/0!</v>
      </c>
      <c r="L609" s="59" t="e">
        <f t="shared" si="75"/>
        <v>#DIV/0!</v>
      </c>
      <c r="M609" s="60" t="e">
        <f t="shared" si="72"/>
        <v>#DIV/0!</v>
      </c>
    </row>
    <row r="610" spans="1:13" ht="14.7" thickBot="1" x14ac:dyDescent="0.6">
      <c r="A610" s="166"/>
      <c r="B610" s="35">
        <f t="shared" si="74"/>
        <v>30</v>
      </c>
      <c r="C610" s="36" t="str">
        <f t="shared" si="70"/>
        <v>42018</v>
      </c>
      <c r="D610" s="53">
        <f t="shared" si="69"/>
        <v>43220</v>
      </c>
      <c r="E610" s="38">
        <v>4.0472000000000001</v>
      </c>
      <c r="F610" s="39">
        <v>485.5</v>
      </c>
      <c r="G610" s="33">
        <f t="shared" si="68"/>
        <v>1964.9156</v>
      </c>
      <c r="H610" s="33"/>
      <c r="I610" s="33" t="e">
        <f t="shared" si="71"/>
        <v>#DIV/0!</v>
      </c>
      <c r="J610" s="33"/>
      <c r="K610" s="33" t="e">
        <f t="shared" si="73"/>
        <v>#DIV/0!</v>
      </c>
      <c r="L610" s="59" t="e">
        <f t="shared" si="75"/>
        <v>#DIV/0!</v>
      </c>
      <c r="M610" s="60" t="e">
        <f t="shared" si="72"/>
        <v>#DIV/0!</v>
      </c>
    </row>
    <row r="611" spans="1:13" x14ac:dyDescent="0.55000000000000004">
      <c r="A611" s="164" t="s">
        <v>108</v>
      </c>
      <c r="B611" s="35">
        <f t="shared" si="74"/>
        <v>1</v>
      </c>
      <c r="C611" s="36" t="str">
        <f t="shared" si="70"/>
        <v>52018</v>
      </c>
      <c r="D611" s="37">
        <f t="shared" si="69"/>
        <v>43221</v>
      </c>
      <c r="E611" s="38">
        <v>4.0472000000000001</v>
      </c>
      <c r="F611" s="39">
        <v>520.5</v>
      </c>
      <c r="G611" s="33">
        <f t="shared" si="68"/>
        <v>2106.5675999999999</v>
      </c>
      <c r="H611" s="33"/>
      <c r="I611" s="33" t="e">
        <f t="shared" si="71"/>
        <v>#DIV/0!</v>
      </c>
      <c r="J611" s="33"/>
      <c r="K611" s="33" t="e">
        <f t="shared" si="73"/>
        <v>#DIV/0!</v>
      </c>
      <c r="L611" s="59" t="e">
        <f t="shared" si="75"/>
        <v>#DIV/0!</v>
      </c>
      <c r="M611" s="60" t="e">
        <f t="shared" si="72"/>
        <v>#DIV/0!</v>
      </c>
    </row>
    <row r="612" spans="1:13" x14ac:dyDescent="0.55000000000000004">
      <c r="A612" s="165"/>
      <c r="B612" s="35">
        <f t="shared" si="74"/>
        <v>2</v>
      </c>
      <c r="C612" s="36" t="str">
        <f t="shared" si="70"/>
        <v>52018</v>
      </c>
      <c r="D612" s="44">
        <f t="shared" si="69"/>
        <v>43222</v>
      </c>
      <c r="E612" s="38">
        <v>4.1281999999999996</v>
      </c>
      <c r="F612" s="39">
        <v>520.5</v>
      </c>
      <c r="G612" s="33">
        <f t="shared" si="68"/>
        <v>2148.7280999999998</v>
      </c>
      <c r="H612" s="33"/>
      <c r="I612" s="33" t="e">
        <f t="shared" si="71"/>
        <v>#DIV/0!</v>
      </c>
      <c r="J612" s="33"/>
      <c r="K612" s="33" t="e">
        <f t="shared" si="73"/>
        <v>#DIV/0!</v>
      </c>
      <c r="L612" s="59" t="e">
        <f t="shared" si="75"/>
        <v>#DIV/0!</v>
      </c>
      <c r="M612" s="60" t="e">
        <f t="shared" si="72"/>
        <v>#DIV/0!</v>
      </c>
    </row>
    <row r="613" spans="1:13" x14ac:dyDescent="0.55000000000000004">
      <c r="A613" s="165"/>
      <c r="B613" s="35">
        <f t="shared" si="74"/>
        <v>3</v>
      </c>
      <c r="C613" s="36" t="str">
        <f t="shared" si="70"/>
        <v>52018</v>
      </c>
      <c r="D613" s="44">
        <f t="shared" si="69"/>
        <v>43223</v>
      </c>
      <c r="E613" s="38">
        <v>4.1984000000000004</v>
      </c>
      <c r="F613" s="39">
        <v>520.5</v>
      </c>
      <c r="G613" s="33">
        <f t="shared" ref="G613:G676" si="76">E613*F613</f>
        <v>2185.2672000000002</v>
      </c>
      <c r="H613" s="33"/>
      <c r="I613" s="33" t="e">
        <f t="shared" si="71"/>
        <v>#DIV/0!</v>
      </c>
      <c r="J613" s="33"/>
      <c r="K613" s="33" t="e">
        <f t="shared" si="73"/>
        <v>#DIV/0!</v>
      </c>
      <c r="L613" s="59" t="e">
        <f t="shared" si="75"/>
        <v>#DIV/0!</v>
      </c>
      <c r="M613" s="60" t="e">
        <f t="shared" si="72"/>
        <v>#DIV/0!</v>
      </c>
    </row>
    <row r="614" spans="1:13" x14ac:dyDescent="0.55000000000000004">
      <c r="A614" s="165"/>
      <c r="B614" s="35">
        <f t="shared" si="74"/>
        <v>4</v>
      </c>
      <c r="C614" s="36" t="str">
        <f t="shared" si="70"/>
        <v>52018</v>
      </c>
      <c r="D614" s="44">
        <f t="shared" si="69"/>
        <v>43224</v>
      </c>
      <c r="E614" s="38">
        <v>4.2625999999999999</v>
      </c>
      <c r="F614" s="39">
        <v>520.5</v>
      </c>
      <c r="G614" s="33">
        <f t="shared" si="76"/>
        <v>2218.6833000000001</v>
      </c>
      <c r="H614" s="33"/>
      <c r="I614" s="33" t="e">
        <f t="shared" si="71"/>
        <v>#DIV/0!</v>
      </c>
      <c r="J614" s="33"/>
      <c r="K614" s="33" t="e">
        <f t="shared" si="73"/>
        <v>#DIV/0!</v>
      </c>
      <c r="L614" s="59" t="e">
        <f t="shared" si="75"/>
        <v>#DIV/0!</v>
      </c>
      <c r="M614" s="60"/>
    </row>
    <row r="615" spans="1:13" x14ac:dyDescent="0.55000000000000004">
      <c r="A615" s="165"/>
      <c r="B615" s="35">
        <f t="shared" si="74"/>
        <v>7</v>
      </c>
      <c r="C615" s="36" t="str">
        <f t="shared" si="70"/>
        <v>52018</v>
      </c>
      <c r="D615" s="44">
        <f t="shared" si="69"/>
        <v>43227</v>
      </c>
      <c r="E615" s="38">
        <v>4.2634999999999996</v>
      </c>
      <c r="F615" s="39">
        <v>520.5</v>
      </c>
      <c r="G615" s="33">
        <f t="shared" si="76"/>
        <v>2219.15175</v>
      </c>
      <c r="H615" s="33"/>
      <c r="I615" s="33" t="e">
        <f t="shared" si="71"/>
        <v>#DIV/0!</v>
      </c>
      <c r="J615" s="33"/>
      <c r="K615" s="33">
        <v>1989.5789999999997</v>
      </c>
      <c r="L615" s="59" t="e">
        <f t="shared" si="75"/>
        <v>#DIV/0!</v>
      </c>
      <c r="M615" s="60"/>
    </row>
    <row r="616" spans="1:13" x14ac:dyDescent="0.55000000000000004">
      <c r="A616" s="165"/>
      <c r="B616" s="35">
        <f t="shared" si="74"/>
        <v>8</v>
      </c>
      <c r="C616" s="36" t="str">
        <f t="shared" si="70"/>
        <v>52018</v>
      </c>
      <c r="D616" s="44">
        <f t="shared" si="69"/>
        <v>43228</v>
      </c>
      <c r="E616" s="38">
        <v>4.2893999999999997</v>
      </c>
      <c r="F616" s="39">
        <v>520.5</v>
      </c>
      <c r="G616" s="33">
        <f t="shared" si="76"/>
        <v>2232.6326999999997</v>
      </c>
      <c r="H616" s="33"/>
      <c r="I616" s="33" t="e">
        <f t="shared" si="71"/>
        <v>#DIV/0!</v>
      </c>
      <c r="J616" s="33"/>
      <c r="K616" s="33">
        <v>1989.5789999999997</v>
      </c>
      <c r="L616" s="59" t="e">
        <f t="shared" si="75"/>
        <v>#DIV/0!</v>
      </c>
      <c r="M616" s="60"/>
    </row>
    <row r="617" spans="1:13" x14ac:dyDescent="0.55000000000000004">
      <c r="A617" s="165"/>
      <c r="B617" s="35">
        <f t="shared" si="74"/>
        <v>9</v>
      </c>
      <c r="C617" s="36" t="str">
        <f t="shared" si="70"/>
        <v>52018</v>
      </c>
      <c r="D617" s="44">
        <f t="shared" si="69"/>
        <v>43229</v>
      </c>
      <c r="E617" s="38">
        <v>4.2954999999999997</v>
      </c>
      <c r="F617" s="39">
        <v>520.5</v>
      </c>
      <c r="G617" s="33">
        <f t="shared" si="76"/>
        <v>2235.8077499999999</v>
      </c>
      <c r="H617" s="33"/>
      <c r="I617" s="33" t="e">
        <f t="shared" si="71"/>
        <v>#DIV/0!</v>
      </c>
      <c r="J617" s="33"/>
      <c r="K617" s="33">
        <v>1989.5789999999997</v>
      </c>
      <c r="L617" s="59" t="e">
        <f t="shared" si="75"/>
        <v>#DIV/0!</v>
      </c>
      <c r="M617" s="60"/>
    </row>
    <row r="618" spans="1:13" x14ac:dyDescent="0.55000000000000004">
      <c r="A618" s="165"/>
      <c r="B618" s="35">
        <f t="shared" si="74"/>
        <v>10</v>
      </c>
      <c r="C618" s="36" t="str">
        <f t="shared" si="70"/>
        <v>52018</v>
      </c>
      <c r="D618" s="44">
        <f t="shared" si="69"/>
        <v>43230</v>
      </c>
      <c r="E618" s="38">
        <v>4.2743000000000002</v>
      </c>
      <c r="F618" s="39">
        <v>520.5</v>
      </c>
      <c r="G618" s="33">
        <f t="shared" si="76"/>
        <v>2224.77315</v>
      </c>
      <c r="H618" s="33"/>
      <c r="I618" s="33">
        <f t="shared" si="71"/>
        <v>2218.30854</v>
      </c>
      <c r="J618" s="33"/>
      <c r="K618" s="33">
        <v>1989.5789999999997</v>
      </c>
      <c r="L618" s="59">
        <f t="shared" si="75"/>
        <v>0.11496378882165538</v>
      </c>
      <c r="M618" s="60"/>
    </row>
    <row r="619" spans="1:13" x14ac:dyDescent="0.55000000000000004">
      <c r="A619" s="165"/>
      <c r="B619" s="35">
        <f t="shared" si="74"/>
        <v>11</v>
      </c>
      <c r="C619" s="36" t="str">
        <f t="shared" si="70"/>
        <v>52018</v>
      </c>
      <c r="D619" s="44">
        <f t="shared" si="69"/>
        <v>43231</v>
      </c>
      <c r="E619" s="38">
        <v>4.2648000000000001</v>
      </c>
      <c r="F619" s="39">
        <v>520.5</v>
      </c>
      <c r="G619" s="33">
        <f t="shared" si="76"/>
        <v>2219.8283999999999</v>
      </c>
      <c r="H619" s="33"/>
      <c r="I619" s="33">
        <f t="shared" si="71"/>
        <v>2226.20973</v>
      </c>
      <c r="J619" s="33"/>
      <c r="K619" s="33">
        <v>1989.5789999999997</v>
      </c>
      <c r="L619" s="59">
        <f t="shared" si="75"/>
        <v>0.11893507621461644</v>
      </c>
      <c r="M619" s="60"/>
    </row>
    <row r="620" spans="1:13" x14ac:dyDescent="0.55000000000000004">
      <c r="A620" s="165"/>
      <c r="B620" s="35">
        <f t="shared" si="74"/>
        <v>14</v>
      </c>
      <c r="C620" s="36" t="str">
        <f t="shared" si="70"/>
        <v>52018</v>
      </c>
      <c r="D620" s="44">
        <f t="shared" si="69"/>
        <v>43234</v>
      </c>
      <c r="E620" s="38">
        <v>4.3277999999999999</v>
      </c>
      <c r="F620" s="39">
        <v>520.5</v>
      </c>
      <c r="G620" s="33">
        <f t="shared" si="76"/>
        <v>2252.6199000000001</v>
      </c>
      <c r="H620" s="33"/>
      <c r="I620" s="62">
        <v>2174.56</v>
      </c>
      <c r="J620" s="62"/>
      <c r="K620" s="33">
        <v>1989.5789999999997</v>
      </c>
      <c r="L620" s="59">
        <f t="shared" si="75"/>
        <v>9.297494595590336E-2</v>
      </c>
      <c r="M620" s="60">
        <f t="shared" si="72"/>
        <v>184.98100000000022</v>
      </c>
    </row>
    <row r="621" spans="1:13" x14ac:dyDescent="0.55000000000000004">
      <c r="A621" s="165"/>
      <c r="B621" s="35">
        <f t="shared" si="74"/>
        <v>15</v>
      </c>
      <c r="C621" s="36" t="str">
        <f t="shared" si="70"/>
        <v>52018</v>
      </c>
      <c r="D621" s="44">
        <f t="shared" si="69"/>
        <v>43235</v>
      </c>
      <c r="E621" s="38">
        <v>4.4024000000000001</v>
      </c>
      <c r="F621" s="39">
        <v>520.5</v>
      </c>
      <c r="G621" s="33">
        <f t="shared" si="76"/>
        <v>2291.4492</v>
      </c>
      <c r="H621" s="33"/>
      <c r="I621" s="33">
        <f t="shared" ref="I621:I633" si="77">IF(M620&lt;&gt;"",AVERAGE(G620),IF(M619&lt;&gt;"",AVERAGE(G619:G620),IF(M618&lt;&gt;"",AVERAGE(G618:G620),IF(M617&lt;&gt;"",AVERAGE(G617:G620),AVERAGE(G616:G620)))))</f>
        <v>2252.6199000000001</v>
      </c>
      <c r="J621" s="33"/>
      <c r="K621" s="33">
        <f>IF(L620&gt;3%,I620,IF(L620&lt;-3%,I620,K620))</f>
        <v>2174.56</v>
      </c>
      <c r="L621" s="59">
        <f t="shared" si="75"/>
        <v>3.5896871091163358E-2</v>
      </c>
      <c r="M621" s="60"/>
    </row>
    <row r="622" spans="1:13" x14ac:dyDescent="0.55000000000000004">
      <c r="A622" s="165"/>
      <c r="B622" s="35">
        <f t="shared" si="74"/>
        <v>16</v>
      </c>
      <c r="C622" s="36" t="str">
        <f t="shared" si="70"/>
        <v>52018</v>
      </c>
      <c r="D622" s="44">
        <f t="shared" si="69"/>
        <v>43236</v>
      </c>
      <c r="E622" s="38">
        <v>4.4661999999999997</v>
      </c>
      <c r="F622" s="39">
        <v>520.5</v>
      </c>
      <c r="G622" s="33">
        <f t="shared" si="76"/>
        <v>2324.6570999999999</v>
      </c>
      <c r="H622" s="33"/>
      <c r="I622" s="33">
        <f t="shared" si="77"/>
        <v>2272.0345500000003</v>
      </c>
      <c r="J622" s="33"/>
      <c r="K622" s="33">
        <v>2174.56</v>
      </c>
      <c r="L622" s="59">
        <f t="shared" si="75"/>
        <v>4.4824953093959403E-2</v>
      </c>
      <c r="M622" s="60"/>
    </row>
    <row r="623" spans="1:13" x14ac:dyDescent="0.55000000000000004">
      <c r="A623" s="165"/>
      <c r="B623" s="35">
        <f t="shared" si="74"/>
        <v>17</v>
      </c>
      <c r="C623" s="36" t="str">
        <f t="shared" si="70"/>
        <v>52018</v>
      </c>
      <c r="D623" s="44">
        <f t="shared" si="69"/>
        <v>43237</v>
      </c>
      <c r="E623" s="38">
        <v>4.4481999999999999</v>
      </c>
      <c r="F623" s="39">
        <v>520.5</v>
      </c>
      <c r="G623" s="33">
        <f t="shared" si="76"/>
        <v>2315.2880999999998</v>
      </c>
      <c r="H623" s="33"/>
      <c r="I623" s="33">
        <f t="shared" si="77"/>
        <v>2289.5754000000002</v>
      </c>
      <c r="J623" s="33"/>
      <c r="K623" s="33">
        <v>2174.56</v>
      </c>
      <c r="L623" s="59">
        <f t="shared" si="75"/>
        <v>5.2891343536163746E-2</v>
      </c>
      <c r="M623" s="60"/>
    </row>
    <row r="624" spans="1:13" x14ac:dyDescent="0.55000000000000004">
      <c r="A624" s="165"/>
      <c r="B624" s="35">
        <f t="shared" si="74"/>
        <v>18</v>
      </c>
      <c r="C624" s="36" t="str">
        <f t="shared" si="70"/>
        <v>52018</v>
      </c>
      <c r="D624" s="44">
        <f t="shared" si="69"/>
        <v>43238</v>
      </c>
      <c r="E624" s="38">
        <v>4.4732000000000003</v>
      </c>
      <c r="F624" s="39">
        <v>520.5</v>
      </c>
      <c r="G624" s="33">
        <f t="shared" si="76"/>
        <v>2328.3006</v>
      </c>
      <c r="H624" s="33"/>
      <c r="I624" s="33">
        <f t="shared" si="77"/>
        <v>2296.0035750000002</v>
      </c>
      <c r="J624" s="33"/>
      <c r="K624" s="33">
        <v>2174.56</v>
      </c>
      <c r="L624" s="59">
        <f t="shared" si="75"/>
        <v>5.5847424306526491E-2</v>
      </c>
      <c r="M624" s="60"/>
    </row>
    <row r="625" spans="1:13" x14ac:dyDescent="0.55000000000000004">
      <c r="A625" s="165"/>
      <c r="B625" s="35">
        <f t="shared" si="74"/>
        <v>21</v>
      </c>
      <c r="C625" s="36" t="str">
        <f t="shared" si="70"/>
        <v>52018</v>
      </c>
      <c r="D625" s="44">
        <f t="shared" si="69"/>
        <v>43241</v>
      </c>
      <c r="E625" s="38">
        <v>4.5616000000000003</v>
      </c>
      <c r="F625" s="39">
        <v>520.5</v>
      </c>
      <c r="G625" s="33">
        <f t="shared" si="76"/>
        <v>2374.3128000000002</v>
      </c>
      <c r="H625" s="63">
        <f>I625/F625</f>
        <v>4.4235600000000002</v>
      </c>
      <c r="I625" s="62">
        <f t="shared" si="77"/>
        <v>2302.4629800000002</v>
      </c>
      <c r="J625" s="62"/>
      <c r="K625" s="33">
        <v>2174.56</v>
      </c>
      <c r="L625" s="59">
        <f t="shared" si="75"/>
        <v>5.8817866602899116E-2</v>
      </c>
      <c r="M625" s="60">
        <f t="shared" si="72"/>
        <v>127.9029800000003</v>
      </c>
    </row>
    <row r="626" spans="1:13" x14ac:dyDescent="0.55000000000000004">
      <c r="A626" s="165"/>
      <c r="B626" s="35">
        <f t="shared" si="74"/>
        <v>22</v>
      </c>
      <c r="C626" s="36" t="str">
        <f t="shared" si="70"/>
        <v>52018</v>
      </c>
      <c r="D626" s="44">
        <f t="shared" si="69"/>
        <v>43242</v>
      </c>
      <c r="E626" s="38">
        <v>4.5862999999999996</v>
      </c>
      <c r="F626" s="39">
        <v>520.5</v>
      </c>
      <c r="G626" s="33">
        <f t="shared" si="76"/>
        <v>2387.1691499999997</v>
      </c>
      <c r="H626" s="33"/>
      <c r="I626" s="33">
        <f t="shared" si="77"/>
        <v>2374.3128000000002</v>
      </c>
      <c r="J626" s="33"/>
      <c r="K626" s="33">
        <v>2302.4629800000002</v>
      </c>
      <c r="L626" s="59">
        <f t="shared" si="75"/>
        <v>3.120563528018153E-2</v>
      </c>
      <c r="M626" s="60"/>
    </row>
    <row r="627" spans="1:13" x14ac:dyDescent="0.55000000000000004">
      <c r="A627" s="165"/>
      <c r="B627" s="35">
        <f t="shared" si="74"/>
        <v>23</v>
      </c>
      <c r="C627" s="36" t="str">
        <f t="shared" si="70"/>
        <v>52018</v>
      </c>
      <c r="D627" s="44">
        <f t="shared" si="69"/>
        <v>43243</v>
      </c>
      <c r="E627" s="38">
        <v>4.8551000000000002</v>
      </c>
      <c r="F627" s="39">
        <v>520.5</v>
      </c>
      <c r="G627" s="33">
        <f t="shared" si="76"/>
        <v>2527.0795499999999</v>
      </c>
      <c r="H627" s="33"/>
      <c r="I627" s="33">
        <f t="shared" si="77"/>
        <v>2380.7409749999997</v>
      </c>
      <c r="J627" s="33"/>
      <c r="K627" s="33">
        <v>2302.4629800000002</v>
      </c>
      <c r="L627" s="59">
        <f t="shared" si="75"/>
        <v>3.3997504272576605E-2</v>
      </c>
      <c r="M627" s="60"/>
    </row>
    <row r="628" spans="1:13" x14ac:dyDescent="0.55000000000000004">
      <c r="A628" s="165"/>
      <c r="B628" s="35">
        <f t="shared" si="74"/>
        <v>24</v>
      </c>
      <c r="C628" s="36" t="str">
        <f t="shared" si="70"/>
        <v>52018</v>
      </c>
      <c r="D628" s="44">
        <f t="shared" si="69"/>
        <v>43244</v>
      </c>
      <c r="E628" s="38">
        <v>4.7111999999999998</v>
      </c>
      <c r="F628" s="39">
        <v>520.5</v>
      </c>
      <c r="G628" s="33">
        <f t="shared" si="76"/>
        <v>2452.1795999999999</v>
      </c>
      <c r="H628" s="33"/>
      <c r="I628" s="33">
        <f t="shared" si="77"/>
        <v>2429.5205000000001</v>
      </c>
      <c r="J628" s="33"/>
      <c r="K628" s="33">
        <v>2302.4629800000002</v>
      </c>
      <c r="L628" s="59">
        <f t="shared" si="75"/>
        <v>5.5183306356569442E-2</v>
      </c>
      <c r="M628" s="60"/>
    </row>
    <row r="629" spans="1:13" x14ac:dyDescent="0.55000000000000004">
      <c r="A629" s="165"/>
      <c r="B629" s="35">
        <f t="shared" si="74"/>
        <v>25</v>
      </c>
      <c r="C629" s="36" t="str">
        <f t="shared" si="70"/>
        <v>52018</v>
      </c>
      <c r="D629" s="44">
        <f t="shared" si="69"/>
        <v>43245</v>
      </c>
      <c r="E629" s="38">
        <v>4.7291999999999996</v>
      </c>
      <c r="F629" s="39">
        <v>520.5</v>
      </c>
      <c r="G629" s="33">
        <f t="shared" si="76"/>
        <v>2461.5485999999996</v>
      </c>
      <c r="H629" s="33"/>
      <c r="I629" s="33">
        <f t="shared" si="77"/>
        <v>2435.1852749999998</v>
      </c>
      <c r="J629" s="33"/>
      <c r="K629" s="33">
        <v>2302.4629800000002</v>
      </c>
      <c r="L629" s="59">
        <f t="shared" si="75"/>
        <v>5.7643617357964888E-2</v>
      </c>
      <c r="M629" s="60"/>
    </row>
    <row r="630" spans="1:13" x14ac:dyDescent="0.55000000000000004">
      <c r="A630" s="165"/>
      <c r="B630" s="35">
        <f t="shared" si="74"/>
        <v>28</v>
      </c>
      <c r="C630" s="36" t="str">
        <f t="shared" si="70"/>
        <v>52018</v>
      </c>
      <c r="D630" s="44">
        <f t="shared" si="69"/>
        <v>43248</v>
      </c>
      <c r="E630" s="38">
        <v>4.6048</v>
      </c>
      <c r="F630" s="39">
        <v>520.5</v>
      </c>
      <c r="G630" s="33">
        <f t="shared" si="76"/>
        <v>2396.7984000000001</v>
      </c>
      <c r="H630" s="33"/>
      <c r="I630" s="62">
        <f t="shared" si="77"/>
        <v>2440.4579399999998</v>
      </c>
      <c r="J630" s="62"/>
      <c r="K630" s="33">
        <v>2302.4629800000002</v>
      </c>
      <c r="L630" s="59">
        <f t="shared" si="75"/>
        <v>5.9933628118528759E-2</v>
      </c>
      <c r="M630" s="60">
        <f t="shared" si="72"/>
        <v>137.99495999999954</v>
      </c>
    </row>
    <row r="631" spans="1:13" x14ac:dyDescent="0.55000000000000004">
      <c r="A631" s="165"/>
      <c r="B631" s="35">
        <f t="shared" si="74"/>
        <v>29</v>
      </c>
      <c r="C631" s="36" t="str">
        <f t="shared" si="70"/>
        <v>52018</v>
      </c>
      <c r="D631" s="44">
        <f t="shared" si="69"/>
        <v>43249</v>
      </c>
      <c r="E631" s="38">
        <v>4.6044999999999998</v>
      </c>
      <c r="F631" s="39">
        <v>520.5</v>
      </c>
      <c r="G631" s="33">
        <f t="shared" si="76"/>
        <v>2396.6422499999999</v>
      </c>
      <c r="H631" s="33"/>
      <c r="I631" s="33">
        <f t="shared" si="77"/>
        <v>2396.7984000000001</v>
      </c>
      <c r="J631" s="33"/>
      <c r="K631" s="33">
        <f t="shared" ref="K631:K649" si="78">IF(L630&gt;3%,I630,IF(L630&lt;-3%,I630,K630))</f>
        <v>2440.4579399999998</v>
      </c>
      <c r="L631" s="59">
        <f t="shared" si="75"/>
        <v>-1.7889896516716717E-2</v>
      </c>
      <c r="M631" s="60" t="str">
        <f t="shared" si="72"/>
        <v/>
      </c>
    </row>
    <row r="632" spans="1:13" x14ac:dyDescent="0.55000000000000004">
      <c r="A632" s="165"/>
      <c r="B632" s="35">
        <f t="shared" si="74"/>
        <v>30</v>
      </c>
      <c r="C632" s="36" t="str">
        <f t="shared" si="70"/>
        <v>52018</v>
      </c>
      <c r="D632" s="44">
        <f t="shared" si="69"/>
        <v>43250</v>
      </c>
      <c r="E632" s="38">
        <v>4.4913999999999996</v>
      </c>
      <c r="F632" s="39">
        <v>520.5</v>
      </c>
      <c r="G632" s="33">
        <f t="shared" si="76"/>
        <v>2337.7736999999997</v>
      </c>
      <c r="H632" s="33"/>
      <c r="I632" s="33">
        <f t="shared" si="77"/>
        <v>2396.7203250000002</v>
      </c>
      <c r="J632" s="33"/>
      <c r="K632" s="33">
        <f t="shared" si="78"/>
        <v>2440.4579399999998</v>
      </c>
      <c r="L632" s="59">
        <f t="shared" si="75"/>
        <v>-1.792188846327733E-2</v>
      </c>
      <c r="M632" s="60" t="str">
        <f t="shared" si="72"/>
        <v/>
      </c>
    </row>
    <row r="633" spans="1:13" ht="14.7" thickBot="1" x14ac:dyDescent="0.6">
      <c r="A633" s="166"/>
      <c r="B633" s="35">
        <f t="shared" si="74"/>
        <v>31</v>
      </c>
      <c r="C633" s="36" t="str">
        <f t="shared" si="70"/>
        <v>52018</v>
      </c>
      <c r="D633" s="53">
        <f t="shared" si="69"/>
        <v>43251</v>
      </c>
      <c r="E633" s="38">
        <v>4.4889000000000001</v>
      </c>
      <c r="F633" s="39">
        <v>520.5</v>
      </c>
      <c r="G633" s="33">
        <f t="shared" si="76"/>
        <v>2336.4724500000002</v>
      </c>
      <c r="H633" s="33"/>
      <c r="I633" s="33">
        <f t="shared" si="77"/>
        <v>2377.0714499999999</v>
      </c>
      <c r="J633" s="33"/>
      <c r="K633" s="33">
        <f t="shared" si="78"/>
        <v>2440.4579399999998</v>
      </c>
      <c r="L633" s="59">
        <f t="shared" si="75"/>
        <v>-2.5973195014374995E-2</v>
      </c>
      <c r="M633" s="60" t="str">
        <f t="shared" si="72"/>
        <v/>
      </c>
    </row>
    <row r="634" spans="1:13" x14ac:dyDescent="0.55000000000000004">
      <c r="A634" s="164" t="s">
        <v>109</v>
      </c>
      <c r="B634" s="35">
        <f t="shared" si="74"/>
        <v>1</v>
      </c>
      <c r="C634" s="36" t="str">
        <f t="shared" si="70"/>
        <v>62018</v>
      </c>
      <c r="D634" s="37">
        <f t="shared" ref="D634:D697" si="79">WORKDAY(D633,1)</f>
        <v>43252</v>
      </c>
      <c r="E634" s="38">
        <v>4.6005000000000003</v>
      </c>
      <c r="F634" s="39">
        <v>577</v>
      </c>
      <c r="G634" s="33">
        <f t="shared" si="76"/>
        <v>2654.4884999999999</v>
      </c>
      <c r="H634" s="33"/>
      <c r="I634" s="62">
        <f t="shared" ref="I634:I697" si="80">IF(M633&lt;&gt;"",AVERAGE(E633),IF(M632&lt;&gt;"",AVERAGE(E632:E633),IF(M631&lt;&gt;"",AVERAGE(E631:E633),IF(M630&lt;&gt;"",AVERAGE(E630:E633),AVERAGE(E629:E633)))))*F634</f>
        <v>2623.8498</v>
      </c>
      <c r="J634" s="62"/>
      <c r="K634" s="33">
        <f t="shared" si="78"/>
        <v>2440.4579399999998</v>
      </c>
      <c r="L634" s="59">
        <f t="shared" si="75"/>
        <v>7.5146494841865696E-2</v>
      </c>
      <c r="M634" s="60">
        <f t="shared" si="72"/>
        <v>183.39186000000018</v>
      </c>
    </row>
    <row r="635" spans="1:13" x14ac:dyDescent="0.55000000000000004">
      <c r="A635" s="165"/>
      <c r="B635" s="35">
        <f t="shared" si="74"/>
        <v>4</v>
      </c>
      <c r="C635" s="36" t="str">
        <f t="shared" si="70"/>
        <v>62018</v>
      </c>
      <c r="D635" s="44">
        <f t="shared" si="79"/>
        <v>43255</v>
      </c>
      <c r="E635" s="38">
        <v>4.6367000000000003</v>
      </c>
      <c r="F635" s="39">
        <v>577</v>
      </c>
      <c r="G635" s="33">
        <f t="shared" si="76"/>
        <v>2675.3759</v>
      </c>
      <c r="H635" s="33"/>
      <c r="I635" s="33">
        <f t="shared" si="80"/>
        <v>2654.4884999999999</v>
      </c>
      <c r="J635" s="33"/>
      <c r="K635" s="33">
        <f t="shared" si="78"/>
        <v>2623.8498</v>
      </c>
      <c r="L635" s="59">
        <f t="shared" si="75"/>
        <v>1.1677002243039969E-2</v>
      </c>
      <c r="M635" s="60" t="str">
        <f t="shared" si="72"/>
        <v/>
      </c>
    </row>
    <row r="636" spans="1:13" x14ac:dyDescent="0.55000000000000004">
      <c r="A636" s="165"/>
      <c r="B636" s="35">
        <f t="shared" si="74"/>
        <v>5</v>
      </c>
      <c r="C636" s="36" t="str">
        <f t="shared" si="70"/>
        <v>62018</v>
      </c>
      <c r="D636" s="44">
        <f t="shared" si="79"/>
        <v>43256</v>
      </c>
      <c r="E636" s="38">
        <v>4.6155999999999997</v>
      </c>
      <c r="F636" s="39">
        <v>577</v>
      </c>
      <c r="G636" s="33">
        <f t="shared" si="76"/>
        <v>2663.2012</v>
      </c>
      <c r="H636" s="33"/>
      <c r="I636" s="62">
        <f t="shared" si="80"/>
        <v>2664.9322000000002</v>
      </c>
      <c r="J636" s="62"/>
      <c r="K636" s="33">
        <f t="shared" si="78"/>
        <v>2623.8498</v>
      </c>
      <c r="L636" s="59">
        <f t="shared" si="75"/>
        <v>1.5657298676166689E-2</v>
      </c>
      <c r="M636" s="60" t="str">
        <f t="shared" si="72"/>
        <v/>
      </c>
    </row>
    <row r="637" spans="1:13" x14ac:dyDescent="0.55000000000000004">
      <c r="A637" s="165"/>
      <c r="B637" s="35">
        <f t="shared" si="74"/>
        <v>6</v>
      </c>
      <c r="C637" s="36" t="str">
        <f t="shared" si="70"/>
        <v>62018</v>
      </c>
      <c r="D637" s="44">
        <f t="shared" si="79"/>
        <v>43257</v>
      </c>
      <c r="E637" s="38">
        <v>4.6177999999999999</v>
      </c>
      <c r="F637" s="39">
        <v>577</v>
      </c>
      <c r="G637" s="33">
        <f t="shared" si="76"/>
        <v>2664.4706000000001</v>
      </c>
      <c r="H637" s="33"/>
      <c r="I637" s="33">
        <f t="shared" si="80"/>
        <v>2664.3552000000004</v>
      </c>
      <c r="J637" s="33"/>
      <c r="K637" s="33">
        <f t="shared" si="78"/>
        <v>2623.8498</v>
      </c>
      <c r="L637" s="59">
        <f t="shared" si="75"/>
        <v>1.5437392795883539E-2</v>
      </c>
      <c r="M637" s="60" t="str">
        <f t="shared" si="72"/>
        <v/>
      </c>
    </row>
    <row r="638" spans="1:13" x14ac:dyDescent="0.55000000000000004">
      <c r="A638" s="165"/>
      <c r="B638" s="35">
        <f t="shared" si="74"/>
        <v>7</v>
      </c>
      <c r="C638" s="36" t="str">
        <f t="shared" si="70"/>
        <v>62018</v>
      </c>
      <c r="D638" s="44">
        <f t="shared" si="79"/>
        <v>43258</v>
      </c>
      <c r="E638" s="38">
        <v>4.5571000000000002</v>
      </c>
      <c r="F638" s="39">
        <v>577</v>
      </c>
      <c r="G638" s="33">
        <f t="shared" si="76"/>
        <v>2629.4467</v>
      </c>
      <c r="H638" s="33"/>
      <c r="I638" s="33">
        <f t="shared" si="80"/>
        <v>2664.3840500000001</v>
      </c>
      <c r="J638" s="33"/>
      <c r="K638" s="33">
        <f t="shared" si="78"/>
        <v>2623.8498</v>
      </c>
      <c r="L638" s="59">
        <f t="shared" si="75"/>
        <v>1.5448388089897585E-2</v>
      </c>
      <c r="M638" s="60" t="str">
        <f t="shared" si="72"/>
        <v/>
      </c>
    </row>
    <row r="639" spans="1:13" x14ac:dyDescent="0.55000000000000004">
      <c r="A639" s="165"/>
      <c r="B639" s="35">
        <f t="shared" si="74"/>
        <v>8</v>
      </c>
      <c r="C639" s="36" t="str">
        <f t="shared" si="70"/>
        <v>62018</v>
      </c>
      <c r="D639" s="44">
        <f t="shared" si="79"/>
        <v>43259</v>
      </c>
      <c r="E639" s="38">
        <v>4.5105000000000004</v>
      </c>
      <c r="F639" s="39">
        <v>577</v>
      </c>
      <c r="G639" s="33">
        <f t="shared" si="76"/>
        <v>2602.5585000000001</v>
      </c>
      <c r="H639" s="33"/>
      <c r="I639" s="33">
        <f t="shared" si="80"/>
        <v>2657.3965800000001</v>
      </c>
      <c r="J639" s="33"/>
      <c r="K639" s="33">
        <f t="shared" si="78"/>
        <v>2623.8498</v>
      </c>
      <c r="L639" s="59">
        <f t="shared" si="75"/>
        <v>1.2785327879667551E-2</v>
      </c>
      <c r="M639" s="60" t="str">
        <f t="shared" si="72"/>
        <v/>
      </c>
    </row>
    <row r="640" spans="1:13" x14ac:dyDescent="0.55000000000000004">
      <c r="A640" s="165"/>
      <c r="B640" s="35">
        <f t="shared" si="74"/>
        <v>11</v>
      </c>
      <c r="C640" s="36" t="str">
        <f t="shared" si="70"/>
        <v>62018</v>
      </c>
      <c r="D640" s="44">
        <f t="shared" si="79"/>
        <v>43262</v>
      </c>
      <c r="E640" s="38">
        <v>4.5217000000000001</v>
      </c>
      <c r="F640" s="39">
        <v>577</v>
      </c>
      <c r="G640" s="33">
        <f t="shared" si="76"/>
        <v>2609.0209</v>
      </c>
      <c r="H640" s="33"/>
      <c r="I640" s="33">
        <f t="shared" si="80"/>
        <v>2647.0105799999997</v>
      </c>
      <c r="J640" s="33"/>
      <c r="K640" s="33">
        <f t="shared" si="78"/>
        <v>2623.8498</v>
      </c>
      <c r="L640" s="59">
        <f t="shared" si="75"/>
        <v>8.827022034569091E-3</v>
      </c>
      <c r="M640" s="60" t="str">
        <f t="shared" si="72"/>
        <v/>
      </c>
    </row>
    <row r="641" spans="1:13" x14ac:dyDescent="0.55000000000000004">
      <c r="A641" s="165"/>
      <c r="B641" s="35">
        <f t="shared" si="74"/>
        <v>12</v>
      </c>
      <c r="C641" s="36" t="str">
        <f t="shared" si="70"/>
        <v>62018</v>
      </c>
      <c r="D641" s="44">
        <f t="shared" si="79"/>
        <v>43263</v>
      </c>
      <c r="E641" s="38">
        <v>4.5572999999999997</v>
      </c>
      <c r="F641" s="39">
        <v>577</v>
      </c>
      <c r="G641" s="33">
        <f t="shared" si="76"/>
        <v>2629.5620999999996</v>
      </c>
      <c r="H641" s="33"/>
      <c r="I641" s="33">
        <f t="shared" si="80"/>
        <v>2633.7395799999999</v>
      </c>
      <c r="J641" s="33"/>
      <c r="K641" s="33">
        <f t="shared" si="78"/>
        <v>2623.8498</v>
      </c>
      <c r="L641" s="59">
        <f t="shared" si="75"/>
        <v>3.7691867880547025E-3</v>
      </c>
      <c r="M641" s="60" t="str">
        <f t="shared" si="72"/>
        <v/>
      </c>
    </row>
    <row r="642" spans="1:13" x14ac:dyDescent="0.55000000000000004">
      <c r="A642" s="165"/>
      <c r="B642" s="35">
        <f t="shared" si="74"/>
        <v>13</v>
      </c>
      <c r="C642" s="36" t="str">
        <f t="shared" ref="C642:C705" si="81">IF(F642&gt;0,MONTH(D642)&amp;YEAR(D642),"")</f>
        <v>62018</v>
      </c>
      <c r="D642" s="44">
        <f t="shared" si="79"/>
        <v>43264</v>
      </c>
      <c r="E642" s="38">
        <v>4.6567999999999996</v>
      </c>
      <c r="F642" s="39">
        <v>577</v>
      </c>
      <c r="G642" s="33">
        <f t="shared" si="76"/>
        <v>2686.9735999999998</v>
      </c>
      <c r="H642" s="33"/>
      <c r="I642" s="33">
        <f t="shared" si="80"/>
        <v>2627.0117599999999</v>
      </c>
      <c r="J642" s="33"/>
      <c r="K642" s="33">
        <f t="shared" si="78"/>
        <v>2623.8498</v>
      </c>
      <c r="L642" s="59">
        <f t="shared" si="75"/>
        <v>1.2050842239521135E-3</v>
      </c>
      <c r="M642" s="60" t="str">
        <f t="shared" si="72"/>
        <v/>
      </c>
    </row>
    <row r="643" spans="1:13" x14ac:dyDescent="0.55000000000000004">
      <c r="A643" s="165"/>
      <c r="B643" s="35">
        <f t="shared" si="74"/>
        <v>14</v>
      </c>
      <c r="C643" s="36" t="str">
        <f t="shared" si="81"/>
        <v>62018</v>
      </c>
      <c r="D643" s="44">
        <f t="shared" si="79"/>
        <v>43265</v>
      </c>
      <c r="E643" s="38">
        <v>4.6567999999999996</v>
      </c>
      <c r="F643" s="39">
        <v>577</v>
      </c>
      <c r="G643" s="33">
        <f t="shared" si="76"/>
        <v>2686.9735999999998</v>
      </c>
      <c r="H643" s="33"/>
      <c r="I643" s="33">
        <f t="shared" si="80"/>
        <v>2631.5123599999997</v>
      </c>
      <c r="J643" s="33"/>
      <c r="K643" s="33">
        <f t="shared" si="78"/>
        <v>2623.8498</v>
      </c>
      <c r="L643" s="59">
        <f t="shared" si="75"/>
        <v>2.9203500901613185E-3</v>
      </c>
      <c r="M643" s="60" t="str">
        <f t="shared" si="72"/>
        <v/>
      </c>
    </row>
    <row r="644" spans="1:13" x14ac:dyDescent="0.55000000000000004">
      <c r="A644" s="165"/>
      <c r="B644" s="35">
        <f t="shared" si="74"/>
        <v>15</v>
      </c>
      <c r="C644" s="36" t="str">
        <f t="shared" si="81"/>
        <v>62018</v>
      </c>
      <c r="D644" s="44">
        <f t="shared" si="79"/>
        <v>43266</v>
      </c>
      <c r="E644" s="38">
        <v>4.6567999999999996</v>
      </c>
      <c r="F644" s="39">
        <v>577</v>
      </c>
      <c r="G644" s="33">
        <f t="shared" si="76"/>
        <v>2686.9735999999998</v>
      </c>
      <c r="H644" s="33"/>
      <c r="I644" s="33">
        <f t="shared" si="80"/>
        <v>2643.0177399999998</v>
      </c>
      <c r="J644" s="33"/>
      <c r="K644" s="33">
        <f t="shared" si="78"/>
        <v>2623.8498</v>
      </c>
      <c r="L644" s="59">
        <f t="shared" si="75"/>
        <v>7.3052733430091221E-3</v>
      </c>
      <c r="M644" s="60" t="str">
        <f t="shared" si="72"/>
        <v/>
      </c>
    </row>
    <row r="645" spans="1:13" x14ac:dyDescent="0.55000000000000004">
      <c r="A645" s="165"/>
      <c r="B645" s="35">
        <f t="shared" si="74"/>
        <v>18</v>
      </c>
      <c r="C645" s="36" t="str">
        <f t="shared" si="81"/>
        <v>62018</v>
      </c>
      <c r="D645" s="44">
        <f t="shared" si="79"/>
        <v>43269</v>
      </c>
      <c r="E645" s="38">
        <v>4.7236000000000002</v>
      </c>
      <c r="F645" s="39">
        <v>577</v>
      </c>
      <c r="G645" s="33">
        <f t="shared" si="76"/>
        <v>2725.5172000000002</v>
      </c>
      <c r="H645" s="33"/>
      <c r="I645" s="33">
        <f t="shared" si="80"/>
        <v>2659.9007600000004</v>
      </c>
      <c r="J645" s="33"/>
      <c r="K645" s="33">
        <f t="shared" si="78"/>
        <v>2623.8498</v>
      </c>
      <c r="L645" s="59">
        <f t="shared" si="75"/>
        <v>1.3739719400096944E-2</v>
      </c>
      <c r="M645" s="60" t="str">
        <f t="shared" si="72"/>
        <v/>
      </c>
    </row>
    <row r="646" spans="1:13" x14ac:dyDescent="0.55000000000000004">
      <c r="A646" s="165"/>
      <c r="B646" s="35">
        <f t="shared" si="74"/>
        <v>19</v>
      </c>
      <c r="C646" s="36" t="str">
        <f t="shared" si="81"/>
        <v>62018</v>
      </c>
      <c r="D646" s="44">
        <f t="shared" si="79"/>
        <v>43270</v>
      </c>
      <c r="E646" s="38">
        <v>4.7629999999999999</v>
      </c>
      <c r="F646" s="39">
        <v>577</v>
      </c>
      <c r="G646" s="33">
        <f t="shared" si="76"/>
        <v>2748.2509999999997</v>
      </c>
      <c r="H646" s="33"/>
      <c r="I646" s="33">
        <f t="shared" si="80"/>
        <v>2683.2000200000002</v>
      </c>
      <c r="J646" s="33"/>
      <c r="K646" s="33">
        <f t="shared" si="78"/>
        <v>2623.8498</v>
      </c>
      <c r="L646" s="59">
        <f t="shared" si="75"/>
        <v>2.261951884593404E-2</v>
      </c>
      <c r="M646" s="60" t="str">
        <f t="shared" si="72"/>
        <v/>
      </c>
    </row>
    <row r="647" spans="1:13" x14ac:dyDescent="0.55000000000000004">
      <c r="A647" s="165"/>
      <c r="B647" s="35">
        <f t="shared" si="74"/>
        <v>20</v>
      </c>
      <c r="C647" s="36" t="str">
        <f t="shared" si="81"/>
        <v>62018</v>
      </c>
      <c r="D647" s="44">
        <f t="shared" si="79"/>
        <v>43271</v>
      </c>
      <c r="E647" s="38">
        <v>4.7572999999999999</v>
      </c>
      <c r="F647" s="39">
        <v>577</v>
      </c>
      <c r="G647" s="33">
        <f t="shared" si="76"/>
        <v>2744.9620999999997</v>
      </c>
      <c r="H647" s="33"/>
      <c r="I647" s="33">
        <f t="shared" si="80"/>
        <v>2706.9377999999997</v>
      </c>
      <c r="J647" s="33"/>
      <c r="K647" s="33">
        <f t="shared" si="78"/>
        <v>2623.8498</v>
      </c>
      <c r="L647" s="59">
        <f t="shared" si="75"/>
        <v>3.1666446760786282E-2</v>
      </c>
      <c r="M647" s="60"/>
    </row>
    <row r="648" spans="1:13" x14ac:dyDescent="0.55000000000000004">
      <c r="A648" s="165"/>
      <c r="B648" s="35">
        <f t="shared" si="74"/>
        <v>21</v>
      </c>
      <c r="C648" s="36" t="str">
        <f t="shared" si="81"/>
        <v>62018</v>
      </c>
      <c r="D648" s="44">
        <f t="shared" si="79"/>
        <v>43272</v>
      </c>
      <c r="E648" s="38">
        <v>4.7609000000000004</v>
      </c>
      <c r="F648" s="39">
        <v>577</v>
      </c>
      <c r="G648" s="33">
        <f t="shared" si="76"/>
        <v>2747.0393000000004</v>
      </c>
      <c r="H648" s="33"/>
      <c r="I648" s="33">
        <f t="shared" si="80"/>
        <v>2718.5354999999995</v>
      </c>
      <c r="J648" s="33"/>
      <c r="K648" s="33">
        <f t="shared" si="78"/>
        <v>2706.9377999999997</v>
      </c>
      <c r="L648" s="59">
        <f t="shared" si="75"/>
        <v>4.2844353497889041E-3</v>
      </c>
      <c r="M648" s="60" t="str">
        <f t="shared" si="72"/>
        <v/>
      </c>
    </row>
    <row r="649" spans="1:13" x14ac:dyDescent="0.55000000000000004">
      <c r="A649" s="165"/>
      <c r="B649" s="35">
        <f t="shared" si="74"/>
        <v>22</v>
      </c>
      <c r="C649" s="36" t="str">
        <f t="shared" si="81"/>
        <v>62018</v>
      </c>
      <c r="D649" s="44">
        <f t="shared" si="79"/>
        <v>43273</v>
      </c>
      <c r="E649" s="38">
        <v>4.7161999999999997</v>
      </c>
      <c r="F649" s="39">
        <v>577</v>
      </c>
      <c r="G649" s="33">
        <f t="shared" si="76"/>
        <v>2721.2473999999997</v>
      </c>
      <c r="H649" s="33"/>
      <c r="I649" s="33">
        <f t="shared" si="80"/>
        <v>2730.54864</v>
      </c>
      <c r="J649" s="33"/>
      <c r="K649" s="33">
        <f t="shared" si="78"/>
        <v>2706.9377999999997</v>
      </c>
      <c r="L649" s="59">
        <f t="shared" si="75"/>
        <v>8.722343010615273E-3</v>
      </c>
      <c r="M649" s="60" t="str">
        <f t="shared" si="72"/>
        <v/>
      </c>
    </row>
    <row r="650" spans="1:13" x14ac:dyDescent="0.55000000000000004">
      <c r="A650" s="165"/>
      <c r="B650" s="35">
        <f t="shared" si="74"/>
        <v>25</v>
      </c>
      <c r="C650" s="36" t="str">
        <f t="shared" si="81"/>
        <v>62018</v>
      </c>
      <c r="D650" s="44">
        <f t="shared" si="79"/>
        <v>43276</v>
      </c>
      <c r="E650" s="38">
        <v>4.6479999999999997</v>
      </c>
      <c r="F650" s="39">
        <v>577</v>
      </c>
      <c r="G650" s="33">
        <f t="shared" si="76"/>
        <v>2681.8959999999997</v>
      </c>
      <c r="H650" s="33"/>
      <c r="I650" s="62">
        <f t="shared" si="80"/>
        <v>2737.4034000000001</v>
      </c>
      <c r="J650" s="62"/>
      <c r="K650" s="33">
        <v>2644.8295199999998</v>
      </c>
      <c r="L650" s="59">
        <f t="shared" si="75"/>
        <v>3.5001832556678505E-2</v>
      </c>
      <c r="M650" s="60">
        <f t="shared" si="72"/>
        <v>92.573880000000372</v>
      </c>
    </row>
    <row r="651" spans="1:13" x14ac:dyDescent="0.55000000000000004">
      <c r="A651" s="165"/>
      <c r="B651" s="35">
        <f t="shared" si="74"/>
        <v>26</v>
      </c>
      <c r="C651" s="36" t="str">
        <f t="shared" si="81"/>
        <v>62018</v>
      </c>
      <c r="D651" s="44">
        <f t="shared" si="79"/>
        <v>43277</v>
      </c>
      <c r="E651" s="38">
        <v>4.6824000000000003</v>
      </c>
      <c r="F651" s="39">
        <v>577</v>
      </c>
      <c r="G651" s="33">
        <f t="shared" si="76"/>
        <v>2701.7448000000004</v>
      </c>
      <c r="H651" s="33"/>
      <c r="I651" s="33">
        <f t="shared" si="80"/>
        <v>2681.8959999999997</v>
      </c>
      <c r="J651" s="33"/>
      <c r="K651" s="33">
        <f t="shared" ref="K651:K677" si="82">IF(L650&gt;3%,I650,IF(L650&lt;-3%,I650,K650))</f>
        <v>2737.4034000000001</v>
      </c>
      <c r="L651" s="59">
        <f t="shared" si="75"/>
        <v>-2.027739134100601E-2</v>
      </c>
      <c r="M651" s="60" t="str">
        <f t="shared" si="72"/>
        <v/>
      </c>
    </row>
    <row r="652" spans="1:13" x14ac:dyDescent="0.55000000000000004">
      <c r="A652" s="165"/>
      <c r="B652" s="35">
        <f t="shared" si="74"/>
        <v>27</v>
      </c>
      <c r="C652" s="36" t="str">
        <f t="shared" si="81"/>
        <v>62018</v>
      </c>
      <c r="D652" s="44">
        <f t="shared" si="79"/>
        <v>43278</v>
      </c>
      <c r="E652" s="38">
        <v>4.6433</v>
      </c>
      <c r="F652" s="39">
        <v>577</v>
      </c>
      <c r="G652" s="33">
        <f t="shared" si="76"/>
        <v>2679.1840999999999</v>
      </c>
      <c r="H652" s="33"/>
      <c r="I652" s="33">
        <f t="shared" si="80"/>
        <v>2691.8204000000001</v>
      </c>
      <c r="J652" s="33"/>
      <c r="K652" s="33">
        <f t="shared" si="82"/>
        <v>2737.4034000000001</v>
      </c>
      <c r="L652" s="59">
        <f t="shared" si="75"/>
        <v>-1.6651911808102556E-2</v>
      </c>
      <c r="M652" s="60" t="str">
        <f t="shared" si="72"/>
        <v/>
      </c>
    </row>
    <row r="653" spans="1:13" x14ac:dyDescent="0.55000000000000004">
      <c r="A653" s="165"/>
      <c r="B653" s="35">
        <f t="shared" si="74"/>
        <v>28</v>
      </c>
      <c r="C653" s="36" t="str">
        <f t="shared" si="81"/>
        <v>62018</v>
      </c>
      <c r="D653" s="44">
        <f t="shared" si="79"/>
        <v>43279</v>
      </c>
      <c r="E653" s="38">
        <v>4.6166</v>
      </c>
      <c r="F653" s="39">
        <v>577</v>
      </c>
      <c r="G653" s="33">
        <f t="shared" si="76"/>
        <v>2663.7782000000002</v>
      </c>
      <c r="H653" s="33"/>
      <c r="I653" s="33">
        <f t="shared" si="80"/>
        <v>2687.6083000000003</v>
      </c>
      <c r="J653" s="33"/>
      <c r="K653" s="33">
        <f t="shared" si="82"/>
        <v>2737.4034000000001</v>
      </c>
      <c r="L653" s="59">
        <f t="shared" si="75"/>
        <v>-1.8190632772648641E-2</v>
      </c>
      <c r="M653" s="60" t="str">
        <f t="shared" si="72"/>
        <v/>
      </c>
    </row>
    <row r="654" spans="1:13" ht="14.7" thickBot="1" x14ac:dyDescent="0.6">
      <c r="A654" s="166"/>
      <c r="B654" s="35">
        <f t="shared" si="74"/>
        <v>29</v>
      </c>
      <c r="C654" s="36" t="str">
        <f t="shared" si="81"/>
        <v>62018</v>
      </c>
      <c r="D654" s="53">
        <f t="shared" si="79"/>
        <v>43280</v>
      </c>
      <c r="E654" s="38">
        <v>4.569</v>
      </c>
      <c r="F654" s="39">
        <v>577</v>
      </c>
      <c r="G654" s="33">
        <f t="shared" si="76"/>
        <v>2636.3130000000001</v>
      </c>
      <c r="H654" s="33"/>
      <c r="I654" s="33">
        <f t="shared" si="80"/>
        <v>2681.6507750000001</v>
      </c>
      <c r="J654" s="33"/>
      <c r="K654" s="33">
        <f t="shared" si="82"/>
        <v>2737.4034000000001</v>
      </c>
      <c r="L654" s="59">
        <f t="shared" si="75"/>
        <v>-2.0366974410859603E-2</v>
      </c>
      <c r="M654" s="60" t="str">
        <f t="shared" si="72"/>
        <v/>
      </c>
    </row>
    <row r="655" spans="1:13" x14ac:dyDescent="0.55000000000000004">
      <c r="A655" s="164" t="s">
        <v>110</v>
      </c>
      <c r="B655" s="35">
        <f t="shared" si="74"/>
        <v>2</v>
      </c>
      <c r="C655" s="36" t="str">
        <f t="shared" si="81"/>
        <v>72018</v>
      </c>
      <c r="D655" s="37">
        <f t="shared" si="79"/>
        <v>43283</v>
      </c>
      <c r="E655" s="38">
        <v>4.6307999999999998</v>
      </c>
      <c r="F655" s="39">
        <f>F654</f>
        <v>577</v>
      </c>
      <c r="G655" s="33">
        <f t="shared" si="76"/>
        <v>2671.9715999999999</v>
      </c>
      <c r="H655" s="33"/>
      <c r="I655" s="33">
        <f t="shared" si="80"/>
        <v>2672.58322</v>
      </c>
      <c r="J655" s="33"/>
      <c r="K655" s="33">
        <f t="shared" si="82"/>
        <v>2737.4034000000001</v>
      </c>
      <c r="L655" s="59">
        <f t="shared" si="75"/>
        <v>-2.3679440158509396E-2</v>
      </c>
      <c r="M655" s="60" t="str">
        <f t="shared" ref="M655:M676" si="83">IF(OR(L655&lt;-3%,L655&gt;3%),K656-K655,"")</f>
        <v/>
      </c>
    </row>
    <row r="656" spans="1:13" x14ac:dyDescent="0.55000000000000004">
      <c r="A656" s="165"/>
      <c r="B656" s="35">
        <f t="shared" si="74"/>
        <v>3</v>
      </c>
      <c r="C656" s="36" t="str">
        <f t="shared" si="81"/>
        <v>72018</v>
      </c>
      <c r="D656" s="44">
        <f t="shared" si="79"/>
        <v>43284</v>
      </c>
      <c r="E656" s="38">
        <v>4.6643999999999997</v>
      </c>
      <c r="F656" s="39">
        <f t="shared" ref="F656:F676" si="84">F655</f>
        <v>577</v>
      </c>
      <c r="G656" s="33">
        <f t="shared" si="76"/>
        <v>2691.3588</v>
      </c>
      <c r="H656" s="33"/>
      <c r="I656" s="33">
        <f t="shared" si="80"/>
        <v>2670.59834</v>
      </c>
      <c r="J656" s="33"/>
      <c r="K656" s="33">
        <f t="shared" si="82"/>
        <v>2737.4034000000001</v>
      </c>
      <c r="L656" s="59">
        <f t="shared" si="75"/>
        <v>-2.4404536065090056E-2</v>
      </c>
      <c r="M656" s="60" t="str">
        <f t="shared" si="83"/>
        <v/>
      </c>
    </row>
    <row r="657" spans="1:13" x14ac:dyDescent="0.55000000000000004">
      <c r="A657" s="165"/>
      <c r="B657" s="35">
        <f t="shared" si="74"/>
        <v>4</v>
      </c>
      <c r="C657" s="36" t="str">
        <f t="shared" si="81"/>
        <v>72018</v>
      </c>
      <c r="D657" s="44">
        <f t="shared" si="79"/>
        <v>43285</v>
      </c>
      <c r="E657" s="38">
        <v>4.7070999999999996</v>
      </c>
      <c r="F657" s="39">
        <f t="shared" si="84"/>
        <v>577</v>
      </c>
      <c r="G657" s="33">
        <f t="shared" si="76"/>
        <v>2715.9966999999997</v>
      </c>
      <c r="H657" s="33"/>
      <c r="I657" s="33">
        <f t="shared" si="80"/>
        <v>2668.5211400000003</v>
      </c>
      <c r="J657" s="33"/>
      <c r="K657" s="33">
        <f t="shared" si="82"/>
        <v>2737.4034000000001</v>
      </c>
      <c r="L657" s="59">
        <f t="shared" si="75"/>
        <v>-2.516335736267437E-2</v>
      </c>
      <c r="M657" s="60" t="str">
        <f t="shared" si="83"/>
        <v/>
      </c>
    </row>
    <row r="658" spans="1:13" x14ac:dyDescent="0.55000000000000004">
      <c r="A658" s="165"/>
      <c r="B658" s="35">
        <f t="shared" si="74"/>
        <v>5</v>
      </c>
      <c r="C658" s="36" t="str">
        <f t="shared" si="81"/>
        <v>72018</v>
      </c>
      <c r="D658" s="44">
        <f t="shared" si="79"/>
        <v>43286</v>
      </c>
      <c r="E658" s="38">
        <v>4.6509999999999998</v>
      </c>
      <c r="F658" s="39">
        <f t="shared" si="84"/>
        <v>577</v>
      </c>
      <c r="G658" s="33">
        <f t="shared" si="76"/>
        <v>2683.627</v>
      </c>
      <c r="H658" s="33"/>
      <c r="I658" s="33">
        <f t="shared" si="80"/>
        <v>2675.8836600000004</v>
      </c>
      <c r="J658" s="33"/>
      <c r="K658" s="33">
        <f t="shared" si="82"/>
        <v>2737.4034000000001</v>
      </c>
      <c r="L658" s="59">
        <f t="shared" si="75"/>
        <v>-2.2473757430125106E-2</v>
      </c>
      <c r="M658" s="60" t="str">
        <f t="shared" si="83"/>
        <v/>
      </c>
    </row>
    <row r="659" spans="1:13" x14ac:dyDescent="0.55000000000000004">
      <c r="A659" s="165"/>
      <c r="B659" s="35">
        <f t="shared" si="74"/>
        <v>6</v>
      </c>
      <c r="C659" s="36" t="str">
        <f t="shared" si="81"/>
        <v>72018</v>
      </c>
      <c r="D659" s="44">
        <f t="shared" si="79"/>
        <v>43287</v>
      </c>
      <c r="E659" s="38">
        <v>4.6086999999999998</v>
      </c>
      <c r="F659" s="39">
        <f t="shared" si="84"/>
        <v>577</v>
      </c>
      <c r="G659" s="33">
        <f t="shared" si="76"/>
        <v>2659.2199000000001</v>
      </c>
      <c r="H659" s="33"/>
      <c r="I659" s="33">
        <f t="shared" si="80"/>
        <v>2679.8534200000004</v>
      </c>
      <c r="J659" s="33"/>
      <c r="K659" s="33">
        <f t="shared" si="82"/>
        <v>2737.4034000000001</v>
      </c>
      <c r="L659" s="59">
        <f t="shared" si="75"/>
        <v>-2.102356561696379E-2</v>
      </c>
      <c r="M659" s="60" t="str">
        <f t="shared" si="83"/>
        <v/>
      </c>
    </row>
    <row r="660" spans="1:13" x14ac:dyDescent="0.55000000000000004">
      <c r="A660" s="165"/>
      <c r="B660" s="35">
        <f t="shared" si="74"/>
        <v>9</v>
      </c>
      <c r="C660" s="36" t="str">
        <f t="shared" si="81"/>
        <v>72018</v>
      </c>
      <c r="D660" s="44">
        <f t="shared" si="79"/>
        <v>43290</v>
      </c>
      <c r="E660" s="38">
        <v>4.5385</v>
      </c>
      <c r="F660" s="39">
        <f t="shared" si="84"/>
        <v>577</v>
      </c>
      <c r="G660" s="33">
        <f t="shared" si="76"/>
        <v>2618.7145</v>
      </c>
      <c r="H660" s="33"/>
      <c r="I660" s="33">
        <f t="shared" si="80"/>
        <v>2684.4347999999995</v>
      </c>
      <c r="J660" s="33"/>
      <c r="K660" s="33">
        <f t="shared" si="82"/>
        <v>2737.4034000000001</v>
      </c>
      <c r="L660" s="59">
        <f t="shared" si="75"/>
        <v>-1.9349943088402901E-2</v>
      </c>
      <c r="M660" s="60" t="str">
        <f t="shared" si="83"/>
        <v/>
      </c>
    </row>
    <row r="661" spans="1:13" x14ac:dyDescent="0.55000000000000004">
      <c r="A661" s="165"/>
      <c r="B661" s="35">
        <f t="shared" si="74"/>
        <v>10</v>
      </c>
      <c r="C661" s="36" t="str">
        <f t="shared" si="81"/>
        <v>72018</v>
      </c>
      <c r="D661" s="44">
        <f t="shared" si="79"/>
        <v>43291</v>
      </c>
      <c r="E661" s="38">
        <v>4.7134</v>
      </c>
      <c r="F661" s="39">
        <f t="shared" si="84"/>
        <v>577</v>
      </c>
      <c r="G661" s="33">
        <f t="shared" si="76"/>
        <v>2719.6318000000001</v>
      </c>
      <c r="H661" s="33"/>
      <c r="I661" s="33">
        <f t="shared" si="80"/>
        <v>2673.7833799999999</v>
      </c>
      <c r="J661" s="33"/>
      <c r="K661" s="33">
        <f t="shared" si="82"/>
        <v>2737.4034000000001</v>
      </c>
      <c r="L661" s="59">
        <f t="shared" si="75"/>
        <v>-2.3241010075460668E-2</v>
      </c>
      <c r="M661" s="60" t="str">
        <f t="shared" si="83"/>
        <v/>
      </c>
    </row>
    <row r="662" spans="1:13" x14ac:dyDescent="0.55000000000000004">
      <c r="A662" s="165"/>
      <c r="B662" s="35">
        <f t="shared" si="74"/>
        <v>11</v>
      </c>
      <c r="C662" s="36" t="str">
        <f t="shared" si="81"/>
        <v>72018</v>
      </c>
      <c r="D662" s="44">
        <f t="shared" si="79"/>
        <v>43292</v>
      </c>
      <c r="E662" s="38">
        <v>4.7573999999999996</v>
      </c>
      <c r="F662" s="39">
        <f t="shared" si="84"/>
        <v>577</v>
      </c>
      <c r="G662" s="33">
        <f t="shared" si="76"/>
        <v>2745.0197999999996</v>
      </c>
      <c r="H662" s="33"/>
      <c r="I662" s="33">
        <f t="shared" si="80"/>
        <v>2679.4379799999997</v>
      </c>
      <c r="J662" s="33"/>
      <c r="K662" s="33">
        <f t="shared" si="82"/>
        <v>2737.4034000000001</v>
      </c>
      <c r="L662" s="59">
        <f t="shared" si="75"/>
        <v>-2.1175329876480919E-2</v>
      </c>
      <c r="M662" s="60" t="str">
        <f t="shared" si="83"/>
        <v/>
      </c>
    </row>
    <row r="663" spans="1:13" x14ac:dyDescent="0.55000000000000004">
      <c r="A663" s="165"/>
      <c r="B663" s="35">
        <f t="shared" ref="B663:B726" si="85">DAY(D663)</f>
        <v>12</v>
      </c>
      <c r="C663" s="36" t="str">
        <f t="shared" si="81"/>
        <v>72018</v>
      </c>
      <c r="D663" s="44">
        <f t="shared" si="79"/>
        <v>43293</v>
      </c>
      <c r="E663" s="38">
        <v>4.8262999999999998</v>
      </c>
      <c r="F663" s="39">
        <f t="shared" si="84"/>
        <v>577</v>
      </c>
      <c r="G663" s="33">
        <f t="shared" si="76"/>
        <v>2784.7750999999998</v>
      </c>
      <c r="H663" s="33"/>
      <c r="I663" s="33">
        <f t="shared" si="80"/>
        <v>2685.2425999999996</v>
      </c>
      <c r="J663" s="33"/>
      <c r="K663" s="33">
        <f t="shared" si="82"/>
        <v>2737.4034000000001</v>
      </c>
      <c r="L663" s="59">
        <f t="shared" si="75"/>
        <v>-1.9054845917120058E-2</v>
      </c>
      <c r="M663" s="60" t="str">
        <f t="shared" si="83"/>
        <v/>
      </c>
    </row>
    <row r="664" spans="1:13" x14ac:dyDescent="0.55000000000000004">
      <c r="A664" s="165"/>
      <c r="B664" s="35">
        <f t="shared" si="85"/>
        <v>13</v>
      </c>
      <c r="C664" s="36" t="str">
        <f t="shared" si="81"/>
        <v>72018</v>
      </c>
      <c r="D664" s="44">
        <f t="shared" si="79"/>
        <v>43294</v>
      </c>
      <c r="E664" s="38">
        <v>4.8506999999999998</v>
      </c>
      <c r="F664" s="39">
        <f t="shared" si="84"/>
        <v>577</v>
      </c>
      <c r="G664" s="33">
        <f t="shared" si="76"/>
        <v>2798.8539000000001</v>
      </c>
      <c r="H664" s="33"/>
      <c r="I664" s="33">
        <f t="shared" si="80"/>
        <v>2705.4722200000001</v>
      </c>
      <c r="J664" s="33"/>
      <c r="K664" s="33">
        <f t="shared" si="82"/>
        <v>2737.4034000000001</v>
      </c>
      <c r="L664" s="59">
        <f t="shared" ref="L664:L727" si="86">(I664-K664)/K664</f>
        <v>-1.1664769613422719E-2</v>
      </c>
      <c r="M664" s="60" t="str">
        <f t="shared" si="83"/>
        <v/>
      </c>
    </row>
    <row r="665" spans="1:13" x14ac:dyDescent="0.55000000000000004">
      <c r="A665" s="165"/>
      <c r="B665" s="35">
        <f t="shared" si="85"/>
        <v>16</v>
      </c>
      <c r="C665" s="36" t="str">
        <f t="shared" si="81"/>
        <v>72018</v>
      </c>
      <c r="D665" s="44">
        <f t="shared" si="79"/>
        <v>43297</v>
      </c>
      <c r="E665" s="38">
        <v>4.8444000000000003</v>
      </c>
      <c r="F665" s="39">
        <f t="shared" si="84"/>
        <v>577</v>
      </c>
      <c r="G665" s="33">
        <f t="shared" si="76"/>
        <v>2795.2188000000001</v>
      </c>
      <c r="H665" s="33"/>
      <c r="I665" s="33">
        <f t="shared" si="80"/>
        <v>2733.3990199999998</v>
      </c>
      <c r="J665" s="33"/>
      <c r="K665" s="33">
        <f t="shared" si="82"/>
        <v>2737.4034000000001</v>
      </c>
      <c r="L665" s="59">
        <f t="shared" si="86"/>
        <v>-1.462838834787854E-3</v>
      </c>
      <c r="M665" s="60" t="str">
        <f t="shared" si="83"/>
        <v/>
      </c>
    </row>
    <row r="666" spans="1:13" x14ac:dyDescent="0.55000000000000004">
      <c r="A666" s="165"/>
      <c r="B666" s="35">
        <f t="shared" si="85"/>
        <v>17</v>
      </c>
      <c r="C666" s="36" t="str">
        <f t="shared" si="81"/>
        <v>72018</v>
      </c>
      <c r="D666" s="44">
        <f t="shared" si="79"/>
        <v>43298</v>
      </c>
      <c r="E666" s="38">
        <v>4.8452000000000002</v>
      </c>
      <c r="F666" s="39">
        <f t="shared" si="84"/>
        <v>577</v>
      </c>
      <c r="G666" s="33">
        <f t="shared" si="76"/>
        <v>2795.6804000000002</v>
      </c>
      <c r="H666" s="33"/>
      <c r="I666" s="33">
        <f t="shared" si="80"/>
        <v>2768.6998800000001</v>
      </c>
      <c r="J666" s="33"/>
      <c r="K666" s="33">
        <f t="shared" si="82"/>
        <v>2737.4034000000001</v>
      </c>
      <c r="L666" s="59">
        <f t="shared" si="86"/>
        <v>1.14329075502719E-2</v>
      </c>
      <c r="M666" s="60" t="str">
        <f t="shared" si="83"/>
        <v/>
      </c>
    </row>
    <row r="667" spans="1:13" x14ac:dyDescent="0.55000000000000004">
      <c r="A667" s="165"/>
      <c r="B667" s="35">
        <f t="shared" si="85"/>
        <v>18</v>
      </c>
      <c r="C667" s="36" t="str">
        <f t="shared" si="81"/>
        <v>72018</v>
      </c>
      <c r="D667" s="44">
        <f t="shared" si="79"/>
        <v>43299</v>
      </c>
      <c r="E667" s="38">
        <v>4.7994000000000003</v>
      </c>
      <c r="F667" s="39">
        <f t="shared" si="84"/>
        <v>577</v>
      </c>
      <c r="G667" s="33">
        <f t="shared" si="76"/>
        <v>2769.2538000000004</v>
      </c>
      <c r="H667" s="33"/>
      <c r="I667" s="33">
        <f t="shared" si="80"/>
        <v>2783.9096000000004</v>
      </c>
      <c r="J667" s="33"/>
      <c r="K667" s="33">
        <f t="shared" si="82"/>
        <v>2737.4034000000001</v>
      </c>
      <c r="L667" s="59">
        <f t="shared" si="86"/>
        <v>1.6989165718140138E-2</v>
      </c>
      <c r="M667" s="60" t="str">
        <f t="shared" si="83"/>
        <v/>
      </c>
    </row>
    <row r="668" spans="1:13" x14ac:dyDescent="0.55000000000000004">
      <c r="A668" s="165"/>
      <c r="B668" s="35">
        <f t="shared" si="85"/>
        <v>19</v>
      </c>
      <c r="C668" s="36" t="str">
        <f t="shared" si="81"/>
        <v>72018</v>
      </c>
      <c r="D668" s="44">
        <f t="shared" si="79"/>
        <v>43300</v>
      </c>
      <c r="E668" s="38">
        <v>4.8316999999999997</v>
      </c>
      <c r="F668" s="39">
        <f t="shared" si="84"/>
        <v>577</v>
      </c>
      <c r="G668" s="33">
        <f t="shared" si="76"/>
        <v>2787.8908999999999</v>
      </c>
      <c r="H668" s="33"/>
      <c r="I668" s="33">
        <f t="shared" si="80"/>
        <v>2788.7563999999998</v>
      </c>
      <c r="J668" s="33"/>
      <c r="K668" s="33">
        <f t="shared" si="82"/>
        <v>2737.4034000000001</v>
      </c>
      <c r="L668" s="59">
        <f t="shared" si="86"/>
        <v>1.8759748745836878E-2</v>
      </c>
      <c r="M668" s="60" t="str">
        <f t="shared" si="83"/>
        <v/>
      </c>
    </row>
    <row r="669" spans="1:13" x14ac:dyDescent="0.55000000000000004">
      <c r="A669" s="165"/>
      <c r="B669" s="35">
        <f t="shared" si="85"/>
        <v>20</v>
      </c>
      <c r="C669" s="36" t="str">
        <f t="shared" si="81"/>
        <v>72018</v>
      </c>
      <c r="D669" s="44">
        <f t="shared" si="79"/>
        <v>43301</v>
      </c>
      <c r="E669" s="38">
        <v>4.8086000000000002</v>
      </c>
      <c r="F669" s="39">
        <f t="shared" si="84"/>
        <v>577</v>
      </c>
      <c r="G669" s="33">
        <f t="shared" si="76"/>
        <v>2774.5622000000003</v>
      </c>
      <c r="H669" s="33"/>
      <c r="I669" s="33">
        <f t="shared" si="80"/>
        <v>2789.3795599999999</v>
      </c>
      <c r="J669" s="33"/>
      <c r="K669" s="33">
        <f t="shared" si="82"/>
        <v>2737.4034000000001</v>
      </c>
      <c r="L669" s="59">
        <f t="shared" si="86"/>
        <v>1.8987395135112242E-2</v>
      </c>
      <c r="M669" s="60" t="str">
        <f t="shared" si="83"/>
        <v/>
      </c>
    </row>
    <row r="670" spans="1:13" x14ac:dyDescent="0.55000000000000004">
      <c r="A670" s="165"/>
      <c r="B670" s="35">
        <f t="shared" si="85"/>
        <v>23</v>
      </c>
      <c r="C670" s="36" t="str">
        <f t="shared" si="81"/>
        <v>72018</v>
      </c>
      <c r="D670" s="44">
        <f t="shared" si="79"/>
        <v>43304</v>
      </c>
      <c r="E670" s="38">
        <v>4.7624000000000004</v>
      </c>
      <c r="F670" s="39">
        <f t="shared" si="84"/>
        <v>577</v>
      </c>
      <c r="G670" s="33">
        <f t="shared" si="76"/>
        <v>2747.9048000000003</v>
      </c>
      <c r="H670" s="33"/>
      <c r="I670" s="33">
        <f t="shared" si="80"/>
        <v>2784.5212200000001</v>
      </c>
      <c r="J670" s="33"/>
      <c r="K670" s="33">
        <f t="shared" si="82"/>
        <v>2737.4034000000001</v>
      </c>
      <c r="L670" s="59">
        <f t="shared" si="86"/>
        <v>1.7212596433539878E-2</v>
      </c>
      <c r="M670" s="60" t="str">
        <f t="shared" si="83"/>
        <v/>
      </c>
    </row>
    <row r="671" spans="1:13" x14ac:dyDescent="0.55000000000000004">
      <c r="A671" s="165"/>
      <c r="B671" s="35">
        <f t="shared" si="85"/>
        <v>24</v>
      </c>
      <c r="C671" s="36" t="str">
        <f t="shared" si="81"/>
        <v>72018</v>
      </c>
      <c r="D671" s="44">
        <f t="shared" si="79"/>
        <v>43305</v>
      </c>
      <c r="E671" s="38">
        <v>4.7861000000000002</v>
      </c>
      <c r="F671" s="39">
        <f t="shared" si="84"/>
        <v>577</v>
      </c>
      <c r="G671" s="33">
        <f t="shared" si="76"/>
        <v>2761.5797000000002</v>
      </c>
      <c r="H671" s="33"/>
      <c r="I671" s="33">
        <f t="shared" si="80"/>
        <v>2775.0584199999998</v>
      </c>
      <c r="J671" s="33"/>
      <c r="K671" s="33">
        <f t="shared" si="82"/>
        <v>2737.4034000000001</v>
      </c>
      <c r="L671" s="59">
        <f t="shared" si="86"/>
        <v>1.3755743855655214E-2</v>
      </c>
      <c r="M671" s="60" t="str">
        <f t="shared" si="83"/>
        <v/>
      </c>
    </row>
    <row r="672" spans="1:13" x14ac:dyDescent="0.55000000000000004">
      <c r="A672" s="165"/>
      <c r="B672" s="35">
        <f t="shared" si="85"/>
        <v>25</v>
      </c>
      <c r="C672" s="36" t="str">
        <f t="shared" si="81"/>
        <v>72018</v>
      </c>
      <c r="D672" s="44">
        <f t="shared" si="79"/>
        <v>43306</v>
      </c>
      <c r="E672" s="38">
        <v>4.8628</v>
      </c>
      <c r="F672" s="39">
        <f t="shared" si="84"/>
        <v>577</v>
      </c>
      <c r="G672" s="33">
        <f t="shared" si="76"/>
        <v>2805.8355999999999</v>
      </c>
      <c r="H672" s="33"/>
      <c r="I672" s="33">
        <f t="shared" si="80"/>
        <v>2768.23828</v>
      </c>
      <c r="J672" s="33"/>
      <c r="K672" s="33">
        <f t="shared" si="82"/>
        <v>2737.4034000000001</v>
      </c>
      <c r="L672" s="59">
        <f t="shared" si="86"/>
        <v>1.1264280595253109E-2</v>
      </c>
      <c r="M672" s="60" t="str">
        <f t="shared" si="83"/>
        <v/>
      </c>
    </row>
    <row r="673" spans="1:13" x14ac:dyDescent="0.55000000000000004">
      <c r="A673" s="165"/>
      <c r="B673" s="35">
        <f t="shared" si="85"/>
        <v>26</v>
      </c>
      <c r="C673" s="36" t="str">
        <f t="shared" si="81"/>
        <v>72018</v>
      </c>
      <c r="D673" s="44">
        <f t="shared" si="79"/>
        <v>43307</v>
      </c>
      <c r="E673" s="38">
        <v>4.827</v>
      </c>
      <c r="F673" s="39">
        <f t="shared" si="84"/>
        <v>577</v>
      </c>
      <c r="G673" s="33">
        <f t="shared" si="76"/>
        <v>2785.1790000000001</v>
      </c>
      <c r="H673" s="33"/>
      <c r="I673" s="33">
        <f t="shared" si="80"/>
        <v>2775.5546399999998</v>
      </c>
      <c r="J673" s="33"/>
      <c r="K673" s="33">
        <f t="shared" si="82"/>
        <v>2737.4034000000001</v>
      </c>
      <c r="L673" s="59">
        <f t="shared" si="86"/>
        <v>1.3937017832300379E-2</v>
      </c>
      <c r="M673" s="60" t="str">
        <f t="shared" si="83"/>
        <v/>
      </c>
    </row>
    <row r="674" spans="1:13" x14ac:dyDescent="0.55000000000000004">
      <c r="A674" s="165"/>
      <c r="B674" s="35">
        <f t="shared" si="85"/>
        <v>27</v>
      </c>
      <c r="C674" s="36" t="str">
        <f t="shared" si="81"/>
        <v>72018</v>
      </c>
      <c r="D674" s="44">
        <f t="shared" si="79"/>
        <v>43308</v>
      </c>
      <c r="E674" s="38">
        <v>4.8654999999999999</v>
      </c>
      <c r="F674" s="39">
        <f t="shared" si="84"/>
        <v>577</v>
      </c>
      <c r="G674" s="33">
        <f t="shared" si="76"/>
        <v>2807.3935000000001</v>
      </c>
      <c r="H674" s="33"/>
      <c r="I674" s="33">
        <f t="shared" si="80"/>
        <v>2775.01226</v>
      </c>
      <c r="J674" s="33"/>
      <c r="K674" s="33">
        <f t="shared" si="82"/>
        <v>2737.4034000000001</v>
      </c>
      <c r="L674" s="59">
        <f t="shared" si="86"/>
        <v>1.3738881160153385E-2</v>
      </c>
      <c r="M674" s="60" t="str">
        <f t="shared" si="83"/>
        <v/>
      </c>
    </row>
    <row r="675" spans="1:13" x14ac:dyDescent="0.55000000000000004">
      <c r="A675" s="165"/>
      <c r="B675" s="35">
        <f t="shared" si="85"/>
        <v>30</v>
      </c>
      <c r="C675" s="36" t="str">
        <f t="shared" si="81"/>
        <v>72018</v>
      </c>
      <c r="D675" s="44">
        <f t="shared" si="79"/>
        <v>43311</v>
      </c>
      <c r="E675" s="38">
        <v>4.8937999999999997</v>
      </c>
      <c r="F675" s="39">
        <f t="shared" si="84"/>
        <v>577</v>
      </c>
      <c r="G675" s="33">
        <f t="shared" si="76"/>
        <v>2823.7226000000001</v>
      </c>
      <c r="H675" s="33"/>
      <c r="I675" s="33">
        <f t="shared" si="80"/>
        <v>2781.5785200000005</v>
      </c>
      <c r="J675" s="33"/>
      <c r="K675" s="33">
        <f t="shared" si="82"/>
        <v>2737.4034000000001</v>
      </c>
      <c r="L675" s="59">
        <f t="shared" si="86"/>
        <v>1.613759959529543E-2</v>
      </c>
      <c r="M675" s="60" t="str">
        <f t="shared" si="83"/>
        <v/>
      </c>
    </row>
    <row r="676" spans="1:13" ht="14.7" thickBot="1" x14ac:dyDescent="0.6">
      <c r="A676" s="166"/>
      <c r="B676" s="35">
        <f t="shared" si="85"/>
        <v>31</v>
      </c>
      <c r="C676" s="36" t="str">
        <f t="shared" si="81"/>
        <v>72018</v>
      </c>
      <c r="D676" s="53">
        <f t="shared" si="79"/>
        <v>43312</v>
      </c>
      <c r="E676" s="38">
        <v>4.9086999999999996</v>
      </c>
      <c r="F676" s="39">
        <f t="shared" si="84"/>
        <v>577</v>
      </c>
      <c r="G676" s="33">
        <f t="shared" si="76"/>
        <v>2832.3199</v>
      </c>
      <c r="H676" s="33"/>
      <c r="I676" s="33">
        <f t="shared" si="80"/>
        <v>2796.74208</v>
      </c>
      <c r="J676" s="33"/>
      <c r="K676" s="33">
        <f t="shared" si="82"/>
        <v>2737.4034000000001</v>
      </c>
      <c r="L676" s="59">
        <f t="shared" si="86"/>
        <v>2.1676995067661506E-2</v>
      </c>
      <c r="M676" s="60" t="str">
        <f t="shared" si="83"/>
        <v/>
      </c>
    </row>
    <row r="677" spans="1:13" x14ac:dyDescent="0.55000000000000004">
      <c r="A677" s="164" t="s">
        <v>111</v>
      </c>
      <c r="B677" s="35">
        <f t="shared" si="85"/>
        <v>1</v>
      </c>
      <c r="C677" s="36" t="str">
        <f t="shared" si="81"/>
        <v>82018</v>
      </c>
      <c r="D677" s="37">
        <f t="shared" si="79"/>
        <v>43313</v>
      </c>
      <c r="E677" s="38">
        <v>4.9311999999999996</v>
      </c>
      <c r="F677" s="39">
        <f>F676+28.5</f>
        <v>605.5</v>
      </c>
      <c r="G677" s="33">
        <f t="shared" ref="G677:G740" si="87">E677*F677</f>
        <v>2985.8415999999997</v>
      </c>
      <c r="H677" s="33"/>
      <c r="I677" s="62">
        <f t="shared" si="80"/>
        <v>2949.7295799999997</v>
      </c>
      <c r="J677" s="62"/>
      <c r="K677" s="33">
        <f t="shared" si="82"/>
        <v>2737.4034000000001</v>
      </c>
      <c r="L677" s="59">
        <f t="shared" si="86"/>
        <v>7.7564811967428537E-2</v>
      </c>
      <c r="M677" s="60">
        <f>IF(OR(L677&lt;-3%,L677&gt;3%),K678-K677,"")</f>
        <v>212.35660000000007</v>
      </c>
    </row>
    <row r="678" spans="1:13" x14ac:dyDescent="0.55000000000000004">
      <c r="A678" s="165"/>
      <c r="B678" s="35">
        <f t="shared" si="85"/>
        <v>2</v>
      </c>
      <c r="C678" s="36" t="str">
        <f t="shared" si="81"/>
        <v>82018</v>
      </c>
      <c r="D678" s="44">
        <f t="shared" si="79"/>
        <v>43314</v>
      </c>
      <c r="E678" s="38">
        <v>5.0594999999999999</v>
      </c>
      <c r="F678" s="39">
        <f>F677</f>
        <v>605.5</v>
      </c>
      <c r="G678" s="33">
        <f t="shared" si="87"/>
        <v>3063.5272500000001</v>
      </c>
      <c r="H678" s="33"/>
      <c r="I678" s="33">
        <f t="shared" si="80"/>
        <v>2985.8415999999997</v>
      </c>
      <c r="J678" s="33"/>
      <c r="K678" s="33">
        <v>2949.76</v>
      </c>
      <c r="L678" s="59">
        <f t="shared" si="86"/>
        <v>1.2232045996962303E-2</v>
      </c>
      <c r="M678" s="60" t="str">
        <f>IF(OR(L678&lt;-3%,L678&gt;3%),K679-K678,"")</f>
        <v/>
      </c>
    </row>
    <row r="679" spans="1:13" x14ac:dyDescent="0.55000000000000004">
      <c r="A679" s="165"/>
      <c r="B679" s="35">
        <f t="shared" si="85"/>
        <v>3</v>
      </c>
      <c r="C679" s="36" t="str">
        <f t="shared" si="81"/>
        <v>82018</v>
      </c>
      <c r="D679" s="44">
        <f t="shared" si="79"/>
        <v>43315</v>
      </c>
      <c r="E679" s="38">
        <v>5.0869999999999997</v>
      </c>
      <c r="F679" s="39">
        <f t="shared" ref="F679:F742" si="88">F678</f>
        <v>605.5</v>
      </c>
      <c r="G679" s="33">
        <f t="shared" si="87"/>
        <v>3080.1785</v>
      </c>
      <c r="H679" s="33"/>
      <c r="I679" s="33">
        <f t="shared" si="80"/>
        <v>3024.6844249999999</v>
      </c>
      <c r="J679" s="33"/>
      <c r="K679" s="33">
        <v>2949.76</v>
      </c>
      <c r="L679" s="59">
        <f t="shared" si="86"/>
        <v>2.5400176624538841E-2</v>
      </c>
      <c r="M679" s="60" t="str">
        <f t="shared" ref="M679:M743" si="89">IF(OR(L679&lt;-3%,L679&gt;3%),K680-K679,"")</f>
        <v/>
      </c>
    </row>
    <row r="680" spans="1:13" x14ac:dyDescent="0.55000000000000004">
      <c r="A680" s="165"/>
      <c r="B680" s="35">
        <f t="shared" si="85"/>
        <v>6</v>
      </c>
      <c r="C680" s="36" t="str">
        <f t="shared" si="81"/>
        <v>82018</v>
      </c>
      <c r="D680" s="44">
        <f t="shared" si="79"/>
        <v>43318</v>
      </c>
      <c r="E680" s="38">
        <v>5.1557000000000004</v>
      </c>
      <c r="F680" s="39">
        <f t="shared" si="88"/>
        <v>605.5</v>
      </c>
      <c r="G680" s="33">
        <f t="shared" si="87"/>
        <v>3121.7763500000001</v>
      </c>
      <c r="H680" s="33"/>
      <c r="I680" s="33">
        <f t="shared" si="80"/>
        <v>3043.1824500000002</v>
      </c>
      <c r="J680" s="33"/>
      <c r="K680" s="33">
        <v>2949.76</v>
      </c>
      <c r="L680" s="59">
        <f t="shared" si="86"/>
        <v>3.1671203758949884E-2</v>
      </c>
      <c r="M680" s="60"/>
    </row>
    <row r="681" spans="1:13" x14ac:dyDescent="0.55000000000000004">
      <c r="A681" s="165"/>
      <c r="B681" s="35">
        <f t="shared" si="85"/>
        <v>7</v>
      </c>
      <c r="C681" s="36" t="str">
        <f t="shared" si="81"/>
        <v>82018</v>
      </c>
      <c r="D681" s="44">
        <f t="shared" si="79"/>
        <v>43319</v>
      </c>
      <c r="E681" s="38">
        <v>5.2728999999999999</v>
      </c>
      <c r="F681" s="39">
        <f t="shared" si="88"/>
        <v>605.5</v>
      </c>
      <c r="G681" s="33">
        <f t="shared" si="87"/>
        <v>3192.7409499999999</v>
      </c>
      <c r="H681" s="33"/>
      <c r="I681" s="33">
        <f t="shared" si="80"/>
        <v>3062.8309249999998</v>
      </c>
      <c r="J681" s="33"/>
      <c r="K681" s="33">
        <v>2949.76</v>
      </c>
      <c r="L681" s="59">
        <f t="shared" si="86"/>
        <v>3.8332245674224184E-2</v>
      </c>
      <c r="M681" s="60"/>
    </row>
    <row r="682" spans="1:13" x14ac:dyDescent="0.55000000000000004">
      <c r="A682" s="165"/>
      <c r="B682" s="35">
        <f t="shared" si="85"/>
        <v>8</v>
      </c>
      <c r="C682" s="36" t="str">
        <f t="shared" si="81"/>
        <v>82018</v>
      </c>
      <c r="D682" s="44">
        <f t="shared" si="79"/>
        <v>43320</v>
      </c>
      <c r="E682" s="38">
        <v>5.2907999999999999</v>
      </c>
      <c r="F682" s="39">
        <f t="shared" si="88"/>
        <v>605.5</v>
      </c>
      <c r="G682" s="33">
        <f t="shared" si="87"/>
        <v>3203.5794000000001</v>
      </c>
      <c r="H682" s="33"/>
      <c r="I682" s="62">
        <f t="shared" si="80"/>
        <v>3088.8129300000001</v>
      </c>
      <c r="J682" s="62"/>
      <c r="K682" s="33">
        <v>2949.76</v>
      </c>
      <c r="L682" s="59">
        <f t="shared" si="86"/>
        <v>4.7140421593621112E-2</v>
      </c>
      <c r="M682" s="60">
        <f t="shared" si="89"/>
        <v>139.05292999999983</v>
      </c>
    </row>
    <row r="683" spans="1:13" x14ac:dyDescent="0.55000000000000004">
      <c r="A683" s="165"/>
      <c r="B683" s="35">
        <f t="shared" si="85"/>
        <v>9</v>
      </c>
      <c r="C683" s="36" t="str">
        <f t="shared" si="81"/>
        <v>82018</v>
      </c>
      <c r="D683" s="44">
        <f t="shared" si="79"/>
        <v>43321</v>
      </c>
      <c r="E683" s="38">
        <v>5.4085000000000001</v>
      </c>
      <c r="F683" s="39">
        <f t="shared" si="88"/>
        <v>605.5</v>
      </c>
      <c r="G683" s="33">
        <f t="shared" si="87"/>
        <v>3274.8467500000002</v>
      </c>
      <c r="H683" s="33"/>
      <c r="I683" s="33">
        <f t="shared" si="80"/>
        <v>3203.5794000000001</v>
      </c>
      <c r="J683" s="33"/>
      <c r="K683" s="62">
        <f>IF(L682&gt;3%,I682,IF(L682&lt;-3%,I682,K682))</f>
        <v>3088.8129300000001</v>
      </c>
      <c r="L683" s="59">
        <f t="shared" si="86"/>
        <v>3.7155526281742166E-2</v>
      </c>
      <c r="M683" s="60"/>
    </row>
    <row r="684" spans="1:13" x14ac:dyDescent="0.55000000000000004">
      <c r="A684" s="165"/>
      <c r="B684" s="35">
        <f t="shared" si="85"/>
        <v>10</v>
      </c>
      <c r="C684" s="36" t="str">
        <f t="shared" si="81"/>
        <v>82018</v>
      </c>
      <c r="D684" s="44">
        <f t="shared" si="79"/>
        <v>43322</v>
      </c>
      <c r="E684" s="38">
        <v>5.9496000000000002</v>
      </c>
      <c r="F684" s="39">
        <f t="shared" si="88"/>
        <v>605.5</v>
      </c>
      <c r="G684" s="33">
        <f t="shared" si="87"/>
        <v>3602.4828000000002</v>
      </c>
      <c r="H684" s="33"/>
      <c r="I684" s="33">
        <f t="shared" si="80"/>
        <v>3239.2130750000001</v>
      </c>
      <c r="J684" s="33"/>
      <c r="K684" s="33">
        <v>3088.76</v>
      </c>
      <c r="L684" s="59">
        <f t="shared" si="86"/>
        <v>4.8709862533832311E-2</v>
      </c>
      <c r="M684" s="60"/>
    </row>
    <row r="685" spans="1:13" x14ac:dyDescent="0.55000000000000004">
      <c r="A685" s="165"/>
      <c r="B685" s="35">
        <f t="shared" si="85"/>
        <v>13</v>
      </c>
      <c r="C685" s="36" t="str">
        <f t="shared" si="81"/>
        <v>82018</v>
      </c>
      <c r="D685" s="44">
        <f t="shared" si="79"/>
        <v>43325</v>
      </c>
      <c r="E685" s="38">
        <v>6.8921999999999999</v>
      </c>
      <c r="F685" s="39">
        <f t="shared" si="88"/>
        <v>605.5</v>
      </c>
      <c r="G685" s="33">
        <f t="shared" si="87"/>
        <v>4173.2271000000001</v>
      </c>
      <c r="H685" s="33"/>
      <c r="I685" s="33">
        <f t="shared" si="80"/>
        <v>3360.3029833333335</v>
      </c>
      <c r="J685" s="33"/>
      <c r="K685" s="33">
        <v>3088.76</v>
      </c>
      <c r="L685" s="59">
        <f t="shared" si="86"/>
        <v>8.7913267244244697E-2</v>
      </c>
      <c r="M685" s="60"/>
    </row>
    <row r="686" spans="1:13" x14ac:dyDescent="0.55000000000000004">
      <c r="A686" s="165"/>
      <c r="B686" s="35">
        <f t="shared" si="85"/>
        <v>14</v>
      </c>
      <c r="C686" s="36" t="str">
        <f t="shared" si="81"/>
        <v>82018</v>
      </c>
      <c r="D686" s="44">
        <f t="shared" si="79"/>
        <v>43326</v>
      </c>
      <c r="E686" s="38">
        <v>6.5583</v>
      </c>
      <c r="F686" s="39">
        <f t="shared" si="88"/>
        <v>605.5</v>
      </c>
      <c r="G686" s="33">
        <f t="shared" si="87"/>
        <v>3971.0506500000001</v>
      </c>
      <c r="H686" s="33"/>
      <c r="I686" s="33">
        <f t="shared" si="80"/>
        <v>3563.5340125000002</v>
      </c>
      <c r="J686" s="33"/>
      <c r="K686" s="33">
        <v>3088.76</v>
      </c>
      <c r="L686" s="59">
        <f t="shared" si="86"/>
        <v>0.15371023080459473</v>
      </c>
      <c r="M686" s="60"/>
    </row>
    <row r="687" spans="1:13" x14ac:dyDescent="0.55000000000000004">
      <c r="A687" s="165"/>
      <c r="B687" s="35">
        <f t="shared" si="85"/>
        <v>15</v>
      </c>
      <c r="C687" s="36" t="str">
        <f t="shared" si="81"/>
        <v>82018</v>
      </c>
      <c r="D687" s="44">
        <f t="shared" si="79"/>
        <v>43327</v>
      </c>
      <c r="E687" s="38">
        <v>6.1471</v>
      </c>
      <c r="F687" s="39">
        <f t="shared" si="88"/>
        <v>605.5</v>
      </c>
      <c r="G687" s="33">
        <f t="shared" si="87"/>
        <v>3722.0690500000001</v>
      </c>
      <c r="H687" s="33"/>
      <c r="I687" s="62">
        <f t="shared" si="80"/>
        <v>3645.0373399999999</v>
      </c>
      <c r="J687" s="62"/>
      <c r="K687" s="33">
        <v>3088.76</v>
      </c>
      <c r="L687" s="59">
        <f t="shared" si="86"/>
        <v>0.18009730118235137</v>
      </c>
      <c r="M687" s="60">
        <f t="shared" si="89"/>
        <v>556.27733999999964</v>
      </c>
    </row>
    <row r="688" spans="1:13" x14ac:dyDescent="0.55000000000000004">
      <c r="A688" s="165"/>
      <c r="B688" s="35">
        <f t="shared" si="85"/>
        <v>16</v>
      </c>
      <c r="C688" s="36" t="str">
        <f t="shared" si="81"/>
        <v>82018</v>
      </c>
      <c r="D688" s="44">
        <f t="shared" si="79"/>
        <v>43328</v>
      </c>
      <c r="E688" s="38">
        <v>5.8087</v>
      </c>
      <c r="F688" s="39">
        <f t="shared" si="88"/>
        <v>605.5</v>
      </c>
      <c r="G688" s="33">
        <f t="shared" si="87"/>
        <v>3517.1678499999998</v>
      </c>
      <c r="H688" s="33"/>
      <c r="I688" s="33">
        <f t="shared" si="80"/>
        <v>3722.0690500000001</v>
      </c>
      <c r="J688" s="33"/>
      <c r="K688" s="62">
        <f>IF(L687&gt;3%,I687,IF(L687&lt;-3%,I687,K687))</f>
        <v>3645.0373399999999</v>
      </c>
      <c r="L688" s="59">
        <f t="shared" si="86"/>
        <v>2.1133311627474359E-2</v>
      </c>
      <c r="M688" s="60" t="str">
        <f t="shared" si="89"/>
        <v/>
      </c>
    </row>
    <row r="689" spans="1:13" x14ac:dyDescent="0.55000000000000004">
      <c r="A689" s="165"/>
      <c r="B689" s="35">
        <f t="shared" si="85"/>
        <v>17</v>
      </c>
      <c r="C689" s="36" t="str">
        <f t="shared" si="81"/>
        <v>82018</v>
      </c>
      <c r="D689" s="44">
        <f t="shared" si="79"/>
        <v>43329</v>
      </c>
      <c r="E689" s="38">
        <v>6.0052000000000003</v>
      </c>
      <c r="F689" s="39">
        <f t="shared" si="88"/>
        <v>605.5</v>
      </c>
      <c r="G689" s="33">
        <f t="shared" si="87"/>
        <v>3636.1486</v>
      </c>
      <c r="H689" s="33"/>
      <c r="I689" s="33">
        <f t="shared" si="80"/>
        <v>3619.6184499999999</v>
      </c>
      <c r="J689" s="33"/>
      <c r="K689" s="33">
        <v>3644.96</v>
      </c>
      <c r="L689" s="59">
        <f t="shared" si="86"/>
        <v>-6.9524905623107244E-3</v>
      </c>
      <c r="M689" s="60" t="str">
        <f t="shared" si="89"/>
        <v/>
      </c>
    </row>
    <row r="690" spans="1:13" x14ac:dyDescent="0.55000000000000004">
      <c r="A690" s="165"/>
      <c r="B690" s="35">
        <f t="shared" si="85"/>
        <v>20</v>
      </c>
      <c r="C690" s="36" t="str">
        <f t="shared" si="81"/>
        <v>82018</v>
      </c>
      <c r="D690" s="44">
        <f t="shared" si="79"/>
        <v>43332</v>
      </c>
      <c r="E690" s="38">
        <v>6.0052000000000003</v>
      </c>
      <c r="F690" s="39">
        <f t="shared" si="88"/>
        <v>605.5</v>
      </c>
      <c r="G690" s="33">
        <f t="shared" si="87"/>
        <v>3636.1486</v>
      </c>
      <c r="H690" s="33"/>
      <c r="I690" s="33">
        <f t="shared" si="80"/>
        <v>3625.1284999999993</v>
      </c>
      <c r="J690" s="33"/>
      <c r="K690" s="33">
        <f t="shared" ref="K690:K699" si="90">IF(L689&gt;3%,I689,IF(L689&lt;-3%,I689,K689))</f>
        <v>3644.96</v>
      </c>
      <c r="L690" s="59">
        <f t="shared" si="86"/>
        <v>-5.4408004477417274E-3</v>
      </c>
      <c r="M690" s="60" t="str">
        <f t="shared" si="89"/>
        <v/>
      </c>
    </row>
    <row r="691" spans="1:13" x14ac:dyDescent="0.55000000000000004">
      <c r="A691" s="165"/>
      <c r="B691" s="35">
        <f t="shared" si="85"/>
        <v>21</v>
      </c>
      <c r="C691" s="36" t="str">
        <f t="shared" si="81"/>
        <v>82018</v>
      </c>
      <c r="D691" s="44">
        <f t="shared" si="79"/>
        <v>43333</v>
      </c>
      <c r="E691" s="38">
        <v>6.0052000000000003</v>
      </c>
      <c r="F691" s="39">
        <f t="shared" si="88"/>
        <v>605.5</v>
      </c>
      <c r="G691" s="33">
        <f t="shared" si="87"/>
        <v>3636.1486</v>
      </c>
      <c r="H691" s="33"/>
      <c r="I691" s="33">
        <f t="shared" si="80"/>
        <v>3627.8835250000002</v>
      </c>
      <c r="J691" s="33"/>
      <c r="K691" s="33">
        <f t="shared" si="90"/>
        <v>3644.96</v>
      </c>
      <c r="L691" s="59">
        <f t="shared" si="86"/>
        <v>-4.684955390456917E-3</v>
      </c>
      <c r="M691" s="60" t="str">
        <f t="shared" si="89"/>
        <v/>
      </c>
    </row>
    <row r="692" spans="1:13" x14ac:dyDescent="0.55000000000000004">
      <c r="A692" s="165"/>
      <c r="B692" s="35">
        <f t="shared" si="85"/>
        <v>22</v>
      </c>
      <c r="C692" s="36" t="str">
        <f t="shared" si="81"/>
        <v>82018</v>
      </c>
      <c r="D692" s="44">
        <f t="shared" si="79"/>
        <v>43334</v>
      </c>
      <c r="E692" s="38">
        <v>6.0052000000000003</v>
      </c>
      <c r="F692" s="39">
        <f t="shared" si="88"/>
        <v>605.5</v>
      </c>
      <c r="G692" s="33">
        <f t="shared" si="87"/>
        <v>3636.1486</v>
      </c>
      <c r="H692" s="33"/>
      <c r="I692" s="33">
        <f t="shared" si="80"/>
        <v>3629.5365400000005</v>
      </c>
      <c r="J692" s="33"/>
      <c r="K692" s="33">
        <f t="shared" si="90"/>
        <v>3644.96</v>
      </c>
      <c r="L692" s="59">
        <f t="shared" si="86"/>
        <v>-4.2314483560860813E-3</v>
      </c>
      <c r="M692" s="60" t="str">
        <f t="shared" si="89"/>
        <v/>
      </c>
    </row>
    <row r="693" spans="1:13" x14ac:dyDescent="0.55000000000000004">
      <c r="A693" s="165"/>
      <c r="B693" s="35">
        <f t="shared" si="85"/>
        <v>23</v>
      </c>
      <c r="C693" s="36" t="str">
        <f t="shared" si="81"/>
        <v>82018</v>
      </c>
      <c r="D693" s="44">
        <f t="shared" si="79"/>
        <v>43335</v>
      </c>
      <c r="E693" s="38">
        <v>6.0052000000000003</v>
      </c>
      <c r="F693" s="39">
        <f t="shared" si="88"/>
        <v>605.5</v>
      </c>
      <c r="G693" s="33">
        <f t="shared" si="87"/>
        <v>3636.1486</v>
      </c>
      <c r="H693" s="33"/>
      <c r="I693" s="33">
        <f t="shared" si="80"/>
        <v>3612.3524500000003</v>
      </c>
      <c r="J693" s="33"/>
      <c r="K693" s="33">
        <f t="shared" si="90"/>
        <v>3644.96</v>
      </c>
      <c r="L693" s="59">
        <f t="shared" si="86"/>
        <v>-8.9459280760281912E-3</v>
      </c>
      <c r="M693" s="60" t="str">
        <f t="shared" si="89"/>
        <v/>
      </c>
    </row>
    <row r="694" spans="1:13" x14ac:dyDescent="0.55000000000000004">
      <c r="A694" s="165"/>
      <c r="B694" s="35">
        <f t="shared" si="85"/>
        <v>24</v>
      </c>
      <c r="C694" s="36" t="str">
        <f t="shared" si="81"/>
        <v>82018</v>
      </c>
      <c r="D694" s="44">
        <f t="shared" si="79"/>
        <v>43336</v>
      </c>
      <c r="E694" s="38">
        <v>6.0052000000000003</v>
      </c>
      <c r="F694" s="39">
        <f t="shared" si="88"/>
        <v>605.5</v>
      </c>
      <c r="G694" s="33">
        <f t="shared" si="87"/>
        <v>3636.1486</v>
      </c>
      <c r="H694" s="33"/>
      <c r="I694" s="33">
        <f t="shared" si="80"/>
        <v>3636.1486</v>
      </c>
      <c r="J694" s="33"/>
      <c r="K694" s="33">
        <f t="shared" si="90"/>
        <v>3644.96</v>
      </c>
      <c r="L694" s="59">
        <f t="shared" si="86"/>
        <v>-2.4174202186032353E-3</v>
      </c>
      <c r="M694" s="60" t="str">
        <f t="shared" si="89"/>
        <v/>
      </c>
    </row>
    <row r="695" spans="1:13" x14ac:dyDescent="0.55000000000000004">
      <c r="A695" s="165"/>
      <c r="B695" s="35">
        <f t="shared" si="85"/>
        <v>27</v>
      </c>
      <c r="C695" s="36" t="str">
        <f t="shared" si="81"/>
        <v>82018</v>
      </c>
      <c r="D695" s="44">
        <f t="shared" si="79"/>
        <v>43339</v>
      </c>
      <c r="E695" s="38">
        <v>6.2012</v>
      </c>
      <c r="F695" s="39">
        <f t="shared" si="88"/>
        <v>605.5</v>
      </c>
      <c r="G695" s="33">
        <f t="shared" si="87"/>
        <v>3754.8265999999999</v>
      </c>
      <c r="H695" s="33"/>
      <c r="I695" s="33">
        <f t="shared" si="80"/>
        <v>3636.1486</v>
      </c>
      <c r="J695" s="33"/>
      <c r="K695" s="33">
        <f t="shared" si="90"/>
        <v>3644.96</v>
      </c>
      <c r="L695" s="59">
        <f t="shared" si="86"/>
        <v>-2.4174202186032353E-3</v>
      </c>
      <c r="M695" s="60" t="str">
        <f t="shared" si="89"/>
        <v/>
      </c>
    </row>
    <row r="696" spans="1:13" x14ac:dyDescent="0.55000000000000004">
      <c r="A696" s="165"/>
      <c r="B696" s="35">
        <f t="shared" si="85"/>
        <v>28</v>
      </c>
      <c r="C696" s="36" t="str">
        <f t="shared" si="81"/>
        <v>82018</v>
      </c>
      <c r="D696" s="44">
        <f t="shared" si="79"/>
        <v>43340</v>
      </c>
      <c r="E696" s="38">
        <v>6.2298</v>
      </c>
      <c r="F696" s="39">
        <f t="shared" si="88"/>
        <v>605.5</v>
      </c>
      <c r="G696" s="33">
        <f t="shared" si="87"/>
        <v>3772.1439</v>
      </c>
      <c r="H696" s="33"/>
      <c r="I696" s="33">
        <f t="shared" si="80"/>
        <v>3659.8842000000004</v>
      </c>
      <c r="J696" s="33"/>
      <c r="K696" s="33">
        <f t="shared" si="90"/>
        <v>3644.96</v>
      </c>
      <c r="L696" s="59">
        <f t="shared" si="86"/>
        <v>4.0944756595409507E-3</v>
      </c>
      <c r="M696" s="60" t="str">
        <f t="shared" si="89"/>
        <v/>
      </c>
    </row>
    <row r="697" spans="1:13" x14ac:dyDescent="0.55000000000000004">
      <c r="A697" s="165"/>
      <c r="B697" s="35">
        <f t="shared" si="85"/>
        <v>29</v>
      </c>
      <c r="C697" s="36" t="str">
        <f t="shared" si="81"/>
        <v>82018</v>
      </c>
      <c r="D697" s="44">
        <f t="shared" si="79"/>
        <v>43341</v>
      </c>
      <c r="E697" s="38">
        <v>6.4177999999999997</v>
      </c>
      <c r="F697" s="39">
        <f t="shared" si="88"/>
        <v>605.5</v>
      </c>
      <c r="G697" s="33">
        <f t="shared" si="87"/>
        <v>3885.9778999999999</v>
      </c>
      <c r="H697" s="33"/>
      <c r="I697" s="33">
        <f t="shared" si="80"/>
        <v>3687.0832599999999</v>
      </c>
      <c r="J697" s="33"/>
      <c r="K697" s="33">
        <f t="shared" si="90"/>
        <v>3644.96</v>
      </c>
      <c r="L697" s="59">
        <f t="shared" si="86"/>
        <v>1.1556576752556913E-2</v>
      </c>
      <c r="M697" s="60" t="str">
        <f t="shared" si="89"/>
        <v/>
      </c>
    </row>
    <row r="698" spans="1:13" x14ac:dyDescent="0.55000000000000004">
      <c r="A698" s="165"/>
      <c r="B698" s="35">
        <f t="shared" si="85"/>
        <v>30</v>
      </c>
      <c r="C698" s="36" t="str">
        <f t="shared" si="81"/>
        <v>82018</v>
      </c>
      <c r="D698" s="44">
        <f t="shared" ref="D698:D761" si="91">WORKDAY(D697,1)</f>
        <v>43342</v>
      </c>
      <c r="E698" s="38">
        <v>6.4177999999999997</v>
      </c>
      <c r="F698" s="39">
        <f t="shared" si="88"/>
        <v>605.5</v>
      </c>
      <c r="G698" s="33">
        <f t="shared" si="87"/>
        <v>3885.9778999999999</v>
      </c>
      <c r="H698" s="33"/>
      <c r="I698" s="33">
        <f t="shared" ref="I698:I725" si="92">IF(M697&lt;&gt;"",AVERAGE(E697),IF(M696&lt;&gt;"",AVERAGE(E696:E697),IF(M695&lt;&gt;"",AVERAGE(E695:E697),IF(M694&lt;&gt;"",AVERAGE(E694:E697),AVERAGE(E693:E697)))))*F698</f>
        <v>3737.0491200000001</v>
      </c>
      <c r="J698" s="33"/>
      <c r="K698" s="33">
        <f t="shared" si="90"/>
        <v>3644.96</v>
      </c>
      <c r="L698" s="59">
        <f t="shared" si="86"/>
        <v>2.5264782055221483E-2</v>
      </c>
      <c r="M698" s="60" t="str">
        <f t="shared" si="89"/>
        <v/>
      </c>
    </row>
    <row r="699" spans="1:13" ht="14.7" thickBot="1" x14ac:dyDescent="0.6">
      <c r="A699" s="166"/>
      <c r="B699" s="64">
        <f t="shared" si="85"/>
        <v>31</v>
      </c>
      <c r="C699" s="36" t="str">
        <f t="shared" si="81"/>
        <v>82018</v>
      </c>
      <c r="D699" s="53">
        <f t="shared" si="91"/>
        <v>43343</v>
      </c>
      <c r="E699" s="38">
        <v>6.5616000000000003</v>
      </c>
      <c r="F699" s="39">
        <f t="shared" si="88"/>
        <v>605.5</v>
      </c>
      <c r="G699" s="33">
        <f t="shared" si="87"/>
        <v>3973.0488</v>
      </c>
      <c r="H699" s="33"/>
      <c r="I699" s="33">
        <f t="shared" si="92"/>
        <v>3787.0149799999999</v>
      </c>
      <c r="J699" s="33"/>
      <c r="K699" s="33">
        <f t="shared" si="90"/>
        <v>3644.96</v>
      </c>
      <c r="L699" s="59">
        <f t="shared" si="86"/>
        <v>3.8972987357885923E-2</v>
      </c>
      <c r="M699" s="60"/>
    </row>
    <row r="700" spans="1:13" x14ac:dyDescent="0.55000000000000004">
      <c r="A700" s="164" t="s">
        <v>112</v>
      </c>
      <c r="B700" s="65">
        <f t="shared" si="85"/>
        <v>3</v>
      </c>
      <c r="C700" s="36" t="str">
        <f t="shared" si="81"/>
        <v>92018</v>
      </c>
      <c r="D700" s="37">
        <f t="shared" si="91"/>
        <v>43346</v>
      </c>
      <c r="E700" s="38">
        <v>6.6333000000000002</v>
      </c>
      <c r="F700" s="39">
        <f>F699+33.5</f>
        <v>639</v>
      </c>
      <c r="G700" s="33">
        <f t="shared" si="87"/>
        <v>4238.6787000000004</v>
      </c>
      <c r="H700" s="33"/>
      <c r="I700" s="62">
        <f t="shared" si="92"/>
        <v>4067.6439600000003</v>
      </c>
      <c r="J700" s="62"/>
      <c r="K700" s="33">
        <v>3644.96</v>
      </c>
      <c r="L700" s="59">
        <f t="shared" si="86"/>
        <v>0.11596395022167603</v>
      </c>
      <c r="M700" s="60">
        <f t="shared" si="89"/>
        <v>422.6839600000003</v>
      </c>
    </row>
    <row r="701" spans="1:13" x14ac:dyDescent="0.55000000000000004">
      <c r="A701" s="165"/>
      <c r="B701" s="35">
        <f t="shared" si="85"/>
        <v>4</v>
      </c>
      <c r="C701" s="36" t="str">
        <f t="shared" si="81"/>
        <v>92018</v>
      </c>
      <c r="D701" s="44">
        <f t="shared" si="91"/>
        <v>43347</v>
      </c>
      <c r="E701" s="38">
        <v>6.6917999999999997</v>
      </c>
      <c r="F701" s="39">
        <f t="shared" si="88"/>
        <v>639</v>
      </c>
      <c r="G701" s="33">
        <f t="shared" si="87"/>
        <v>4276.0601999999999</v>
      </c>
      <c r="H701" s="33"/>
      <c r="I701" s="33">
        <f t="shared" si="92"/>
        <v>4238.6787000000004</v>
      </c>
      <c r="J701" s="33"/>
      <c r="K701" s="62">
        <f>IF(L700&gt;3%,I700,IF(L700&lt;-3%,I700,K700))</f>
        <v>4067.6439600000003</v>
      </c>
      <c r="L701" s="59">
        <f t="shared" si="86"/>
        <v>4.2047618149942512E-2</v>
      </c>
      <c r="M701" s="60"/>
    </row>
    <row r="702" spans="1:13" x14ac:dyDescent="0.55000000000000004">
      <c r="A702" s="165"/>
      <c r="B702" s="35">
        <f t="shared" si="85"/>
        <v>5</v>
      </c>
      <c r="C702" s="36" t="str">
        <f t="shared" si="81"/>
        <v>92018</v>
      </c>
      <c r="D702" s="44">
        <f t="shared" si="91"/>
        <v>43348</v>
      </c>
      <c r="E702" s="38">
        <v>6.6943999999999999</v>
      </c>
      <c r="F702" s="39">
        <f t="shared" si="88"/>
        <v>639</v>
      </c>
      <c r="G702" s="33">
        <f t="shared" si="87"/>
        <v>4277.7215999999999</v>
      </c>
      <c r="H702" s="33"/>
      <c r="I702" s="33">
        <f t="shared" si="92"/>
        <v>4257.3694500000001</v>
      </c>
      <c r="J702" s="33"/>
      <c r="K702" s="33">
        <v>4067.6439600000003</v>
      </c>
      <c r="L702" s="59">
        <f t="shared" si="86"/>
        <v>4.6642599958527292E-2</v>
      </c>
      <c r="M702" s="60"/>
    </row>
    <row r="703" spans="1:13" x14ac:dyDescent="0.55000000000000004">
      <c r="A703" s="165"/>
      <c r="B703" s="35">
        <f t="shared" si="85"/>
        <v>6</v>
      </c>
      <c r="C703" s="36" t="str">
        <f t="shared" si="81"/>
        <v>92018</v>
      </c>
      <c r="D703" s="44">
        <f t="shared" si="91"/>
        <v>43349</v>
      </c>
      <c r="E703" s="38">
        <v>6.5980999999999996</v>
      </c>
      <c r="F703" s="39">
        <f t="shared" si="88"/>
        <v>639</v>
      </c>
      <c r="G703" s="33">
        <f t="shared" si="87"/>
        <v>4216.1858999999995</v>
      </c>
      <c r="H703" s="33"/>
      <c r="I703" s="33">
        <f t="shared" si="92"/>
        <v>4264.1535000000003</v>
      </c>
      <c r="J703" s="33"/>
      <c r="K703" s="33">
        <v>4067.6439600000003</v>
      </c>
      <c r="L703" s="59">
        <f t="shared" si="86"/>
        <v>4.8310408170532212E-2</v>
      </c>
      <c r="M703" s="60"/>
    </row>
    <row r="704" spans="1:13" x14ac:dyDescent="0.55000000000000004">
      <c r="A704" s="165"/>
      <c r="B704" s="35">
        <f t="shared" si="85"/>
        <v>7</v>
      </c>
      <c r="C704" s="36" t="str">
        <f t="shared" si="81"/>
        <v>92018</v>
      </c>
      <c r="D704" s="44">
        <f t="shared" si="91"/>
        <v>43350</v>
      </c>
      <c r="E704" s="38">
        <v>6.4806999999999997</v>
      </c>
      <c r="F704" s="39">
        <f t="shared" si="88"/>
        <v>639</v>
      </c>
      <c r="G704" s="33">
        <f t="shared" si="87"/>
        <v>4141.1673000000001</v>
      </c>
      <c r="H704" s="33"/>
      <c r="I704" s="33">
        <f t="shared" si="92"/>
        <v>4252.1616000000004</v>
      </c>
      <c r="J704" s="33"/>
      <c r="K704" s="33">
        <v>4067.6439600000003</v>
      </c>
      <c r="L704" s="59">
        <f t="shared" si="86"/>
        <v>4.5362288787930201E-2</v>
      </c>
      <c r="M704" s="60"/>
    </row>
    <row r="705" spans="1:13" x14ac:dyDescent="0.55000000000000004">
      <c r="A705" s="165"/>
      <c r="B705" s="35">
        <f t="shared" si="85"/>
        <v>10</v>
      </c>
      <c r="C705" s="36" t="str">
        <f t="shared" si="81"/>
        <v>92018</v>
      </c>
      <c r="D705" s="44">
        <f t="shared" si="91"/>
        <v>43353</v>
      </c>
      <c r="E705" s="38">
        <v>6.4649000000000001</v>
      </c>
      <c r="F705" s="39">
        <f t="shared" si="88"/>
        <v>639</v>
      </c>
      <c r="G705" s="33">
        <f t="shared" si="87"/>
        <v>4131.0711000000001</v>
      </c>
      <c r="H705" s="33"/>
      <c r="I705" s="33">
        <f t="shared" si="92"/>
        <v>4229.9627399999999</v>
      </c>
      <c r="J705" s="33"/>
      <c r="K705" s="33">
        <v>4067.6439600000003</v>
      </c>
      <c r="L705" s="59">
        <f t="shared" si="86"/>
        <v>3.9904864239887795E-2</v>
      </c>
      <c r="M705" s="60">
        <f t="shared" si="89"/>
        <v>162.31877999999961</v>
      </c>
    </row>
    <row r="706" spans="1:13" x14ac:dyDescent="0.55000000000000004">
      <c r="A706" s="165"/>
      <c r="B706" s="35">
        <f t="shared" si="85"/>
        <v>11</v>
      </c>
      <c r="C706" s="36" t="str">
        <f t="shared" ref="C706:C769" si="93">IF(F706&gt;0,MONTH(D706)&amp;YEAR(D706),"")</f>
        <v>92018</v>
      </c>
      <c r="D706" s="44">
        <f t="shared" si="91"/>
        <v>43354</v>
      </c>
      <c r="E706" s="38">
        <v>6.4653999999999998</v>
      </c>
      <c r="F706" s="39">
        <f t="shared" si="88"/>
        <v>639</v>
      </c>
      <c r="G706" s="33">
        <f t="shared" si="87"/>
        <v>4131.3905999999997</v>
      </c>
      <c r="H706" s="33"/>
      <c r="I706" s="33">
        <f t="shared" si="92"/>
        <v>4131.0711000000001</v>
      </c>
      <c r="J706" s="33"/>
      <c r="K706" s="33">
        <f>IF(L705&gt;3%,I705,IF(L705&lt;-3%,I705,K705))</f>
        <v>4229.9627399999999</v>
      </c>
      <c r="L706" s="59">
        <f t="shared" si="86"/>
        <v>-2.3378844230670416E-2</v>
      </c>
      <c r="M706" s="60" t="str">
        <f t="shared" si="89"/>
        <v/>
      </c>
    </row>
    <row r="707" spans="1:13" x14ac:dyDescent="0.55000000000000004">
      <c r="A707" s="165"/>
      <c r="B707" s="35">
        <f t="shared" si="85"/>
        <v>12</v>
      </c>
      <c r="C707" s="36" t="str">
        <f t="shared" si="93"/>
        <v>92018</v>
      </c>
      <c r="D707" s="44">
        <f t="shared" si="91"/>
        <v>43355</v>
      </c>
      <c r="E707" s="38">
        <v>6.4059999999999997</v>
      </c>
      <c r="F707" s="39">
        <f t="shared" si="88"/>
        <v>639</v>
      </c>
      <c r="G707" s="33">
        <f t="shared" si="87"/>
        <v>4093.4339999999997</v>
      </c>
      <c r="H707" s="33"/>
      <c r="I707" s="33">
        <f t="shared" si="92"/>
        <v>4131.2308499999999</v>
      </c>
      <c r="J707" s="33"/>
      <c r="K707" s="33">
        <f>IF(L706&gt;3%,I706,IF(L706&lt;-3%,I706,K706))</f>
        <v>4229.9627399999999</v>
      </c>
      <c r="L707" s="59">
        <f t="shared" si="86"/>
        <v>-2.3341077940558886E-2</v>
      </c>
      <c r="M707" s="60" t="str">
        <f t="shared" si="89"/>
        <v/>
      </c>
    </row>
    <row r="708" spans="1:13" x14ac:dyDescent="0.55000000000000004">
      <c r="A708" s="165"/>
      <c r="B708" s="35">
        <f t="shared" si="85"/>
        <v>13</v>
      </c>
      <c r="C708" s="36" t="str">
        <f t="shared" si="93"/>
        <v>92018</v>
      </c>
      <c r="D708" s="44">
        <f t="shared" si="91"/>
        <v>43356</v>
      </c>
      <c r="E708" s="38">
        <v>6.3681000000000001</v>
      </c>
      <c r="F708" s="39">
        <f t="shared" si="88"/>
        <v>639</v>
      </c>
      <c r="G708" s="33">
        <f t="shared" si="87"/>
        <v>4069.2159000000001</v>
      </c>
      <c r="H708" s="33"/>
      <c r="I708" s="33">
        <f t="shared" si="92"/>
        <v>4118.6318999999994</v>
      </c>
      <c r="J708" s="33"/>
      <c r="K708" s="33">
        <f>IF(L707&gt;3%,I707,IF(L707&lt;-3%,I707,K707))</f>
        <v>4229.9627399999999</v>
      </c>
      <c r="L708" s="59">
        <f t="shared" si="86"/>
        <v>-2.631957935402536E-2</v>
      </c>
      <c r="M708" s="60" t="str">
        <f t="shared" si="89"/>
        <v/>
      </c>
    </row>
    <row r="709" spans="1:13" x14ac:dyDescent="0.55000000000000004">
      <c r="A709" s="165"/>
      <c r="B709" s="35">
        <f t="shared" si="85"/>
        <v>14</v>
      </c>
      <c r="C709" s="36" t="str">
        <f t="shared" si="93"/>
        <v>92018</v>
      </c>
      <c r="D709" s="44">
        <f t="shared" si="91"/>
        <v>43357</v>
      </c>
      <c r="E709" s="38">
        <v>6.0768000000000004</v>
      </c>
      <c r="F709" s="39">
        <f t="shared" si="88"/>
        <v>639</v>
      </c>
      <c r="G709" s="33">
        <f t="shared" si="87"/>
        <v>3883.0752000000002</v>
      </c>
      <c r="H709" s="33"/>
      <c r="I709" s="33">
        <f t="shared" si="92"/>
        <v>4106.2779</v>
      </c>
      <c r="J709" s="33"/>
      <c r="K709" s="33">
        <f>IF(L708&gt;3%,I708,IF(L708&lt;-3%,I708,K708))</f>
        <v>4229.9627399999999</v>
      </c>
      <c r="L709" s="59">
        <f t="shared" si="86"/>
        <v>-2.9240172455987142E-2</v>
      </c>
      <c r="M709" s="60" t="str">
        <f t="shared" si="89"/>
        <v/>
      </c>
    </row>
    <row r="710" spans="1:13" x14ac:dyDescent="0.55000000000000004">
      <c r="A710" s="165"/>
      <c r="B710" s="35">
        <f t="shared" si="85"/>
        <v>17</v>
      </c>
      <c r="C710" s="36" t="str">
        <f t="shared" si="93"/>
        <v>92018</v>
      </c>
      <c r="D710" s="44">
        <f t="shared" si="91"/>
        <v>43360</v>
      </c>
      <c r="E710" s="38">
        <v>6.2720000000000002</v>
      </c>
      <c r="F710" s="39">
        <f t="shared" si="88"/>
        <v>639</v>
      </c>
      <c r="G710" s="33">
        <f t="shared" si="87"/>
        <v>4007.808</v>
      </c>
      <c r="H710" s="33"/>
      <c r="I710" s="33">
        <f t="shared" si="92"/>
        <v>4061.6373599999997</v>
      </c>
      <c r="J710" s="33"/>
      <c r="K710" s="33">
        <f>IF(L709&gt;3%,I709,IF(L709&lt;-3%,I709,K709))</f>
        <v>4229.9627399999999</v>
      </c>
      <c r="L710" s="59">
        <f t="shared" si="86"/>
        <v>-3.979358456476622E-2</v>
      </c>
      <c r="M710" s="60">
        <f t="shared" si="89"/>
        <v>-168.40273999999999</v>
      </c>
    </row>
    <row r="711" spans="1:13" x14ac:dyDescent="0.55000000000000004">
      <c r="A711" s="165"/>
      <c r="B711" s="35">
        <f t="shared" si="85"/>
        <v>18</v>
      </c>
      <c r="C711" s="36" t="str">
        <f t="shared" si="93"/>
        <v>92018</v>
      </c>
      <c r="D711" s="44">
        <f t="shared" si="91"/>
        <v>43361</v>
      </c>
      <c r="E711" s="38">
        <v>6.375</v>
      </c>
      <c r="F711" s="39">
        <f t="shared" si="88"/>
        <v>639</v>
      </c>
      <c r="G711" s="33">
        <f t="shared" si="87"/>
        <v>4073.625</v>
      </c>
      <c r="H711" s="33"/>
      <c r="I711" s="33">
        <f t="shared" si="92"/>
        <v>4007.808</v>
      </c>
      <c r="J711" s="33"/>
      <c r="K711" s="62">
        <v>4061.56</v>
      </c>
      <c r="L711" s="59">
        <f t="shared" si="86"/>
        <v>-1.3234323757374003E-2</v>
      </c>
      <c r="M711" s="60" t="str">
        <f t="shared" si="89"/>
        <v/>
      </c>
    </row>
    <row r="712" spans="1:13" x14ac:dyDescent="0.55000000000000004">
      <c r="A712" s="165"/>
      <c r="B712" s="35">
        <f t="shared" si="85"/>
        <v>19</v>
      </c>
      <c r="C712" s="36" t="str">
        <f t="shared" si="93"/>
        <v>92018</v>
      </c>
      <c r="D712" s="44">
        <f t="shared" si="91"/>
        <v>43362</v>
      </c>
      <c r="E712" s="38">
        <v>6.3208000000000002</v>
      </c>
      <c r="F712" s="39">
        <f t="shared" si="88"/>
        <v>639</v>
      </c>
      <c r="G712" s="33">
        <f t="shared" si="87"/>
        <v>4038.9911999999999</v>
      </c>
      <c r="H712" s="33"/>
      <c r="I712" s="33">
        <f t="shared" si="92"/>
        <v>4040.7165</v>
      </c>
      <c r="J712" s="33"/>
      <c r="K712" s="33">
        <f t="shared" ref="K712:K720" si="94">IF(L711&gt;3%,I711,IF(L711&lt;-3%,I711,K711))</f>
        <v>4061.56</v>
      </c>
      <c r="L712" s="59">
        <f t="shared" si="86"/>
        <v>-5.1318951338894291E-3</v>
      </c>
      <c r="M712" s="60" t="str">
        <f t="shared" si="89"/>
        <v/>
      </c>
    </row>
    <row r="713" spans="1:13" x14ac:dyDescent="0.55000000000000004">
      <c r="A713" s="165"/>
      <c r="B713" s="35">
        <f t="shared" si="85"/>
        <v>20</v>
      </c>
      <c r="C713" s="36" t="str">
        <f t="shared" si="93"/>
        <v>92018</v>
      </c>
      <c r="D713" s="44">
        <f t="shared" si="91"/>
        <v>43363</v>
      </c>
      <c r="E713" s="38">
        <v>6.2831000000000001</v>
      </c>
      <c r="F713" s="39">
        <f t="shared" si="88"/>
        <v>639</v>
      </c>
      <c r="G713" s="33">
        <f t="shared" si="87"/>
        <v>4014.9009000000001</v>
      </c>
      <c r="H713" s="33"/>
      <c r="I713" s="33">
        <f t="shared" si="92"/>
        <v>4040.1414000000004</v>
      </c>
      <c r="J713" s="33"/>
      <c r="K713" s="33">
        <f t="shared" si="94"/>
        <v>4061.56</v>
      </c>
      <c r="L713" s="59">
        <f t="shared" si="86"/>
        <v>-5.2734909739113826E-3</v>
      </c>
      <c r="M713" s="60" t="str">
        <f t="shared" si="89"/>
        <v/>
      </c>
    </row>
    <row r="714" spans="1:13" x14ac:dyDescent="0.55000000000000004">
      <c r="A714" s="165"/>
      <c r="B714" s="35">
        <f t="shared" si="85"/>
        <v>21</v>
      </c>
      <c r="C714" s="36" t="str">
        <f t="shared" si="93"/>
        <v>92018</v>
      </c>
      <c r="D714" s="44">
        <f t="shared" si="91"/>
        <v>43364</v>
      </c>
      <c r="E714" s="38">
        <v>6.2784000000000004</v>
      </c>
      <c r="F714" s="39">
        <f t="shared" si="88"/>
        <v>639</v>
      </c>
      <c r="G714" s="33">
        <f t="shared" si="87"/>
        <v>4011.8976000000002</v>
      </c>
      <c r="H714" s="33"/>
      <c r="I714" s="33">
        <f t="shared" si="92"/>
        <v>4033.8312750000005</v>
      </c>
      <c r="J714" s="33"/>
      <c r="K714" s="33">
        <f t="shared" si="94"/>
        <v>4061.56</v>
      </c>
      <c r="L714" s="59">
        <f t="shared" si="86"/>
        <v>-6.8271119963756498E-3</v>
      </c>
      <c r="M714" s="60" t="str">
        <f t="shared" si="89"/>
        <v/>
      </c>
    </row>
    <row r="715" spans="1:13" x14ac:dyDescent="0.55000000000000004">
      <c r="A715" s="165"/>
      <c r="B715" s="35">
        <f t="shared" si="85"/>
        <v>24</v>
      </c>
      <c r="C715" s="36" t="str">
        <f t="shared" si="93"/>
        <v>92018</v>
      </c>
      <c r="D715" s="44">
        <f t="shared" si="91"/>
        <v>43367</v>
      </c>
      <c r="E715" s="38">
        <v>6.2398999999999996</v>
      </c>
      <c r="F715" s="39">
        <f t="shared" si="88"/>
        <v>639</v>
      </c>
      <c r="G715" s="33">
        <f t="shared" si="87"/>
        <v>3987.2960999999996</v>
      </c>
      <c r="H715" s="33"/>
      <c r="I715" s="33">
        <f t="shared" si="92"/>
        <v>4029.4445400000004</v>
      </c>
      <c r="J715" s="33"/>
      <c r="K715" s="33">
        <f t="shared" si="94"/>
        <v>4061.56</v>
      </c>
      <c r="L715" s="59">
        <f t="shared" si="86"/>
        <v>-7.9071735983217116E-3</v>
      </c>
      <c r="M715" s="60" t="str">
        <f t="shared" si="89"/>
        <v/>
      </c>
    </row>
    <row r="716" spans="1:13" x14ac:dyDescent="0.55000000000000004">
      <c r="A716" s="165"/>
      <c r="B716" s="35">
        <f t="shared" si="85"/>
        <v>25</v>
      </c>
      <c r="C716" s="36" t="str">
        <f t="shared" si="93"/>
        <v>92018</v>
      </c>
      <c r="D716" s="44">
        <f t="shared" si="91"/>
        <v>43368</v>
      </c>
      <c r="E716" s="38">
        <v>6.1349999999999998</v>
      </c>
      <c r="F716" s="39">
        <f t="shared" si="88"/>
        <v>639</v>
      </c>
      <c r="G716" s="33">
        <f t="shared" si="87"/>
        <v>3920.2649999999999</v>
      </c>
      <c r="H716" s="33"/>
      <c r="I716" s="33">
        <f t="shared" si="92"/>
        <v>4025.3421599999997</v>
      </c>
      <c r="J716" s="33"/>
      <c r="K716" s="33">
        <f t="shared" si="94"/>
        <v>4061.56</v>
      </c>
      <c r="L716" s="59">
        <f t="shared" si="86"/>
        <v>-8.9172239238125874E-3</v>
      </c>
      <c r="M716" s="60" t="str">
        <f t="shared" si="89"/>
        <v/>
      </c>
    </row>
    <row r="717" spans="1:13" x14ac:dyDescent="0.55000000000000004">
      <c r="A717" s="165"/>
      <c r="B717" s="35">
        <f t="shared" si="85"/>
        <v>26</v>
      </c>
      <c r="C717" s="36" t="str">
        <f t="shared" si="93"/>
        <v>92018</v>
      </c>
      <c r="D717" s="44">
        <f t="shared" si="91"/>
        <v>43369</v>
      </c>
      <c r="E717" s="38">
        <v>6.1353</v>
      </c>
      <c r="F717" s="39">
        <f t="shared" si="88"/>
        <v>639</v>
      </c>
      <c r="G717" s="33">
        <f t="shared" si="87"/>
        <v>3920.4567000000002</v>
      </c>
      <c r="H717" s="33"/>
      <c r="I717" s="33">
        <f t="shared" si="92"/>
        <v>3994.6701599999997</v>
      </c>
      <c r="J717" s="33"/>
      <c r="K717" s="33">
        <f t="shared" si="94"/>
        <v>4061.56</v>
      </c>
      <c r="L717" s="59">
        <f t="shared" si="86"/>
        <v>-1.6469002058322486E-2</v>
      </c>
      <c r="M717" s="60" t="str">
        <f t="shared" si="89"/>
        <v/>
      </c>
    </row>
    <row r="718" spans="1:13" x14ac:dyDescent="0.55000000000000004">
      <c r="A718" s="165"/>
      <c r="B718" s="35">
        <f t="shared" si="85"/>
        <v>27</v>
      </c>
      <c r="C718" s="36" t="str">
        <f t="shared" si="93"/>
        <v>92018</v>
      </c>
      <c r="D718" s="44">
        <f t="shared" si="91"/>
        <v>43370</v>
      </c>
      <c r="E718" s="38">
        <v>6.0861999999999998</v>
      </c>
      <c r="F718" s="39">
        <f t="shared" si="88"/>
        <v>639</v>
      </c>
      <c r="G718" s="33">
        <f t="shared" si="87"/>
        <v>3889.0817999999999</v>
      </c>
      <c r="H718" s="33"/>
      <c r="I718" s="33">
        <f t="shared" si="92"/>
        <v>3970.96326</v>
      </c>
      <c r="J718" s="33"/>
      <c r="K718" s="33">
        <f t="shared" si="94"/>
        <v>4061.56</v>
      </c>
      <c r="L718" s="59">
        <f t="shared" si="86"/>
        <v>-2.2305897241454011E-2</v>
      </c>
      <c r="M718" s="60" t="str">
        <f t="shared" si="89"/>
        <v/>
      </c>
    </row>
    <row r="719" spans="1:13" ht="14.7" thickBot="1" x14ac:dyDescent="0.6">
      <c r="A719" s="166"/>
      <c r="B719" s="66">
        <f t="shared" si="85"/>
        <v>28</v>
      </c>
      <c r="C719" s="36" t="str">
        <f t="shared" si="93"/>
        <v>92018</v>
      </c>
      <c r="D719" s="53">
        <f t="shared" si="91"/>
        <v>43371</v>
      </c>
      <c r="E719" s="38">
        <v>6.0010000000000003</v>
      </c>
      <c r="F719" s="39">
        <f t="shared" si="88"/>
        <v>639</v>
      </c>
      <c r="G719" s="33">
        <f t="shared" si="87"/>
        <v>3834.6390000000001</v>
      </c>
      <c r="H719" s="33"/>
      <c r="I719" s="33">
        <f t="shared" si="92"/>
        <v>3945.7994400000002</v>
      </c>
      <c r="J719" s="33"/>
      <c r="K719" s="33">
        <f t="shared" si="94"/>
        <v>4061.56</v>
      </c>
      <c r="L719" s="59">
        <f t="shared" si="86"/>
        <v>-2.8501501885974778E-2</v>
      </c>
      <c r="M719" s="60" t="str">
        <f t="shared" si="89"/>
        <v/>
      </c>
    </row>
    <row r="720" spans="1:13" x14ac:dyDescent="0.55000000000000004">
      <c r="A720" s="164" t="s">
        <v>113</v>
      </c>
      <c r="B720" s="67">
        <f t="shared" si="85"/>
        <v>1</v>
      </c>
      <c r="C720" s="36" t="str">
        <f t="shared" si="93"/>
        <v>102018</v>
      </c>
      <c r="D720" s="37">
        <f t="shared" si="91"/>
        <v>43374</v>
      </c>
      <c r="E720" s="38">
        <v>5.9767000000000001</v>
      </c>
      <c r="F720" s="39">
        <f>F719+47</f>
        <v>686</v>
      </c>
      <c r="G720" s="33">
        <f t="shared" si="87"/>
        <v>4100.0162</v>
      </c>
      <c r="H720" s="33"/>
      <c r="I720" s="33">
        <f t="shared" si="92"/>
        <v>4197.9632800000009</v>
      </c>
      <c r="J720" s="33"/>
      <c r="K720" s="33">
        <f t="shared" si="94"/>
        <v>4061.56</v>
      </c>
      <c r="L720" s="59">
        <f t="shared" si="86"/>
        <v>3.3583962812318645E-2</v>
      </c>
      <c r="M720" s="60">
        <f t="shared" si="89"/>
        <v>0</v>
      </c>
    </row>
    <row r="721" spans="1:15" x14ac:dyDescent="0.55000000000000004">
      <c r="A721" s="165"/>
      <c r="B721" s="35">
        <f t="shared" si="85"/>
        <v>2</v>
      </c>
      <c r="C721" s="36" t="str">
        <f t="shared" si="93"/>
        <v>102018</v>
      </c>
      <c r="D721" s="44">
        <f t="shared" si="91"/>
        <v>43375</v>
      </c>
      <c r="E721" s="38">
        <v>6.0190000000000001</v>
      </c>
      <c r="F721" s="39">
        <f t="shared" si="88"/>
        <v>686</v>
      </c>
      <c r="G721" s="33">
        <f t="shared" si="87"/>
        <v>4129.0339999999997</v>
      </c>
      <c r="H721" s="33"/>
      <c r="I721" s="33">
        <f t="shared" si="92"/>
        <v>4100.0162</v>
      </c>
      <c r="J721" s="33"/>
      <c r="K721" s="33">
        <v>4061.56</v>
      </c>
      <c r="L721" s="59">
        <f t="shared" si="86"/>
        <v>9.4683323649041463E-3</v>
      </c>
      <c r="M721" s="60" t="str">
        <f t="shared" si="89"/>
        <v/>
      </c>
    </row>
    <row r="722" spans="1:15" x14ac:dyDescent="0.55000000000000004">
      <c r="A722" s="165"/>
      <c r="B722" s="35">
        <f t="shared" si="85"/>
        <v>3</v>
      </c>
      <c r="C722" s="36" t="str">
        <f t="shared" si="93"/>
        <v>102018</v>
      </c>
      <c r="D722" s="44">
        <f t="shared" si="91"/>
        <v>43376</v>
      </c>
      <c r="E722" s="38">
        <v>6.0396999999999998</v>
      </c>
      <c r="F722" s="39">
        <f t="shared" si="88"/>
        <v>686</v>
      </c>
      <c r="G722" s="33">
        <f t="shared" si="87"/>
        <v>4143.2341999999999</v>
      </c>
      <c r="H722" s="33"/>
      <c r="I722" s="33">
        <f t="shared" si="92"/>
        <v>4114.5250999999998</v>
      </c>
      <c r="J722" s="33"/>
      <c r="K722" s="33">
        <f t="shared" ref="K722:K736" si="95">IF(L721&gt;3%,I721,IF(L721&lt;-3%,I721,K721))</f>
        <v>4061.56</v>
      </c>
      <c r="L722" s="59">
        <f t="shared" si="86"/>
        <v>1.3040580466618712E-2</v>
      </c>
      <c r="M722" s="60" t="str">
        <f t="shared" si="89"/>
        <v/>
      </c>
    </row>
    <row r="723" spans="1:15" x14ac:dyDescent="0.55000000000000004">
      <c r="A723" s="165"/>
      <c r="B723" s="35">
        <f t="shared" si="85"/>
        <v>4</v>
      </c>
      <c r="C723" s="36" t="str">
        <f t="shared" si="93"/>
        <v>102018</v>
      </c>
      <c r="D723" s="44">
        <f t="shared" si="91"/>
        <v>43377</v>
      </c>
      <c r="E723" s="38">
        <v>6.1353999999999997</v>
      </c>
      <c r="F723" s="39">
        <f t="shared" si="88"/>
        <v>686</v>
      </c>
      <c r="G723" s="33">
        <f t="shared" si="87"/>
        <v>4208.8843999999999</v>
      </c>
      <c r="H723" s="33"/>
      <c r="I723" s="33">
        <f t="shared" si="92"/>
        <v>4124.0947999999999</v>
      </c>
      <c r="J723" s="33"/>
      <c r="K723" s="33">
        <f t="shared" si="95"/>
        <v>4061.56</v>
      </c>
      <c r="L723" s="59">
        <f t="shared" si="86"/>
        <v>1.539674410817516E-2</v>
      </c>
      <c r="M723" s="60" t="str">
        <f t="shared" si="89"/>
        <v/>
      </c>
    </row>
    <row r="724" spans="1:15" x14ac:dyDescent="0.55000000000000004">
      <c r="A724" s="165"/>
      <c r="B724" s="35">
        <f t="shared" si="85"/>
        <v>5</v>
      </c>
      <c r="C724" s="36" t="str">
        <f t="shared" si="93"/>
        <v>102018</v>
      </c>
      <c r="D724" s="44">
        <f t="shared" si="91"/>
        <v>43378</v>
      </c>
      <c r="E724" s="38">
        <v>6.1654</v>
      </c>
      <c r="F724" s="39">
        <f t="shared" si="88"/>
        <v>686</v>
      </c>
      <c r="G724" s="33">
        <f t="shared" si="87"/>
        <v>4229.4643999999998</v>
      </c>
      <c r="H724" s="33"/>
      <c r="I724" s="33">
        <f t="shared" si="92"/>
        <v>4145.2921999999999</v>
      </c>
      <c r="J724" s="33"/>
      <c r="K724" s="33">
        <f t="shared" si="95"/>
        <v>4061.56</v>
      </c>
      <c r="L724" s="59">
        <f t="shared" si="86"/>
        <v>2.0615773249687292E-2</v>
      </c>
      <c r="M724" s="60" t="str">
        <f t="shared" si="89"/>
        <v/>
      </c>
    </row>
    <row r="725" spans="1:15" x14ac:dyDescent="0.55000000000000004">
      <c r="A725" s="165"/>
      <c r="B725" s="35">
        <f t="shared" si="85"/>
        <v>8</v>
      </c>
      <c r="C725" s="36" t="str">
        <f t="shared" si="93"/>
        <v>102018</v>
      </c>
      <c r="D725" s="44">
        <f t="shared" si="91"/>
        <v>43381</v>
      </c>
      <c r="E725" s="38">
        <v>6.1626000000000003</v>
      </c>
      <c r="F725" s="39">
        <f t="shared" si="88"/>
        <v>686</v>
      </c>
      <c r="G725" s="33">
        <f t="shared" si="87"/>
        <v>4227.5436</v>
      </c>
      <c r="H725" s="33"/>
      <c r="I725" s="33">
        <f t="shared" si="92"/>
        <v>4162.1266400000004</v>
      </c>
      <c r="J725" s="33"/>
      <c r="K725" s="33">
        <f t="shared" si="95"/>
        <v>4061.56</v>
      </c>
      <c r="L725" s="59">
        <f t="shared" si="86"/>
        <v>2.4760594451393173E-2</v>
      </c>
      <c r="M725" s="60" t="str">
        <f t="shared" si="89"/>
        <v/>
      </c>
    </row>
    <row r="726" spans="1:15" x14ac:dyDescent="0.55000000000000004">
      <c r="A726" s="165"/>
      <c r="B726" s="35">
        <f t="shared" si="85"/>
        <v>9</v>
      </c>
      <c r="C726" s="36" t="str">
        <f t="shared" si="93"/>
        <v>102018</v>
      </c>
      <c r="D726" s="44">
        <f t="shared" si="91"/>
        <v>43382</v>
      </c>
      <c r="E726" s="38">
        <v>6.1265999999999998</v>
      </c>
      <c r="F726" s="39">
        <f t="shared" si="88"/>
        <v>686</v>
      </c>
      <c r="G726" s="33">
        <f t="shared" si="87"/>
        <v>4202.8476000000001</v>
      </c>
      <c r="H726" s="33"/>
      <c r="I726" s="62">
        <v>4187.5600000000004</v>
      </c>
      <c r="J726" s="62"/>
      <c r="K726" s="33">
        <f t="shared" si="95"/>
        <v>4061.56</v>
      </c>
      <c r="L726" s="59">
        <f t="shared" si="86"/>
        <v>3.1022562759136996E-2</v>
      </c>
      <c r="M726" s="60">
        <f t="shared" si="89"/>
        <v>126.00000000000045</v>
      </c>
    </row>
    <row r="727" spans="1:15" x14ac:dyDescent="0.55000000000000004">
      <c r="A727" s="165"/>
      <c r="B727" s="35">
        <f t="shared" ref="B727:B790" si="96">DAY(D727)</f>
        <v>10</v>
      </c>
      <c r="C727" s="36" t="str">
        <f t="shared" si="93"/>
        <v>102018</v>
      </c>
      <c r="D727" s="44">
        <f t="shared" si="91"/>
        <v>43383</v>
      </c>
      <c r="E727" s="38">
        <v>6.0994999999999999</v>
      </c>
      <c r="F727" s="39">
        <f t="shared" si="88"/>
        <v>686</v>
      </c>
      <c r="G727" s="33">
        <f t="shared" si="87"/>
        <v>4184.2569999999996</v>
      </c>
      <c r="H727" s="33"/>
      <c r="I727" s="33">
        <f t="shared" ref="I727:I732" si="97">IF(M726&lt;&gt;"",AVERAGE(E726),IF(M725&lt;&gt;"",AVERAGE(E725:E726),IF(M724&lt;&gt;"",AVERAGE(E724:E726),IF(M723&lt;&gt;"",AVERAGE(E723:E726),AVERAGE(E722:E726)))))*F727</f>
        <v>4202.8476000000001</v>
      </c>
      <c r="J727" s="33"/>
      <c r="K727" s="62">
        <f t="shared" si="95"/>
        <v>4187.5600000000004</v>
      </c>
      <c r="L727" s="59">
        <f t="shared" si="86"/>
        <v>3.6507178404607109E-3</v>
      </c>
      <c r="M727" s="60" t="str">
        <f t="shared" si="89"/>
        <v/>
      </c>
    </row>
    <row r="728" spans="1:15" x14ac:dyDescent="0.55000000000000004">
      <c r="A728" s="165"/>
      <c r="B728" s="35">
        <f t="shared" si="96"/>
        <v>11</v>
      </c>
      <c r="C728" s="36" t="str">
        <f t="shared" si="93"/>
        <v>102018</v>
      </c>
      <c r="D728" s="44">
        <f t="shared" si="91"/>
        <v>43384</v>
      </c>
      <c r="E728" s="38">
        <v>5.9941000000000004</v>
      </c>
      <c r="F728" s="39">
        <f t="shared" si="88"/>
        <v>686</v>
      </c>
      <c r="G728" s="33">
        <f t="shared" si="87"/>
        <v>4111.9526000000005</v>
      </c>
      <c r="H728" s="33"/>
      <c r="I728" s="33">
        <f t="shared" si="97"/>
        <v>4193.5522999999994</v>
      </c>
      <c r="J728" s="33"/>
      <c r="K728" s="33">
        <f t="shared" si="95"/>
        <v>4187.5600000000004</v>
      </c>
      <c r="L728" s="59">
        <f t="shared" ref="L728:L791" si="98">(I728-K728)/K728</f>
        <v>1.4309765113810851E-3</v>
      </c>
      <c r="M728" s="60" t="str">
        <f t="shared" si="89"/>
        <v/>
      </c>
    </row>
    <row r="729" spans="1:15" x14ac:dyDescent="0.55000000000000004">
      <c r="A729" s="165"/>
      <c r="B729" s="35">
        <f t="shared" si="96"/>
        <v>12</v>
      </c>
      <c r="C729" s="36" t="str">
        <f t="shared" si="93"/>
        <v>102018</v>
      </c>
      <c r="D729" s="44">
        <f t="shared" si="91"/>
        <v>43385</v>
      </c>
      <c r="E729" s="38">
        <v>5.9149000000000003</v>
      </c>
      <c r="F729" s="39">
        <f t="shared" si="88"/>
        <v>686</v>
      </c>
      <c r="G729" s="33">
        <f t="shared" si="87"/>
        <v>4057.6214</v>
      </c>
      <c r="H729" s="33"/>
      <c r="I729" s="33">
        <f t="shared" si="97"/>
        <v>4166.3523999999998</v>
      </c>
      <c r="J729" s="33"/>
      <c r="K729" s="33">
        <f t="shared" si="95"/>
        <v>4187.5600000000004</v>
      </c>
      <c r="L729" s="59">
        <f t="shared" si="98"/>
        <v>-5.0644289275856673E-3</v>
      </c>
      <c r="M729" s="60" t="str">
        <f t="shared" si="89"/>
        <v/>
      </c>
    </row>
    <row r="730" spans="1:15" x14ac:dyDescent="0.55000000000000004">
      <c r="A730" s="165"/>
      <c r="B730" s="35">
        <f t="shared" si="96"/>
        <v>15</v>
      </c>
      <c r="C730" s="36" t="str">
        <f t="shared" si="93"/>
        <v>102018</v>
      </c>
      <c r="D730" s="44">
        <f t="shared" si="91"/>
        <v>43388</v>
      </c>
      <c r="E730" s="38">
        <v>5.8217999999999996</v>
      </c>
      <c r="F730" s="39">
        <f t="shared" si="88"/>
        <v>686</v>
      </c>
      <c r="G730" s="33">
        <f t="shared" si="87"/>
        <v>3993.7547999999997</v>
      </c>
      <c r="H730" s="33"/>
      <c r="I730" s="33">
        <f t="shared" si="97"/>
        <v>4139.1696499999998</v>
      </c>
      <c r="J730" s="33"/>
      <c r="K730" s="33">
        <f t="shared" si="95"/>
        <v>4187.5600000000004</v>
      </c>
      <c r="L730" s="59">
        <f t="shared" si="98"/>
        <v>-1.1555738902845709E-2</v>
      </c>
      <c r="M730" s="60" t="str">
        <f t="shared" si="89"/>
        <v/>
      </c>
    </row>
    <row r="731" spans="1:15" x14ac:dyDescent="0.55000000000000004">
      <c r="A731" s="165"/>
      <c r="B731" s="35">
        <f t="shared" si="96"/>
        <v>16</v>
      </c>
      <c r="C731" s="36" t="str">
        <f t="shared" si="93"/>
        <v>102018</v>
      </c>
      <c r="D731" s="44">
        <f t="shared" si="91"/>
        <v>43389</v>
      </c>
      <c r="E731" s="38">
        <v>5.7897999999999996</v>
      </c>
      <c r="F731" s="39">
        <f t="shared" si="88"/>
        <v>686</v>
      </c>
      <c r="G731" s="33">
        <f t="shared" si="87"/>
        <v>3971.8027999999999</v>
      </c>
      <c r="H731" s="33"/>
      <c r="I731" s="33">
        <f t="shared" si="97"/>
        <v>4110.0866799999994</v>
      </c>
      <c r="J731" s="33"/>
      <c r="K731" s="33">
        <f t="shared" si="95"/>
        <v>4187.5600000000004</v>
      </c>
      <c r="L731" s="59">
        <f t="shared" si="98"/>
        <v>-1.8500826256818041E-2</v>
      </c>
      <c r="M731" s="60" t="str">
        <f t="shared" si="89"/>
        <v/>
      </c>
    </row>
    <row r="732" spans="1:15" x14ac:dyDescent="0.55000000000000004">
      <c r="A732" s="165"/>
      <c r="B732" s="35">
        <f t="shared" si="96"/>
        <v>17</v>
      </c>
      <c r="C732" s="36" t="str">
        <f t="shared" si="93"/>
        <v>102018</v>
      </c>
      <c r="D732" s="44">
        <f t="shared" si="91"/>
        <v>43390</v>
      </c>
      <c r="E732" s="38">
        <v>5.6928000000000001</v>
      </c>
      <c r="F732" s="39">
        <f t="shared" si="88"/>
        <v>686</v>
      </c>
      <c r="G732" s="33">
        <f t="shared" si="87"/>
        <v>3905.2608</v>
      </c>
      <c r="H732" s="33"/>
      <c r="I732" s="33">
        <f t="shared" si="97"/>
        <v>4063.8777200000004</v>
      </c>
      <c r="J732" s="33"/>
      <c r="K732" s="33">
        <f t="shared" si="95"/>
        <v>4187.5600000000004</v>
      </c>
      <c r="L732" s="59">
        <f t="shared" si="98"/>
        <v>-2.9535643668389223E-2</v>
      </c>
      <c r="M732" s="60" t="str">
        <f t="shared" si="89"/>
        <v/>
      </c>
    </row>
    <row r="733" spans="1:15" x14ac:dyDescent="0.55000000000000004">
      <c r="A733" s="165"/>
      <c r="B733" s="35">
        <f t="shared" si="96"/>
        <v>18</v>
      </c>
      <c r="C733" s="36" t="str">
        <f t="shared" si="93"/>
        <v>102018</v>
      </c>
      <c r="D733" s="44">
        <f t="shared" si="91"/>
        <v>43391</v>
      </c>
      <c r="E733" s="38">
        <v>5.5598000000000001</v>
      </c>
      <c r="F733" s="39">
        <f t="shared" si="88"/>
        <v>686</v>
      </c>
      <c r="G733" s="33">
        <f t="shared" si="87"/>
        <v>3814.0228000000002</v>
      </c>
      <c r="H733" s="33"/>
      <c r="I733" s="33">
        <f t="shared" ref="I733:I742" si="99">AVERAGE(G728:G732)</f>
        <v>4008.0784799999992</v>
      </c>
      <c r="J733" s="33"/>
      <c r="K733" s="33">
        <f t="shared" si="95"/>
        <v>4187.5600000000004</v>
      </c>
      <c r="L733" s="59">
        <f t="shared" si="98"/>
        <v>-4.2860644384797156E-2</v>
      </c>
      <c r="M733" s="60">
        <f t="shared" si="89"/>
        <v>-179.48152000000118</v>
      </c>
      <c r="O733" s="68"/>
    </row>
    <row r="734" spans="1:15" x14ac:dyDescent="0.55000000000000004">
      <c r="A734" s="165"/>
      <c r="B734" s="35">
        <f t="shared" si="96"/>
        <v>19</v>
      </c>
      <c r="C734" s="36" t="str">
        <f t="shared" si="93"/>
        <v>102018</v>
      </c>
      <c r="D734" s="44">
        <f t="shared" si="91"/>
        <v>43392</v>
      </c>
      <c r="E734" s="38">
        <v>5.6234999999999999</v>
      </c>
      <c r="F734" s="39">
        <f t="shared" si="88"/>
        <v>686</v>
      </c>
      <c r="G734" s="33">
        <f t="shared" si="87"/>
        <v>3857.721</v>
      </c>
      <c r="H734" s="33"/>
      <c r="I734" s="33">
        <f t="shared" si="99"/>
        <v>3948.4925199999998</v>
      </c>
      <c r="J734" s="33"/>
      <c r="K734" s="33">
        <f t="shared" si="95"/>
        <v>4008.0784799999992</v>
      </c>
      <c r="L734" s="59">
        <f t="shared" si="98"/>
        <v>-1.4866465389170583E-2</v>
      </c>
      <c r="M734" s="60" t="str">
        <f t="shared" si="89"/>
        <v/>
      </c>
      <c r="O734" s="69"/>
    </row>
    <row r="735" spans="1:15" x14ac:dyDescent="0.55000000000000004">
      <c r="A735" s="165"/>
      <c r="B735" s="35">
        <f t="shared" si="96"/>
        <v>22</v>
      </c>
      <c r="C735" s="36" t="str">
        <f t="shared" si="93"/>
        <v>102018</v>
      </c>
      <c r="D735" s="44">
        <f t="shared" si="91"/>
        <v>43395</v>
      </c>
      <c r="E735" s="38">
        <v>5.6581999999999999</v>
      </c>
      <c r="F735" s="39">
        <f t="shared" si="88"/>
        <v>686</v>
      </c>
      <c r="G735" s="33">
        <f t="shared" si="87"/>
        <v>3881.5252</v>
      </c>
      <c r="H735" s="33"/>
      <c r="I735" s="33">
        <f t="shared" si="99"/>
        <v>3908.51244</v>
      </c>
      <c r="J735" s="33"/>
      <c r="K735" s="33">
        <f t="shared" si="95"/>
        <v>4008.0784799999992</v>
      </c>
      <c r="L735" s="59">
        <f t="shared" si="98"/>
        <v>-2.4841339933044243E-2</v>
      </c>
      <c r="M735" s="60" t="str">
        <f t="shared" si="89"/>
        <v/>
      </c>
      <c r="O735" s="68"/>
    </row>
    <row r="736" spans="1:15" x14ac:dyDescent="0.55000000000000004">
      <c r="A736" s="165"/>
      <c r="B736" s="35">
        <f t="shared" si="96"/>
        <v>23</v>
      </c>
      <c r="C736" s="36" t="str">
        <f t="shared" si="93"/>
        <v>102018</v>
      </c>
      <c r="D736" s="44">
        <f t="shared" si="91"/>
        <v>43396</v>
      </c>
      <c r="E736" s="38">
        <v>5.7813999999999997</v>
      </c>
      <c r="F736" s="39">
        <f t="shared" si="88"/>
        <v>686</v>
      </c>
      <c r="G736" s="33">
        <f t="shared" si="87"/>
        <v>3966.0403999999999</v>
      </c>
      <c r="H736" s="33"/>
      <c r="I736" s="33">
        <f t="shared" si="99"/>
        <v>3886.0665200000003</v>
      </c>
      <c r="J736" s="33"/>
      <c r="K736" s="33">
        <f t="shared" si="95"/>
        <v>4008.0784799999992</v>
      </c>
      <c r="L736" s="59">
        <f t="shared" si="98"/>
        <v>-3.0441509718142776E-2</v>
      </c>
      <c r="M736" s="60"/>
    </row>
    <row r="737" spans="1:15" x14ac:dyDescent="0.55000000000000004">
      <c r="A737" s="165"/>
      <c r="B737" s="35">
        <f t="shared" si="96"/>
        <v>24</v>
      </c>
      <c r="C737" s="36" t="str">
        <f t="shared" si="93"/>
        <v>102018</v>
      </c>
      <c r="D737" s="44">
        <f t="shared" si="91"/>
        <v>43397</v>
      </c>
      <c r="E737" s="38">
        <v>5.7272999999999996</v>
      </c>
      <c r="F737" s="39">
        <f t="shared" si="88"/>
        <v>686</v>
      </c>
      <c r="G737" s="33">
        <f t="shared" si="87"/>
        <v>3928.9277999999999</v>
      </c>
      <c r="H737" s="33"/>
      <c r="I737" s="33">
        <f t="shared" si="99"/>
        <v>3884.9140400000006</v>
      </c>
      <c r="J737" s="33"/>
      <c r="K737" s="33">
        <v>4008.0784799999997</v>
      </c>
      <c r="L737" s="59">
        <f t="shared" si="98"/>
        <v>-3.0729048998062312E-2</v>
      </c>
      <c r="M737" s="60"/>
    </row>
    <row r="738" spans="1:15" x14ac:dyDescent="0.55000000000000004">
      <c r="A738" s="165"/>
      <c r="B738" s="35">
        <f t="shared" si="96"/>
        <v>25</v>
      </c>
      <c r="C738" s="36" t="str">
        <f t="shared" si="93"/>
        <v>102018</v>
      </c>
      <c r="D738" s="44">
        <f t="shared" si="91"/>
        <v>43398</v>
      </c>
      <c r="E738" s="38">
        <v>5.6898999999999997</v>
      </c>
      <c r="F738" s="39">
        <f t="shared" si="88"/>
        <v>686</v>
      </c>
      <c r="G738" s="33">
        <f t="shared" si="87"/>
        <v>3903.2713999999996</v>
      </c>
      <c r="H738" s="33"/>
      <c r="I738" s="33">
        <f t="shared" si="99"/>
        <v>3889.6474399999997</v>
      </c>
      <c r="J738" s="33"/>
      <c r="K738" s="33">
        <v>4008.0784799999997</v>
      </c>
      <c r="L738" s="59">
        <f t="shared" si="98"/>
        <v>-2.9548084098393192E-2</v>
      </c>
      <c r="M738" s="60" t="str">
        <f>IF(OR(L738&lt;-3%,L738&gt;3%),K739-K738,"")</f>
        <v/>
      </c>
    </row>
    <row r="739" spans="1:15" x14ac:dyDescent="0.55000000000000004">
      <c r="A739" s="165"/>
      <c r="B739" s="35">
        <f t="shared" si="96"/>
        <v>26</v>
      </c>
      <c r="C739" s="36" t="str">
        <f t="shared" si="93"/>
        <v>102018</v>
      </c>
      <c r="D739" s="44">
        <f t="shared" si="91"/>
        <v>43399</v>
      </c>
      <c r="E739" s="38">
        <v>5.6287000000000003</v>
      </c>
      <c r="F739" s="39">
        <f t="shared" si="88"/>
        <v>686</v>
      </c>
      <c r="G739" s="33">
        <f t="shared" si="87"/>
        <v>3861.2882</v>
      </c>
      <c r="H739" s="33"/>
      <c r="I739" s="33">
        <f t="shared" si="99"/>
        <v>3907.4971599999999</v>
      </c>
      <c r="J739" s="33"/>
      <c r="K739" s="33">
        <f>IF(L738&gt;3%,I738,IF(L738&lt;-3%,I738,K738))</f>
        <v>4008.0784799999997</v>
      </c>
      <c r="L739" s="59">
        <f t="shared" si="98"/>
        <v>-2.5094648346306779E-2</v>
      </c>
      <c r="M739" s="60" t="str">
        <f t="shared" si="89"/>
        <v/>
      </c>
    </row>
    <row r="740" spans="1:15" x14ac:dyDescent="0.55000000000000004">
      <c r="A740" s="165"/>
      <c r="B740" s="35">
        <f t="shared" si="96"/>
        <v>29</v>
      </c>
      <c r="C740" s="36" t="str">
        <f t="shared" si="93"/>
        <v>102018</v>
      </c>
      <c r="D740" s="44">
        <f t="shared" si="91"/>
        <v>43402</v>
      </c>
      <c r="E740" s="38">
        <v>5.6287000000000003</v>
      </c>
      <c r="F740" s="39">
        <f t="shared" si="88"/>
        <v>686</v>
      </c>
      <c r="G740" s="33">
        <f t="shared" si="87"/>
        <v>3861.2882</v>
      </c>
      <c r="H740" s="33"/>
      <c r="I740" s="33">
        <f t="shared" si="99"/>
        <v>3908.2105999999999</v>
      </c>
      <c r="J740" s="33"/>
      <c r="K740" s="33">
        <f>IF(L739&gt;3%,I739,IF(L739&lt;-3%,I739,K739))</f>
        <v>4008.0784799999997</v>
      </c>
      <c r="L740" s="59">
        <f t="shared" si="98"/>
        <v>-2.4916647839689953E-2</v>
      </c>
      <c r="M740" s="60" t="str">
        <f t="shared" si="89"/>
        <v/>
      </c>
    </row>
    <row r="741" spans="1:15" x14ac:dyDescent="0.55000000000000004">
      <c r="A741" s="165"/>
      <c r="B741" s="35">
        <f t="shared" si="96"/>
        <v>30</v>
      </c>
      <c r="C741" s="36" t="str">
        <f t="shared" si="93"/>
        <v>102018</v>
      </c>
      <c r="D741" s="44">
        <f t="shared" si="91"/>
        <v>43403</v>
      </c>
      <c r="E741" s="38">
        <v>5.5303000000000004</v>
      </c>
      <c r="F741" s="39">
        <f t="shared" si="88"/>
        <v>686</v>
      </c>
      <c r="G741" s="33">
        <f t="shared" ref="G741:G785" si="100">E741*F741</f>
        <v>3793.7858000000001</v>
      </c>
      <c r="H741" s="33"/>
      <c r="I741" s="33">
        <f t="shared" si="99"/>
        <v>3904.1632</v>
      </c>
      <c r="J741" s="33"/>
      <c r="K741" s="33">
        <f>IF(L740&gt;3%,I740,IF(L740&lt;-3%,I740,K740))</f>
        <v>4008.0784799999997</v>
      </c>
      <c r="L741" s="59">
        <f t="shared" si="98"/>
        <v>-2.5926458406073855E-2</v>
      </c>
      <c r="M741" s="60" t="str">
        <f t="shared" si="89"/>
        <v/>
      </c>
    </row>
    <row r="742" spans="1:15" ht="14.7" thickBot="1" x14ac:dyDescent="0.6">
      <c r="A742" s="166"/>
      <c r="B742" s="35">
        <f t="shared" si="96"/>
        <v>31</v>
      </c>
      <c r="C742" s="36" t="str">
        <f t="shared" si="93"/>
        <v>102018</v>
      </c>
      <c r="D742" s="53">
        <f t="shared" si="91"/>
        <v>43404</v>
      </c>
      <c r="E742" s="38">
        <v>5.508</v>
      </c>
      <c r="F742" s="39">
        <f t="shared" si="88"/>
        <v>686</v>
      </c>
      <c r="G742" s="33">
        <f t="shared" si="100"/>
        <v>3778.4879999999998</v>
      </c>
      <c r="H742" s="33"/>
      <c r="I742" s="33">
        <f t="shared" si="99"/>
        <v>3869.7122799999997</v>
      </c>
      <c r="J742" s="33"/>
      <c r="K742" s="33">
        <f>IF(L741&gt;3%,I741,IF(L741&lt;-3%,I741,K741))</f>
        <v>4008.0784799999997</v>
      </c>
      <c r="L742" s="59">
        <f t="shared" si="98"/>
        <v>-3.4521829023667211E-2</v>
      </c>
      <c r="M742" s="60">
        <f t="shared" si="89"/>
        <v>-138.36619999999994</v>
      </c>
    </row>
    <row r="743" spans="1:15" x14ac:dyDescent="0.55000000000000004">
      <c r="A743" s="164" t="s">
        <v>114</v>
      </c>
      <c r="B743" s="35">
        <f t="shared" si="96"/>
        <v>1</v>
      </c>
      <c r="C743" s="36" t="str">
        <f t="shared" si="93"/>
        <v>112018</v>
      </c>
      <c r="D743" s="37">
        <f t="shared" si="91"/>
        <v>43405</v>
      </c>
      <c r="E743" s="38">
        <v>5.5804</v>
      </c>
      <c r="F743" s="39">
        <f>515+40</f>
        <v>555</v>
      </c>
      <c r="G743" s="33">
        <f t="shared" si="100"/>
        <v>3097.1219999999998</v>
      </c>
      <c r="H743" s="33"/>
      <c r="I743" s="33">
        <f t="shared" ref="I743:I801" si="101">IF(M742&lt;&gt;"",AVERAGE(E742),IF(M741&lt;&gt;"",AVERAGE(E741:E742),IF(M740&lt;&gt;"",AVERAGE(E740:E742),IF(M739&lt;&gt;"",AVERAGE(E739:E742),AVERAGE(E738:E742)))))*F743</f>
        <v>3056.94</v>
      </c>
      <c r="J743" s="33"/>
      <c r="K743" s="33">
        <f>IF(L742&gt;3%,I742,IF(L742&lt;-3%,I742,K742))</f>
        <v>3869.7122799999997</v>
      </c>
      <c r="L743" s="59">
        <f t="shared" si="98"/>
        <v>-0.21003429226526366</v>
      </c>
      <c r="M743" s="60">
        <f t="shared" si="89"/>
        <v>0</v>
      </c>
      <c r="O743" s="68">
        <f>F719-F743</f>
        <v>84</v>
      </c>
    </row>
    <row r="744" spans="1:15" x14ac:dyDescent="0.55000000000000004">
      <c r="A744" s="165"/>
      <c r="B744" s="35">
        <f t="shared" si="96"/>
        <v>2</v>
      </c>
      <c r="C744" s="36" t="str">
        <f t="shared" si="93"/>
        <v>112018</v>
      </c>
      <c r="D744" s="44">
        <f t="shared" si="91"/>
        <v>43406</v>
      </c>
      <c r="E744" s="38">
        <v>5.4711999999999996</v>
      </c>
      <c r="F744" s="39">
        <f t="shared" ref="F744:F807" si="102">F743</f>
        <v>555</v>
      </c>
      <c r="G744" s="33">
        <f t="shared" si="100"/>
        <v>3036.5159999999996</v>
      </c>
      <c r="H744" s="33"/>
      <c r="I744" s="33">
        <f t="shared" si="101"/>
        <v>3097.1219999999998</v>
      </c>
      <c r="J744" s="33"/>
      <c r="K744" s="33">
        <v>3869.7122799999997</v>
      </c>
      <c r="L744" s="59">
        <f t="shared" si="98"/>
        <v>-0.199650574538322</v>
      </c>
      <c r="M744" s="60"/>
    </row>
    <row r="745" spans="1:15" x14ac:dyDescent="0.55000000000000004">
      <c r="A745" s="165"/>
      <c r="B745" s="35">
        <f t="shared" si="96"/>
        <v>5</v>
      </c>
      <c r="C745" s="36" t="str">
        <f t="shared" si="93"/>
        <v>112018</v>
      </c>
      <c r="D745" s="44">
        <f t="shared" si="91"/>
        <v>43409</v>
      </c>
      <c r="E745" s="38">
        <v>5.4569000000000001</v>
      </c>
      <c r="F745" s="39">
        <f t="shared" si="102"/>
        <v>555</v>
      </c>
      <c r="G745" s="33">
        <f t="shared" si="100"/>
        <v>3028.5794999999998</v>
      </c>
      <c r="H745" s="33"/>
      <c r="I745" s="33">
        <f t="shared" si="101"/>
        <v>3066.819</v>
      </c>
      <c r="J745" s="33"/>
      <c r="K745" s="33">
        <v>3869.7122799999997</v>
      </c>
      <c r="L745" s="59">
        <f t="shared" si="98"/>
        <v>-0.2074813892881979</v>
      </c>
      <c r="M745" s="60"/>
    </row>
    <row r="746" spans="1:15" x14ac:dyDescent="0.55000000000000004">
      <c r="A746" s="165"/>
      <c r="B746" s="35">
        <f t="shared" si="96"/>
        <v>6</v>
      </c>
      <c r="C746" s="36" t="str">
        <f t="shared" si="93"/>
        <v>112018</v>
      </c>
      <c r="D746" s="44">
        <f t="shared" si="91"/>
        <v>43410</v>
      </c>
      <c r="E746" s="38">
        <v>5.3513999999999999</v>
      </c>
      <c r="F746" s="39">
        <f t="shared" si="102"/>
        <v>555</v>
      </c>
      <c r="G746" s="33">
        <f t="shared" si="100"/>
        <v>2970.027</v>
      </c>
      <c r="H746" s="33"/>
      <c r="I746" s="33">
        <f t="shared" si="101"/>
        <v>3054.0725000000002</v>
      </c>
      <c r="J746" s="33"/>
      <c r="K746" s="33">
        <v>3869.7122799999997</v>
      </c>
      <c r="L746" s="59">
        <f t="shared" si="98"/>
        <v>-0.21077530342901865</v>
      </c>
      <c r="M746" s="60"/>
    </row>
    <row r="747" spans="1:15" x14ac:dyDescent="0.55000000000000004">
      <c r="A747" s="165"/>
      <c r="B747" s="35">
        <f t="shared" si="96"/>
        <v>7</v>
      </c>
      <c r="C747" s="36" t="str">
        <f t="shared" si="93"/>
        <v>112018</v>
      </c>
      <c r="D747" s="44">
        <f t="shared" si="91"/>
        <v>43411</v>
      </c>
      <c r="E747" s="38">
        <v>5.3672000000000004</v>
      </c>
      <c r="F747" s="39">
        <f t="shared" si="102"/>
        <v>555</v>
      </c>
      <c r="G747" s="33">
        <f t="shared" si="100"/>
        <v>2978.7960000000003</v>
      </c>
      <c r="H747" s="33"/>
      <c r="I747" s="33">
        <f t="shared" si="101"/>
        <v>3033.0611250000006</v>
      </c>
      <c r="J747" s="33"/>
      <c r="K747" s="33">
        <v>3869.7122799999997</v>
      </c>
      <c r="L747" s="59">
        <f t="shared" si="98"/>
        <v>-0.21620500297246883</v>
      </c>
      <c r="M747" s="60">
        <f>IF(OR(L747&lt;-3%,L747&gt;3%),K748-K747,"")</f>
        <v>-836.65115499999911</v>
      </c>
    </row>
    <row r="748" spans="1:15" x14ac:dyDescent="0.55000000000000004">
      <c r="A748" s="165"/>
      <c r="B748" s="35">
        <f t="shared" si="96"/>
        <v>8</v>
      </c>
      <c r="C748" s="36" t="str">
        <f t="shared" si="93"/>
        <v>112018</v>
      </c>
      <c r="D748" s="44">
        <f t="shared" si="91"/>
        <v>43412</v>
      </c>
      <c r="E748" s="38">
        <v>5.4192999999999998</v>
      </c>
      <c r="F748" s="39">
        <f t="shared" si="102"/>
        <v>555</v>
      </c>
      <c r="G748" s="33">
        <f t="shared" si="100"/>
        <v>3007.7114999999999</v>
      </c>
      <c r="H748" s="33"/>
      <c r="I748" s="33">
        <f t="shared" si="101"/>
        <v>2978.7960000000003</v>
      </c>
      <c r="J748" s="33"/>
      <c r="K748" s="33">
        <f t="shared" ref="K748:K762" si="103">IF(L747&gt;3%,I747,IF(L747&lt;-3%,I747,K747))</f>
        <v>3033.0611250000006</v>
      </c>
      <c r="L748" s="59">
        <f t="shared" si="98"/>
        <v>-1.7891207187590175E-2</v>
      </c>
      <c r="M748" s="60" t="str">
        <f>IF(OR(L748&lt;-3%,L748&gt;3%),K749-K748,"")</f>
        <v/>
      </c>
    </row>
    <row r="749" spans="1:15" x14ac:dyDescent="0.55000000000000004">
      <c r="A749" s="165"/>
      <c r="B749" s="35">
        <f t="shared" si="96"/>
        <v>9</v>
      </c>
      <c r="C749" s="36" t="str">
        <f t="shared" si="93"/>
        <v>112018</v>
      </c>
      <c r="D749" s="44">
        <f t="shared" si="91"/>
        <v>43413</v>
      </c>
      <c r="E749" s="38">
        <v>5.4917999999999996</v>
      </c>
      <c r="F749" s="39">
        <f t="shared" si="102"/>
        <v>555</v>
      </c>
      <c r="G749" s="33">
        <f t="shared" si="100"/>
        <v>3047.9489999999996</v>
      </c>
      <c r="H749" s="33"/>
      <c r="I749" s="33">
        <f t="shared" si="101"/>
        <v>2993.2537499999999</v>
      </c>
      <c r="J749" s="33"/>
      <c r="K749" s="33">
        <f t="shared" si="103"/>
        <v>3033.0611250000006</v>
      </c>
      <c r="L749" s="59">
        <f t="shared" si="98"/>
        <v>-1.3124488218153126E-2</v>
      </c>
      <c r="M749" s="60" t="str">
        <f t="shared" ref="M749:M785" si="104">IF(OR(L749&lt;-3%,L749&gt;3%),K750-K749,"")</f>
        <v/>
      </c>
    </row>
    <row r="750" spans="1:15" x14ac:dyDescent="0.55000000000000004">
      <c r="A750" s="165"/>
      <c r="B750" s="35">
        <f t="shared" si="96"/>
        <v>12</v>
      </c>
      <c r="C750" s="36" t="str">
        <f t="shared" si="93"/>
        <v>112018</v>
      </c>
      <c r="D750" s="44">
        <f t="shared" si="91"/>
        <v>43416</v>
      </c>
      <c r="E750" s="38">
        <v>5.4862000000000002</v>
      </c>
      <c r="F750" s="39">
        <f t="shared" si="102"/>
        <v>555</v>
      </c>
      <c r="G750" s="33">
        <f t="shared" si="100"/>
        <v>3044.8409999999999</v>
      </c>
      <c r="H750" s="33"/>
      <c r="I750" s="33">
        <f t="shared" si="101"/>
        <v>3011.4855000000002</v>
      </c>
      <c r="J750" s="33"/>
      <c r="K750" s="33">
        <f t="shared" si="103"/>
        <v>3033.0611250000006</v>
      </c>
      <c r="L750" s="59">
        <f t="shared" si="98"/>
        <v>-7.1134817634116738E-3</v>
      </c>
      <c r="M750" s="60" t="str">
        <f t="shared" si="104"/>
        <v/>
      </c>
    </row>
    <row r="751" spans="1:15" x14ac:dyDescent="0.55000000000000004">
      <c r="A751" s="165"/>
      <c r="B751" s="35">
        <f t="shared" si="96"/>
        <v>13</v>
      </c>
      <c r="C751" s="36" t="str">
        <f t="shared" si="93"/>
        <v>112018</v>
      </c>
      <c r="D751" s="44">
        <f t="shared" si="91"/>
        <v>43417</v>
      </c>
      <c r="E751" s="38">
        <v>5.4867999999999997</v>
      </c>
      <c r="F751" s="39">
        <f t="shared" si="102"/>
        <v>555</v>
      </c>
      <c r="G751" s="33">
        <f t="shared" si="100"/>
        <v>3045.174</v>
      </c>
      <c r="H751" s="33"/>
      <c r="I751" s="33">
        <f t="shared" si="101"/>
        <v>3019.8243750000001</v>
      </c>
      <c r="J751" s="33"/>
      <c r="K751" s="33">
        <f t="shared" si="103"/>
        <v>3033.0611250000006</v>
      </c>
      <c r="L751" s="59">
        <f t="shared" si="98"/>
        <v>-4.3641553712507131E-3</v>
      </c>
      <c r="M751" s="60" t="str">
        <f t="shared" si="104"/>
        <v/>
      </c>
    </row>
    <row r="752" spans="1:15" x14ac:dyDescent="0.55000000000000004">
      <c r="A752" s="165"/>
      <c r="B752" s="35">
        <f t="shared" si="96"/>
        <v>14</v>
      </c>
      <c r="C752" s="36" t="str">
        <f t="shared" si="93"/>
        <v>112018</v>
      </c>
      <c r="D752" s="44">
        <f t="shared" si="91"/>
        <v>43418</v>
      </c>
      <c r="E752" s="38">
        <v>5.4724000000000004</v>
      </c>
      <c r="F752" s="39">
        <f t="shared" si="102"/>
        <v>555</v>
      </c>
      <c r="G752" s="33">
        <f t="shared" si="100"/>
        <v>3037.1820000000002</v>
      </c>
      <c r="H752" s="33"/>
      <c r="I752" s="33">
        <f t="shared" si="101"/>
        <v>3024.8942999999999</v>
      </c>
      <c r="J752" s="33"/>
      <c r="K752" s="33">
        <f t="shared" si="103"/>
        <v>3033.0611250000006</v>
      </c>
      <c r="L752" s="59">
        <f t="shared" si="98"/>
        <v>-2.6926015215076476E-3</v>
      </c>
      <c r="M752" s="60" t="str">
        <f t="shared" si="104"/>
        <v/>
      </c>
    </row>
    <row r="753" spans="1:17" x14ac:dyDescent="0.55000000000000004">
      <c r="A753" s="165"/>
      <c r="B753" s="35">
        <f t="shared" si="96"/>
        <v>15</v>
      </c>
      <c r="C753" s="36" t="str">
        <f t="shared" si="93"/>
        <v>112018</v>
      </c>
      <c r="D753" s="44">
        <f t="shared" si="91"/>
        <v>43419</v>
      </c>
      <c r="E753" s="38">
        <v>5.4275000000000002</v>
      </c>
      <c r="F753" s="39">
        <f t="shared" si="102"/>
        <v>555</v>
      </c>
      <c r="G753" s="33">
        <f t="shared" si="100"/>
        <v>3012.2625000000003</v>
      </c>
      <c r="H753" s="33"/>
      <c r="I753" s="33">
        <f t="shared" si="101"/>
        <v>3036.5715</v>
      </c>
      <c r="J753" s="33"/>
      <c r="K753" s="33">
        <f t="shared" si="103"/>
        <v>3033.0611250000006</v>
      </c>
      <c r="L753" s="59">
        <f t="shared" si="98"/>
        <v>1.1573703447863698E-3</v>
      </c>
      <c r="M753" s="60" t="str">
        <f t="shared" si="104"/>
        <v/>
      </c>
    </row>
    <row r="754" spans="1:17" x14ac:dyDescent="0.55000000000000004">
      <c r="A754" s="165"/>
      <c r="B754" s="35">
        <f t="shared" si="96"/>
        <v>16</v>
      </c>
      <c r="C754" s="36" t="str">
        <f t="shared" si="93"/>
        <v>112018</v>
      </c>
      <c r="D754" s="44">
        <f t="shared" si="91"/>
        <v>43420</v>
      </c>
      <c r="E754" s="38">
        <v>5.3507999999999996</v>
      </c>
      <c r="F754" s="39">
        <f t="shared" si="102"/>
        <v>555</v>
      </c>
      <c r="G754" s="33">
        <f t="shared" si="100"/>
        <v>2969.694</v>
      </c>
      <c r="H754" s="33"/>
      <c r="I754" s="33">
        <f t="shared" si="101"/>
        <v>3037.4816999999998</v>
      </c>
      <c r="J754" s="33"/>
      <c r="K754" s="33">
        <f t="shared" si="103"/>
        <v>3033.0611250000006</v>
      </c>
      <c r="L754" s="59">
        <f t="shared" si="98"/>
        <v>1.4574632088890686E-3</v>
      </c>
      <c r="M754" s="60" t="str">
        <f t="shared" si="104"/>
        <v/>
      </c>
    </row>
    <row r="755" spans="1:17" x14ac:dyDescent="0.55000000000000004">
      <c r="A755" s="165"/>
      <c r="B755" s="35">
        <f t="shared" si="96"/>
        <v>19</v>
      </c>
      <c r="C755" s="36" t="str">
        <f t="shared" si="93"/>
        <v>112018</v>
      </c>
      <c r="D755" s="44">
        <f t="shared" si="91"/>
        <v>43423</v>
      </c>
      <c r="E755" s="38">
        <v>5.3327</v>
      </c>
      <c r="F755" s="39">
        <f t="shared" si="102"/>
        <v>555</v>
      </c>
      <c r="G755" s="33">
        <f t="shared" si="100"/>
        <v>2959.6484999999998</v>
      </c>
      <c r="H755" s="33"/>
      <c r="I755" s="33">
        <f t="shared" si="101"/>
        <v>3021.8307</v>
      </c>
      <c r="J755" s="33"/>
      <c r="K755" s="33">
        <f t="shared" si="103"/>
        <v>3033.0611250000006</v>
      </c>
      <c r="L755" s="59">
        <f t="shared" si="98"/>
        <v>-3.7026701860486404E-3</v>
      </c>
      <c r="M755" s="60" t="str">
        <f t="shared" si="104"/>
        <v/>
      </c>
    </row>
    <row r="756" spans="1:17" x14ac:dyDescent="0.55000000000000004">
      <c r="A756" s="165"/>
      <c r="B756" s="35">
        <f t="shared" si="96"/>
        <v>20</v>
      </c>
      <c r="C756" s="36" t="str">
        <f t="shared" si="93"/>
        <v>112018</v>
      </c>
      <c r="D756" s="44">
        <f t="shared" si="91"/>
        <v>43424</v>
      </c>
      <c r="E756" s="38">
        <v>5.3368000000000002</v>
      </c>
      <c r="F756" s="39">
        <f t="shared" si="102"/>
        <v>555</v>
      </c>
      <c r="G756" s="33">
        <f t="shared" si="100"/>
        <v>2961.924</v>
      </c>
      <c r="H756" s="33"/>
      <c r="I756" s="33">
        <f t="shared" si="101"/>
        <v>3004.7921999999994</v>
      </c>
      <c r="J756" s="33"/>
      <c r="K756" s="33">
        <f t="shared" si="103"/>
        <v>3033.0611250000006</v>
      </c>
      <c r="L756" s="59">
        <f t="shared" si="98"/>
        <v>-9.3202622152895823E-3</v>
      </c>
      <c r="M756" s="60" t="str">
        <f t="shared" si="104"/>
        <v/>
      </c>
    </row>
    <row r="757" spans="1:17" x14ac:dyDescent="0.55000000000000004">
      <c r="A757" s="165"/>
      <c r="B757" s="35">
        <f t="shared" si="96"/>
        <v>21</v>
      </c>
      <c r="C757" s="36" t="str">
        <f t="shared" si="93"/>
        <v>112018</v>
      </c>
      <c r="D757" s="44">
        <f t="shared" si="91"/>
        <v>43425</v>
      </c>
      <c r="E757" s="38">
        <v>5.3593000000000002</v>
      </c>
      <c r="F757" s="39">
        <f t="shared" si="102"/>
        <v>555</v>
      </c>
      <c r="G757" s="33">
        <f t="shared" si="100"/>
        <v>2974.4115000000002</v>
      </c>
      <c r="H757" s="33"/>
      <c r="I757" s="33">
        <f t="shared" si="101"/>
        <v>2988.1422000000002</v>
      </c>
      <c r="J757" s="33"/>
      <c r="K757" s="33">
        <f t="shared" si="103"/>
        <v>3033.0611250000006</v>
      </c>
      <c r="L757" s="59">
        <f t="shared" si="98"/>
        <v>-1.4809765826925229E-2</v>
      </c>
      <c r="M757" s="60" t="str">
        <f t="shared" si="104"/>
        <v/>
      </c>
    </row>
    <row r="758" spans="1:17" x14ac:dyDescent="0.55000000000000004">
      <c r="A758" s="165"/>
      <c r="B758" s="35">
        <f t="shared" si="96"/>
        <v>22</v>
      </c>
      <c r="C758" s="36" t="str">
        <f t="shared" si="93"/>
        <v>112018</v>
      </c>
      <c r="D758" s="44">
        <f t="shared" si="91"/>
        <v>43426</v>
      </c>
      <c r="E758" s="38">
        <v>5.3124000000000002</v>
      </c>
      <c r="F758" s="39">
        <f t="shared" si="102"/>
        <v>555</v>
      </c>
      <c r="G758" s="33">
        <f t="shared" si="100"/>
        <v>2948.3820000000001</v>
      </c>
      <c r="H758" s="33"/>
      <c r="I758" s="33">
        <f t="shared" si="101"/>
        <v>2975.5881000000004</v>
      </c>
      <c r="J758" s="33"/>
      <c r="K758" s="33">
        <f t="shared" si="103"/>
        <v>3033.0611250000006</v>
      </c>
      <c r="L758" s="59">
        <f t="shared" si="98"/>
        <v>-1.8948851550098657E-2</v>
      </c>
      <c r="M758" s="60" t="str">
        <f t="shared" si="104"/>
        <v/>
      </c>
    </row>
    <row r="759" spans="1:17" x14ac:dyDescent="0.55000000000000004">
      <c r="A759" s="165"/>
      <c r="B759" s="35">
        <f t="shared" si="96"/>
        <v>23</v>
      </c>
      <c r="C759" s="36" t="str">
        <f t="shared" si="93"/>
        <v>112018</v>
      </c>
      <c r="D759" s="44">
        <f t="shared" si="91"/>
        <v>43427</v>
      </c>
      <c r="E759" s="38">
        <v>5.2866</v>
      </c>
      <c r="F759" s="39">
        <f t="shared" si="102"/>
        <v>555</v>
      </c>
      <c r="G759" s="33">
        <f t="shared" si="100"/>
        <v>2934.0630000000001</v>
      </c>
      <c r="H759" s="33"/>
      <c r="I759" s="33">
        <f t="shared" si="101"/>
        <v>2962.8119999999999</v>
      </c>
      <c r="J759" s="33"/>
      <c r="K759" s="33">
        <f t="shared" si="103"/>
        <v>3033.0611250000006</v>
      </c>
      <c r="L759" s="59">
        <f t="shared" si="98"/>
        <v>-2.3161130654760779E-2</v>
      </c>
      <c r="M759" s="60" t="str">
        <f t="shared" si="104"/>
        <v/>
      </c>
    </row>
    <row r="760" spans="1:17" x14ac:dyDescent="0.55000000000000004">
      <c r="A760" s="165"/>
      <c r="B760" s="35">
        <f t="shared" si="96"/>
        <v>26</v>
      </c>
      <c r="C760" s="36" t="str">
        <f t="shared" si="93"/>
        <v>112018</v>
      </c>
      <c r="D760" s="44">
        <f t="shared" si="91"/>
        <v>43430</v>
      </c>
      <c r="E760" s="38">
        <v>5.2538</v>
      </c>
      <c r="F760" s="39">
        <f t="shared" si="102"/>
        <v>555</v>
      </c>
      <c r="G760" s="33">
        <f t="shared" si="100"/>
        <v>2915.8589999999999</v>
      </c>
      <c r="H760" s="33"/>
      <c r="I760" s="33">
        <f t="shared" si="101"/>
        <v>2955.6858000000002</v>
      </c>
      <c r="J760" s="33"/>
      <c r="K760" s="33">
        <f t="shared" si="103"/>
        <v>3033.0611250000006</v>
      </c>
      <c r="L760" s="59">
        <f t="shared" si="98"/>
        <v>-2.5510638200540853E-2</v>
      </c>
      <c r="M760" s="60" t="str">
        <f t="shared" si="104"/>
        <v/>
      </c>
    </row>
    <row r="761" spans="1:17" x14ac:dyDescent="0.55000000000000004">
      <c r="A761" s="165"/>
      <c r="B761" s="35">
        <f t="shared" si="96"/>
        <v>27</v>
      </c>
      <c r="C761" s="36" t="str">
        <f t="shared" si="93"/>
        <v>112018</v>
      </c>
      <c r="D761" s="44">
        <f t="shared" si="91"/>
        <v>43431</v>
      </c>
      <c r="E761" s="38">
        <v>5.2461000000000002</v>
      </c>
      <c r="F761" s="39">
        <f t="shared" si="102"/>
        <v>555</v>
      </c>
      <c r="G761" s="33">
        <f t="shared" si="100"/>
        <v>2911.5855000000001</v>
      </c>
      <c r="H761" s="33"/>
      <c r="I761" s="33">
        <f t="shared" si="101"/>
        <v>2946.9279000000006</v>
      </c>
      <c r="J761" s="33"/>
      <c r="K761" s="33">
        <f t="shared" si="103"/>
        <v>3033.0611250000006</v>
      </c>
      <c r="L761" s="59">
        <f t="shared" si="98"/>
        <v>-2.8398117100261216E-2</v>
      </c>
      <c r="M761" s="60" t="str">
        <f t="shared" si="104"/>
        <v/>
      </c>
    </row>
    <row r="762" spans="1:17" x14ac:dyDescent="0.55000000000000004">
      <c r="A762" s="165"/>
      <c r="B762" s="35">
        <f t="shared" si="96"/>
        <v>28</v>
      </c>
      <c r="C762" s="36" t="str">
        <f t="shared" si="93"/>
        <v>112018</v>
      </c>
      <c r="D762" s="44">
        <f t="shared" ref="D762:D825" si="105">WORKDAY(D761,1)</f>
        <v>43432</v>
      </c>
      <c r="E762" s="38">
        <v>5.258</v>
      </c>
      <c r="F762" s="39">
        <f t="shared" si="102"/>
        <v>555</v>
      </c>
      <c r="G762" s="33">
        <f t="shared" si="100"/>
        <v>2918.19</v>
      </c>
      <c r="H762" s="33"/>
      <c r="I762" s="33">
        <f t="shared" si="101"/>
        <v>2936.8601999999996</v>
      </c>
      <c r="J762" s="33"/>
      <c r="K762" s="33">
        <f t="shared" si="103"/>
        <v>3033.0611250000006</v>
      </c>
      <c r="L762" s="59">
        <f t="shared" si="98"/>
        <v>-3.1717436950764052E-2</v>
      </c>
      <c r="M762" s="60">
        <f t="shared" si="104"/>
        <v>-96.301125000000411</v>
      </c>
    </row>
    <row r="763" spans="1:17" x14ac:dyDescent="0.55000000000000004">
      <c r="A763" s="165"/>
      <c r="B763" s="35">
        <f t="shared" si="96"/>
        <v>29</v>
      </c>
      <c r="C763" s="36" t="str">
        <f t="shared" si="93"/>
        <v>112018</v>
      </c>
      <c r="D763" s="44">
        <f t="shared" si="105"/>
        <v>43433</v>
      </c>
      <c r="E763" s="38">
        <v>5.1741999999999999</v>
      </c>
      <c r="F763" s="39">
        <f t="shared" si="102"/>
        <v>555</v>
      </c>
      <c r="G763" s="33">
        <f t="shared" si="100"/>
        <v>2871.681</v>
      </c>
      <c r="H763" s="33"/>
      <c r="I763" s="33">
        <f t="shared" si="101"/>
        <v>2918.19</v>
      </c>
      <c r="J763" s="33"/>
      <c r="K763" s="33">
        <v>2936.76</v>
      </c>
      <c r="L763" s="59">
        <f t="shared" si="98"/>
        <v>-6.323295059861944E-3</v>
      </c>
      <c r="M763" s="60" t="str">
        <f t="shared" si="104"/>
        <v/>
      </c>
    </row>
    <row r="764" spans="1:17" ht="14.7" thickBot="1" x14ac:dyDescent="0.6">
      <c r="A764" s="166"/>
      <c r="B764" s="35">
        <f t="shared" si="96"/>
        <v>30</v>
      </c>
      <c r="C764" s="36" t="str">
        <f t="shared" si="93"/>
        <v>112018</v>
      </c>
      <c r="D764" s="53">
        <f t="shared" si="105"/>
        <v>43434</v>
      </c>
      <c r="E764" s="38">
        <v>5.1662999999999997</v>
      </c>
      <c r="F764" s="39">
        <f t="shared" si="102"/>
        <v>555</v>
      </c>
      <c r="G764" s="33">
        <f t="shared" si="100"/>
        <v>2867.2964999999999</v>
      </c>
      <c r="H764" s="33"/>
      <c r="I764" s="33">
        <f t="shared" si="101"/>
        <v>2894.9355</v>
      </c>
      <c r="J764" s="33"/>
      <c r="K764" s="33">
        <v>2936.76</v>
      </c>
      <c r="L764" s="59">
        <f t="shared" si="98"/>
        <v>-1.4241715359784309E-2</v>
      </c>
      <c r="M764" s="60" t="str">
        <f t="shared" si="104"/>
        <v/>
      </c>
      <c r="O764">
        <v>3037.86</v>
      </c>
      <c r="P764">
        <v>1417.6</v>
      </c>
      <c r="Q764" s="70">
        <f>SUM(O764:P764)</f>
        <v>4455.46</v>
      </c>
    </row>
    <row r="765" spans="1:17" x14ac:dyDescent="0.55000000000000004">
      <c r="A765" s="164" t="s">
        <v>115</v>
      </c>
      <c r="B765" s="35">
        <f t="shared" si="96"/>
        <v>3</v>
      </c>
      <c r="C765" s="36" t="str">
        <f t="shared" si="93"/>
        <v>122018</v>
      </c>
      <c r="D765" s="37">
        <f t="shared" si="105"/>
        <v>43437</v>
      </c>
      <c r="E765" s="38">
        <v>5.2</v>
      </c>
      <c r="F765" s="39">
        <f>F764-137</f>
        <v>418</v>
      </c>
      <c r="G765" s="33">
        <f t="shared" si="100"/>
        <v>2173.6</v>
      </c>
      <c r="H765" s="33"/>
      <c r="I765" s="33">
        <f t="shared" si="101"/>
        <v>2173.3909999999996</v>
      </c>
      <c r="J765" s="33"/>
      <c r="K765" s="33">
        <v>2936.76</v>
      </c>
      <c r="L765" s="59">
        <f t="shared" si="98"/>
        <v>-0.25993577956659741</v>
      </c>
      <c r="M765" s="60">
        <f t="shared" si="104"/>
        <v>-763.3690000000006</v>
      </c>
      <c r="O765" s="70">
        <v>2936.76</v>
      </c>
      <c r="P765">
        <v>1518.7</v>
      </c>
      <c r="Q765" s="70">
        <f>SUM(O765:P765)</f>
        <v>4455.46</v>
      </c>
    </row>
    <row r="766" spans="1:17" x14ac:dyDescent="0.55000000000000004">
      <c r="A766" s="165"/>
      <c r="B766" s="35">
        <f t="shared" si="96"/>
        <v>4</v>
      </c>
      <c r="C766" s="36" t="str">
        <f t="shared" si="93"/>
        <v>122018</v>
      </c>
      <c r="D766" s="44">
        <f t="shared" si="105"/>
        <v>43438</v>
      </c>
      <c r="E766" s="38">
        <v>5.2817999999999996</v>
      </c>
      <c r="F766" s="39">
        <f t="shared" si="102"/>
        <v>418</v>
      </c>
      <c r="G766" s="33">
        <f t="shared" si="100"/>
        <v>2207.7923999999998</v>
      </c>
      <c r="H766" s="33"/>
      <c r="I766" s="33">
        <f t="shared" si="101"/>
        <v>2173.6</v>
      </c>
      <c r="J766" s="33"/>
      <c r="K766" s="33">
        <f t="shared" ref="K766:K776" si="106">IF(L765&gt;3%,I765,IF(L765&lt;-3%,I765,K765))</f>
        <v>2173.3909999999996</v>
      </c>
      <c r="L766" s="59">
        <f t="shared" si="98"/>
        <v>9.6163092605190437E-5</v>
      </c>
      <c r="M766" s="60" t="str">
        <f t="shared" si="104"/>
        <v/>
      </c>
      <c r="O766">
        <v>2181.83</v>
      </c>
      <c r="P766">
        <v>1778</v>
      </c>
      <c r="Q766" s="70">
        <f>SUM(O766:P766)</f>
        <v>3959.83</v>
      </c>
    </row>
    <row r="767" spans="1:17" x14ac:dyDescent="0.55000000000000004">
      <c r="A767" s="165"/>
      <c r="B767" s="35">
        <f t="shared" si="96"/>
        <v>5</v>
      </c>
      <c r="C767" s="36" t="str">
        <f t="shared" si="93"/>
        <v>122018</v>
      </c>
      <c r="D767" s="44">
        <f t="shared" si="105"/>
        <v>43439</v>
      </c>
      <c r="E767" s="38">
        <v>5.3829000000000002</v>
      </c>
      <c r="F767" s="39">
        <f t="shared" si="102"/>
        <v>418</v>
      </c>
      <c r="G767" s="33">
        <f t="shared" si="100"/>
        <v>2250.0522000000001</v>
      </c>
      <c r="H767" s="33"/>
      <c r="I767" s="33">
        <f t="shared" si="101"/>
        <v>2190.6961999999999</v>
      </c>
      <c r="J767" s="33"/>
      <c r="K767" s="33">
        <f t="shared" si="106"/>
        <v>2173.3909999999996</v>
      </c>
      <c r="L767" s="59">
        <f t="shared" si="98"/>
        <v>7.9623040676989297E-3</v>
      </c>
      <c r="M767" s="60" t="str">
        <f t="shared" si="104"/>
        <v/>
      </c>
      <c r="O767">
        <v>2675.77</v>
      </c>
      <c r="P767">
        <v>1778</v>
      </c>
      <c r="Q767" s="70">
        <f>SUM(O767:P767)</f>
        <v>4453.7700000000004</v>
      </c>
    </row>
    <row r="768" spans="1:17" x14ac:dyDescent="0.55000000000000004">
      <c r="A768" s="165"/>
      <c r="B768" s="35">
        <f t="shared" si="96"/>
        <v>6</v>
      </c>
      <c r="C768" s="36" t="str">
        <f t="shared" si="93"/>
        <v>122018</v>
      </c>
      <c r="D768" s="44">
        <f t="shared" si="105"/>
        <v>43440</v>
      </c>
      <c r="E768" s="38">
        <v>5.3704999999999998</v>
      </c>
      <c r="F768" s="39">
        <f t="shared" si="102"/>
        <v>418</v>
      </c>
      <c r="G768" s="33">
        <f t="shared" si="100"/>
        <v>2244.8690000000001</v>
      </c>
      <c r="H768" s="33"/>
      <c r="I768" s="33">
        <f t="shared" si="101"/>
        <v>2210.4815333333331</v>
      </c>
      <c r="J768" s="33"/>
      <c r="K768" s="33">
        <f t="shared" si="106"/>
        <v>2173.3909999999996</v>
      </c>
      <c r="L768" s="59">
        <f t="shared" si="98"/>
        <v>1.7065743500977736E-2</v>
      </c>
      <c r="M768" s="60" t="str">
        <f t="shared" si="104"/>
        <v/>
      </c>
      <c r="O768">
        <v>2771.06</v>
      </c>
      <c r="P768">
        <v>1684.4</v>
      </c>
      <c r="Q768" s="70">
        <f>SUM(O768:P768)</f>
        <v>4455.46</v>
      </c>
    </row>
    <row r="769" spans="1:13" x14ac:dyDescent="0.55000000000000004">
      <c r="A769" s="165"/>
      <c r="B769" s="35">
        <f t="shared" si="96"/>
        <v>7</v>
      </c>
      <c r="C769" s="36" t="str">
        <f t="shared" si="93"/>
        <v>122018</v>
      </c>
      <c r="D769" s="44">
        <f t="shared" si="105"/>
        <v>43441</v>
      </c>
      <c r="E769" s="38">
        <v>5.3353000000000002</v>
      </c>
      <c r="F769" s="39">
        <f t="shared" si="102"/>
        <v>418</v>
      </c>
      <c r="G769" s="33">
        <f t="shared" si="100"/>
        <v>2230.1554000000001</v>
      </c>
      <c r="H769" s="33"/>
      <c r="I769" s="33">
        <f t="shared" si="101"/>
        <v>2219.0783999999999</v>
      </c>
      <c r="J769" s="33"/>
      <c r="K769" s="33">
        <f t="shared" si="106"/>
        <v>2173.3909999999996</v>
      </c>
      <c r="L769" s="59">
        <f t="shared" si="98"/>
        <v>2.1021252043465839E-2</v>
      </c>
      <c r="M769" s="60" t="str">
        <f t="shared" si="104"/>
        <v/>
      </c>
    </row>
    <row r="770" spans="1:13" x14ac:dyDescent="0.55000000000000004">
      <c r="A770" s="165"/>
      <c r="B770" s="35">
        <f t="shared" si="96"/>
        <v>10</v>
      </c>
      <c r="C770" s="36" t="str">
        <f t="shared" ref="C770:C785" si="107">IF(F770&gt;0,MONTH(D770)&amp;YEAR(D770),"")</f>
        <v>122018</v>
      </c>
      <c r="D770" s="44">
        <f t="shared" si="105"/>
        <v>43444</v>
      </c>
      <c r="E770" s="38">
        <v>5.2904999999999998</v>
      </c>
      <c r="F770" s="39">
        <f t="shared" si="102"/>
        <v>418</v>
      </c>
      <c r="G770" s="33">
        <f t="shared" si="100"/>
        <v>2211.4290000000001</v>
      </c>
      <c r="H770" s="33"/>
      <c r="I770" s="33">
        <f t="shared" si="101"/>
        <v>2221.2937999999999</v>
      </c>
      <c r="J770" s="33"/>
      <c r="K770" s="33">
        <f t="shared" si="106"/>
        <v>2173.3909999999996</v>
      </c>
      <c r="L770" s="59">
        <f t="shared" si="98"/>
        <v>2.2040580825079474E-2</v>
      </c>
      <c r="M770" s="60" t="str">
        <f t="shared" si="104"/>
        <v/>
      </c>
    </row>
    <row r="771" spans="1:13" x14ac:dyDescent="0.55000000000000004">
      <c r="A771" s="165"/>
      <c r="B771" s="35">
        <f t="shared" si="96"/>
        <v>11</v>
      </c>
      <c r="C771" s="36" t="str">
        <f t="shared" si="107"/>
        <v>122018</v>
      </c>
      <c r="D771" s="44">
        <f t="shared" si="105"/>
        <v>43445</v>
      </c>
      <c r="E771" s="38">
        <v>5.3601000000000001</v>
      </c>
      <c r="F771" s="39">
        <f t="shared" si="102"/>
        <v>418</v>
      </c>
      <c r="G771" s="33">
        <f t="shared" si="100"/>
        <v>2240.5218</v>
      </c>
      <c r="H771" s="33"/>
      <c r="I771" s="33">
        <f t="shared" si="101"/>
        <v>2228.8596000000002</v>
      </c>
      <c r="J771" s="33"/>
      <c r="K771" s="33">
        <f t="shared" si="106"/>
        <v>2173.3909999999996</v>
      </c>
      <c r="L771" s="59">
        <f t="shared" si="98"/>
        <v>2.5521684777382724E-2</v>
      </c>
      <c r="M771" s="60" t="str">
        <f t="shared" si="104"/>
        <v/>
      </c>
    </row>
    <row r="772" spans="1:13" x14ac:dyDescent="0.55000000000000004">
      <c r="A772" s="165"/>
      <c r="B772" s="35">
        <f t="shared" si="96"/>
        <v>12</v>
      </c>
      <c r="C772" s="36" t="str">
        <f t="shared" si="107"/>
        <v>122018</v>
      </c>
      <c r="D772" s="44">
        <f t="shared" si="105"/>
        <v>43446</v>
      </c>
      <c r="E772" s="38">
        <v>5.3730000000000002</v>
      </c>
      <c r="F772" s="39">
        <f t="shared" si="102"/>
        <v>418</v>
      </c>
      <c r="G772" s="33">
        <f t="shared" si="100"/>
        <v>2245.9140000000002</v>
      </c>
      <c r="H772" s="33"/>
      <c r="I772" s="33">
        <f t="shared" si="101"/>
        <v>2235.4054799999994</v>
      </c>
      <c r="J772" s="33"/>
      <c r="K772" s="33">
        <f t="shared" si="106"/>
        <v>2173.3909999999996</v>
      </c>
      <c r="L772" s="59">
        <f t="shared" si="98"/>
        <v>2.8533512837772786E-2</v>
      </c>
      <c r="M772" s="60" t="str">
        <f t="shared" si="104"/>
        <v/>
      </c>
    </row>
    <row r="773" spans="1:13" x14ac:dyDescent="0.55000000000000004">
      <c r="A773" s="165"/>
      <c r="B773" s="35">
        <f t="shared" si="96"/>
        <v>13</v>
      </c>
      <c r="C773" s="36" t="str">
        <f t="shared" si="107"/>
        <v>122018</v>
      </c>
      <c r="D773" s="44">
        <f t="shared" si="105"/>
        <v>43447</v>
      </c>
      <c r="E773" s="38">
        <v>5.3708</v>
      </c>
      <c r="F773" s="39">
        <f t="shared" si="102"/>
        <v>418</v>
      </c>
      <c r="G773" s="33">
        <f t="shared" si="100"/>
        <v>2244.9944</v>
      </c>
      <c r="H773" s="33"/>
      <c r="I773" s="33">
        <f t="shared" si="101"/>
        <v>2234.5778399999999</v>
      </c>
      <c r="J773" s="33"/>
      <c r="K773" s="33">
        <f t="shared" si="106"/>
        <v>2173.3909999999996</v>
      </c>
      <c r="L773" s="59">
        <f t="shared" si="98"/>
        <v>2.8152706991056976E-2</v>
      </c>
      <c r="M773" s="60" t="str">
        <f t="shared" si="104"/>
        <v/>
      </c>
    </row>
    <row r="774" spans="1:13" x14ac:dyDescent="0.55000000000000004">
      <c r="A774" s="165"/>
      <c r="B774" s="35">
        <f t="shared" si="96"/>
        <v>14</v>
      </c>
      <c r="C774" s="36" t="str">
        <f t="shared" si="107"/>
        <v>122018</v>
      </c>
      <c r="D774" s="44">
        <f t="shared" si="105"/>
        <v>43448</v>
      </c>
      <c r="E774" s="38">
        <v>5.3807</v>
      </c>
      <c r="F774" s="39">
        <f t="shared" si="102"/>
        <v>418</v>
      </c>
      <c r="G774" s="33">
        <f t="shared" si="100"/>
        <v>2249.1325999999999</v>
      </c>
      <c r="H774" s="33"/>
      <c r="I774" s="33">
        <f t="shared" si="101"/>
        <v>2234.6029200000003</v>
      </c>
      <c r="J774" s="33"/>
      <c r="K774" s="33">
        <f t="shared" si="106"/>
        <v>2173.3909999999996</v>
      </c>
      <c r="L774" s="59">
        <f t="shared" si="98"/>
        <v>2.8164246562169742E-2</v>
      </c>
      <c r="M774" s="60" t="str">
        <f t="shared" si="104"/>
        <v/>
      </c>
    </row>
    <row r="775" spans="1:13" x14ac:dyDescent="0.55000000000000004">
      <c r="A775" s="165"/>
      <c r="B775" s="35">
        <f t="shared" si="96"/>
        <v>17</v>
      </c>
      <c r="C775" s="36" t="str">
        <f t="shared" si="107"/>
        <v>122018</v>
      </c>
      <c r="D775" s="44">
        <f t="shared" si="105"/>
        <v>43451</v>
      </c>
      <c r="E775" s="38">
        <v>5.3863000000000003</v>
      </c>
      <c r="F775" s="39">
        <f t="shared" si="102"/>
        <v>418</v>
      </c>
      <c r="G775" s="33">
        <f t="shared" si="100"/>
        <v>2251.4734000000003</v>
      </c>
      <c r="H775" s="33"/>
      <c r="I775" s="33">
        <f t="shared" si="101"/>
        <v>2238.3983600000001</v>
      </c>
      <c r="J775" s="33"/>
      <c r="K775" s="33">
        <f t="shared" si="106"/>
        <v>2173.3909999999996</v>
      </c>
      <c r="L775" s="59">
        <f t="shared" si="98"/>
        <v>2.9910568323877538E-2</v>
      </c>
      <c r="M775" s="60" t="str">
        <f t="shared" si="104"/>
        <v/>
      </c>
    </row>
    <row r="776" spans="1:13" x14ac:dyDescent="0.55000000000000004">
      <c r="A776" s="165"/>
      <c r="B776" s="35">
        <f t="shared" si="96"/>
        <v>18</v>
      </c>
      <c r="C776" s="36" t="str">
        <f t="shared" si="107"/>
        <v>122018</v>
      </c>
      <c r="D776" s="44">
        <f t="shared" si="105"/>
        <v>43452</v>
      </c>
      <c r="E776" s="38">
        <v>5.36</v>
      </c>
      <c r="F776" s="39">
        <f t="shared" si="102"/>
        <v>418</v>
      </c>
      <c r="G776" s="33">
        <f t="shared" si="100"/>
        <v>2240.48</v>
      </c>
      <c r="H776" s="33"/>
      <c r="I776" s="33">
        <f t="shared" si="101"/>
        <v>2246.40724</v>
      </c>
      <c r="J776" s="33"/>
      <c r="K776" s="33">
        <f t="shared" si="106"/>
        <v>2173.3909999999996</v>
      </c>
      <c r="L776" s="59">
        <f t="shared" si="98"/>
        <v>3.3595538032503307E-2</v>
      </c>
      <c r="M776" s="71"/>
    </row>
    <row r="777" spans="1:13" x14ac:dyDescent="0.55000000000000004">
      <c r="A777" s="165"/>
      <c r="B777" s="35">
        <f t="shared" si="96"/>
        <v>19</v>
      </c>
      <c r="C777" s="36" t="str">
        <f t="shared" si="107"/>
        <v>122018</v>
      </c>
      <c r="D777" s="44">
        <f t="shared" si="105"/>
        <v>43453</v>
      </c>
      <c r="E777" s="38">
        <v>5.3410000000000002</v>
      </c>
      <c r="F777" s="39">
        <f t="shared" si="102"/>
        <v>418</v>
      </c>
      <c r="G777" s="33">
        <f t="shared" si="100"/>
        <v>2232.538</v>
      </c>
      <c r="H777" s="33"/>
      <c r="I777" s="33">
        <f t="shared" si="101"/>
        <v>2246.3988800000002</v>
      </c>
      <c r="J777" s="33"/>
      <c r="K777" s="33">
        <v>2173.3909999999996</v>
      </c>
      <c r="L777" s="59">
        <f t="shared" si="98"/>
        <v>3.359169150879919E-2</v>
      </c>
      <c r="M777" s="60">
        <f t="shared" si="104"/>
        <v>0</v>
      </c>
    </row>
    <row r="778" spans="1:13" x14ac:dyDescent="0.55000000000000004">
      <c r="A778" s="165"/>
      <c r="B778" s="35">
        <f t="shared" si="96"/>
        <v>20</v>
      </c>
      <c r="C778" s="36" t="str">
        <f t="shared" si="107"/>
        <v>122018</v>
      </c>
      <c r="D778" s="44">
        <f t="shared" si="105"/>
        <v>43454</v>
      </c>
      <c r="E778" s="38">
        <v>5.2694999999999999</v>
      </c>
      <c r="F778" s="39">
        <f t="shared" si="102"/>
        <v>418</v>
      </c>
      <c r="G778" s="33">
        <f t="shared" si="100"/>
        <v>2202.6509999999998</v>
      </c>
      <c r="H778" s="33"/>
      <c r="I778" s="33">
        <f t="shared" si="101"/>
        <v>2232.538</v>
      </c>
      <c r="J778" s="33"/>
      <c r="K778" s="33">
        <v>2173.3909999999996</v>
      </c>
      <c r="L778" s="59">
        <f t="shared" si="98"/>
        <v>2.7214155207231649E-2</v>
      </c>
      <c r="M778" s="60" t="str">
        <f t="shared" si="104"/>
        <v/>
      </c>
    </row>
    <row r="779" spans="1:13" x14ac:dyDescent="0.55000000000000004">
      <c r="A779" s="165"/>
      <c r="B779" s="35">
        <f t="shared" si="96"/>
        <v>21</v>
      </c>
      <c r="C779" s="36" t="str">
        <f t="shared" si="107"/>
        <v>122018</v>
      </c>
      <c r="D779" s="44">
        <f t="shared" si="105"/>
        <v>43455</v>
      </c>
      <c r="E779" s="38">
        <v>5.2840999999999996</v>
      </c>
      <c r="F779" s="39">
        <f t="shared" si="102"/>
        <v>418</v>
      </c>
      <c r="G779" s="33">
        <f t="shared" si="100"/>
        <v>2208.7538</v>
      </c>
      <c r="H779" s="33"/>
      <c r="I779" s="33">
        <f t="shared" si="101"/>
        <v>2217.5945000000002</v>
      </c>
      <c r="J779" s="33"/>
      <c r="K779" s="33">
        <f t="shared" ref="K779:K792" si="108">IF(L778&gt;3%,I778,IF(L778&lt;-3%,I778,K778))</f>
        <v>2173.3909999999996</v>
      </c>
      <c r="L779" s="59">
        <f t="shared" si="98"/>
        <v>2.0338494085970053E-2</v>
      </c>
      <c r="M779" s="60" t="str">
        <f t="shared" si="104"/>
        <v/>
      </c>
    </row>
    <row r="780" spans="1:13" x14ac:dyDescent="0.55000000000000004">
      <c r="A780" s="165"/>
      <c r="B780" s="35">
        <f t="shared" si="96"/>
        <v>24</v>
      </c>
      <c r="C780" s="36" t="str">
        <f t="shared" si="107"/>
        <v>122018</v>
      </c>
      <c r="D780" s="44">
        <f t="shared" si="105"/>
        <v>43458</v>
      </c>
      <c r="E780" s="38">
        <v>5.3021000000000003</v>
      </c>
      <c r="F780" s="39">
        <f t="shared" si="102"/>
        <v>418</v>
      </c>
      <c r="G780" s="33">
        <f t="shared" si="100"/>
        <v>2216.2778000000003</v>
      </c>
      <c r="H780" s="33"/>
      <c r="I780" s="33">
        <f t="shared" si="101"/>
        <v>2214.6476000000002</v>
      </c>
      <c r="J780" s="33"/>
      <c r="K780" s="33">
        <f t="shared" si="108"/>
        <v>2173.3909999999996</v>
      </c>
      <c r="L780" s="59">
        <f t="shared" si="98"/>
        <v>1.8982594480238771E-2</v>
      </c>
      <c r="M780" s="60" t="str">
        <f t="shared" si="104"/>
        <v/>
      </c>
    </row>
    <row r="781" spans="1:13" x14ac:dyDescent="0.55000000000000004">
      <c r="A781" s="165"/>
      <c r="B781" s="35">
        <f t="shared" si="96"/>
        <v>25</v>
      </c>
      <c r="C781" s="36" t="str">
        <f t="shared" si="107"/>
        <v>122018</v>
      </c>
      <c r="D781" s="44">
        <f t="shared" si="105"/>
        <v>43459</v>
      </c>
      <c r="E781" s="38">
        <v>5.3129999999999997</v>
      </c>
      <c r="F781" s="39">
        <f t="shared" si="102"/>
        <v>418</v>
      </c>
      <c r="G781" s="33">
        <f t="shared" si="100"/>
        <v>2220.8339999999998</v>
      </c>
      <c r="H781" s="33"/>
      <c r="I781" s="33">
        <f t="shared" si="101"/>
        <v>2215.0551500000001</v>
      </c>
      <c r="J781" s="33"/>
      <c r="K781" s="33">
        <f t="shared" si="108"/>
        <v>2173.3909999999996</v>
      </c>
      <c r="L781" s="59">
        <f t="shared" si="98"/>
        <v>1.9170112510818588E-2</v>
      </c>
      <c r="M781" s="60" t="str">
        <f t="shared" si="104"/>
        <v/>
      </c>
    </row>
    <row r="782" spans="1:13" x14ac:dyDescent="0.55000000000000004">
      <c r="A782" s="165"/>
      <c r="B782" s="35">
        <f t="shared" si="96"/>
        <v>26</v>
      </c>
      <c r="C782" s="36" t="str">
        <f t="shared" si="107"/>
        <v>122018</v>
      </c>
      <c r="D782" s="44">
        <f t="shared" si="105"/>
        <v>43460</v>
      </c>
      <c r="E782" s="38">
        <v>5.2927</v>
      </c>
      <c r="F782" s="39">
        <f t="shared" si="102"/>
        <v>418</v>
      </c>
      <c r="G782" s="33">
        <f t="shared" si="100"/>
        <v>2212.3485999999998</v>
      </c>
      <c r="H782" s="33"/>
      <c r="I782" s="33">
        <f t="shared" si="101"/>
        <v>2216.21092</v>
      </c>
      <c r="J782" s="33"/>
      <c r="K782" s="33">
        <f t="shared" si="108"/>
        <v>2173.3909999999996</v>
      </c>
      <c r="L782" s="59">
        <f t="shared" si="98"/>
        <v>1.9701894412924491E-2</v>
      </c>
      <c r="M782" s="60" t="str">
        <f t="shared" si="104"/>
        <v/>
      </c>
    </row>
    <row r="783" spans="1:13" x14ac:dyDescent="0.55000000000000004">
      <c r="A783" s="165"/>
      <c r="B783" s="35">
        <f t="shared" si="96"/>
        <v>27</v>
      </c>
      <c r="C783" s="36" t="str">
        <f t="shared" si="107"/>
        <v>122018</v>
      </c>
      <c r="D783" s="44">
        <f t="shared" si="105"/>
        <v>43461</v>
      </c>
      <c r="E783" s="38">
        <v>5.2984999999999998</v>
      </c>
      <c r="F783" s="39">
        <f t="shared" si="102"/>
        <v>418</v>
      </c>
      <c r="G783" s="33">
        <f t="shared" si="100"/>
        <v>2214.7729999999997</v>
      </c>
      <c r="H783" s="33"/>
      <c r="I783" s="33">
        <f t="shared" si="101"/>
        <v>2212.1730400000001</v>
      </c>
      <c r="J783" s="33"/>
      <c r="K783" s="33">
        <f t="shared" si="108"/>
        <v>2173.3909999999996</v>
      </c>
      <c r="L783" s="59">
        <f t="shared" si="98"/>
        <v>1.7844023463794833E-2</v>
      </c>
      <c r="M783" s="60" t="str">
        <f t="shared" si="104"/>
        <v/>
      </c>
    </row>
    <row r="784" spans="1:13" x14ac:dyDescent="0.55000000000000004">
      <c r="A784" s="165"/>
      <c r="B784" s="35">
        <f t="shared" si="96"/>
        <v>28</v>
      </c>
      <c r="C784" s="36" t="str">
        <f t="shared" si="107"/>
        <v>122018</v>
      </c>
      <c r="D784" s="44">
        <f t="shared" si="105"/>
        <v>43462</v>
      </c>
      <c r="E784" s="38">
        <v>5.2704000000000004</v>
      </c>
      <c r="F784" s="39">
        <f t="shared" si="102"/>
        <v>418</v>
      </c>
      <c r="G784" s="33">
        <f t="shared" si="100"/>
        <v>2203.0272</v>
      </c>
      <c r="H784" s="33"/>
      <c r="I784" s="33">
        <f t="shared" si="101"/>
        <v>2214.5974400000005</v>
      </c>
      <c r="J784" s="33"/>
      <c r="K784" s="33">
        <f t="shared" si="108"/>
        <v>2173.3909999999996</v>
      </c>
      <c r="L784" s="59">
        <f t="shared" si="98"/>
        <v>1.8959515338013658E-2</v>
      </c>
      <c r="M784" s="60" t="str">
        <f t="shared" si="104"/>
        <v/>
      </c>
    </row>
    <row r="785" spans="1:15" ht="14.7" thickBot="1" x14ac:dyDescent="0.6">
      <c r="A785" s="166"/>
      <c r="B785" s="35">
        <f t="shared" si="96"/>
        <v>31</v>
      </c>
      <c r="C785" s="36" t="str">
        <f t="shared" si="107"/>
        <v>122018</v>
      </c>
      <c r="D785" s="53">
        <f t="shared" si="105"/>
        <v>43465</v>
      </c>
      <c r="E785" s="38">
        <v>5.2904999999999998</v>
      </c>
      <c r="F785" s="39">
        <f t="shared" si="102"/>
        <v>418</v>
      </c>
      <c r="G785" s="33">
        <f t="shared" si="100"/>
        <v>2211.4290000000001</v>
      </c>
      <c r="H785" s="33">
        <f t="shared" ref="H785:H848" si="109">IF(M784&lt;&gt;"",AVERAGE(G785),IF(M783&lt;&gt;"",AVERAGE(G784:G785),IF(M782&lt;&gt;"",AVERAGE(G783:G785),IF(M781&lt;&gt;"",AVERAGE(G782:G785),AVERAGE(G781:G785)))))</f>
        <v>2212.48236</v>
      </c>
      <c r="I785" s="33">
        <f t="shared" si="101"/>
        <v>2213.4521200000004</v>
      </c>
      <c r="J785" s="33"/>
      <c r="K785" s="33">
        <f t="shared" si="108"/>
        <v>2173.3909999999996</v>
      </c>
      <c r="L785" s="59">
        <f t="shared" si="98"/>
        <v>1.8432541590537904E-2</v>
      </c>
      <c r="M785" s="60" t="str">
        <f t="shared" si="104"/>
        <v/>
      </c>
    </row>
    <row r="786" spans="1:15" ht="14.7" thickBot="1" x14ac:dyDescent="0.6">
      <c r="B786" s="35">
        <f t="shared" si="96"/>
        <v>2</v>
      </c>
      <c r="C786" s="72" t="s">
        <v>116</v>
      </c>
      <c r="D786" s="73">
        <v>43467</v>
      </c>
      <c r="E786" s="38">
        <v>5.3411999999999997</v>
      </c>
      <c r="F786" s="39">
        <f>F785-7</f>
        <v>411</v>
      </c>
      <c r="G786" s="33">
        <f t="shared" ref="G786:G849" si="110">E785*F786</f>
        <v>2174.3955000000001</v>
      </c>
      <c r="H786" s="33">
        <f t="shared" si="109"/>
        <v>2203.1946600000001</v>
      </c>
      <c r="I786" s="33">
        <f t="shared" si="101"/>
        <v>2175.4312199999999</v>
      </c>
      <c r="J786" s="33"/>
      <c r="K786" s="33">
        <f t="shared" si="108"/>
        <v>2173.3909999999996</v>
      </c>
      <c r="L786" s="59">
        <f t="shared" si="98"/>
        <v>9.387266258120688E-4</v>
      </c>
      <c r="M786" s="71"/>
      <c r="O786" s="74">
        <v>5.2904999999999998</v>
      </c>
    </row>
    <row r="787" spans="1:15" ht="14.7" thickBot="1" x14ac:dyDescent="0.6">
      <c r="B787" s="35">
        <f t="shared" si="96"/>
        <v>3</v>
      </c>
      <c r="C787" s="72" t="s">
        <v>116</v>
      </c>
      <c r="D787" s="44">
        <f t="shared" si="105"/>
        <v>43468</v>
      </c>
      <c r="E787" s="38">
        <v>5.4686000000000003</v>
      </c>
      <c r="F787" s="39">
        <f t="shared" si="102"/>
        <v>411</v>
      </c>
      <c r="G787" s="33">
        <f t="shared" si="110"/>
        <v>2195.2331999999997</v>
      </c>
      <c r="H787" s="33">
        <f t="shared" si="109"/>
        <v>2199.7715799999996</v>
      </c>
      <c r="I787" s="33">
        <f t="shared" si="101"/>
        <v>2177.74926</v>
      </c>
      <c r="J787" s="33"/>
      <c r="K787" s="33">
        <f t="shared" si="108"/>
        <v>2173.3909999999996</v>
      </c>
      <c r="L787" s="59">
        <f t="shared" si="98"/>
        <v>2.0052811482151297E-3</v>
      </c>
      <c r="M787" s="60" t="str">
        <f t="shared" ref="M787:M807" si="111">IF(OR(L787&lt;-3%,L787&gt;3%),K788-K787,"")</f>
        <v/>
      </c>
      <c r="O787" s="74">
        <v>5.2904999999999998</v>
      </c>
    </row>
    <row r="788" spans="1:15" x14ac:dyDescent="0.55000000000000004">
      <c r="B788" s="35">
        <f t="shared" si="96"/>
        <v>4</v>
      </c>
      <c r="C788" s="72" t="s">
        <v>116</v>
      </c>
      <c r="D788" s="44">
        <f t="shared" si="105"/>
        <v>43469</v>
      </c>
      <c r="E788" s="38">
        <v>5.4185999999999996</v>
      </c>
      <c r="F788" s="39">
        <f t="shared" si="102"/>
        <v>411</v>
      </c>
      <c r="G788" s="33">
        <f t="shared" si="110"/>
        <v>2247.5946000000004</v>
      </c>
      <c r="H788" s="33">
        <f t="shared" si="109"/>
        <v>2206.3359000000005</v>
      </c>
      <c r="I788" s="33">
        <f t="shared" si="101"/>
        <v>2192.2082399999999</v>
      </c>
      <c r="J788" s="33"/>
      <c r="K788" s="33">
        <f t="shared" si="108"/>
        <v>2173.3909999999996</v>
      </c>
      <c r="L788" s="59">
        <f t="shared" si="98"/>
        <v>8.6580095344097382E-3</v>
      </c>
      <c r="M788" s="60" t="str">
        <f t="shared" si="111"/>
        <v/>
      </c>
      <c r="O788">
        <v>5.3411999999999997</v>
      </c>
    </row>
    <row r="789" spans="1:15" x14ac:dyDescent="0.55000000000000004">
      <c r="B789" s="35">
        <f t="shared" si="96"/>
        <v>7</v>
      </c>
      <c r="C789" s="72" t="s">
        <v>116</v>
      </c>
      <c r="D789" s="44">
        <f t="shared" si="105"/>
        <v>43472</v>
      </c>
      <c r="E789" s="38">
        <v>5.3693</v>
      </c>
      <c r="F789" s="39">
        <f t="shared" si="102"/>
        <v>411</v>
      </c>
      <c r="G789" s="33">
        <f t="shared" si="110"/>
        <v>2227.0445999999997</v>
      </c>
      <c r="H789" s="33">
        <f t="shared" si="109"/>
        <v>2211.1393800000001</v>
      </c>
      <c r="I789" s="33">
        <f t="shared" si="101"/>
        <v>2202.0804599999997</v>
      </c>
      <c r="J789" s="33"/>
      <c r="K789" s="33">
        <f t="shared" si="108"/>
        <v>2173.3909999999996</v>
      </c>
      <c r="L789" s="59">
        <f t="shared" si="98"/>
        <v>1.3200321525211091E-2</v>
      </c>
      <c r="M789" s="60" t="str">
        <f t="shared" si="111"/>
        <v/>
      </c>
      <c r="O789">
        <v>5.4686000000000003</v>
      </c>
    </row>
    <row r="790" spans="1:15" x14ac:dyDescent="0.55000000000000004">
      <c r="B790" s="35">
        <f t="shared" si="96"/>
        <v>8</v>
      </c>
      <c r="C790" s="72" t="s">
        <v>116</v>
      </c>
      <c r="D790" s="44">
        <f t="shared" si="105"/>
        <v>43473</v>
      </c>
      <c r="E790" s="38">
        <v>5.4362000000000004</v>
      </c>
      <c r="F790" s="39">
        <f t="shared" si="102"/>
        <v>411</v>
      </c>
      <c r="G790" s="33">
        <f t="shared" si="110"/>
        <v>2206.7822999999999</v>
      </c>
      <c r="H790" s="33">
        <f t="shared" si="109"/>
        <v>2210.2100399999995</v>
      </c>
      <c r="I790" s="33">
        <f t="shared" si="101"/>
        <v>2210.2100399999995</v>
      </c>
      <c r="J790" s="33"/>
      <c r="K790" s="33">
        <f t="shared" si="108"/>
        <v>2173.3909999999996</v>
      </c>
      <c r="L790" s="59">
        <f t="shared" si="98"/>
        <v>1.6940826570092479E-2</v>
      </c>
      <c r="M790" s="60" t="str">
        <f t="shared" si="111"/>
        <v/>
      </c>
      <c r="O790">
        <v>5.4185999999999996</v>
      </c>
    </row>
    <row r="791" spans="1:15" x14ac:dyDescent="0.55000000000000004">
      <c r="B791" s="35">
        <f t="shared" ref="B791:B854" si="112">DAY(D791)</f>
        <v>9</v>
      </c>
      <c r="C791" s="72" t="s">
        <v>116</v>
      </c>
      <c r="D791" s="44">
        <f t="shared" si="105"/>
        <v>43474</v>
      </c>
      <c r="E791" s="38">
        <v>5.5072000000000001</v>
      </c>
      <c r="F791" s="39">
        <f t="shared" si="102"/>
        <v>411</v>
      </c>
      <c r="G791" s="33">
        <f t="shared" si="110"/>
        <v>2234.2782000000002</v>
      </c>
      <c r="H791" s="33">
        <f t="shared" si="109"/>
        <v>2222.18658</v>
      </c>
      <c r="I791" s="33">
        <f t="shared" si="101"/>
        <v>2222.1865799999996</v>
      </c>
      <c r="J791" s="33"/>
      <c r="K791" s="33">
        <f t="shared" si="108"/>
        <v>2173.3909999999996</v>
      </c>
      <c r="L791" s="59">
        <f t="shared" si="98"/>
        <v>2.245135826917475E-2</v>
      </c>
      <c r="M791" s="60" t="str">
        <f t="shared" si="111"/>
        <v/>
      </c>
      <c r="O791">
        <v>5.4185999999999996</v>
      </c>
    </row>
    <row r="792" spans="1:15" x14ac:dyDescent="0.55000000000000004">
      <c r="B792" s="35">
        <f t="shared" si="112"/>
        <v>10</v>
      </c>
      <c r="C792" s="72" t="s">
        <v>116</v>
      </c>
      <c r="D792" s="44">
        <f t="shared" si="105"/>
        <v>43475</v>
      </c>
      <c r="E792" s="38">
        <v>5.4724000000000004</v>
      </c>
      <c r="F792" s="39">
        <f t="shared" si="102"/>
        <v>411</v>
      </c>
      <c r="G792" s="33">
        <f t="shared" si="110"/>
        <v>2263.4592000000002</v>
      </c>
      <c r="H792" s="33">
        <f t="shared" si="109"/>
        <v>2235.8317799999995</v>
      </c>
      <c r="I792" s="33">
        <f t="shared" si="101"/>
        <v>2235.83178</v>
      </c>
      <c r="J792" s="33"/>
      <c r="K792" s="33">
        <f t="shared" si="108"/>
        <v>2173.3909999999996</v>
      </c>
      <c r="L792" s="59">
        <f t="shared" ref="L792:L802" si="113">(I792-K792)/K792</f>
        <v>2.8729657940057895E-2</v>
      </c>
      <c r="M792" s="60" t="str">
        <f t="shared" si="111"/>
        <v/>
      </c>
      <c r="O792">
        <v>5.4185999999999996</v>
      </c>
    </row>
    <row r="793" spans="1:15" x14ac:dyDescent="0.55000000000000004">
      <c r="B793" s="35">
        <f t="shared" si="112"/>
        <v>11</v>
      </c>
      <c r="C793" s="72" t="s">
        <v>116</v>
      </c>
      <c r="D793" s="44">
        <f t="shared" si="105"/>
        <v>43476</v>
      </c>
      <c r="E793" s="38">
        <v>5.4340000000000002</v>
      </c>
      <c r="F793" s="39">
        <f t="shared" si="102"/>
        <v>411</v>
      </c>
      <c r="G793" s="33">
        <f t="shared" si="110"/>
        <v>2249.1564000000003</v>
      </c>
      <c r="H793" s="33">
        <f t="shared" si="109"/>
        <v>2236.1441400000003</v>
      </c>
      <c r="I793" s="33">
        <f t="shared" si="101"/>
        <v>2236.1441399999999</v>
      </c>
      <c r="J793" s="33"/>
      <c r="K793" s="33">
        <f>IF(L792&gt;3%,G792,IF(L792&lt;-3%,G792,K792))</f>
        <v>2173.3909999999996</v>
      </c>
      <c r="L793" s="59">
        <f t="shared" si="113"/>
        <v>2.8873378053005772E-2</v>
      </c>
      <c r="M793" s="60" t="str">
        <f t="shared" si="111"/>
        <v/>
      </c>
      <c r="O793">
        <v>5.3693</v>
      </c>
    </row>
    <row r="794" spans="1:15" x14ac:dyDescent="0.55000000000000004">
      <c r="B794" s="35">
        <f t="shared" si="112"/>
        <v>14</v>
      </c>
      <c r="C794" s="72" t="s">
        <v>116</v>
      </c>
      <c r="D794" s="44">
        <f t="shared" si="105"/>
        <v>43479</v>
      </c>
      <c r="E794" s="38">
        <v>5.5202999999999998</v>
      </c>
      <c r="F794" s="39">
        <f t="shared" si="102"/>
        <v>411</v>
      </c>
      <c r="G794" s="33">
        <f t="shared" si="110"/>
        <v>2233.3740000000003</v>
      </c>
      <c r="H794" s="33">
        <f t="shared" si="109"/>
        <v>2237.4100200000003</v>
      </c>
      <c r="I794" s="33">
        <f t="shared" si="101"/>
        <v>2237.4100200000003</v>
      </c>
      <c r="J794" s="33"/>
      <c r="K794" s="33">
        <f>IF(L793&gt;3%,G793,IF(L793&lt;-3%,G793,K793))</f>
        <v>2173.3909999999996</v>
      </c>
      <c r="L794" s="59">
        <f t="shared" si="113"/>
        <v>2.9455822721268583E-2</v>
      </c>
      <c r="M794" s="60" t="str">
        <f t="shared" si="111"/>
        <v/>
      </c>
      <c r="O794">
        <v>5.4362000000000004</v>
      </c>
    </row>
    <row r="795" spans="1:15" x14ac:dyDescent="0.55000000000000004">
      <c r="B795" s="35">
        <f t="shared" si="112"/>
        <v>15</v>
      </c>
      <c r="C795" s="72" t="s">
        <v>116</v>
      </c>
      <c r="D795" s="44">
        <f t="shared" si="105"/>
        <v>43480</v>
      </c>
      <c r="E795" s="38">
        <v>5.4499000000000004</v>
      </c>
      <c r="F795" s="39">
        <f t="shared" si="102"/>
        <v>411</v>
      </c>
      <c r="G795" s="33">
        <f t="shared" si="110"/>
        <v>2268.8433</v>
      </c>
      <c r="H795" s="33">
        <f t="shared" si="109"/>
        <v>2249.82222</v>
      </c>
      <c r="I795" s="33">
        <f t="shared" si="101"/>
        <v>2249.82222</v>
      </c>
      <c r="J795" s="33">
        <f t="shared" ref="J795:J827" si="114">IF(L795&gt;3%,G795,IF(L795&lt;-3%,G795,J794))</f>
        <v>2268.8433</v>
      </c>
      <c r="K795" s="33">
        <f>IF(L794&gt;3%,G794,IF(L794&lt;-3%,G794,K794))</f>
        <v>2173.3909999999996</v>
      </c>
      <c r="L795" s="59">
        <f t="shared" si="113"/>
        <v>3.5166806156830689E-2</v>
      </c>
      <c r="M795" s="60">
        <f t="shared" si="111"/>
        <v>95.452300000000378</v>
      </c>
      <c r="O795">
        <v>5.5072000000000001</v>
      </c>
    </row>
    <row r="796" spans="1:15" x14ac:dyDescent="0.55000000000000004">
      <c r="B796" s="35">
        <f t="shared" si="112"/>
        <v>16</v>
      </c>
      <c r="C796" s="72" t="s">
        <v>116</v>
      </c>
      <c r="D796" s="44">
        <f t="shared" si="105"/>
        <v>43481</v>
      </c>
      <c r="E796" s="38">
        <v>5.4134000000000002</v>
      </c>
      <c r="F796" s="39">
        <f t="shared" si="102"/>
        <v>411</v>
      </c>
      <c r="G796" s="33">
        <f t="shared" si="110"/>
        <v>2239.9089000000004</v>
      </c>
      <c r="H796" s="33">
        <f t="shared" si="109"/>
        <v>2239.9089000000004</v>
      </c>
      <c r="I796" s="33">
        <f t="shared" si="101"/>
        <v>2239.9089000000004</v>
      </c>
      <c r="J796" s="33">
        <f t="shared" si="114"/>
        <v>2268.8433</v>
      </c>
      <c r="K796" s="33">
        <f>IF(L795&gt;3%,G795,IF(L795&lt;-3%,G795,K795))</f>
        <v>2268.8433</v>
      </c>
      <c r="L796" s="59">
        <f t="shared" si="113"/>
        <v>-1.2752930094378771E-2</v>
      </c>
      <c r="M796" s="60" t="str">
        <f t="shared" si="111"/>
        <v/>
      </c>
      <c r="O796">
        <v>5.4724000000000004</v>
      </c>
    </row>
    <row r="797" spans="1:15" x14ac:dyDescent="0.55000000000000004">
      <c r="B797" s="35">
        <f t="shared" si="112"/>
        <v>17</v>
      </c>
      <c r="C797" s="72" t="s">
        <v>116</v>
      </c>
      <c r="D797" s="44">
        <f t="shared" si="105"/>
        <v>43482</v>
      </c>
      <c r="E797" s="38">
        <v>5.3658999999999999</v>
      </c>
      <c r="F797" s="39">
        <f t="shared" si="102"/>
        <v>411</v>
      </c>
      <c r="G797" s="33">
        <f t="shared" si="110"/>
        <v>2224.9074000000001</v>
      </c>
      <c r="H797" s="33">
        <f t="shared" si="109"/>
        <v>2232.4081500000002</v>
      </c>
      <c r="I797" s="33">
        <f t="shared" si="101"/>
        <v>2232.4081500000002</v>
      </c>
      <c r="J797" s="33">
        <f t="shared" si="114"/>
        <v>2268.8433</v>
      </c>
      <c r="K797" s="33">
        <f t="shared" ref="K797:K860" si="115">IF(L796&gt;3%,G796,IF(L796&lt;-3%,G796,K796))</f>
        <v>2268.8433</v>
      </c>
      <c r="L797" s="59">
        <f t="shared" si="113"/>
        <v>-1.6058909841856331E-2</v>
      </c>
      <c r="M797" s="60" t="str">
        <f t="shared" si="111"/>
        <v/>
      </c>
      <c r="O797">
        <v>5.4340000000000002</v>
      </c>
    </row>
    <row r="798" spans="1:15" x14ac:dyDescent="0.55000000000000004">
      <c r="B798" s="35">
        <f t="shared" si="112"/>
        <v>18</v>
      </c>
      <c r="C798" s="72" t="s">
        <v>116</v>
      </c>
      <c r="D798" s="44">
        <f t="shared" si="105"/>
        <v>43483</v>
      </c>
      <c r="E798" s="38">
        <v>5.3525999999999998</v>
      </c>
      <c r="F798" s="39">
        <f t="shared" si="102"/>
        <v>411</v>
      </c>
      <c r="G798" s="33">
        <f t="shared" si="110"/>
        <v>2205.3849</v>
      </c>
      <c r="H798" s="33">
        <f t="shared" si="109"/>
        <v>2223.4004</v>
      </c>
      <c r="I798" s="33">
        <f t="shared" si="101"/>
        <v>2223.4003999999995</v>
      </c>
      <c r="J798" s="33">
        <f t="shared" si="114"/>
        <v>2268.8433</v>
      </c>
      <c r="K798" s="33">
        <f t="shared" si="115"/>
        <v>2268.8433</v>
      </c>
      <c r="L798" s="59">
        <f t="shared" si="113"/>
        <v>-2.0029104698416351E-2</v>
      </c>
      <c r="M798" s="60" t="str">
        <f t="shared" si="111"/>
        <v/>
      </c>
      <c r="O798">
        <v>5.4340000000000002</v>
      </c>
    </row>
    <row r="799" spans="1:15" x14ac:dyDescent="0.55000000000000004">
      <c r="B799" s="35">
        <f t="shared" si="112"/>
        <v>21</v>
      </c>
      <c r="C799" s="72" t="s">
        <v>116</v>
      </c>
      <c r="D799" s="44">
        <f t="shared" si="105"/>
        <v>43486</v>
      </c>
      <c r="E799" s="38">
        <v>5.3464999999999998</v>
      </c>
      <c r="F799" s="39">
        <f t="shared" si="102"/>
        <v>411</v>
      </c>
      <c r="G799" s="33">
        <f t="shared" si="110"/>
        <v>2199.9186</v>
      </c>
      <c r="H799" s="33">
        <f t="shared" si="109"/>
        <v>2217.5299500000001</v>
      </c>
      <c r="I799" s="33">
        <f t="shared" si="101"/>
        <v>2217.5299499999996</v>
      </c>
      <c r="J799" s="33">
        <f t="shared" si="114"/>
        <v>2268.8433</v>
      </c>
      <c r="K799" s="33">
        <f t="shared" si="115"/>
        <v>2268.8433</v>
      </c>
      <c r="L799" s="59">
        <f t="shared" si="113"/>
        <v>-2.2616524464250286E-2</v>
      </c>
      <c r="M799" s="60" t="str">
        <f t="shared" si="111"/>
        <v/>
      </c>
      <c r="O799">
        <v>5.4340000000000002</v>
      </c>
    </row>
    <row r="800" spans="1:15" x14ac:dyDescent="0.55000000000000004">
      <c r="B800" s="35">
        <f t="shared" si="112"/>
        <v>22</v>
      </c>
      <c r="C800" s="72" t="s">
        <v>116</v>
      </c>
      <c r="D800" s="44">
        <f t="shared" si="105"/>
        <v>43487</v>
      </c>
      <c r="E800" s="38">
        <v>5.3551000000000002</v>
      </c>
      <c r="F800" s="39">
        <f t="shared" si="102"/>
        <v>411</v>
      </c>
      <c r="G800" s="33">
        <f t="shared" si="110"/>
        <v>2197.4114999999997</v>
      </c>
      <c r="H800" s="33">
        <f t="shared" si="109"/>
        <v>2213.5062600000001</v>
      </c>
      <c r="I800" s="33">
        <f t="shared" si="101"/>
        <v>2213.5062599999997</v>
      </c>
      <c r="J800" s="33">
        <f t="shared" si="114"/>
        <v>2268.8433</v>
      </c>
      <c r="K800" s="33">
        <f t="shared" si="115"/>
        <v>2268.8433</v>
      </c>
      <c r="L800" s="59">
        <f t="shared" si="113"/>
        <v>-2.4389978805499851E-2</v>
      </c>
      <c r="M800" s="60" t="str">
        <f t="shared" si="111"/>
        <v/>
      </c>
      <c r="O800">
        <v>5.5202999999999998</v>
      </c>
    </row>
    <row r="801" spans="2:15" x14ac:dyDescent="0.55000000000000004">
      <c r="B801" s="35">
        <f t="shared" si="112"/>
        <v>23</v>
      </c>
      <c r="C801" s="72" t="s">
        <v>116</v>
      </c>
      <c r="D801" s="44">
        <f t="shared" si="105"/>
        <v>43488</v>
      </c>
      <c r="E801" s="38">
        <v>5.3238000000000003</v>
      </c>
      <c r="F801" s="39">
        <f t="shared" si="102"/>
        <v>411</v>
      </c>
      <c r="G801" s="33">
        <f t="shared" si="110"/>
        <v>2200.9461000000001</v>
      </c>
      <c r="H801" s="33">
        <f t="shared" si="109"/>
        <v>2205.7137000000002</v>
      </c>
      <c r="I801" s="33">
        <f t="shared" si="101"/>
        <v>2205.7136999999998</v>
      </c>
      <c r="J801" s="33">
        <f t="shared" si="114"/>
        <v>2268.8433</v>
      </c>
      <c r="K801" s="33">
        <f t="shared" si="115"/>
        <v>2268.8433</v>
      </c>
      <c r="L801" s="59">
        <f t="shared" si="113"/>
        <v>-2.7824574751372299E-2</v>
      </c>
      <c r="M801" s="60" t="str">
        <f t="shared" si="111"/>
        <v/>
      </c>
      <c r="O801">
        <v>5.4499000000000004</v>
      </c>
    </row>
    <row r="802" spans="2:15" x14ac:dyDescent="0.55000000000000004">
      <c r="B802" s="35">
        <f t="shared" si="112"/>
        <v>24</v>
      </c>
      <c r="C802" s="72" t="s">
        <v>116</v>
      </c>
      <c r="D802" s="44">
        <f t="shared" si="105"/>
        <v>43489</v>
      </c>
      <c r="E802" s="38">
        <v>5.2835000000000001</v>
      </c>
      <c r="F802" s="39">
        <f t="shared" si="102"/>
        <v>411</v>
      </c>
      <c r="G802" s="33">
        <f t="shared" si="110"/>
        <v>2188.0817999999999</v>
      </c>
      <c r="H802" s="33">
        <f t="shared" si="109"/>
        <v>2198.3485800000003</v>
      </c>
      <c r="I802" s="62">
        <f t="shared" ref="I802:I865" si="116">F802*AVERAGE(E797:E801)</f>
        <v>2198.3485799999999</v>
      </c>
      <c r="J802" s="33">
        <f t="shared" si="114"/>
        <v>2188.0817999999999</v>
      </c>
      <c r="K802" s="33">
        <f t="shared" si="115"/>
        <v>2268.8433</v>
      </c>
      <c r="L802" s="59">
        <f t="shared" si="113"/>
        <v>-3.107077513903236E-2</v>
      </c>
      <c r="M802" s="71">
        <f>IF(OR(L802&lt;0%,L802&gt;0%),K803-K802,"")</f>
        <v>-80.761500000000069</v>
      </c>
      <c r="O802">
        <v>5.4134000000000002</v>
      </c>
    </row>
    <row r="803" spans="2:15" x14ac:dyDescent="0.55000000000000004">
      <c r="B803" s="35">
        <f t="shared" si="112"/>
        <v>25</v>
      </c>
      <c r="C803" s="72" t="s">
        <v>116</v>
      </c>
      <c r="D803" s="44">
        <f t="shared" si="105"/>
        <v>43490</v>
      </c>
      <c r="E803" s="38">
        <v>5.2736000000000001</v>
      </c>
      <c r="F803" s="39">
        <f t="shared" si="102"/>
        <v>411</v>
      </c>
      <c r="G803" s="33">
        <f t="shared" si="110"/>
        <v>2171.5185000000001</v>
      </c>
      <c r="H803" s="33">
        <f>IF(M802&lt;&gt;"",AVERAGE(G803),IF(M801&lt;&gt;"",AVERAGE(G802:G803),IF(M800&lt;&gt;"",AVERAGE(G801:G803),IF(M799&lt;&gt;"",AVERAGE(G800:G803),AVERAGE(G799:G803)))))</f>
        <v>2171.5185000000001</v>
      </c>
      <c r="I803" s="33">
        <f t="shared" si="116"/>
        <v>2191.5753</v>
      </c>
      <c r="J803" s="33">
        <f t="shared" si="114"/>
        <v>2188.0817999999999</v>
      </c>
      <c r="K803" s="33">
        <f>IF(L802&gt;3%,G802,IF(L802&lt;-3%,G802,K802))</f>
        <v>2188.0817999999999</v>
      </c>
      <c r="L803" s="59">
        <f t="shared" ref="L803:L808" si="117">(H803-J802)/J802</f>
        <v>-7.5697809835079287E-3</v>
      </c>
      <c r="M803" s="60" t="str">
        <f t="shared" si="111"/>
        <v/>
      </c>
      <c r="O803">
        <v>5.3658999999999999</v>
      </c>
    </row>
    <row r="804" spans="2:15" x14ac:dyDescent="0.55000000000000004">
      <c r="B804" s="35">
        <f t="shared" si="112"/>
        <v>28</v>
      </c>
      <c r="C804" s="72" t="s">
        <v>116</v>
      </c>
      <c r="D804" s="44">
        <f t="shared" si="105"/>
        <v>43493</v>
      </c>
      <c r="E804" s="38">
        <v>5.2858000000000001</v>
      </c>
      <c r="F804" s="39">
        <f t="shared" si="102"/>
        <v>411</v>
      </c>
      <c r="G804" s="33">
        <f t="shared" si="110"/>
        <v>2167.4495999999999</v>
      </c>
      <c r="H804" s="33">
        <f t="shared" si="109"/>
        <v>2169.48405</v>
      </c>
      <c r="I804" s="33">
        <f t="shared" si="116"/>
        <v>2185.0814999999998</v>
      </c>
      <c r="J804" s="33">
        <f t="shared" si="114"/>
        <v>2188.0817999999999</v>
      </c>
      <c r="K804" s="33">
        <f t="shared" si="115"/>
        <v>2188.0817999999999</v>
      </c>
      <c r="L804" s="59">
        <f t="shared" si="117"/>
        <v>-8.4995679777602039E-3</v>
      </c>
      <c r="M804" s="60" t="str">
        <f t="shared" si="111"/>
        <v/>
      </c>
      <c r="O804">
        <v>5.3525999999999998</v>
      </c>
    </row>
    <row r="805" spans="2:15" x14ac:dyDescent="0.55000000000000004">
      <c r="B805" s="35">
        <f t="shared" si="112"/>
        <v>29</v>
      </c>
      <c r="C805" s="72" t="s">
        <v>116</v>
      </c>
      <c r="D805" s="44">
        <f t="shared" si="105"/>
        <v>43494</v>
      </c>
      <c r="E805" s="38">
        <v>5.3436000000000003</v>
      </c>
      <c r="F805" s="39">
        <f t="shared" si="102"/>
        <v>411</v>
      </c>
      <c r="G805" s="33">
        <f t="shared" si="110"/>
        <v>2172.4638</v>
      </c>
      <c r="H805" s="33">
        <f t="shared" si="109"/>
        <v>2170.4773</v>
      </c>
      <c r="I805" s="33">
        <f t="shared" si="116"/>
        <v>2180.0919600000002</v>
      </c>
      <c r="J805" s="33">
        <f t="shared" si="114"/>
        <v>2188.0817999999999</v>
      </c>
      <c r="K805" s="33">
        <f t="shared" si="115"/>
        <v>2188.0817999999999</v>
      </c>
      <c r="L805" s="59">
        <f t="shared" si="117"/>
        <v>-8.0456315664249461E-3</v>
      </c>
      <c r="M805" s="60" t="str">
        <f t="shared" si="111"/>
        <v/>
      </c>
      <c r="O805">
        <v>5.3525999999999998</v>
      </c>
    </row>
    <row r="806" spans="2:15" x14ac:dyDescent="0.55000000000000004">
      <c r="B806" s="35">
        <f t="shared" si="112"/>
        <v>30</v>
      </c>
      <c r="C806" s="72" t="s">
        <v>116</v>
      </c>
      <c r="D806" s="44">
        <f t="shared" si="105"/>
        <v>43495</v>
      </c>
      <c r="E806" s="38">
        <v>5.2876000000000003</v>
      </c>
      <c r="F806" s="39">
        <f t="shared" si="102"/>
        <v>411</v>
      </c>
      <c r="G806" s="33">
        <f t="shared" si="110"/>
        <v>2196.2196000000004</v>
      </c>
      <c r="H806" s="33">
        <f t="shared" si="109"/>
        <v>2176.912875</v>
      </c>
      <c r="I806" s="33">
        <f t="shared" si="116"/>
        <v>2179.1466599999999</v>
      </c>
      <c r="J806" s="33">
        <f t="shared" si="114"/>
        <v>2188.0817999999999</v>
      </c>
      <c r="K806" s="33">
        <f t="shared" si="115"/>
        <v>2188.0817999999999</v>
      </c>
      <c r="L806" s="59">
        <f t="shared" si="117"/>
        <v>-5.1044366805664872E-3</v>
      </c>
      <c r="M806" s="60" t="str">
        <f t="shared" si="111"/>
        <v/>
      </c>
      <c r="O806">
        <v>5.3525999999999998</v>
      </c>
    </row>
    <row r="807" spans="2:15" x14ac:dyDescent="0.55000000000000004">
      <c r="B807" s="35">
        <f t="shared" si="112"/>
        <v>31</v>
      </c>
      <c r="C807" s="72" t="s">
        <v>116</v>
      </c>
      <c r="D807" s="44">
        <f t="shared" si="105"/>
        <v>43496</v>
      </c>
      <c r="E807" s="38">
        <v>5.2202999999999999</v>
      </c>
      <c r="F807" s="39">
        <f t="shared" si="102"/>
        <v>411</v>
      </c>
      <c r="G807" s="33">
        <f t="shared" si="110"/>
        <v>2173.2036000000003</v>
      </c>
      <c r="H807" s="33">
        <f t="shared" si="109"/>
        <v>2176.1710200000002</v>
      </c>
      <c r="I807" s="33">
        <f t="shared" si="116"/>
        <v>2176.1710200000002</v>
      </c>
      <c r="J807" s="33">
        <f t="shared" si="114"/>
        <v>2188.0817999999999</v>
      </c>
      <c r="K807" s="33">
        <f t="shared" si="115"/>
        <v>2188.0817999999999</v>
      </c>
      <c r="L807" s="59">
        <f t="shared" si="117"/>
        <v>-5.4434802208947145E-3</v>
      </c>
      <c r="M807" s="60" t="str">
        <f t="shared" si="111"/>
        <v/>
      </c>
      <c r="O807">
        <v>5.3464999999999998</v>
      </c>
    </row>
    <row r="808" spans="2:15" x14ac:dyDescent="0.55000000000000004">
      <c r="B808" s="35">
        <f t="shared" si="112"/>
        <v>1</v>
      </c>
      <c r="C808" s="72" t="s">
        <v>117</v>
      </c>
      <c r="D808" s="44">
        <f t="shared" si="105"/>
        <v>43497</v>
      </c>
      <c r="E808" s="38">
        <v>5.2038000000000002</v>
      </c>
      <c r="F808" s="39">
        <f>422.5+40</f>
        <v>462.5</v>
      </c>
      <c r="G808" s="33">
        <f t="shared" si="110"/>
        <v>2414.3887500000001</v>
      </c>
      <c r="H808" s="33">
        <f t="shared" si="109"/>
        <v>2224.7450699999999</v>
      </c>
      <c r="I808" s="33">
        <f t="shared" si="116"/>
        <v>2443.0082499999999</v>
      </c>
      <c r="J808" s="33">
        <f t="shared" si="114"/>
        <v>2188.0817999999999</v>
      </c>
      <c r="K808" s="33">
        <f t="shared" si="115"/>
        <v>2188.0817999999999</v>
      </c>
      <c r="L808" s="59">
        <f t="shared" si="117"/>
        <v>1.6755895506283182E-2</v>
      </c>
      <c r="M808" s="60"/>
      <c r="O808">
        <v>5.3551000000000002</v>
      </c>
    </row>
    <row r="809" spans="2:15" x14ac:dyDescent="0.55000000000000004">
      <c r="B809" s="35">
        <f t="shared" si="112"/>
        <v>4</v>
      </c>
      <c r="C809" s="72" t="s">
        <v>117</v>
      </c>
      <c r="D809" s="44">
        <f t="shared" si="105"/>
        <v>43500</v>
      </c>
      <c r="E809" s="38">
        <v>5.2287999999999997</v>
      </c>
      <c r="F809" s="39">
        <f t="shared" ref="F809:F872" si="118">F808</f>
        <v>462.5</v>
      </c>
      <c r="G809" s="33">
        <f t="shared" si="110"/>
        <v>2406.7575000000002</v>
      </c>
      <c r="H809" s="33">
        <f t="shared" si="109"/>
        <v>2272.6066500000002</v>
      </c>
      <c r="I809" s="33">
        <f t="shared" si="116"/>
        <v>2436.5517500000005</v>
      </c>
      <c r="J809" s="33">
        <f t="shared" si="114"/>
        <v>2406.7575000000002</v>
      </c>
      <c r="K809" s="33">
        <f t="shared" si="115"/>
        <v>2188.0817999999999</v>
      </c>
      <c r="L809" s="59">
        <f>(H809-J808)/J808</f>
        <v>3.8629657264184658E-2</v>
      </c>
      <c r="M809" s="60">
        <f>IF(OR(L809&lt;-3%,L809&gt;3%),K810-K809,"")</f>
        <v>218.67570000000023</v>
      </c>
      <c r="O809">
        <v>5.3238000000000003</v>
      </c>
    </row>
    <row r="810" spans="2:15" x14ac:dyDescent="0.55000000000000004">
      <c r="B810" s="35">
        <f t="shared" si="112"/>
        <v>5</v>
      </c>
      <c r="C810" s="72" t="s">
        <v>117</v>
      </c>
      <c r="D810" s="44">
        <f t="shared" si="105"/>
        <v>43501</v>
      </c>
      <c r="E810" s="38">
        <v>5.2073</v>
      </c>
      <c r="F810" s="39">
        <f t="shared" si="118"/>
        <v>462.5</v>
      </c>
      <c r="G810" s="33">
        <f t="shared" si="110"/>
        <v>2418.3199999999997</v>
      </c>
      <c r="H810" s="33">
        <f t="shared" si="109"/>
        <v>2418.3199999999997</v>
      </c>
      <c r="I810" s="33">
        <f t="shared" si="116"/>
        <v>2431.2792499999996</v>
      </c>
      <c r="J810" s="33">
        <f t="shared" si="114"/>
        <v>2406.7575000000002</v>
      </c>
      <c r="K810" s="33">
        <f t="shared" si="115"/>
        <v>2406.7575000000002</v>
      </c>
      <c r="L810" s="59">
        <f t="shared" ref="L810:L827" si="119">(H810-J809)/J809</f>
        <v>4.8041815596293119E-3</v>
      </c>
      <c r="M810" s="60" t="str">
        <f t="shared" ref="M810:M826" si="120">IF(OR(L810&lt;-3%,L810&gt;3%),K811-K810,"")</f>
        <v/>
      </c>
      <c r="O810">
        <v>5.2835000000000001</v>
      </c>
    </row>
    <row r="811" spans="2:15" x14ac:dyDescent="0.55000000000000004">
      <c r="B811" s="35">
        <f t="shared" si="112"/>
        <v>6</v>
      </c>
      <c r="C811" s="72" t="s">
        <v>117</v>
      </c>
      <c r="D811" s="44">
        <f t="shared" si="105"/>
        <v>43502</v>
      </c>
      <c r="E811" s="38">
        <v>5.2183000000000002</v>
      </c>
      <c r="F811" s="39">
        <f t="shared" si="118"/>
        <v>462.5</v>
      </c>
      <c r="G811" s="33">
        <f t="shared" si="110"/>
        <v>2408.3762499999998</v>
      </c>
      <c r="H811" s="33">
        <f t="shared" si="109"/>
        <v>2413.3481249999995</v>
      </c>
      <c r="I811" s="33">
        <f t="shared" si="116"/>
        <v>2418.6714999999999</v>
      </c>
      <c r="J811" s="33">
        <f t="shared" si="114"/>
        <v>2406.7575000000002</v>
      </c>
      <c r="K811" s="33">
        <f t="shared" si="115"/>
        <v>2406.7575000000002</v>
      </c>
      <c r="L811" s="59">
        <f t="shared" si="119"/>
        <v>2.7383834889885511E-3</v>
      </c>
      <c r="M811" s="60" t="str">
        <f t="shared" si="120"/>
        <v/>
      </c>
      <c r="O811">
        <v>5.2736000000000001</v>
      </c>
    </row>
    <row r="812" spans="2:15" x14ac:dyDescent="0.55000000000000004">
      <c r="B812" s="35">
        <f t="shared" si="112"/>
        <v>7</v>
      </c>
      <c r="C812" s="72" t="s">
        <v>117</v>
      </c>
      <c r="D812" s="44">
        <f t="shared" si="105"/>
        <v>43503</v>
      </c>
      <c r="E812" s="38">
        <v>5.2502000000000004</v>
      </c>
      <c r="F812" s="39">
        <f t="shared" si="118"/>
        <v>462.5</v>
      </c>
      <c r="G812" s="33">
        <f t="shared" si="110"/>
        <v>2413.4637499999999</v>
      </c>
      <c r="H812" s="33">
        <f t="shared" si="109"/>
        <v>2413.3866666666663</v>
      </c>
      <c r="I812" s="33">
        <f t="shared" si="116"/>
        <v>2412.26125</v>
      </c>
      <c r="J812" s="33">
        <f t="shared" si="114"/>
        <v>2406.7575000000002</v>
      </c>
      <c r="K812" s="33">
        <f t="shared" si="115"/>
        <v>2406.7575000000002</v>
      </c>
      <c r="L812" s="59">
        <f t="shared" si="119"/>
        <v>2.7543974275206998E-3</v>
      </c>
      <c r="M812" s="60" t="str">
        <f t="shared" si="120"/>
        <v/>
      </c>
      <c r="O812">
        <v>5.2736000000000001</v>
      </c>
    </row>
    <row r="813" spans="2:15" x14ac:dyDescent="0.55000000000000004">
      <c r="B813" s="35">
        <f t="shared" si="112"/>
        <v>8</v>
      </c>
      <c r="C813" s="72" t="s">
        <v>117</v>
      </c>
      <c r="D813" s="44">
        <f t="shared" si="105"/>
        <v>43504</v>
      </c>
      <c r="E813" s="38">
        <v>5.2531999999999996</v>
      </c>
      <c r="F813" s="39">
        <f t="shared" si="118"/>
        <v>462.5</v>
      </c>
      <c r="G813" s="33">
        <f t="shared" si="110"/>
        <v>2428.2175000000002</v>
      </c>
      <c r="H813" s="33">
        <f t="shared" si="109"/>
        <v>2417.0943749999997</v>
      </c>
      <c r="I813" s="33">
        <f t="shared" si="116"/>
        <v>2415.027</v>
      </c>
      <c r="J813" s="33">
        <f t="shared" si="114"/>
        <v>2406.7575000000002</v>
      </c>
      <c r="K813" s="33">
        <f t="shared" si="115"/>
        <v>2406.7575000000002</v>
      </c>
      <c r="L813" s="59">
        <f t="shared" si="119"/>
        <v>4.2949383143085704E-3</v>
      </c>
      <c r="M813" s="60" t="str">
        <f t="shared" si="120"/>
        <v/>
      </c>
      <c r="O813">
        <v>5.2736000000000001</v>
      </c>
    </row>
    <row r="814" spans="2:15" x14ac:dyDescent="0.55000000000000004">
      <c r="B814" s="35">
        <f t="shared" si="112"/>
        <v>11</v>
      </c>
      <c r="C814" s="72" t="s">
        <v>117</v>
      </c>
      <c r="D814" s="44">
        <f t="shared" si="105"/>
        <v>43507</v>
      </c>
      <c r="E814" s="38">
        <v>5.2651000000000003</v>
      </c>
      <c r="F814" s="39">
        <f t="shared" si="118"/>
        <v>462.5</v>
      </c>
      <c r="G814" s="33">
        <f t="shared" si="110"/>
        <v>2429.605</v>
      </c>
      <c r="H814" s="33">
        <f t="shared" si="109"/>
        <v>2419.5964999999997</v>
      </c>
      <c r="I814" s="33">
        <f t="shared" si="116"/>
        <v>2419.5965000000001</v>
      </c>
      <c r="J814" s="33">
        <f t="shared" si="114"/>
        <v>2406.7575000000002</v>
      </c>
      <c r="K814" s="33">
        <f t="shared" si="115"/>
        <v>2406.7575000000002</v>
      </c>
      <c r="L814" s="59">
        <f t="shared" si="119"/>
        <v>5.334563203812385E-3</v>
      </c>
      <c r="M814" s="60" t="str">
        <f t="shared" si="120"/>
        <v/>
      </c>
      <c r="O814">
        <v>5.2858000000000001</v>
      </c>
    </row>
    <row r="815" spans="2:15" x14ac:dyDescent="0.55000000000000004">
      <c r="B815" s="35">
        <f t="shared" si="112"/>
        <v>12</v>
      </c>
      <c r="C815" s="72" t="s">
        <v>117</v>
      </c>
      <c r="D815" s="44">
        <f t="shared" si="105"/>
        <v>43508</v>
      </c>
      <c r="E815" s="38">
        <v>5.2732999999999999</v>
      </c>
      <c r="F815" s="39">
        <f t="shared" si="118"/>
        <v>462.5</v>
      </c>
      <c r="G815" s="33">
        <f t="shared" si="110"/>
        <v>2435.1087500000003</v>
      </c>
      <c r="H815" s="33">
        <f t="shared" si="109"/>
        <v>2422.9542500000002</v>
      </c>
      <c r="I815" s="33">
        <f t="shared" si="116"/>
        <v>2422.9542499999998</v>
      </c>
      <c r="J815" s="33">
        <f t="shared" si="114"/>
        <v>2406.7575000000002</v>
      </c>
      <c r="K815" s="33">
        <f t="shared" si="115"/>
        <v>2406.7575000000002</v>
      </c>
      <c r="L815" s="59">
        <f t="shared" si="119"/>
        <v>6.7296975287290325E-3</v>
      </c>
      <c r="M815" s="60" t="str">
        <f t="shared" si="120"/>
        <v/>
      </c>
      <c r="O815">
        <v>5.3436000000000003</v>
      </c>
    </row>
    <row r="816" spans="2:15" x14ac:dyDescent="0.55000000000000004">
      <c r="B816" s="35">
        <f t="shared" si="112"/>
        <v>13</v>
      </c>
      <c r="C816" s="72" t="s">
        <v>117</v>
      </c>
      <c r="D816" s="44">
        <f t="shared" si="105"/>
        <v>43509</v>
      </c>
      <c r="E816" s="38">
        <v>5.2523</v>
      </c>
      <c r="F816" s="39">
        <f t="shared" si="118"/>
        <v>462.5</v>
      </c>
      <c r="G816" s="33">
        <f t="shared" si="110"/>
        <v>2438.9012499999999</v>
      </c>
      <c r="H816" s="33">
        <f t="shared" si="109"/>
        <v>2429.0592499999998</v>
      </c>
      <c r="I816" s="33">
        <f t="shared" si="116"/>
        <v>2429.0592499999998</v>
      </c>
      <c r="J816" s="33">
        <f t="shared" si="114"/>
        <v>2406.7575000000002</v>
      </c>
      <c r="K816" s="33">
        <f t="shared" si="115"/>
        <v>2406.7575000000002</v>
      </c>
      <c r="L816" s="59">
        <f t="shared" si="119"/>
        <v>9.2663053922132279E-3</v>
      </c>
      <c r="M816" s="60" t="str">
        <f t="shared" si="120"/>
        <v/>
      </c>
      <c r="O816">
        <v>5.2876000000000003</v>
      </c>
    </row>
    <row r="817" spans="2:13" x14ac:dyDescent="0.55000000000000004">
      <c r="B817" s="35">
        <f t="shared" si="112"/>
        <v>14</v>
      </c>
      <c r="C817" s="72" t="s">
        <v>117</v>
      </c>
      <c r="D817" s="44">
        <f t="shared" si="105"/>
        <v>43510</v>
      </c>
      <c r="E817" s="38">
        <v>5.2961999999999998</v>
      </c>
      <c r="F817" s="39">
        <f t="shared" si="118"/>
        <v>462.5</v>
      </c>
      <c r="G817" s="33">
        <f t="shared" si="110"/>
        <v>2429.1887499999998</v>
      </c>
      <c r="H817" s="33">
        <f t="shared" si="109"/>
        <v>2432.2042499999998</v>
      </c>
      <c r="I817" s="33">
        <f t="shared" si="116"/>
        <v>2432.2042500000002</v>
      </c>
      <c r="J817" s="33">
        <f t="shared" si="114"/>
        <v>2406.7575000000002</v>
      </c>
      <c r="K817" s="33">
        <f t="shared" si="115"/>
        <v>2406.7575000000002</v>
      </c>
      <c r="L817" s="59">
        <f t="shared" si="119"/>
        <v>1.0573042776432444E-2</v>
      </c>
      <c r="M817" s="60" t="str">
        <f t="shared" si="120"/>
        <v/>
      </c>
    </row>
    <row r="818" spans="2:13" x14ac:dyDescent="0.55000000000000004">
      <c r="B818" s="35">
        <f t="shared" si="112"/>
        <v>15</v>
      </c>
      <c r="C818" s="72" t="s">
        <v>117</v>
      </c>
      <c r="D818" s="44">
        <f t="shared" si="105"/>
        <v>43511</v>
      </c>
      <c r="E818" s="38">
        <v>5.2695999999999996</v>
      </c>
      <c r="F818" s="39">
        <f t="shared" si="118"/>
        <v>462.5</v>
      </c>
      <c r="G818" s="33">
        <f t="shared" si="110"/>
        <v>2449.4924999999998</v>
      </c>
      <c r="H818" s="33">
        <f t="shared" si="109"/>
        <v>2436.4592500000003</v>
      </c>
      <c r="I818" s="33">
        <f t="shared" si="116"/>
        <v>2436.4592499999999</v>
      </c>
      <c r="J818" s="33">
        <f t="shared" si="114"/>
        <v>2406.7575000000002</v>
      </c>
      <c r="K818" s="33">
        <f t="shared" si="115"/>
        <v>2406.7575000000002</v>
      </c>
      <c r="L818" s="59">
        <f t="shared" si="119"/>
        <v>1.2340981590376335E-2</v>
      </c>
      <c r="M818" s="60" t="str">
        <f t="shared" si="120"/>
        <v/>
      </c>
    </row>
    <row r="819" spans="2:13" x14ac:dyDescent="0.55000000000000004">
      <c r="B819" s="35">
        <f t="shared" si="112"/>
        <v>18</v>
      </c>
      <c r="C819" s="72" t="s">
        <v>117</v>
      </c>
      <c r="D819" s="44">
        <f t="shared" si="105"/>
        <v>43514</v>
      </c>
      <c r="E819" s="38">
        <v>5.3018000000000001</v>
      </c>
      <c r="F819" s="39">
        <f t="shared" si="118"/>
        <v>462.5</v>
      </c>
      <c r="G819" s="33">
        <f t="shared" si="110"/>
        <v>2437.1899999999996</v>
      </c>
      <c r="H819" s="33">
        <f t="shared" si="109"/>
        <v>2437.9762499999997</v>
      </c>
      <c r="I819" s="33">
        <f t="shared" si="116"/>
        <v>2437.9762500000002</v>
      </c>
      <c r="J819" s="33">
        <f t="shared" si="114"/>
        <v>2406.7575000000002</v>
      </c>
      <c r="K819" s="33">
        <f t="shared" si="115"/>
        <v>2406.7575000000002</v>
      </c>
      <c r="L819" s="59">
        <f t="shared" si="119"/>
        <v>1.2971290210999464E-2</v>
      </c>
      <c r="M819" s="60" t="str">
        <f t="shared" si="120"/>
        <v/>
      </c>
    </row>
    <row r="820" spans="2:13" x14ac:dyDescent="0.55000000000000004">
      <c r="B820" s="35">
        <f t="shared" si="112"/>
        <v>19</v>
      </c>
      <c r="C820" s="72" t="s">
        <v>117</v>
      </c>
      <c r="D820" s="44">
        <f t="shared" si="105"/>
        <v>43515</v>
      </c>
      <c r="E820" s="38">
        <v>5.3147000000000002</v>
      </c>
      <c r="F820" s="39">
        <f t="shared" si="118"/>
        <v>462.5</v>
      </c>
      <c r="G820" s="33">
        <f t="shared" si="110"/>
        <v>2452.0825</v>
      </c>
      <c r="H820" s="33">
        <f t="shared" si="109"/>
        <v>2441.3710000000001</v>
      </c>
      <c r="I820" s="33">
        <f t="shared" si="116"/>
        <v>2441.3710000000001</v>
      </c>
      <c r="J820" s="33">
        <f t="shared" si="114"/>
        <v>2406.7575000000002</v>
      </c>
      <c r="K820" s="33">
        <f t="shared" si="115"/>
        <v>2406.7575000000002</v>
      </c>
      <c r="L820" s="59">
        <f t="shared" si="119"/>
        <v>1.4381797916906846E-2</v>
      </c>
      <c r="M820" s="60" t="str">
        <f t="shared" si="120"/>
        <v/>
      </c>
    </row>
    <row r="821" spans="2:13" x14ac:dyDescent="0.55000000000000004">
      <c r="B821" s="35">
        <f t="shared" si="112"/>
        <v>20</v>
      </c>
      <c r="C821" s="72" t="s">
        <v>117</v>
      </c>
      <c r="D821" s="44">
        <f t="shared" si="105"/>
        <v>43516</v>
      </c>
      <c r="E821" s="38">
        <v>5.3059000000000003</v>
      </c>
      <c r="F821" s="39">
        <f t="shared" si="118"/>
        <v>462.5</v>
      </c>
      <c r="G821" s="33">
        <f t="shared" si="110"/>
        <v>2458.0487499999999</v>
      </c>
      <c r="H821" s="33">
        <f t="shared" si="109"/>
        <v>2445.2004999999999</v>
      </c>
      <c r="I821" s="33">
        <f t="shared" si="116"/>
        <v>2445.2004999999999</v>
      </c>
      <c r="J821" s="33">
        <f t="shared" si="114"/>
        <v>2406.7575000000002</v>
      </c>
      <c r="K821" s="33">
        <f t="shared" si="115"/>
        <v>2406.7575000000002</v>
      </c>
      <c r="L821" s="59">
        <f t="shared" si="119"/>
        <v>1.5972942849456065E-2</v>
      </c>
      <c r="M821" s="60" t="str">
        <f t="shared" si="120"/>
        <v/>
      </c>
    </row>
    <row r="822" spans="2:13" x14ac:dyDescent="0.55000000000000004">
      <c r="B822" s="35">
        <f t="shared" si="112"/>
        <v>21</v>
      </c>
      <c r="C822" s="72" t="s">
        <v>117</v>
      </c>
      <c r="D822" s="44">
        <f t="shared" si="105"/>
        <v>43517</v>
      </c>
      <c r="E822" s="38">
        <v>5.3235999999999999</v>
      </c>
      <c r="F822" s="39">
        <f t="shared" si="118"/>
        <v>462.5</v>
      </c>
      <c r="G822" s="33">
        <f t="shared" si="110"/>
        <v>2453.9787500000002</v>
      </c>
      <c r="H822" s="33">
        <f t="shared" si="109"/>
        <v>2450.1585</v>
      </c>
      <c r="I822" s="33">
        <f t="shared" si="116"/>
        <v>2450.1584999999995</v>
      </c>
      <c r="J822" s="33">
        <f t="shared" si="114"/>
        <v>2406.7575000000002</v>
      </c>
      <c r="K822" s="33">
        <f t="shared" si="115"/>
        <v>2406.7575000000002</v>
      </c>
      <c r="L822" s="59">
        <f t="shared" si="119"/>
        <v>1.8032975902225228E-2</v>
      </c>
      <c r="M822" s="60" t="str">
        <f t="shared" si="120"/>
        <v/>
      </c>
    </row>
    <row r="823" spans="2:13" x14ac:dyDescent="0.55000000000000004">
      <c r="B823" s="35">
        <f t="shared" si="112"/>
        <v>22</v>
      </c>
      <c r="C823" s="72" t="s">
        <v>117</v>
      </c>
      <c r="D823" s="44">
        <f t="shared" si="105"/>
        <v>43518</v>
      </c>
      <c r="E823" s="38">
        <v>5.3263999999999996</v>
      </c>
      <c r="F823" s="39">
        <f t="shared" si="118"/>
        <v>462.5</v>
      </c>
      <c r="G823" s="33">
        <f t="shared" si="110"/>
        <v>2462.165</v>
      </c>
      <c r="H823" s="33">
        <f t="shared" si="109"/>
        <v>2452.6930000000002</v>
      </c>
      <c r="I823" s="33">
        <f t="shared" si="116"/>
        <v>2452.6929999999998</v>
      </c>
      <c r="J823" s="33">
        <f t="shared" si="114"/>
        <v>2406.7575000000002</v>
      </c>
      <c r="K823" s="33">
        <f t="shared" si="115"/>
        <v>2406.7575000000002</v>
      </c>
      <c r="L823" s="59">
        <f t="shared" si="119"/>
        <v>1.9086052500096103E-2</v>
      </c>
      <c r="M823" s="60" t="str">
        <f t="shared" si="120"/>
        <v/>
      </c>
    </row>
    <row r="824" spans="2:13" x14ac:dyDescent="0.55000000000000004">
      <c r="B824" s="35">
        <f t="shared" si="112"/>
        <v>25</v>
      </c>
      <c r="C824" s="72" t="s">
        <v>117</v>
      </c>
      <c r="D824" s="44">
        <f t="shared" si="105"/>
        <v>43521</v>
      </c>
      <c r="E824" s="38">
        <v>5.3154000000000003</v>
      </c>
      <c r="F824" s="39">
        <f t="shared" si="118"/>
        <v>462.5</v>
      </c>
      <c r="G824" s="33">
        <f t="shared" si="110"/>
        <v>2463.4599999999996</v>
      </c>
      <c r="H824" s="33">
        <f t="shared" si="109"/>
        <v>2457.9470000000001</v>
      </c>
      <c r="I824" s="33">
        <f t="shared" si="116"/>
        <v>2457.9469999999997</v>
      </c>
      <c r="J824" s="33">
        <f t="shared" si="114"/>
        <v>2406.7575000000002</v>
      </c>
      <c r="K824" s="33">
        <f t="shared" si="115"/>
        <v>2406.7575000000002</v>
      </c>
      <c r="L824" s="59">
        <f t="shared" si="119"/>
        <v>2.1269072600791708E-2</v>
      </c>
      <c r="M824" s="60" t="str">
        <f t="shared" si="120"/>
        <v/>
      </c>
    </row>
    <row r="825" spans="2:13" x14ac:dyDescent="0.55000000000000004">
      <c r="B825" s="35">
        <f t="shared" si="112"/>
        <v>26</v>
      </c>
      <c r="C825" s="72" t="s">
        <v>117</v>
      </c>
      <c r="D825" s="44">
        <f t="shared" si="105"/>
        <v>43522</v>
      </c>
      <c r="E825" s="38">
        <v>5.3044000000000002</v>
      </c>
      <c r="F825" s="39">
        <f t="shared" si="118"/>
        <v>462.5</v>
      </c>
      <c r="G825" s="33">
        <f t="shared" si="110"/>
        <v>2458.3724999999999</v>
      </c>
      <c r="H825" s="33">
        <f t="shared" si="109"/>
        <v>2459.2049999999999</v>
      </c>
      <c r="I825" s="33">
        <f t="shared" si="116"/>
        <v>2459.2049999999999</v>
      </c>
      <c r="J825" s="33">
        <f t="shared" si="114"/>
        <v>2406.7575000000002</v>
      </c>
      <c r="K825" s="33">
        <f t="shared" si="115"/>
        <v>2406.7575000000002</v>
      </c>
      <c r="L825" s="59">
        <f t="shared" si="119"/>
        <v>2.179176755447932E-2</v>
      </c>
      <c r="M825" s="60" t="str">
        <f t="shared" si="120"/>
        <v/>
      </c>
    </row>
    <row r="826" spans="2:13" x14ac:dyDescent="0.55000000000000004">
      <c r="B826" s="35">
        <f t="shared" si="112"/>
        <v>27</v>
      </c>
      <c r="C826" s="72" t="s">
        <v>117</v>
      </c>
      <c r="D826" s="44">
        <f t="shared" ref="D826:D889" si="121">WORKDAY(D825,1)</f>
        <v>43523</v>
      </c>
      <c r="E826" s="38">
        <v>5.3</v>
      </c>
      <c r="F826" s="39">
        <f t="shared" si="118"/>
        <v>462.5</v>
      </c>
      <c r="G826" s="33">
        <f t="shared" si="110"/>
        <v>2453.2850000000003</v>
      </c>
      <c r="H826" s="33">
        <f t="shared" si="109"/>
        <v>2458.25225</v>
      </c>
      <c r="I826" s="33">
        <f t="shared" si="116"/>
        <v>2458.25225</v>
      </c>
      <c r="J826" s="33">
        <f t="shared" si="114"/>
        <v>2406.7575000000002</v>
      </c>
      <c r="K826" s="33">
        <f t="shared" si="115"/>
        <v>2406.7575000000002</v>
      </c>
      <c r="L826" s="59">
        <f t="shared" si="119"/>
        <v>2.139590299396588E-2</v>
      </c>
      <c r="M826" s="60" t="str">
        <f t="shared" si="120"/>
        <v/>
      </c>
    </row>
    <row r="827" spans="2:13" x14ac:dyDescent="0.55000000000000004">
      <c r="B827" s="35">
        <f t="shared" si="112"/>
        <v>28</v>
      </c>
      <c r="C827" s="72" t="s">
        <v>117</v>
      </c>
      <c r="D827" s="44">
        <f t="shared" si="121"/>
        <v>43524</v>
      </c>
      <c r="E827" s="38">
        <v>5.3273000000000001</v>
      </c>
      <c r="F827" s="39">
        <f t="shared" si="118"/>
        <v>462.5</v>
      </c>
      <c r="G827" s="33">
        <f t="shared" si="110"/>
        <v>2451.25</v>
      </c>
      <c r="H827" s="33">
        <f t="shared" si="109"/>
        <v>2457.7064999999998</v>
      </c>
      <c r="I827" s="33">
        <f t="shared" si="116"/>
        <v>2457.7064999999998</v>
      </c>
      <c r="J827" s="33">
        <f t="shared" si="114"/>
        <v>2406.7575000000002</v>
      </c>
      <c r="K827" s="33">
        <f t="shared" si="115"/>
        <v>2406.7575000000002</v>
      </c>
      <c r="L827" s="59">
        <f t="shared" si="119"/>
        <v>2.1169145624351272E-2</v>
      </c>
      <c r="M827" s="60" t="str">
        <f>IF(OR(L827&lt;-3%,L827&gt;3%),K828-K827,"")</f>
        <v/>
      </c>
    </row>
    <row r="828" spans="2:13" x14ac:dyDescent="0.55000000000000004">
      <c r="B828" s="35">
        <f t="shared" si="112"/>
        <v>1</v>
      </c>
      <c r="C828" s="72" t="s">
        <v>118</v>
      </c>
      <c r="D828" s="44">
        <f t="shared" si="121"/>
        <v>43525</v>
      </c>
      <c r="E828" s="38">
        <v>5.3537999999999997</v>
      </c>
      <c r="F828" s="39">
        <f>F827+46.5</f>
        <v>509</v>
      </c>
      <c r="G828" s="33">
        <f t="shared" si="110"/>
        <v>2711.5956999999999</v>
      </c>
      <c r="H828" s="33">
        <f t="shared" si="109"/>
        <v>2507.5926399999998</v>
      </c>
      <c r="I828" s="33">
        <f t="shared" si="116"/>
        <v>2705.1822999999999</v>
      </c>
      <c r="J828" s="33">
        <f>IF(L828&gt;3%,G828,IF(L828&lt;-3%,G828,J827))</f>
        <v>2711.5956999999999</v>
      </c>
      <c r="K828" s="33">
        <f t="shared" si="115"/>
        <v>2406.7575000000002</v>
      </c>
      <c r="L828" s="59">
        <f>(H828-J827)/J827</f>
        <v>4.1896676337354166E-2</v>
      </c>
      <c r="M828" s="60">
        <f>IF(OR(L828&lt;-3%,L828&gt;3%),K829-K828,"")</f>
        <v>269.01249999999982</v>
      </c>
    </row>
    <row r="829" spans="2:13" x14ac:dyDescent="0.55000000000000004">
      <c r="B829" s="35">
        <f t="shared" si="112"/>
        <v>4</v>
      </c>
      <c r="C829" s="72" t="s">
        <v>118</v>
      </c>
      <c r="D829" s="44">
        <f t="shared" si="121"/>
        <v>43528</v>
      </c>
      <c r="E829" s="38">
        <v>5.3878000000000004</v>
      </c>
      <c r="F829" s="39">
        <f t="shared" si="118"/>
        <v>509</v>
      </c>
      <c r="G829" s="33">
        <f t="shared" si="110"/>
        <v>2725.0841999999998</v>
      </c>
      <c r="H829" s="33">
        <f t="shared" si="109"/>
        <v>2725.0841999999998</v>
      </c>
      <c r="I829" s="33">
        <f t="shared" si="116"/>
        <v>2707.9716200000003</v>
      </c>
      <c r="J829" s="33">
        <f t="shared" ref="J829:J892" si="122">IF(L829&gt;3%,G829,IF(L829&lt;-3%,G829,J828))</f>
        <v>2711.5956999999999</v>
      </c>
      <c r="K829" s="33">
        <v>2675.77</v>
      </c>
      <c r="L829" s="59">
        <f>(H829-K829)/K829</f>
        <v>1.8429909895095544E-2</v>
      </c>
      <c r="M829" s="60" t="str">
        <f>IF(OR(L829&lt;-3%,L829&gt;3%),K830-K829,"")</f>
        <v/>
      </c>
    </row>
    <row r="830" spans="2:13" x14ac:dyDescent="0.55000000000000004">
      <c r="B830" s="35">
        <f t="shared" si="112"/>
        <v>5</v>
      </c>
      <c r="C830" s="72" t="s">
        <v>118</v>
      </c>
      <c r="D830" s="44">
        <f t="shared" si="121"/>
        <v>43529</v>
      </c>
      <c r="E830" s="38">
        <v>5.3766999999999996</v>
      </c>
      <c r="F830" s="39">
        <f t="shared" si="118"/>
        <v>509</v>
      </c>
      <c r="G830" s="33">
        <f t="shared" si="110"/>
        <v>2742.3902000000003</v>
      </c>
      <c r="H830" s="33">
        <f t="shared" si="109"/>
        <v>2733.7372</v>
      </c>
      <c r="I830" s="33">
        <f t="shared" si="116"/>
        <v>2715.3419399999998</v>
      </c>
      <c r="J830" s="33">
        <f t="shared" si="122"/>
        <v>2711.5956999999999</v>
      </c>
      <c r="K830" s="33">
        <f t="shared" si="115"/>
        <v>2675.77</v>
      </c>
      <c r="L830" s="59">
        <f t="shared" ref="L830:L893" si="123">(H830-K830)/K830</f>
        <v>2.1663745389177713E-2</v>
      </c>
      <c r="M830" s="60" t="str">
        <f t="shared" ref="M830:M893" si="124">IF(OR(L830&lt;-3%,L830&gt;3%),K831-K830,"")</f>
        <v/>
      </c>
    </row>
    <row r="831" spans="2:13" x14ac:dyDescent="0.55000000000000004">
      <c r="B831" s="35">
        <f t="shared" si="112"/>
        <v>6</v>
      </c>
      <c r="C831" s="72" t="s">
        <v>118</v>
      </c>
      <c r="D831" s="44">
        <f t="shared" si="121"/>
        <v>43530</v>
      </c>
      <c r="E831" s="38">
        <v>5.3887</v>
      </c>
      <c r="F831" s="39">
        <f t="shared" si="118"/>
        <v>509</v>
      </c>
      <c r="G831" s="33">
        <f t="shared" si="110"/>
        <v>2736.7402999999999</v>
      </c>
      <c r="H831" s="33">
        <f t="shared" si="109"/>
        <v>2734.7382333333335</v>
      </c>
      <c r="I831" s="33">
        <f t="shared" si="116"/>
        <v>2722.70208</v>
      </c>
      <c r="J831" s="33">
        <f t="shared" si="122"/>
        <v>2711.5956999999999</v>
      </c>
      <c r="K831" s="33">
        <f t="shared" si="115"/>
        <v>2675.77</v>
      </c>
      <c r="L831" s="59">
        <f t="shared" si="123"/>
        <v>2.2037855769865684E-2</v>
      </c>
      <c r="M831" s="60" t="str">
        <f t="shared" si="124"/>
        <v/>
      </c>
    </row>
    <row r="832" spans="2:13" x14ac:dyDescent="0.55000000000000004">
      <c r="B832" s="35">
        <f t="shared" si="112"/>
        <v>7</v>
      </c>
      <c r="C832" s="72" t="s">
        <v>118</v>
      </c>
      <c r="D832" s="44">
        <f t="shared" si="121"/>
        <v>43531</v>
      </c>
      <c r="E832" s="38">
        <v>5.4406999999999996</v>
      </c>
      <c r="F832" s="39">
        <f t="shared" si="118"/>
        <v>509</v>
      </c>
      <c r="G832" s="33">
        <f t="shared" si="110"/>
        <v>2742.8483000000001</v>
      </c>
      <c r="H832" s="33">
        <f t="shared" si="109"/>
        <v>2736.76575</v>
      </c>
      <c r="I832" s="33">
        <f t="shared" si="116"/>
        <v>2731.7317400000002</v>
      </c>
      <c r="J832" s="33">
        <f t="shared" si="122"/>
        <v>2711.5956999999999</v>
      </c>
      <c r="K832" s="33">
        <f t="shared" si="115"/>
        <v>2675.77</v>
      </c>
      <c r="L832" s="59">
        <f t="shared" si="123"/>
        <v>2.2795587812106437E-2</v>
      </c>
      <c r="M832" s="60" t="str">
        <f t="shared" si="124"/>
        <v/>
      </c>
    </row>
    <row r="833" spans="2:13" x14ac:dyDescent="0.55000000000000004">
      <c r="B833" s="35">
        <f t="shared" si="112"/>
        <v>8</v>
      </c>
      <c r="C833" s="72" t="s">
        <v>118</v>
      </c>
      <c r="D833" s="44">
        <f t="shared" si="121"/>
        <v>43532</v>
      </c>
      <c r="E833" s="38">
        <v>5.4641999999999999</v>
      </c>
      <c r="F833" s="39">
        <f t="shared" si="118"/>
        <v>509</v>
      </c>
      <c r="G833" s="33">
        <f t="shared" si="110"/>
        <v>2769.3163</v>
      </c>
      <c r="H833" s="33">
        <f t="shared" si="109"/>
        <v>2743.2758600000002</v>
      </c>
      <c r="I833" s="33">
        <f t="shared" si="116"/>
        <v>2743.2758599999997</v>
      </c>
      <c r="J833" s="33">
        <f t="shared" si="122"/>
        <v>2711.5956999999999</v>
      </c>
      <c r="K833" s="33">
        <f t="shared" si="115"/>
        <v>2675.77</v>
      </c>
      <c r="L833" s="59">
        <f t="shared" si="123"/>
        <v>2.5228573457360015E-2</v>
      </c>
      <c r="M833" s="60" t="str">
        <f t="shared" si="124"/>
        <v/>
      </c>
    </row>
    <row r="834" spans="2:13" x14ac:dyDescent="0.55000000000000004">
      <c r="B834" s="35">
        <f t="shared" si="112"/>
        <v>11</v>
      </c>
      <c r="C834" s="72" t="s">
        <v>118</v>
      </c>
      <c r="D834" s="44">
        <f t="shared" si="121"/>
        <v>43535</v>
      </c>
      <c r="E834" s="38">
        <v>5.4443000000000001</v>
      </c>
      <c r="F834" s="39">
        <f t="shared" si="118"/>
        <v>509</v>
      </c>
      <c r="G834" s="33">
        <f t="shared" si="110"/>
        <v>2781.2777999999998</v>
      </c>
      <c r="H834" s="33">
        <f t="shared" si="109"/>
        <v>2754.51458</v>
      </c>
      <c r="I834" s="33">
        <f t="shared" si="116"/>
        <v>2754.5145799999996</v>
      </c>
      <c r="J834" s="33">
        <f t="shared" si="122"/>
        <v>2711.5956999999999</v>
      </c>
      <c r="K834" s="33">
        <f t="shared" si="115"/>
        <v>2675.77</v>
      </c>
      <c r="L834" s="59">
        <f t="shared" si="123"/>
        <v>2.9428755087320676E-2</v>
      </c>
      <c r="M834" s="60" t="str">
        <f t="shared" si="124"/>
        <v/>
      </c>
    </row>
    <row r="835" spans="2:13" x14ac:dyDescent="0.55000000000000004">
      <c r="B835" s="35">
        <f t="shared" si="112"/>
        <v>12</v>
      </c>
      <c r="C835" s="72" t="s">
        <v>118</v>
      </c>
      <c r="D835" s="44">
        <f t="shared" si="121"/>
        <v>43536</v>
      </c>
      <c r="E835" s="38">
        <v>5.4457000000000004</v>
      </c>
      <c r="F835" s="39">
        <f t="shared" si="118"/>
        <v>509</v>
      </c>
      <c r="G835" s="33">
        <f t="shared" si="110"/>
        <v>2771.1487000000002</v>
      </c>
      <c r="H835" s="33">
        <f t="shared" si="109"/>
        <v>2760.2662799999998</v>
      </c>
      <c r="I835" s="33">
        <f t="shared" si="116"/>
        <v>2760.2662799999998</v>
      </c>
      <c r="J835" s="33">
        <f t="shared" si="122"/>
        <v>2771.1487000000002</v>
      </c>
      <c r="K835" s="33">
        <f t="shared" si="115"/>
        <v>2675.77</v>
      </c>
      <c r="L835" s="59">
        <f t="shared" si="123"/>
        <v>3.1578304562798684E-2</v>
      </c>
      <c r="M835" s="60">
        <f t="shared" si="124"/>
        <v>95.289999999999964</v>
      </c>
    </row>
    <row r="836" spans="2:13" x14ac:dyDescent="0.55000000000000004">
      <c r="B836" s="35">
        <f t="shared" si="112"/>
        <v>13</v>
      </c>
      <c r="C836" s="72" t="s">
        <v>118</v>
      </c>
      <c r="D836" s="44">
        <f t="shared" si="121"/>
        <v>43537</v>
      </c>
      <c r="E836" s="38">
        <v>5.4621000000000004</v>
      </c>
      <c r="F836" s="39">
        <f t="shared" si="118"/>
        <v>509</v>
      </c>
      <c r="G836" s="33">
        <f t="shared" si="110"/>
        <v>2771.8613</v>
      </c>
      <c r="H836" s="33">
        <f t="shared" si="109"/>
        <v>2771.8613</v>
      </c>
      <c r="I836" s="33">
        <f t="shared" si="116"/>
        <v>2767.2904799999997</v>
      </c>
      <c r="J836" s="33">
        <f t="shared" si="122"/>
        <v>2771.1487000000002</v>
      </c>
      <c r="K836" s="33">
        <v>2771.06</v>
      </c>
      <c r="L836" s="59">
        <f t="shared" si="123"/>
        <v>2.8916732225216452E-4</v>
      </c>
      <c r="M836" s="60" t="str">
        <f t="shared" si="124"/>
        <v/>
      </c>
    </row>
    <row r="837" spans="2:13" x14ac:dyDescent="0.55000000000000004">
      <c r="B837" s="35">
        <f t="shared" si="112"/>
        <v>14</v>
      </c>
      <c r="C837" s="72" t="s">
        <v>118</v>
      </c>
      <c r="D837" s="44">
        <f t="shared" si="121"/>
        <v>43538</v>
      </c>
      <c r="E837" s="38">
        <v>5.4715999999999996</v>
      </c>
      <c r="F837" s="39">
        <f t="shared" si="118"/>
        <v>509</v>
      </c>
      <c r="G837" s="33">
        <f t="shared" si="110"/>
        <v>2780.2089000000001</v>
      </c>
      <c r="H837" s="33">
        <f t="shared" si="109"/>
        <v>2776.0351000000001</v>
      </c>
      <c r="I837" s="33">
        <f t="shared" si="116"/>
        <v>2774.7625999999996</v>
      </c>
      <c r="J837" s="33">
        <f t="shared" si="122"/>
        <v>2771.1487000000002</v>
      </c>
      <c r="K837" s="33">
        <f>IF(L836&gt;3%,G836,IF(L836&lt;-3%,G836,K836))</f>
        <v>2771.06</v>
      </c>
      <c r="L837" s="59">
        <f t="shared" si="123"/>
        <v>1.7953779420150093E-3</v>
      </c>
      <c r="M837" s="60" t="str">
        <f t="shared" si="124"/>
        <v/>
      </c>
    </row>
    <row r="838" spans="2:13" x14ac:dyDescent="0.55000000000000004">
      <c r="B838" s="35">
        <f t="shared" si="112"/>
        <v>15</v>
      </c>
      <c r="C838" s="72" t="s">
        <v>118</v>
      </c>
      <c r="D838" s="44">
        <f t="shared" si="121"/>
        <v>43539</v>
      </c>
      <c r="E838" s="38">
        <v>5.4661999999999997</v>
      </c>
      <c r="F838" s="39">
        <f t="shared" si="118"/>
        <v>509</v>
      </c>
      <c r="G838" s="33">
        <f t="shared" si="110"/>
        <v>2785.0443999999998</v>
      </c>
      <c r="H838" s="33">
        <f t="shared" si="109"/>
        <v>2779.0382000000004</v>
      </c>
      <c r="I838" s="33">
        <f t="shared" si="116"/>
        <v>2777.9082199999998</v>
      </c>
      <c r="J838" s="33">
        <f t="shared" si="122"/>
        <v>2771.1487000000002</v>
      </c>
      <c r="K838" s="33">
        <f t="shared" si="115"/>
        <v>2771.06</v>
      </c>
      <c r="L838" s="59">
        <f t="shared" si="123"/>
        <v>2.8791148513566903E-3</v>
      </c>
      <c r="M838" s="60" t="str">
        <f t="shared" si="124"/>
        <v/>
      </c>
    </row>
    <row r="839" spans="2:13" x14ac:dyDescent="0.55000000000000004">
      <c r="B839" s="35">
        <f t="shared" si="112"/>
        <v>18</v>
      </c>
      <c r="C839" s="72" t="s">
        <v>118</v>
      </c>
      <c r="D839" s="44">
        <f t="shared" si="121"/>
        <v>43542</v>
      </c>
      <c r="E839" s="38">
        <v>5.4642999999999997</v>
      </c>
      <c r="F839" s="39">
        <f t="shared" si="118"/>
        <v>509</v>
      </c>
      <c r="G839" s="33">
        <f t="shared" si="110"/>
        <v>2782.2957999999999</v>
      </c>
      <c r="H839" s="33">
        <f t="shared" si="109"/>
        <v>2779.8526000000002</v>
      </c>
      <c r="I839" s="33">
        <f t="shared" si="116"/>
        <v>2778.1118200000001</v>
      </c>
      <c r="J839" s="33">
        <f t="shared" si="122"/>
        <v>2771.1487000000002</v>
      </c>
      <c r="K839" s="33">
        <f t="shared" si="115"/>
        <v>2771.06</v>
      </c>
      <c r="L839" s="59">
        <f t="shared" si="123"/>
        <v>3.1730096064322751E-3</v>
      </c>
      <c r="M839" s="60" t="str">
        <f t="shared" si="124"/>
        <v/>
      </c>
    </row>
    <row r="840" spans="2:13" x14ac:dyDescent="0.55000000000000004">
      <c r="B840" s="35">
        <f t="shared" si="112"/>
        <v>19</v>
      </c>
      <c r="C840" s="72" t="s">
        <v>118</v>
      </c>
      <c r="D840" s="44">
        <f t="shared" si="121"/>
        <v>43543</v>
      </c>
      <c r="E840" s="38">
        <v>5.4741</v>
      </c>
      <c r="F840" s="39">
        <f t="shared" si="118"/>
        <v>509</v>
      </c>
      <c r="G840" s="33">
        <f t="shared" si="110"/>
        <v>2781.3287</v>
      </c>
      <c r="H840" s="33">
        <f t="shared" si="109"/>
        <v>2780.1478200000001</v>
      </c>
      <c r="I840" s="33">
        <f t="shared" si="116"/>
        <v>2780.1478199999997</v>
      </c>
      <c r="J840" s="33">
        <f t="shared" si="122"/>
        <v>2771.1487000000002</v>
      </c>
      <c r="K840" s="33">
        <f t="shared" si="115"/>
        <v>2771.06</v>
      </c>
      <c r="L840" s="59">
        <f t="shared" si="123"/>
        <v>3.2795464551471972E-3</v>
      </c>
      <c r="M840" s="60" t="str">
        <f t="shared" si="124"/>
        <v/>
      </c>
    </row>
    <row r="841" spans="2:13" x14ac:dyDescent="0.55000000000000004">
      <c r="B841" s="35">
        <f t="shared" si="112"/>
        <v>20</v>
      </c>
      <c r="C841" s="72" t="s">
        <v>118</v>
      </c>
      <c r="D841" s="44">
        <f t="shared" si="121"/>
        <v>43544</v>
      </c>
      <c r="E841" s="38">
        <v>5.4798999999999998</v>
      </c>
      <c r="F841" s="39">
        <f t="shared" si="118"/>
        <v>509</v>
      </c>
      <c r="G841" s="33">
        <f t="shared" si="110"/>
        <v>2786.3168999999998</v>
      </c>
      <c r="H841" s="33">
        <f t="shared" si="109"/>
        <v>2783.0389399999999</v>
      </c>
      <c r="I841" s="33">
        <f t="shared" si="116"/>
        <v>2783.0389399999999</v>
      </c>
      <c r="J841" s="33">
        <f t="shared" si="122"/>
        <v>2771.1487000000002</v>
      </c>
      <c r="K841" s="33">
        <f t="shared" si="115"/>
        <v>2771.06</v>
      </c>
      <c r="L841" s="59">
        <f t="shared" si="123"/>
        <v>4.3228728356657616E-3</v>
      </c>
      <c r="M841" s="60" t="str">
        <f t="shared" si="124"/>
        <v/>
      </c>
    </row>
    <row r="842" spans="2:13" x14ac:dyDescent="0.55000000000000004">
      <c r="B842" s="35">
        <f t="shared" si="112"/>
        <v>21</v>
      </c>
      <c r="C842" s="72" t="s">
        <v>118</v>
      </c>
      <c r="D842" s="44">
        <f t="shared" si="121"/>
        <v>43545</v>
      </c>
      <c r="E842" s="38">
        <v>5.4489999999999998</v>
      </c>
      <c r="F842" s="39">
        <f t="shared" si="118"/>
        <v>509</v>
      </c>
      <c r="G842" s="33">
        <f t="shared" si="110"/>
        <v>2789.2691</v>
      </c>
      <c r="H842" s="33">
        <f t="shared" si="109"/>
        <v>2784.8509800000002</v>
      </c>
      <c r="I842" s="33">
        <f t="shared" si="116"/>
        <v>2784.8509799999997</v>
      </c>
      <c r="J842" s="33">
        <f t="shared" si="122"/>
        <v>2771.1487000000002</v>
      </c>
      <c r="K842" s="33">
        <f t="shared" si="115"/>
        <v>2771.06</v>
      </c>
      <c r="L842" s="59">
        <f t="shared" si="123"/>
        <v>4.9767886657092301E-3</v>
      </c>
      <c r="M842" s="60" t="str">
        <f t="shared" si="124"/>
        <v/>
      </c>
    </row>
    <row r="843" spans="2:13" x14ac:dyDescent="0.55000000000000004">
      <c r="B843" s="35">
        <f t="shared" si="112"/>
        <v>22</v>
      </c>
      <c r="C843" s="72" t="s">
        <v>118</v>
      </c>
      <c r="D843" s="44">
        <f t="shared" si="121"/>
        <v>43546</v>
      </c>
      <c r="E843" s="38">
        <v>5.5373000000000001</v>
      </c>
      <c r="F843" s="39">
        <f t="shared" si="118"/>
        <v>509</v>
      </c>
      <c r="G843" s="33">
        <f t="shared" si="110"/>
        <v>2773.5409999999997</v>
      </c>
      <c r="H843" s="33">
        <f t="shared" si="109"/>
        <v>2782.5502999999999</v>
      </c>
      <c r="I843" s="33">
        <f t="shared" si="116"/>
        <v>2782.5503000000003</v>
      </c>
      <c r="J843" s="33">
        <f t="shared" si="122"/>
        <v>2771.1487000000002</v>
      </c>
      <c r="K843" s="33">
        <f t="shared" si="115"/>
        <v>2771.06</v>
      </c>
      <c r="L843" s="59">
        <f t="shared" si="123"/>
        <v>4.1465359826203451E-3</v>
      </c>
      <c r="M843" s="60" t="str">
        <f t="shared" si="124"/>
        <v/>
      </c>
    </row>
    <row r="844" spans="2:13" x14ac:dyDescent="0.55000000000000004">
      <c r="B844" s="35">
        <f t="shared" si="112"/>
        <v>25</v>
      </c>
      <c r="C844" s="72" t="s">
        <v>118</v>
      </c>
      <c r="D844" s="44">
        <f t="shared" si="121"/>
        <v>43549</v>
      </c>
      <c r="E844" s="38">
        <v>5.6558999999999999</v>
      </c>
      <c r="F844" s="39">
        <f t="shared" si="118"/>
        <v>509</v>
      </c>
      <c r="G844" s="33">
        <f t="shared" si="110"/>
        <v>2818.4857000000002</v>
      </c>
      <c r="H844" s="33">
        <f t="shared" si="109"/>
        <v>2789.7882799999998</v>
      </c>
      <c r="I844" s="33">
        <f t="shared" si="116"/>
        <v>2789.7882800000002</v>
      </c>
      <c r="J844" s="33">
        <f t="shared" si="122"/>
        <v>2771.1487000000002</v>
      </c>
      <c r="K844" s="33">
        <f t="shared" si="115"/>
        <v>2771.06</v>
      </c>
      <c r="L844" s="59">
        <f t="shared" si="123"/>
        <v>6.7585256183553639E-3</v>
      </c>
      <c r="M844" s="60" t="str">
        <f t="shared" si="124"/>
        <v/>
      </c>
    </row>
    <row r="845" spans="2:13" x14ac:dyDescent="0.55000000000000004">
      <c r="B845" s="35">
        <f t="shared" si="112"/>
        <v>26</v>
      </c>
      <c r="C845" s="72" t="s">
        <v>118</v>
      </c>
      <c r="D845" s="44">
        <f t="shared" si="121"/>
        <v>43550</v>
      </c>
      <c r="E845" s="38">
        <v>5.5044000000000004</v>
      </c>
      <c r="F845" s="39">
        <f t="shared" si="118"/>
        <v>509</v>
      </c>
      <c r="G845" s="33">
        <f t="shared" si="110"/>
        <v>2878.8530999999998</v>
      </c>
      <c r="H845" s="33">
        <f t="shared" si="109"/>
        <v>2809.2931599999997</v>
      </c>
      <c r="I845" s="33">
        <f t="shared" si="116"/>
        <v>2809.2931600000002</v>
      </c>
      <c r="J845" s="33">
        <f t="shared" si="122"/>
        <v>2771.1487000000002</v>
      </c>
      <c r="K845" s="33">
        <f t="shared" si="115"/>
        <v>2771.06</v>
      </c>
      <c r="L845" s="59">
        <f t="shared" si="123"/>
        <v>1.3797305002417765E-2</v>
      </c>
      <c r="M845" s="60" t="str">
        <f t="shared" si="124"/>
        <v/>
      </c>
    </row>
    <row r="846" spans="2:13" x14ac:dyDescent="0.55000000000000004">
      <c r="B846" s="35">
        <f t="shared" si="112"/>
        <v>27</v>
      </c>
      <c r="C846" s="72" t="s">
        <v>118</v>
      </c>
      <c r="D846" s="44">
        <f t="shared" si="121"/>
        <v>43551</v>
      </c>
      <c r="E846" s="38">
        <v>5.3403</v>
      </c>
      <c r="F846" s="39">
        <f t="shared" si="118"/>
        <v>509</v>
      </c>
      <c r="G846" s="33">
        <f t="shared" si="110"/>
        <v>2801.7396000000003</v>
      </c>
      <c r="H846" s="33">
        <f t="shared" si="109"/>
        <v>2812.3777</v>
      </c>
      <c r="I846" s="33">
        <f t="shared" si="116"/>
        <v>2812.3777</v>
      </c>
      <c r="J846" s="33">
        <f t="shared" si="122"/>
        <v>2771.1487000000002</v>
      </c>
      <c r="K846" s="33">
        <f t="shared" si="115"/>
        <v>2771.06</v>
      </c>
      <c r="L846" s="59">
        <f t="shared" si="123"/>
        <v>1.4910431387266988E-2</v>
      </c>
      <c r="M846" s="60" t="str">
        <f t="shared" si="124"/>
        <v/>
      </c>
    </row>
    <row r="847" spans="2:13" x14ac:dyDescent="0.55000000000000004">
      <c r="B847" s="35">
        <f t="shared" si="112"/>
        <v>28</v>
      </c>
      <c r="C847" s="72" t="s">
        <v>118</v>
      </c>
      <c r="D847" s="44">
        <f t="shared" si="121"/>
        <v>43552</v>
      </c>
      <c r="E847" s="38">
        <v>5.5522999999999998</v>
      </c>
      <c r="F847" s="39">
        <f t="shared" si="118"/>
        <v>509</v>
      </c>
      <c r="G847" s="33">
        <f t="shared" si="110"/>
        <v>2718.2127</v>
      </c>
      <c r="H847" s="33">
        <f t="shared" si="109"/>
        <v>2798.1664200000005</v>
      </c>
      <c r="I847" s="33">
        <f t="shared" si="116"/>
        <v>2798.16642</v>
      </c>
      <c r="J847" s="33">
        <f t="shared" si="122"/>
        <v>2771.1487000000002</v>
      </c>
      <c r="K847" s="33">
        <f t="shared" si="115"/>
        <v>2771.06</v>
      </c>
      <c r="L847" s="59">
        <f t="shared" si="123"/>
        <v>9.7819679111966276E-3</v>
      </c>
      <c r="M847" s="60" t="str">
        <f t="shared" si="124"/>
        <v/>
      </c>
    </row>
    <row r="848" spans="2:13" x14ac:dyDescent="0.55000000000000004">
      <c r="B848" s="35">
        <f t="shared" si="112"/>
        <v>29</v>
      </c>
      <c r="C848" s="72" t="s">
        <v>118</v>
      </c>
      <c r="D848" s="44">
        <f t="shared" si="121"/>
        <v>43553</v>
      </c>
      <c r="E848" s="38">
        <v>5.6386000000000003</v>
      </c>
      <c r="F848" s="39">
        <f t="shared" si="118"/>
        <v>509</v>
      </c>
      <c r="G848" s="33">
        <f t="shared" si="110"/>
        <v>2826.1206999999999</v>
      </c>
      <c r="H848" s="33">
        <f t="shared" si="109"/>
        <v>2808.6823599999998</v>
      </c>
      <c r="I848" s="33">
        <f t="shared" si="116"/>
        <v>2808.6823600000002</v>
      </c>
      <c r="J848" s="33">
        <f t="shared" si="122"/>
        <v>2771.1487000000002</v>
      </c>
      <c r="K848" s="33">
        <f t="shared" si="115"/>
        <v>2771.06</v>
      </c>
      <c r="L848" s="59">
        <f t="shared" si="123"/>
        <v>1.3576883936111036E-2</v>
      </c>
      <c r="M848" s="60" t="str">
        <f t="shared" si="124"/>
        <v/>
      </c>
    </row>
    <row r="849" spans="2:13" x14ac:dyDescent="0.55000000000000004">
      <c r="B849" s="35">
        <f t="shared" si="112"/>
        <v>1</v>
      </c>
      <c r="C849" s="72" t="s">
        <v>119</v>
      </c>
      <c r="D849" s="44">
        <f t="shared" si="121"/>
        <v>43556</v>
      </c>
      <c r="E849" s="38">
        <v>5.6086</v>
      </c>
      <c r="F849" s="39">
        <v>499</v>
      </c>
      <c r="G849" s="33">
        <f t="shared" si="110"/>
        <v>2813.6614</v>
      </c>
      <c r="H849" s="33">
        <f t="shared" ref="H849:H912" si="125">IF(M848&lt;&gt;"",AVERAGE(G849),IF(M847&lt;&gt;"",AVERAGE(G848:G849),IF(M846&lt;&gt;"",AVERAGE(G847:G849),IF(M845&lt;&gt;"",AVERAGE(G846:G849),AVERAGE(G845:G849)))))</f>
        <v>2807.7175000000002</v>
      </c>
      <c r="I849" s="33">
        <f t="shared" si="116"/>
        <v>2763.6116999999999</v>
      </c>
      <c r="J849" s="33">
        <f t="shared" si="122"/>
        <v>2771.1487000000002</v>
      </c>
      <c r="K849" s="33">
        <f t="shared" si="115"/>
        <v>2771.06</v>
      </c>
      <c r="L849" s="59">
        <f t="shared" si="123"/>
        <v>1.3228692269384371E-2</v>
      </c>
      <c r="M849" s="60" t="str">
        <f t="shared" si="124"/>
        <v/>
      </c>
    </row>
    <row r="850" spans="2:13" x14ac:dyDescent="0.55000000000000004">
      <c r="B850" s="35">
        <f t="shared" si="112"/>
        <v>2</v>
      </c>
      <c r="C850" s="72" t="s">
        <v>119</v>
      </c>
      <c r="D850" s="44">
        <f t="shared" si="121"/>
        <v>43557</v>
      </c>
      <c r="E850" s="38">
        <v>5.5669000000000004</v>
      </c>
      <c r="F850" s="39">
        <f t="shared" si="118"/>
        <v>499</v>
      </c>
      <c r="G850" s="33">
        <f t="shared" ref="G850:G913" si="126">E849*F850</f>
        <v>2798.6914000000002</v>
      </c>
      <c r="H850" s="33">
        <f t="shared" si="125"/>
        <v>2791.68516</v>
      </c>
      <c r="I850" s="33">
        <f t="shared" si="116"/>
        <v>2758.8911599999997</v>
      </c>
      <c r="J850" s="33">
        <f t="shared" si="122"/>
        <v>2771.1487000000002</v>
      </c>
      <c r="K850" s="33">
        <f t="shared" si="115"/>
        <v>2771.06</v>
      </c>
      <c r="L850" s="59">
        <f t="shared" si="123"/>
        <v>7.4430578912041065E-3</v>
      </c>
      <c r="M850" s="60" t="str">
        <f t="shared" si="124"/>
        <v/>
      </c>
    </row>
    <row r="851" spans="2:13" x14ac:dyDescent="0.55000000000000004">
      <c r="B851" s="35">
        <f t="shared" si="112"/>
        <v>3</v>
      </c>
      <c r="C851" s="72" t="s">
        <v>119</v>
      </c>
      <c r="D851" s="44">
        <f t="shared" si="121"/>
        <v>43558</v>
      </c>
      <c r="E851" s="38">
        <v>5.6167999999999996</v>
      </c>
      <c r="F851" s="39">
        <f t="shared" si="118"/>
        <v>499</v>
      </c>
      <c r="G851" s="33">
        <f t="shared" si="126"/>
        <v>2777.8831</v>
      </c>
      <c r="H851" s="33">
        <f t="shared" si="125"/>
        <v>2786.9138599999997</v>
      </c>
      <c r="I851" s="33">
        <f t="shared" si="116"/>
        <v>2765.1286599999999</v>
      </c>
      <c r="J851" s="33">
        <f t="shared" si="122"/>
        <v>2771.1487000000002</v>
      </c>
      <c r="K851" s="33">
        <f t="shared" si="115"/>
        <v>2771.06</v>
      </c>
      <c r="L851" s="59">
        <f t="shared" si="123"/>
        <v>5.7212258125048585E-3</v>
      </c>
      <c r="M851" s="60" t="str">
        <f t="shared" si="124"/>
        <v/>
      </c>
    </row>
    <row r="852" spans="2:13" x14ac:dyDescent="0.55000000000000004">
      <c r="B852" s="35">
        <f t="shared" si="112"/>
        <v>4</v>
      </c>
      <c r="C852" s="72" t="s">
        <v>119</v>
      </c>
      <c r="D852" s="44">
        <f t="shared" si="121"/>
        <v>43559</v>
      </c>
      <c r="E852" s="38">
        <v>5.6391999999999998</v>
      </c>
      <c r="F852" s="39">
        <f t="shared" si="118"/>
        <v>499</v>
      </c>
      <c r="G852" s="33">
        <f t="shared" si="126"/>
        <v>2802.7831999999999</v>
      </c>
      <c r="H852" s="33">
        <f t="shared" si="125"/>
        <v>2803.8279599999996</v>
      </c>
      <c r="I852" s="33">
        <f t="shared" si="116"/>
        <v>2792.7233599999995</v>
      </c>
      <c r="J852" s="33">
        <f t="shared" si="122"/>
        <v>2771.1487000000002</v>
      </c>
      <c r="K852" s="33">
        <f t="shared" si="115"/>
        <v>2771.06</v>
      </c>
      <c r="L852" s="59">
        <f t="shared" si="123"/>
        <v>1.1825063333164808E-2</v>
      </c>
      <c r="M852" s="60" t="str">
        <f t="shared" si="124"/>
        <v/>
      </c>
    </row>
    <row r="853" spans="2:13" x14ac:dyDescent="0.55000000000000004">
      <c r="B853" s="35">
        <f t="shared" si="112"/>
        <v>5</v>
      </c>
      <c r="C853" s="72" t="s">
        <v>119</v>
      </c>
      <c r="D853" s="44">
        <f t="shared" si="121"/>
        <v>43560</v>
      </c>
      <c r="E853" s="38">
        <v>5.6024000000000003</v>
      </c>
      <c r="F853" s="39">
        <f t="shared" si="118"/>
        <v>499</v>
      </c>
      <c r="G853" s="33">
        <f t="shared" si="126"/>
        <v>2813.9607999999998</v>
      </c>
      <c r="H853" s="33">
        <f t="shared" si="125"/>
        <v>2801.3959799999998</v>
      </c>
      <c r="I853" s="33">
        <f t="shared" si="116"/>
        <v>2801.3959799999998</v>
      </c>
      <c r="J853" s="33">
        <f t="shared" si="122"/>
        <v>2771.1487000000002</v>
      </c>
      <c r="K853" s="33">
        <f t="shared" si="115"/>
        <v>2771.06</v>
      </c>
      <c r="L853" s="59">
        <f t="shared" si="123"/>
        <v>1.0947428060020295E-2</v>
      </c>
      <c r="M853" s="60" t="str">
        <f t="shared" si="124"/>
        <v/>
      </c>
    </row>
    <row r="854" spans="2:13" x14ac:dyDescent="0.55000000000000004">
      <c r="B854" s="35">
        <f t="shared" si="112"/>
        <v>8</v>
      </c>
      <c r="C854" s="72" t="s">
        <v>119</v>
      </c>
      <c r="D854" s="44">
        <f t="shared" si="121"/>
        <v>43563</v>
      </c>
      <c r="E854" s="38">
        <v>5.6773999999999996</v>
      </c>
      <c r="F854" s="39">
        <f t="shared" si="118"/>
        <v>499</v>
      </c>
      <c r="G854" s="33">
        <f t="shared" si="126"/>
        <v>2795.5976000000001</v>
      </c>
      <c r="H854" s="33">
        <f t="shared" si="125"/>
        <v>2797.7832200000003</v>
      </c>
      <c r="I854" s="33">
        <f t="shared" si="116"/>
        <v>2797.7832199999993</v>
      </c>
      <c r="J854" s="33">
        <f t="shared" si="122"/>
        <v>2771.1487000000002</v>
      </c>
      <c r="K854" s="33">
        <f t="shared" si="115"/>
        <v>2771.06</v>
      </c>
      <c r="L854" s="59">
        <f t="shared" si="123"/>
        <v>9.6436814792896265E-3</v>
      </c>
      <c r="M854" s="60" t="str">
        <f t="shared" si="124"/>
        <v/>
      </c>
    </row>
    <row r="855" spans="2:13" x14ac:dyDescent="0.55000000000000004">
      <c r="B855" s="35">
        <f t="shared" ref="B855:B918" si="127">DAY(D855)</f>
        <v>9</v>
      </c>
      <c r="C855" s="72" t="s">
        <v>119</v>
      </c>
      <c r="D855" s="44">
        <f t="shared" si="121"/>
        <v>43564</v>
      </c>
      <c r="E855" s="38">
        <v>5.6677999999999997</v>
      </c>
      <c r="F855" s="39">
        <f t="shared" si="118"/>
        <v>499</v>
      </c>
      <c r="G855" s="33">
        <f t="shared" si="126"/>
        <v>2833.0225999999998</v>
      </c>
      <c r="H855" s="33">
        <f t="shared" si="125"/>
        <v>2804.6494599999996</v>
      </c>
      <c r="I855" s="33">
        <f t="shared" si="116"/>
        <v>2804.6494600000001</v>
      </c>
      <c r="J855" s="33">
        <f t="shared" si="122"/>
        <v>2771.1487000000002</v>
      </c>
      <c r="K855" s="33">
        <f t="shared" si="115"/>
        <v>2771.06</v>
      </c>
      <c r="L855" s="59">
        <f t="shared" si="123"/>
        <v>1.2121520284656302E-2</v>
      </c>
      <c r="M855" s="60" t="str">
        <f t="shared" si="124"/>
        <v/>
      </c>
    </row>
    <row r="856" spans="2:13" x14ac:dyDescent="0.55000000000000004">
      <c r="B856" s="35">
        <f t="shared" si="127"/>
        <v>10</v>
      </c>
      <c r="C856" s="72" t="s">
        <v>119</v>
      </c>
      <c r="D856" s="44">
        <f t="shared" si="121"/>
        <v>43565</v>
      </c>
      <c r="E856" s="38">
        <v>5.6829000000000001</v>
      </c>
      <c r="F856" s="39">
        <f t="shared" si="118"/>
        <v>499</v>
      </c>
      <c r="G856" s="33">
        <f t="shared" si="126"/>
        <v>2828.2321999999999</v>
      </c>
      <c r="H856" s="33">
        <f t="shared" si="125"/>
        <v>2814.7192800000003</v>
      </c>
      <c r="I856" s="33">
        <f t="shared" si="116"/>
        <v>2814.7192799999998</v>
      </c>
      <c r="J856" s="33">
        <f t="shared" si="122"/>
        <v>2771.1487000000002</v>
      </c>
      <c r="K856" s="33">
        <f t="shared" si="115"/>
        <v>2771.06</v>
      </c>
      <c r="L856" s="59">
        <f t="shared" si="123"/>
        <v>1.5755443765201875E-2</v>
      </c>
      <c r="M856" s="60" t="str">
        <f t="shared" si="124"/>
        <v/>
      </c>
    </row>
    <row r="857" spans="2:13" x14ac:dyDescent="0.55000000000000004">
      <c r="B857" s="35">
        <f t="shared" si="127"/>
        <v>11</v>
      </c>
      <c r="C857" s="72" t="s">
        <v>119</v>
      </c>
      <c r="D857" s="44">
        <f t="shared" si="121"/>
        <v>43566</v>
      </c>
      <c r="E857" s="38">
        <v>5.7214999999999998</v>
      </c>
      <c r="F857" s="39">
        <f t="shared" si="118"/>
        <v>499</v>
      </c>
      <c r="G857" s="33">
        <f t="shared" si="126"/>
        <v>2835.7671</v>
      </c>
      <c r="H857" s="33">
        <f t="shared" si="125"/>
        <v>2821.3160600000001</v>
      </c>
      <c r="I857" s="33">
        <f t="shared" si="116"/>
        <v>2821.3160600000001</v>
      </c>
      <c r="J857" s="33">
        <f t="shared" si="122"/>
        <v>2771.1487000000002</v>
      </c>
      <c r="K857" s="33">
        <f t="shared" si="115"/>
        <v>2771.06</v>
      </c>
      <c r="L857" s="59">
        <f t="shared" si="123"/>
        <v>1.8136041803497639E-2</v>
      </c>
      <c r="M857" s="60" t="str">
        <f t="shared" si="124"/>
        <v/>
      </c>
    </row>
    <row r="858" spans="2:13" x14ac:dyDescent="0.55000000000000004">
      <c r="B858" s="35">
        <f t="shared" si="127"/>
        <v>12</v>
      </c>
      <c r="C858" s="72" t="s">
        <v>119</v>
      </c>
      <c r="D858" s="44">
        <f t="shared" si="121"/>
        <v>43567</v>
      </c>
      <c r="E858" s="38">
        <v>5.7930999999999999</v>
      </c>
      <c r="F858" s="39">
        <f t="shared" si="118"/>
        <v>499</v>
      </c>
      <c r="G858" s="33">
        <f t="shared" si="126"/>
        <v>2855.0284999999999</v>
      </c>
      <c r="H858" s="33">
        <f t="shared" si="125"/>
        <v>2829.5296000000003</v>
      </c>
      <c r="I858" s="33">
        <f t="shared" si="116"/>
        <v>2829.5295999999998</v>
      </c>
      <c r="J858" s="33">
        <f t="shared" si="122"/>
        <v>2771.1487000000002</v>
      </c>
      <c r="K858" s="33">
        <f t="shared" si="115"/>
        <v>2771.06</v>
      </c>
      <c r="L858" s="59">
        <f t="shared" si="123"/>
        <v>2.110008444422003E-2</v>
      </c>
      <c r="M858" s="60" t="str">
        <f t="shared" si="124"/>
        <v/>
      </c>
    </row>
    <row r="859" spans="2:13" x14ac:dyDescent="0.55000000000000004">
      <c r="B859" s="35">
        <f t="shared" si="127"/>
        <v>15</v>
      </c>
      <c r="C859" s="72" t="s">
        <v>119</v>
      </c>
      <c r="D859" s="44">
        <f t="shared" si="121"/>
        <v>43570</v>
      </c>
      <c r="E859" s="38">
        <v>5.7956000000000003</v>
      </c>
      <c r="F859" s="39">
        <f t="shared" si="118"/>
        <v>499</v>
      </c>
      <c r="G859" s="33">
        <f t="shared" si="126"/>
        <v>2890.7568999999999</v>
      </c>
      <c r="H859" s="33">
        <f t="shared" si="125"/>
        <v>2848.5614599999999</v>
      </c>
      <c r="I859" s="33">
        <f t="shared" si="116"/>
        <v>2848.5614599999994</v>
      </c>
      <c r="J859" s="33">
        <f t="shared" si="122"/>
        <v>2771.1487000000002</v>
      </c>
      <c r="K859" s="33">
        <f t="shared" si="115"/>
        <v>2771.06</v>
      </c>
      <c r="L859" s="59">
        <f t="shared" si="123"/>
        <v>2.7968163807351683E-2</v>
      </c>
      <c r="M859" s="60" t="str">
        <f t="shared" si="124"/>
        <v/>
      </c>
    </row>
    <row r="860" spans="2:13" x14ac:dyDescent="0.55000000000000004">
      <c r="B860" s="35">
        <f t="shared" si="127"/>
        <v>16</v>
      </c>
      <c r="C860" s="72" t="s">
        <v>119</v>
      </c>
      <c r="D860" s="44">
        <f t="shared" si="121"/>
        <v>43571</v>
      </c>
      <c r="E860" s="38">
        <v>5.7995999999999999</v>
      </c>
      <c r="F860" s="39">
        <f t="shared" si="118"/>
        <v>499</v>
      </c>
      <c r="G860" s="33">
        <f t="shared" si="126"/>
        <v>2892.0044000000003</v>
      </c>
      <c r="H860" s="33">
        <f t="shared" si="125"/>
        <v>2860.3578200000002</v>
      </c>
      <c r="I860" s="33">
        <f t="shared" si="116"/>
        <v>2860.3578199999997</v>
      </c>
      <c r="J860" s="33">
        <f t="shared" si="122"/>
        <v>2892.0044000000003</v>
      </c>
      <c r="K860" s="33">
        <f t="shared" si="115"/>
        <v>2771.06</v>
      </c>
      <c r="L860" s="59">
        <f t="shared" si="123"/>
        <v>3.2225148499130378E-2</v>
      </c>
      <c r="M860" s="60">
        <f t="shared" si="124"/>
        <v>120.94440000000031</v>
      </c>
    </row>
    <row r="861" spans="2:13" x14ac:dyDescent="0.55000000000000004">
      <c r="B861" s="35">
        <f t="shared" si="127"/>
        <v>17</v>
      </c>
      <c r="C861" s="72" t="s">
        <v>119</v>
      </c>
      <c r="D861" s="44">
        <f t="shared" si="121"/>
        <v>43572</v>
      </c>
      <c r="E861" s="38">
        <v>5.7530999999999999</v>
      </c>
      <c r="F861" s="39">
        <f t="shared" si="118"/>
        <v>499</v>
      </c>
      <c r="G861" s="33">
        <f t="shared" si="126"/>
        <v>2894.0003999999999</v>
      </c>
      <c r="H861" s="33">
        <f t="shared" si="125"/>
        <v>2894.0003999999999</v>
      </c>
      <c r="I861" s="33">
        <f t="shared" si="116"/>
        <v>2873.5114599999997</v>
      </c>
      <c r="J861" s="33">
        <f t="shared" si="122"/>
        <v>2892.0044000000003</v>
      </c>
      <c r="K861" s="33">
        <f t="shared" ref="K861:K924" si="128">IF(L860&gt;3%,G860,IF(L860&lt;-3%,G860,K860))</f>
        <v>2892.0044000000003</v>
      </c>
      <c r="L861" s="59">
        <f t="shared" si="123"/>
        <v>6.9017875629775658E-4</v>
      </c>
      <c r="M861" s="60" t="str">
        <f t="shared" si="124"/>
        <v/>
      </c>
    </row>
    <row r="862" spans="2:13" x14ac:dyDescent="0.55000000000000004">
      <c r="B862" s="35">
        <f t="shared" si="127"/>
        <v>18</v>
      </c>
      <c r="C862" s="72" t="s">
        <v>119</v>
      </c>
      <c r="D862" s="44">
        <f t="shared" si="121"/>
        <v>43573</v>
      </c>
      <c r="E862" s="38">
        <v>5.8198999999999996</v>
      </c>
      <c r="F862" s="39">
        <f t="shared" si="118"/>
        <v>499</v>
      </c>
      <c r="G862" s="33">
        <f t="shared" si="126"/>
        <v>2870.7968999999998</v>
      </c>
      <c r="H862" s="33">
        <f t="shared" si="125"/>
        <v>2882.3986500000001</v>
      </c>
      <c r="I862" s="33">
        <f t="shared" si="116"/>
        <v>2880.5174199999997</v>
      </c>
      <c r="J862" s="33">
        <f t="shared" si="122"/>
        <v>2892.0044000000003</v>
      </c>
      <c r="K862" s="33">
        <f t="shared" si="128"/>
        <v>2892.0044000000003</v>
      </c>
      <c r="L862" s="59">
        <f t="shared" si="123"/>
        <v>-3.3214852646836117E-3</v>
      </c>
      <c r="M862" s="60" t="str">
        <f t="shared" si="124"/>
        <v/>
      </c>
    </row>
    <row r="863" spans="2:13" x14ac:dyDescent="0.55000000000000004">
      <c r="B863" s="35">
        <f t="shared" si="127"/>
        <v>19</v>
      </c>
      <c r="C863" s="72" t="s">
        <v>120</v>
      </c>
      <c r="D863" s="44">
        <f t="shared" si="121"/>
        <v>43574</v>
      </c>
      <c r="E863" s="38">
        <v>5.8025000000000002</v>
      </c>
      <c r="F863" s="39">
        <f t="shared" si="118"/>
        <v>499</v>
      </c>
      <c r="G863" s="33">
        <f t="shared" si="126"/>
        <v>2904.1300999999999</v>
      </c>
      <c r="H863" s="33">
        <f t="shared" si="125"/>
        <v>2889.6424666666667</v>
      </c>
      <c r="I863" s="33">
        <f t="shared" si="116"/>
        <v>2890.3377400000004</v>
      </c>
      <c r="J863" s="33">
        <f t="shared" si="122"/>
        <v>2892.0044000000003</v>
      </c>
      <c r="K863" s="33">
        <f t="shared" si="128"/>
        <v>2892.0044000000003</v>
      </c>
      <c r="L863" s="59">
        <f t="shared" si="123"/>
        <v>-8.1671152828591178E-4</v>
      </c>
      <c r="M863" s="60" t="str">
        <f t="shared" si="124"/>
        <v/>
      </c>
    </row>
    <row r="864" spans="2:13" x14ac:dyDescent="0.55000000000000004">
      <c r="B864" s="35">
        <f t="shared" si="127"/>
        <v>22</v>
      </c>
      <c r="C864" s="72" t="s">
        <v>120</v>
      </c>
      <c r="D864" s="44">
        <f t="shared" si="121"/>
        <v>43577</v>
      </c>
      <c r="E864" s="38">
        <v>5.8357999999999999</v>
      </c>
      <c r="F864" s="39">
        <f t="shared" si="118"/>
        <v>499</v>
      </c>
      <c r="G864" s="33">
        <f t="shared" si="126"/>
        <v>2895.4475000000002</v>
      </c>
      <c r="H864" s="33">
        <f t="shared" si="125"/>
        <v>2891.0937250000002</v>
      </c>
      <c r="I864" s="33">
        <f t="shared" si="116"/>
        <v>2891.2758600000002</v>
      </c>
      <c r="J864" s="33">
        <f t="shared" si="122"/>
        <v>2892.0044000000003</v>
      </c>
      <c r="K864" s="33">
        <f t="shared" si="128"/>
        <v>2892.0044000000003</v>
      </c>
      <c r="L864" s="59">
        <f t="shared" si="123"/>
        <v>-3.1489405756093694E-4</v>
      </c>
      <c r="M864" s="60" t="str">
        <f t="shared" si="124"/>
        <v/>
      </c>
    </row>
    <row r="865" spans="2:13" x14ac:dyDescent="0.55000000000000004">
      <c r="B865" s="35">
        <f t="shared" si="127"/>
        <v>23</v>
      </c>
      <c r="C865" s="72" t="s">
        <v>119</v>
      </c>
      <c r="D865" s="44">
        <f t="shared" si="121"/>
        <v>43578</v>
      </c>
      <c r="E865" s="38">
        <v>5.8357999999999999</v>
      </c>
      <c r="F865" s="39">
        <f t="shared" si="118"/>
        <v>499</v>
      </c>
      <c r="G865" s="33">
        <f t="shared" si="126"/>
        <v>2912.0641999999998</v>
      </c>
      <c r="H865" s="33">
        <f t="shared" si="125"/>
        <v>2895.28782</v>
      </c>
      <c r="I865" s="33">
        <f t="shared" si="116"/>
        <v>2895.28782</v>
      </c>
      <c r="J865" s="33">
        <f t="shared" si="122"/>
        <v>2892.0044000000003</v>
      </c>
      <c r="K865" s="33">
        <f t="shared" si="128"/>
        <v>2892.0044000000003</v>
      </c>
      <c r="L865" s="59">
        <f t="shared" si="123"/>
        <v>1.1353440541099283E-3</v>
      </c>
      <c r="M865" s="60" t="str">
        <f t="shared" si="124"/>
        <v/>
      </c>
    </row>
    <row r="866" spans="2:13" x14ac:dyDescent="0.55000000000000004">
      <c r="B866" s="35">
        <f t="shared" si="127"/>
        <v>24</v>
      </c>
      <c r="C866" s="72" t="s">
        <v>119</v>
      </c>
      <c r="D866" s="44">
        <f t="shared" si="121"/>
        <v>43579</v>
      </c>
      <c r="E866" s="38">
        <v>5.8703000000000003</v>
      </c>
      <c r="F866" s="39">
        <f t="shared" si="118"/>
        <v>499</v>
      </c>
      <c r="G866" s="33">
        <f t="shared" si="126"/>
        <v>2912.0641999999998</v>
      </c>
      <c r="H866" s="33">
        <f t="shared" si="125"/>
        <v>2898.90058</v>
      </c>
      <c r="I866" s="33">
        <f t="shared" ref="I866:I929" si="129">F866*AVERAGE(E861:E865)</f>
        <v>2898.90058</v>
      </c>
      <c r="J866" s="33">
        <f t="shared" si="122"/>
        <v>2892.0044000000003</v>
      </c>
      <c r="K866" s="33">
        <f t="shared" si="128"/>
        <v>2892.0044000000003</v>
      </c>
      <c r="L866" s="59">
        <f t="shared" si="123"/>
        <v>2.384567603009086E-3</v>
      </c>
      <c r="M866" s="60" t="str">
        <f t="shared" si="124"/>
        <v/>
      </c>
    </row>
    <row r="867" spans="2:13" x14ac:dyDescent="0.55000000000000004">
      <c r="B867" s="35">
        <f t="shared" si="127"/>
        <v>25</v>
      </c>
      <c r="C867" s="72" t="s">
        <v>119</v>
      </c>
      <c r="D867" s="44">
        <f t="shared" si="121"/>
        <v>43580</v>
      </c>
      <c r="E867" s="38">
        <v>5.9032999999999998</v>
      </c>
      <c r="F867" s="39">
        <f t="shared" si="118"/>
        <v>499</v>
      </c>
      <c r="G867" s="33">
        <f t="shared" si="126"/>
        <v>2929.2797</v>
      </c>
      <c r="H867" s="33">
        <f t="shared" si="125"/>
        <v>2910.5971400000003</v>
      </c>
      <c r="I867" s="33">
        <f t="shared" si="129"/>
        <v>2910.5971399999999</v>
      </c>
      <c r="J867" s="33">
        <f t="shared" si="122"/>
        <v>2892.0044000000003</v>
      </c>
      <c r="K867" s="33">
        <f t="shared" si="128"/>
        <v>2892.0044000000003</v>
      </c>
      <c r="L867" s="59">
        <f t="shared" si="123"/>
        <v>6.4290151149147797E-3</v>
      </c>
      <c r="M867" s="60" t="str">
        <f t="shared" si="124"/>
        <v/>
      </c>
    </row>
    <row r="868" spans="2:13" x14ac:dyDescent="0.55000000000000004">
      <c r="B868" s="35">
        <f t="shared" si="127"/>
        <v>26</v>
      </c>
      <c r="C868" s="72" t="s">
        <v>119</v>
      </c>
      <c r="D868" s="44">
        <f t="shared" si="121"/>
        <v>43581</v>
      </c>
      <c r="E868" s="38">
        <v>5.9340000000000002</v>
      </c>
      <c r="F868" s="39">
        <f t="shared" si="118"/>
        <v>499</v>
      </c>
      <c r="G868" s="33">
        <f t="shared" si="126"/>
        <v>2945.7466999999997</v>
      </c>
      <c r="H868" s="33">
        <f t="shared" si="125"/>
        <v>2918.9204599999998</v>
      </c>
      <c r="I868" s="33">
        <f t="shared" si="129"/>
        <v>2918.9204600000003</v>
      </c>
      <c r="J868" s="33">
        <f t="shared" si="122"/>
        <v>2892.0044000000003</v>
      </c>
      <c r="K868" s="33">
        <f t="shared" si="128"/>
        <v>2892.0044000000003</v>
      </c>
      <c r="L868" s="59">
        <f t="shared" si="123"/>
        <v>9.3070605286767749E-3</v>
      </c>
      <c r="M868" s="60" t="str">
        <f t="shared" si="124"/>
        <v/>
      </c>
    </row>
    <row r="869" spans="2:13" x14ac:dyDescent="0.55000000000000004">
      <c r="B869" s="35">
        <f t="shared" si="127"/>
        <v>29</v>
      </c>
      <c r="C869" s="72" t="s">
        <v>119</v>
      </c>
      <c r="D869" s="44">
        <f t="shared" si="121"/>
        <v>43584</v>
      </c>
      <c r="E869" s="38">
        <v>5.9389000000000003</v>
      </c>
      <c r="F869" s="39">
        <f t="shared" si="118"/>
        <v>499</v>
      </c>
      <c r="G869" s="33">
        <f t="shared" si="126"/>
        <v>2961.0660000000003</v>
      </c>
      <c r="H869" s="33">
        <f t="shared" si="125"/>
        <v>2932.0441600000004</v>
      </c>
      <c r="I869" s="33">
        <f t="shared" si="129"/>
        <v>2932.0441599999999</v>
      </c>
      <c r="J869" s="33">
        <f t="shared" si="122"/>
        <v>2892.0044000000003</v>
      </c>
      <c r="K869" s="33">
        <f t="shared" si="128"/>
        <v>2892.0044000000003</v>
      </c>
      <c r="L869" s="59">
        <f t="shared" si="123"/>
        <v>1.3844985851335534E-2</v>
      </c>
      <c r="M869" s="60" t="str">
        <f t="shared" si="124"/>
        <v/>
      </c>
    </row>
    <row r="870" spans="2:13" x14ac:dyDescent="0.55000000000000004">
      <c r="B870" s="35">
        <f t="shared" si="127"/>
        <v>30</v>
      </c>
      <c r="C870" s="72" t="s">
        <v>119</v>
      </c>
      <c r="D870" s="44">
        <f t="shared" si="121"/>
        <v>43585</v>
      </c>
      <c r="E870" s="38">
        <v>5.9671000000000003</v>
      </c>
      <c r="F870" s="39">
        <f t="shared" si="118"/>
        <v>499</v>
      </c>
      <c r="G870" s="33">
        <f t="shared" si="126"/>
        <v>2963.5111000000002</v>
      </c>
      <c r="H870" s="33">
        <f t="shared" si="125"/>
        <v>2942.3335400000001</v>
      </c>
      <c r="I870" s="33">
        <f t="shared" si="129"/>
        <v>2942.3335400000001</v>
      </c>
      <c r="J870" s="33">
        <f t="shared" si="122"/>
        <v>2892.0044000000003</v>
      </c>
      <c r="K870" s="33">
        <f t="shared" si="128"/>
        <v>2892.0044000000003</v>
      </c>
      <c r="L870" s="59">
        <f t="shared" si="123"/>
        <v>1.7402857340051012E-2</v>
      </c>
      <c r="M870" s="60" t="str">
        <f t="shared" si="124"/>
        <v/>
      </c>
    </row>
    <row r="871" spans="2:13" x14ac:dyDescent="0.55000000000000004">
      <c r="B871" s="35">
        <f t="shared" si="127"/>
        <v>1</v>
      </c>
      <c r="C871" s="72" t="s">
        <v>121</v>
      </c>
      <c r="D871" s="44">
        <f t="shared" si="121"/>
        <v>43586</v>
      </c>
      <c r="E871" s="38">
        <v>5.9671000000000003</v>
      </c>
      <c r="F871" s="39">
        <f>F870-6</f>
        <v>493</v>
      </c>
      <c r="G871" s="33">
        <f t="shared" si="126"/>
        <v>2941.7803000000004</v>
      </c>
      <c r="H871" s="33">
        <f t="shared" si="125"/>
        <v>2948.2767599999997</v>
      </c>
      <c r="I871" s="33">
        <f t="shared" si="129"/>
        <v>2919.9009599999999</v>
      </c>
      <c r="J871" s="33">
        <f t="shared" si="122"/>
        <v>2892.0044000000003</v>
      </c>
      <c r="K871" s="33">
        <f t="shared" si="128"/>
        <v>2892.0044000000003</v>
      </c>
      <c r="L871" s="59">
        <f t="shared" si="123"/>
        <v>1.9457909538450037E-2</v>
      </c>
      <c r="M871" s="60" t="str">
        <f t="shared" si="124"/>
        <v/>
      </c>
    </row>
    <row r="872" spans="2:13" x14ac:dyDescent="0.55000000000000004">
      <c r="B872" s="35">
        <f t="shared" si="127"/>
        <v>2</v>
      </c>
      <c r="C872" s="72" t="s">
        <v>121</v>
      </c>
      <c r="D872" s="44">
        <f t="shared" si="121"/>
        <v>43587</v>
      </c>
      <c r="E872" s="38">
        <v>5.9679000000000002</v>
      </c>
      <c r="F872" s="39">
        <f t="shared" si="118"/>
        <v>493</v>
      </c>
      <c r="G872" s="33">
        <f t="shared" si="126"/>
        <v>2941.7803000000004</v>
      </c>
      <c r="H872" s="33">
        <f t="shared" si="125"/>
        <v>2950.7768800000003</v>
      </c>
      <c r="I872" s="33">
        <f t="shared" si="129"/>
        <v>2929.44544</v>
      </c>
      <c r="J872" s="33">
        <f t="shared" si="122"/>
        <v>2892.0044000000003</v>
      </c>
      <c r="K872" s="33">
        <f t="shared" si="128"/>
        <v>2892.0044000000003</v>
      </c>
      <c r="L872" s="59">
        <f t="shared" si="123"/>
        <v>2.0322403382235545E-2</v>
      </c>
      <c r="M872" s="60" t="str">
        <f t="shared" si="124"/>
        <v/>
      </c>
    </row>
    <row r="873" spans="2:13" x14ac:dyDescent="0.55000000000000004">
      <c r="B873" s="35">
        <f t="shared" si="127"/>
        <v>3</v>
      </c>
      <c r="C873" s="72" t="s">
        <v>121</v>
      </c>
      <c r="D873" s="44">
        <f t="shared" si="121"/>
        <v>43588</v>
      </c>
      <c r="E873" s="38">
        <v>5.9709000000000003</v>
      </c>
      <c r="F873" s="39">
        <f t="shared" ref="F873:F935" si="130">F872</f>
        <v>493</v>
      </c>
      <c r="G873" s="33">
        <f t="shared" si="126"/>
        <v>2942.1747</v>
      </c>
      <c r="H873" s="33">
        <f t="shared" si="125"/>
        <v>2950.0624800000001</v>
      </c>
      <c r="I873" s="33">
        <f t="shared" si="129"/>
        <v>2935.8150000000005</v>
      </c>
      <c r="J873" s="33">
        <f t="shared" si="122"/>
        <v>2892.0044000000003</v>
      </c>
      <c r="K873" s="33">
        <f t="shared" si="128"/>
        <v>2892.0044000000003</v>
      </c>
      <c r="L873" s="59">
        <f t="shared" si="123"/>
        <v>2.0075377478678727E-2</v>
      </c>
      <c r="M873" s="60" t="str">
        <f t="shared" si="124"/>
        <v/>
      </c>
    </row>
    <row r="874" spans="2:13" x14ac:dyDescent="0.55000000000000004">
      <c r="B874" s="35">
        <f t="shared" si="127"/>
        <v>6</v>
      </c>
      <c r="C874" s="72" t="s">
        <v>120</v>
      </c>
      <c r="D874" s="44">
        <f t="shared" si="121"/>
        <v>43591</v>
      </c>
      <c r="E874" s="38">
        <v>6.0023</v>
      </c>
      <c r="F874" s="39">
        <f t="shared" si="130"/>
        <v>493</v>
      </c>
      <c r="G874" s="33">
        <f t="shared" si="126"/>
        <v>2943.6537000000003</v>
      </c>
      <c r="H874" s="33">
        <f t="shared" si="125"/>
        <v>2946.5800200000003</v>
      </c>
      <c r="I874" s="33">
        <f t="shared" si="129"/>
        <v>2939.45334</v>
      </c>
      <c r="J874" s="33">
        <f t="shared" si="122"/>
        <v>2892.0044000000003</v>
      </c>
      <c r="K874" s="33">
        <f t="shared" si="128"/>
        <v>2892.0044000000003</v>
      </c>
      <c r="L874" s="59">
        <f t="shared" si="123"/>
        <v>1.8871209186265437E-2</v>
      </c>
      <c r="M874" s="60" t="str">
        <f t="shared" si="124"/>
        <v/>
      </c>
    </row>
    <row r="875" spans="2:13" x14ac:dyDescent="0.55000000000000004">
      <c r="B875" s="35">
        <f t="shared" si="127"/>
        <v>7</v>
      </c>
      <c r="C875" s="72" t="s">
        <v>121</v>
      </c>
      <c r="D875" s="44">
        <f t="shared" si="121"/>
        <v>43592</v>
      </c>
      <c r="E875" s="38">
        <v>6.1585999999999999</v>
      </c>
      <c r="F875" s="39">
        <f t="shared" si="130"/>
        <v>493</v>
      </c>
      <c r="G875" s="33">
        <f t="shared" si="126"/>
        <v>2959.1338999999998</v>
      </c>
      <c r="H875" s="33">
        <f t="shared" si="125"/>
        <v>2945.7045800000001</v>
      </c>
      <c r="I875" s="33">
        <f t="shared" si="129"/>
        <v>2945.7045800000005</v>
      </c>
      <c r="J875" s="33">
        <f t="shared" si="122"/>
        <v>2892.0044000000003</v>
      </c>
      <c r="K875" s="33">
        <f t="shared" si="128"/>
        <v>2892.0044000000003</v>
      </c>
      <c r="L875" s="59">
        <f t="shared" si="123"/>
        <v>1.8568498720126364E-2</v>
      </c>
      <c r="M875" s="60" t="str">
        <f t="shared" si="124"/>
        <v/>
      </c>
    </row>
    <row r="876" spans="2:13" x14ac:dyDescent="0.55000000000000004">
      <c r="B876" s="35">
        <f t="shared" si="127"/>
        <v>8</v>
      </c>
      <c r="C876" s="72" t="s">
        <v>121</v>
      </c>
      <c r="D876" s="44">
        <f t="shared" si="121"/>
        <v>43593</v>
      </c>
      <c r="E876" s="38">
        <v>6.1718000000000002</v>
      </c>
      <c r="F876" s="39">
        <f t="shared" si="130"/>
        <v>493</v>
      </c>
      <c r="G876" s="33">
        <f t="shared" si="126"/>
        <v>3036.1898000000001</v>
      </c>
      <c r="H876" s="33">
        <f t="shared" si="125"/>
        <v>2964.5864800000004</v>
      </c>
      <c r="I876" s="33">
        <f t="shared" si="129"/>
        <v>2964.5864800000004</v>
      </c>
      <c r="J876" s="33">
        <f t="shared" si="122"/>
        <v>2892.0044000000003</v>
      </c>
      <c r="K876" s="33">
        <f t="shared" si="128"/>
        <v>2892.0044000000003</v>
      </c>
      <c r="L876" s="59">
        <f t="shared" si="123"/>
        <v>2.5097499851660019E-2</v>
      </c>
      <c r="M876" s="60" t="str">
        <f t="shared" si="124"/>
        <v/>
      </c>
    </row>
    <row r="877" spans="2:13" x14ac:dyDescent="0.55000000000000004">
      <c r="B877" s="35">
        <f t="shared" si="127"/>
        <v>9</v>
      </c>
      <c r="C877" s="72" t="s">
        <v>121</v>
      </c>
      <c r="D877" s="44">
        <f t="shared" si="121"/>
        <v>43594</v>
      </c>
      <c r="E877" s="38">
        <v>6.2138</v>
      </c>
      <c r="F877" s="39">
        <f t="shared" si="130"/>
        <v>493</v>
      </c>
      <c r="G877" s="33">
        <f t="shared" si="126"/>
        <v>3042.6974</v>
      </c>
      <c r="H877" s="33">
        <f t="shared" si="125"/>
        <v>2984.7699000000002</v>
      </c>
      <c r="I877" s="33">
        <f t="shared" si="129"/>
        <v>2984.7698999999998</v>
      </c>
      <c r="J877" s="33">
        <f t="shared" si="122"/>
        <v>3042.6974</v>
      </c>
      <c r="K877" s="33">
        <f t="shared" si="128"/>
        <v>2892.0044000000003</v>
      </c>
      <c r="L877" s="59">
        <f t="shared" si="123"/>
        <v>3.2076541792260056E-2</v>
      </c>
      <c r="M877" s="60">
        <f t="shared" si="124"/>
        <v>150.69299999999976</v>
      </c>
    </row>
    <row r="878" spans="2:13" x14ac:dyDescent="0.55000000000000004">
      <c r="B878" s="35">
        <f t="shared" si="127"/>
        <v>10</v>
      </c>
      <c r="C878" s="72" t="s">
        <v>121</v>
      </c>
      <c r="D878" s="44">
        <f t="shared" si="121"/>
        <v>43595</v>
      </c>
      <c r="E878" s="38">
        <v>6.1238999999999999</v>
      </c>
      <c r="F878" s="39">
        <f t="shared" si="130"/>
        <v>493</v>
      </c>
      <c r="G878" s="33">
        <f t="shared" si="126"/>
        <v>3063.4034000000001</v>
      </c>
      <c r="H878" s="33">
        <f t="shared" si="125"/>
        <v>3063.4034000000001</v>
      </c>
      <c r="I878" s="33">
        <f t="shared" si="129"/>
        <v>3009.0156399999996</v>
      </c>
      <c r="J878" s="33">
        <f t="shared" si="122"/>
        <v>3042.6974</v>
      </c>
      <c r="K878" s="33">
        <f t="shared" si="128"/>
        <v>3042.6974</v>
      </c>
      <c r="L878" s="59">
        <f t="shared" si="123"/>
        <v>6.8051459865841836E-3</v>
      </c>
      <c r="M878" s="60" t="str">
        <f t="shared" si="124"/>
        <v/>
      </c>
    </row>
    <row r="879" spans="2:13" x14ac:dyDescent="0.55000000000000004">
      <c r="B879" s="35">
        <f t="shared" si="127"/>
        <v>13</v>
      </c>
      <c r="C879" s="72" t="s">
        <v>121</v>
      </c>
      <c r="D879" s="44">
        <f t="shared" si="121"/>
        <v>43598</v>
      </c>
      <c r="E879" s="38">
        <v>6.0936000000000003</v>
      </c>
      <c r="F879" s="39">
        <f t="shared" si="130"/>
        <v>493</v>
      </c>
      <c r="G879" s="33">
        <f t="shared" si="126"/>
        <v>3019.0826999999999</v>
      </c>
      <c r="H879" s="33">
        <f t="shared" si="125"/>
        <v>3041.24305</v>
      </c>
      <c r="I879" s="33">
        <f t="shared" si="129"/>
        <v>3024.1014399999995</v>
      </c>
      <c r="J879" s="33">
        <f t="shared" si="122"/>
        <v>3042.6974</v>
      </c>
      <c r="K879" s="33">
        <f t="shared" si="128"/>
        <v>3042.6974</v>
      </c>
      <c r="L879" s="59">
        <f t="shared" si="123"/>
        <v>-4.7798049191483078E-4</v>
      </c>
      <c r="M879" s="60" t="str">
        <f t="shared" si="124"/>
        <v/>
      </c>
    </row>
    <row r="880" spans="2:13" x14ac:dyDescent="0.55000000000000004">
      <c r="B880" s="35">
        <f t="shared" si="127"/>
        <v>14</v>
      </c>
      <c r="C880" s="72" t="s">
        <v>121</v>
      </c>
      <c r="D880" s="44">
        <f t="shared" si="121"/>
        <v>43599</v>
      </c>
      <c r="E880" s="38">
        <v>6.0547000000000004</v>
      </c>
      <c r="F880" s="39">
        <f t="shared" si="130"/>
        <v>493</v>
      </c>
      <c r="G880" s="33">
        <f t="shared" si="126"/>
        <v>3004.1448</v>
      </c>
      <c r="H880" s="33">
        <f t="shared" si="125"/>
        <v>3028.8769666666667</v>
      </c>
      <c r="I880" s="33">
        <f t="shared" si="129"/>
        <v>3033.1036199999999</v>
      </c>
      <c r="J880" s="33">
        <f t="shared" si="122"/>
        <v>3042.6974</v>
      </c>
      <c r="K880" s="33">
        <f t="shared" si="128"/>
        <v>3042.6974</v>
      </c>
      <c r="L880" s="59">
        <f t="shared" si="123"/>
        <v>-4.542164900569249E-3</v>
      </c>
      <c r="M880" s="60" t="str">
        <f t="shared" si="124"/>
        <v/>
      </c>
    </row>
    <row r="881" spans="2:13" x14ac:dyDescent="0.55000000000000004">
      <c r="B881" s="35">
        <f t="shared" si="127"/>
        <v>15</v>
      </c>
      <c r="C881" s="72" t="s">
        <v>121</v>
      </c>
      <c r="D881" s="44">
        <f t="shared" si="121"/>
        <v>43600</v>
      </c>
      <c r="E881" s="38">
        <v>6.0637999999999996</v>
      </c>
      <c r="F881" s="39">
        <f t="shared" si="130"/>
        <v>493</v>
      </c>
      <c r="G881" s="33">
        <f t="shared" si="126"/>
        <v>2984.9671000000003</v>
      </c>
      <c r="H881" s="33">
        <f t="shared" si="125"/>
        <v>3017.8995</v>
      </c>
      <c r="I881" s="33">
        <f t="shared" si="129"/>
        <v>3022.8590799999997</v>
      </c>
      <c r="J881" s="33">
        <f t="shared" si="122"/>
        <v>3042.6974</v>
      </c>
      <c r="K881" s="33">
        <f t="shared" si="128"/>
        <v>3042.6974</v>
      </c>
      <c r="L881" s="59">
        <f t="shared" si="123"/>
        <v>-8.1499724553614917E-3</v>
      </c>
      <c r="M881" s="60" t="str">
        <f t="shared" si="124"/>
        <v/>
      </c>
    </row>
    <row r="882" spans="2:13" x14ac:dyDescent="0.55000000000000004">
      <c r="B882" s="35">
        <f t="shared" si="127"/>
        <v>16</v>
      </c>
      <c r="C882" s="72" t="s">
        <v>121</v>
      </c>
      <c r="D882" s="44">
        <f t="shared" si="121"/>
        <v>43601</v>
      </c>
      <c r="E882" s="38">
        <v>6.0106999999999999</v>
      </c>
      <c r="F882" s="39">
        <f t="shared" si="130"/>
        <v>493</v>
      </c>
      <c r="G882" s="33">
        <f t="shared" si="126"/>
        <v>2989.4533999999999</v>
      </c>
      <c r="H882" s="33">
        <f t="shared" si="125"/>
        <v>3012.2102800000002</v>
      </c>
      <c r="I882" s="33">
        <f t="shared" si="129"/>
        <v>3012.2102800000002</v>
      </c>
      <c r="J882" s="33">
        <f t="shared" si="122"/>
        <v>3042.6974</v>
      </c>
      <c r="K882" s="33">
        <f t="shared" si="128"/>
        <v>3042.6974</v>
      </c>
      <c r="L882" s="59">
        <f t="shared" si="123"/>
        <v>-1.00197673288181E-2</v>
      </c>
      <c r="M882" s="60" t="str">
        <f t="shared" si="124"/>
        <v/>
      </c>
    </row>
    <row r="883" spans="2:13" x14ac:dyDescent="0.55000000000000004">
      <c r="B883" s="35">
        <f t="shared" si="127"/>
        <v>17</v>
      </c>
      <c r="C883" s="72" t="s">
        <v>121</v>
      </c>
      <c r="D883" s="44">
        <f t="shared" si="121"/>
        <v>43602</v>
      </c>
      <c r="E883" s="38">
        <v>6.0571999999999999</v>
      </c>
      <c r="F883" s="39">
        <f t="shared" si="130"/>
        <v>493</v>
      </c>
      <c r="G883" s="33">
        <f t="shared" si="126"/>
        <v>2963.2750999999998</v>
      </c>
      <c r="H883" s="33">
        <f t="shared" si="125"/>
        <v>2992.18462</v>
      </c>
      <c r="I883" s="33">
        <f t="shared" si="129"/>
        <v>2992.18462</v>
      </c>
      <c r="J883" s="33">
        <f t="shared" si="122"/>
        <v>3042.6974</v>
      </c>
      <c r="K883" s="33">
        <f t="shared" si="128"/>
        <v>3042.6974</v>
      </c>
      <c r="L883" s="59">
        <f t="shared" si="123"/>
        <v>-1.6601315661557411E-2</v>
      </c>
      <c r="M883" s="60" t="str">
        <f t="shared" si="124"/>
        <v/>
      </c>
    </row>
    <row r="884" spans="2:13" x14ac:dyDescent="0.55000000000000004">
      <c r="B884" s="35">
        <f t="shared" si="127"/>
        <v>20</v>
      </c>
      <c r="C884" s="72" t="s">
        <v>121</v>
      </c>
      <c r="D884" s="44">
        <f t="shared" si="121"/>
        <v>43605</v>
      </c>
      <c r="E884" s="38">
        <v>6.0509000000000004</v>
      </c>
      <c r="F884" s="39">
        <f t="shared" si="130"/>
        <v>493</v>
      </c>
      <c r="G884" s="33">
        <f t="shared" si="126"/>
        <v>2986.1995999999999</v>
      </c>
      <c r="H884" s="33">
        <f t="shared" si="125"/>
        <v>2985.6080000000002</v>
      </c>
      <c r="I884" s="33">
        <f t="shared" si="129"/>
        <v>2985.6080000000002</v>
      </c>
      <c r="J884" s="33">
        <f t="shared" si="122"/>
        <v>3042.6974</v>
      </c>
      <c r="K884" s="33">
        <f t="shared" si="128"/>
        <v>3042.6974</v>
      </c>
      <c r="L884" s="59">
        <f t="shared" si="123"/>
        <v>-1.8762759648724793E-2</v>
      </c>
      <c r="M884" s="60" t="str">
        <f t="shared" si="124"/>
        <v/>
      </c>
    </row>
    <row r="885" spans="2:13" x14ac:dyDescent="0.55000000000000004">
      <c r="B885" s="35">
        <f t="shared" si="127"/>
        <v>21</v>
      </c>
      <c r="C885" s="72" t="s">
        <v>121</v>
      </c>
      <c r="D885" s="44">
        <f t="shared" si="121"/>
        <v>43606</v>
      </c>
      <c r="E885" s="38">
        <v>6.0533999999999999</v>
      </c>
      <c r="F885" s="39">
        <f t="shared" si="130"/>
        <v>493</v>
      </c>
      <c r="G885" s="33">
        <f t="shared" si="126"/>
        <v>2983.0937000000004</v>
      </c>
      <c r="H885" s="33">
        <f t="shared" si="125"/>
        <v>2981.3977800000002</v>
      </c>
      <c r="I885" s="33">
        <f t="shared" si="129"/>
        <v>2981.3977799999998</v>
      </c>
      <c r="J885" s="33">
        <f t="shared" si="122"/>
        <v>3042.6974</v>
      </c>
      <c r="K885" s="33">
        <f t="shared" si="128"/>
        <v>3042.6974</v>
      </c>
      <c r="L885" s="59">
        <f t="shared" si="123"/>
        <v>-2.0146472665996881E-2</v>
      </c>
      <c r="M885" s="60" t="str">
        <f t="shared" si="124"/>
        <v/>
      </c>
    </row>
    <row r="886" spans="2:13" x14ac:dyDescent="0.55000000000000004">
      <c r="B886" s="35">
        <f t="shared" si="127"/>
        <v>22</v>
      </c>
      <c r="C886" s="72" t="s">
        <v>121</v>
      </c>
      <c r="D886" s="44">
        <f t="shared" si="121"/>
        <v>43607</v>
      </c>
      <c r="E886" s="38">
        <v>6.0872000000000002</v>
      </c>
      <c r="F886" s="39">
        <f t="shared" si="130"/>
        <v>493</v>
      </c>
      <c r="G886" s="33">
        <f t="shared" si="126"/>
        <v>2984.3262</v>
      </c>
      <c r="H886" s="33">
        <f t="shared" si="125"/>
        <v>2981.2695999999996</v>
      </c>
      <c r="I886" s="33">
        <f t="shared" si="129"/>
        <v>2981.2696000000001</v>
      </c>
      <c r="J886" s="33">
        <f t="shared" si="122"/>
        <v>3042.6974</v>
      </c>
      <c r="K886" s="33">
        <f t="shared" si="128"/>
        <v>3042.6974</v>
      </c>
      <c r="L886" s="59">
        <f t="shared" si="123"/>
        <v>-2.0188599760199745E-2</v>
      </c>
      <c r="M886" s="60" t="str">
        <f t="shared" si="124"/>
        <v/>
      </c>
    </row>
    <row r="887" spans="2:13" x14ac:dyDescent="0.55000000000000004">
      <c r="B887" s="35">
        <f t="shared" si="127"/>
        <v>23</v>
      </c>
      <c r="C887" s="72" t="s">
        <v>121</v>
      </c>
      <c r="D887" s="44">
        <f t="shared" si="121"/>
        <v>43608</v>
      </c>
      <c r="E887" s="38">
        <v>6.1361999999999997</v>
      </c>
      <c r="F887" s="39">
        <f t="shared" si="130"/>
        <v>493</v>
      </c>
      <c r="G887" s="33">
        <f t="shared" si="126"/>
        <v>3000.9895999999999</v>
      </c>
      <c r="H887" s="33">
        <f t="shared" si="125"/>
        <v>2983.5768400000002</v>
      </c>
      <c r="I887" s="33">
        <f t="shared" si="129"/>
        <v>2983.5768399999997</v>
      </c>
      <c r="J887" s="33">
        <f t="shared" si="122"/>
        <v>3042.6974</v>
      </c>
      <c r="K887" s="33">
        <f t="shared" si="128"/>
        <v>3042.6974</v>
      </c>
      <c r="L887" s="59">
        <f t="shared" si="123"/>
        <v>-1.9430312064551619E-2</v>
      </c>
      <c r="M887" s="60" t="str">
        <f t="shared" si="124"/>
        <v/>
      </c>
    </row>
    <row r="888" spans="2:13" x14ac:dyDescent="0.55000000000000004">
      <c r="B888" s="35">
        <f t="shared" si="127"/>
        <v>24</v>
      </c>
      <c r="C888" s="72" t="s">
        <v>121</v>
      </c>
      <c r="D888" s="44">
        <f t="shared" si="121"/>
        <v>43609</v>
      </c>
      <c r="E888" s="38">
        <v>6.0766</v>
      </c>
      <c r="F888" s="39">
        <f t="shared" si="130"/>
        <v>493</v>
      </c>
      <c r="G888" s="33">
        <f t="shared" si="126"/>
        <v>3025.1466</v>
      </c>
      <c r="H888" s="33">
        <f t="shared" si="125"/>
        <v>2995.9511400000001</v>
      </c>
      <c r="I888" s="33">
        <f t="shared" si="129"/>
        <v>2995.9511400000001</v>
      </c>
      <c r="J888" s="33">
        <f t="shared" si="122"/>
        <v>3042.6974</v>
      </c>
      <c r="K888" s="33">
        <f t="shared" si="128"/>
        <v>3042.6974</v>
      </c>
      <c r="L888" s="59">
        <f t="shared" si="123"/>
        <v>-1.5363427201140636E-2</v>
      </c>
      <c r="M888" s="60" t="str">
        <f t="shared" si="124"/>
        <v/>
      </c>
    </row>
    <row r="889" spans="2:13" x14ac:dyDescent="0.55000000000000004">
      <c r="B889" s="35">
        <f t="shared" si="127"/>
        <v>27</v>
      </c>
      <c r="C889" s="72" t="s">
        <v>120</v>
      </c>
      <c r="D889" s="44">
        <f t="shared" si="121"/>
        <v>43612</v>
      </c>
      <c r="E889" s="38">
        <v>6.0568999999999997</v>
      </c>
      <c r="F889" s="39">
        <f t="shared" si="130"/>
        <v>493</v>
      </c>
      <c r="G889" s="33">
        <f t="shared" si="126"/>
        <v>2995.7638000000002</v>
      </c>
      <c r="H889" s="33">
        <f t="shared" si="125"/>
        <v>2997.8639800000005</v>
      </c>
      <c r="I889" s="33">
        <f t="shared" si="129"/>
        <v>2997.8639799999996</v>
      </c>
      <c r="J889" s="33">
        <f t="shared" si="122"/>
        <v>3042.6974</v>
      </c>
      <c r="K889" s="33">
        <f t="shared" si="128"/>
        <v>3042.6974</v>
      </c>
      <c r="L889" s="59">
        <f t="shared" si="123"/>
        <v>-1.4734761333808442E-2</v>
      </c>
      <c r="M889" s="60" t="str">
        <f t="shared" si="124"/>
        <v/>
      </c>
    </row>
    <row r="890" spans="2:13" x14ac:dyDescent="0.55000000000000004">
      <c r="B890" s="35">
        <f t="shared" si="127"/>
        <v>28</v>
      </c>
      <c r="C890" s="72" t="s">
        <v>121</v>
      </c>
      <c r="D890" s="44">
        <f t="shared" ref="D890:D953" si="131">WORKDAY(D889,1)</f>
        <v>43613</v>
      </c>
      <c r="E890" s="38">
        <v>6.0500999999999996</v>
      </c>
      <c r="F890" s="39">
        <f t="shared" si="130"/>
        <v>493</v>
      </c>
      <c r="G890" s="33">
        <f t="shared" si="126"/>
        <v>2986.0517</v>
      </c>
      <c r="H890" s="33">
        <f t="shared" si="125"/>
        <v>2998.4555800000003</v>
      </c>
      <c r="I890" s="33">
        <f t="shared" si="129"/>
        <v>2998.4555799999998</v>
      </c>
      <c r="J890" s="33">
        <f t="shared" si="122"/>
        <v>3042.6974</v>
      </c>
      <c r="K890" s="33">
        <f t="shared" si="128"/>
        <v>3042.6974</v>
      </c>
      <c r="L890" s="59">
        <f t="shared" si="123"/>
        <v>-1.4540328591334693E-2</v>
      </c>
      <c r="M890" s="60" t="str">
        <f t="shared" si="124"/>
        <v/>
      </c>
    </row>
    <row r="891" spans="2:13" x14ac:dyDescent="0.55000000000000004">
      <c r="B891" s="35">
        <f t="shared" si="127"/>
        <v>29</v>
      </c>
      <c r="C891" s="72" t="s">
        <v>121</v>
      </c>
      <c r="D891" s="44">
        <f t="shared" si="131"/>
        <v>43614</v>
      </c>
      <c r="E891" s="38">
        <v>6.0260999999999996</v>
      </c>
      <c r="F891" s="39">
        <f t="shared" si="130"/>
        <v>493</v>
      </c>
      <c r="G891" s="33">
        <f t="shared" si="126"/>
        <v>2982.6992999999998</v>
      </c>
      <c r="H891" s="33">
        <f t="shared" si="125"/>
        <v>2998.1302000000001</v>
      </c>
      <c r="I891" s="33">
        <f t="shared" si="129"/>
        <v>2998.1302000000001</v>
      </c>
      <c r="J891" s="33">
        <f t="shared" si="122"/>
        <v>3042.6974</v>
      </c>
      <c r="K891" s="33">
        <f t="shared" si="128"/>
        <v>3042.6974</v>
      </c>
      <c r="L891" s="59">
        <f t="shared" si="123"/>
        <v>-1.4647266599695374E-2</v>
      </c>
      <c r="M891" s="60" t="str">
        <f t="shared" si="124"/>
        <v/>
      </c>
    </row>
    <row r="892" spans="2:13" x14ac:dyDescent="0.55000000000000004">
      <c r="B892" s="35">
        <f t="shared" si="127"/>
        <v>30</v>
      </c>
      <c r="C892" s="72" t="s">
        <v>121</v>
      </c>
      <c r="D892" s="44">
        <f t="shared" si="131"/>
        <v>43615</v>
      </c>
      <c r="E892" s="38">
        <v>5.9341999999999997</v>
      </c>
      <c r="F892" s="39">
        <f t="shared" si="130"/>
        <v>493</v>
      </c>
      <c r="G892" s="33">
        <f t="shared" si="126"/>
        <v>2970.8672999999999</v>
      </c>
      <c r="H892" s="33">
        <f t="shared" si="125"/>
        <v>2992.10574</v>
      </c>
      <c r="I892" s="33">
        <f t="shared" si="129"/>
        <v>2992.10574</v>
      </c>
      <c r="J892" s="33">
        <f t="shared" si="122"/>
        <v>3042.6974</v>
      </c>
      <c r="K892" s="33">
        <f t="shared" si="128"/>
        <v>3042.6974</v>
      </c>
      <c r="L892" s="59">
        <f t="shared" si="123"/>
        <v>-1.6627240027220599E-2</v>
      </c>
      <c r="M892" s="60" t="str">
        <f t="shared" si="124"/>
        <v/>
      </c>
    </row>
    <row r="893" spans="2:13" x14ac:dyDescent="0.55000000000000004">
      <c r="B893" s="35">
        <f t="shared" si="127"/>
        <v>31</v>
      </c>
      <c r="C893" s="72" t="s">
        <v>121</v>
      </c>
      <c r="D893" s="44">
        <f t="shared" si="131"/>
        <v>43616</v>
      </c>
      <c r="E893" s="38">
        <v>5.8718000000000004</v>
      </c>
      <c r="F893" s="39">
        <f t="shared" si="130"/>
        <v>493</v>
      </c>
      <c r="G893" s="33">
        <f t="shared" si="126"/>
        <v>2925.5605999999998</v>
      </c>
      <c r="H893" s="33">
        <f t="shared" si="125"/>
        <v>2972.1885400000001</v>
      </c>
      <c r="I893" s="33">
        <f t="shared" si="129"/>
        <v>2972.1885399999996</v>
      </c>
      <c r="J893" s="33">
        <f t="shared" ref="J893:J956" si="132">IF(L893&gt;3%,G893,IF(L893&lt;-3%,G893,J892))</f>
        <v>3042.6974</v>
      </c>
      <c r="K893" s="33">
        <f t="shared" si="128"/>
        <v>3042.6974</v>
      </c>
      <c r="L893" s="59">
        <f t="shared" si="123"/>
        <v>-2.317314235717292E-2</v>
      </c>
      <c r="M893" s="60" t="str">
        <f t="shared" si="124"/>
        <v/>
      </c>
    </row>
    <row r="894" spans="2:13" x14ac:dyDescent="0.55000000000000004">
      <c r="B894" s="35">
        <f t="shared" si="127"/>
        <v>3</v>
      </c>
      <c r="C894" s="72" t="s">
        <v>122</v>
      </c>
      <c r="D894" s="44">
        <f t="shared" si="131"/>
        <v>43619</v>
      </c>
      <c r="E894" s="38">
        <v>5.8718000000000004</v>
      </c>
      <c r="F894" s="39">
        <f>F893-73</f>
        <v>420</v>
      </c>
      <c r="G894" s="33">
        <f t="shared" si="126"/>
        <v>2466.1559999999999</v>
      </c>
      <c r="H894" s="33">
        <f t="shared" si="125"/>
        <v>2866.2669799999994</v>
      </c>
      <c r="I894" s="33">
        <f t="shared" si="129"/>
        <v>2514.8843999999999</v>
      </c>
      <c r="J894" s="33">
        <f t="shared" si="132"/>
        <v>2466.1559999999999</v>
      </c>
      <c r="K894" s="33">
        <f t="shared" si="128"/>
        <v>3042.6974</v>
      </c>
      <c r="L894" s="59">
        <f t="shared" ref="L894:L957" si="133">(H894-K894)/K894</f>
        <v>-5.7984872238692087E-2</v>
      </c>
      <c r="M894" s="60">
        <f t="shared" ref="M894:M957" si="134">IF(OR(L894&lt;-3%,L894&gt;3%),K895-K894,"")</f>
        <v>-576.54140000000007</v>
      </c>
    </row>
    <row r="895" spans="2:13" x14ac:dyDescent="0.55000000000000004">
      <c r="B895" s="35">
        <f t="shared" si="127"/>
        <v>4</v>
      </c>
      <c r="C895" s="72" t="s">
        <v>122</v>
      </c>
      <c r="D895" s="44">
        <f t="shared" si="131"/>
        <v>43620</v>
      </c>
      <c r="E895" s="38">
        <v>5.8718000000000004</v>
      </c>
      <c r="F895" s="39">
        <f t="shared" si="130"/>
        <v>420</v>
      </c>
      <c r="G895" s="33">
        <f t="shared" si="126"/>
        <v>2466.1559999999999</v>
      </c>
      <c r="H895" s="33">
        <f t="shared" si="125"/>
        <v>2466.1559999999999</v>
      </c>
      <c r="I895" s="33">
        <f t="shared" si="129"/>
        <v>2499.3360000000002</v>
      </c>
      <c r="J895" s="33">
        <f t="shared" si="132"/>
        <v>2466.1559999999999</v>
      </c>
      <c r="K895" s="33">
        <f t="shared" si="128"/>
        <v>2466.1559999999999</v>
      </c>
      <c r="L895" s="59">
        <f t="shared" si="133"/>
        <v>0</v>
      </c>
      <c r="M895" s="60" t="str">
        <f t="shared" si="134"/>
        <v/>
      </c>
    </row>
    <row r="896" spans="2:13" x14ac:dyDescent="0.55000000000000004">
      <c r="B896" s="35">
        <f t="shared" si="127"/>
        <v>5</v>
      </c>
      <c r="C896" s="72" t="s">
        <v>122</v>
      </c>
      <c r="D896" s="44">
        <f t="shared" si="131"/>
        <v>43621</v>
      </c>
      <c r="E896" s="38">
        <v>5.8718000000000004</v>
      </c>
      <c r="F896" s="39">
        <f t="shared" si="130"/>
        <v>420</v>
      </c>
      <c r="G896" s="33">
        <f t="shared" si="126"/>
        <v>2466.1559999999999</v>
      </c>
      <c r="H896" s="33">
        <f t="shared" si="125"/>
        <v>2466.1559999999999</v>
      </c>
      <c r="I896" s="33">
        <f t="shared" si="129"/>
        <v>2484.3588</v>
      </c>
      <c r="J896" s="33">
        <f t="shared" si="132"/>
        <v>2466.1559999999999</v>
      </c>
      <c r="K896" s="33">
        <f t="shared" si="128"/>
        <v>2466.1559999999999</v>
      </c>
      <c r="L896" s="59">
        <f t="shared" si="133"/>
        <v>0</v>
      </c>
      <c r="M896" s="60" t="str">
        <f t="shared" si="134"/>
        <v/>
      </c>
    </row>
    <row r="897" spans="2:13" x14ac:dyDescent="0.55000000000000004">
      <c r="B897" s="35">
        <f t="shared" si="127"/>
        <v>6</v>
      </c>
      <c r="C897" s="72" t="s">
        <v>122</v>
      </c>
      <c r="D897" s="44">
        <f t="shared" si="131"/>
        <v>43622</v>
      </c>
      <c r="E897" s="38">
        <v>5.8718000000000004</v>
      </c>
      <c r="F897" s="39">
        <f t="shared" si="130"/>
        <v>420</v>
      </c>
      <c r="G897" s="33">
        <f t="shared" si="126"/>
        <v>2466.1559999999999</v>
      </c>
      <c r="H897" s="33">
        <f t="shared" si="125"/>
        <v>2466.1559999999999</v>
      </c>
      <c r="I897" s="33">
        <f t="shared" si="129"/>
        <v>2471.3976000000002</v>
      </c>
      <c r="J897" s="33">
        <f t="shared" si="132"/>
        <v>2466.1559999999999</v>
      </c>
      <c r="K897" s="33">
        <f t="shared" si="128"/>
        <v>2466.1559999999999</v>
      </c>
      <c r="L897" s="59">
        <f t="shared" si="133"/>
        <v>0</v>
      </c>
      <c r="M897" s="60" t="str">
        <f t="shared" si="134"/>
        <v/>
      </c>
    </row>
    <row r="898" spans="2:13" x14ac:dyDescent="0.55000000000000004">
      <c r="B898" s="35">
        <f t="shared" si="127"/>
        <v>7</v>
      </c>
      <c r="C898" s="72" t="s">
        <v>122</v>
      </c>
      <c r="D898" s="44">
        <f t="shared" si="131"/>
        <v>43623</v>
      </c>
      <c r="E898" s="38">
        <v>5.8460000000000001</v>
      </c>
      <c r="F898" s="39">
        <f t="shared" si="130"/>
        <v>420</v>
      </c>
      <c r="G898" s="33">
        <f t="shared" si="126"/>
        <v>2466.1559999999999</v>
      </c>
      <c r="H898" s="33">
        <f t="shared" si="125"/>
        <v>2466.1559999999999</v>
      </c>
      <c r="I898" s="33">
        <f t="shared" si="129"/>
        <v>2466.1559999999999</v>
      </c>
      <c r="J898" s="33">
        <f t="shared" si="132"/>
        <v>2466.1559999999999</v>
      </c>
      <c r="K898" s="33">
        <f t="shared" si="128"/>
        <v>2466.1559999999999</v>
      </c>
      <c r="L898" s="59">
        <f t="shared" si="133"/>
        <v>0</v>
      </c>
      <c r="M898" s="60" t="str">
        <f t="shared" si="134"/>
        <v/>
      </c>
    </row>
    <row r="899" spans="2:13" x14ac:dyDescent="0.55000000000000004">
      <c r="B899" s="35">
        <f t="shared" si="127"/>
        <v>10</v>
      </c>
      <c r="C899" s="72" t="s">
        <v>122</v>
      </c>
      <c r="D899" s="44">
        <f t="shared" si="131"/>
        <v>43626</v>
      </c>
      <c r="E899" s="38">
        <v>5.8174000000000001</v>
      </c>
      <c r="F899" s="39">
        <f t="shared" si="130"/>
        <v>420</v>
      </c>
      <c r="G899" s="33">
        <f t="shared" si="126"/>
        <v>2455.3200000000002</v>
      </c>
      <c r="H899" s="33">
        <f t="shared" si="125"/>
        <v>2463.9888000000001</v>
      </c>
      <c r="I899" s="33">
        <f t="shared" si="129"/>
        <v>2463.9888000000001</v>
      </c>
      <c r="J899" s="33">
        <f t="shared" si="132"/>
        <v>2466.1559999999999</v>
      </c>
      <c r="K899" s="33">
        <f t="shared" si="128"/>
        <v>2466.1559999999999</v>
      </c>
      <c r="L899" s="59">
        <f t="shared" si="133"/>
        <v>-8.7877652508595004E-4</v>
      </c>
      <c r="M899" s="60" t="str">
        <f t="shared" si="134"/>
        <v/>
      </c>
    </row>
    <row r="900" spans="2:13" x14ac:dyDescent="0.55000000000000004">
      <c r="B900" s="35">
        <f t="shared" si="127"/>
        <v>11</v>
      </c>
      <c r="C900" s="72" t="s">
        <v>122</v>
      </c>
      <c r="D900" s="44">
        <f t="shared" si="131"/>
        <v>43627</v>
      </c>
      <c r="E900" s="38">
        <v>5.7895000000000003</v>
      </c>
      <c r="F900" s="39">
        <f t="shared" si="130"/>
        <v>420</v>
      </c>
      <c r="G900" s="33">
        <f t="shared" si="126"/>
        <v>2443.308</v>
      </c>
      <c r="H900" s="33">
        <f t="shared" si="125"/>
        <v>2459.4192000000003</v>
      </c>
      <c r="I900" s="33">
        <f t="shared" si="129"/>
        <v>2459.4191999999998</v>
      </c>
      <c r="J900" s="33">
        <f t="shared" si="132"/>
        <v>2466.1559999999999</v>
      </c>
      <c r="K900" s="33">
        <f t="shared" si="128"/>
        <v>2466.1559999999999</v>
      </c>
      <c r="L900" s="59">
        <f t="shared" si="133"/>
        <v>-2.7317006710036494E-3</v>
      </c>
      <c r="M900" s="60" t="str">
        <f t="shared" si="134"/>
        <v/>
      </c>
    </row>
    <row r="901" spans="2:13" x14ac:dyDescent="0.55000000000000004">
      <c r="B901" s="35">
        <f t="shared" si="127"/>
        <v>12</v>
      </c>
      <c r="C901" s="72" t="s">
        <v>122</v>
      </c>
      <c r="D901" s="44">
        <f t="shared" si="131"/>
        <v>43628</v>
      </c>
      <c r="E901" s="38">
        <v>5.8101000000000003</v>
      </c>
      <c r="F901" s="39">
        <f t="shared" si="130"/>
        <v>420</v>
      </c>
      <c r="G901" s="33">
        <f t="shared" si="126"/>
        <v>2431.59</v>
      </c>
      <c r="H901" s="33">
        <f t="shared" si="125"/>
        <v>2452.5059999999999</v>
      </c>
      <c r="I901" s="33">
        <f t="shared" si="129"/>
        <v>2452.5059999999999</v>
      </c>
      <c r="J901" s="33">
        <f t="shared" si="132"/>
        <v>2466.1559999999999</v>
      </c>
      <c r="K901" s="33">
        <f t="shared" si="128"/>
        <v>2466.1559999999999</v>
      </c>
      <c r="L901" s="59">
        <f t="shared" si="133"/>
        <v>-5.5349296638169242E-3</v>
      </c>
      <c r="M901" s="60" t="str">
        <f t="shared" si="134"/>
        <v/>
      </c>
    </row>
    <row r="902" spans="2:13" x14ac:dyDescent="0.55000000000000004">
      <c r="B902" s="35">
        <f t="shared" si="127"/>
        <v>13</v>
      </c>
      <c r="C902" s="72" t="s">
        <v>122</v>
      </c>
      <c r="D902" s="44">
        <f t="shared" si="131"/>
        <v>43629</v>
      </c>
      <c r="E902" s="38">
        <v>5.8369</v>
      </c>
      <c r="F902" s="39">
        <f t="shared" si="130"/>
        <v>420</v>
      </c>
      <c r="G902" s="33">
        <f t="shared" si="126"/>
        <v>2440.2420000000002</v>
      </c>
      <c r="H902" s="33">
        <f t="shared" si="125"/>
        <v>2447.3231999999998</v>
      </c>
      <c r="I902" s="33">
        <f t="shared" si="129"/>
        <v>2447.3231999999998</v>
      </c>
      <c r="J902" s="33">
        <f t="shared" si="132"/>
        <v>2466.1559999999999</v>
      </c>
      <c r="K902" s="33">
        <f t="shared" si="128"/>
        <v>2466.1559999999999</v>
      </c>
      <c r="L902" s="59">
        <f t="shared" si="133"/>
        <v>-7.636499880786185E-3</v>
      </c>
      <c r="M902" s="60" t="str">
        <f t="shared" si="134"/>
        <v/>
      </c>
    </row>
    <row r="903" spans="2:13" x14ac:dyDescent="0.55000000000000004">
      <c r="B903" s="35">
        <f t="shared" si="127"/>
        <v>14</v>
      </c>
      <c r="C903" s="72" t="s">
        <v>122</v>
      </c>
      <c r="D903" s="44">
        <f t="shared" si="131"/>
        <v>43630</v>
      </c>
      <c r="E903" s="38">
        <v>5.8932000000000002</v>
      </c>
      <c r="F903" s="39">
        <f t="shared" si="130"/>
        <v>420</v>
      </c>
      <c r="G903" s="33">
        <f t="shared" si="126"/>
        <v>2451.498</v>
      </c>
      <c r="H903" s="33">
        <f t="shared" si="125"/>
        <v>2444.3915999999999</v>
      </c>
      <c r="I903" s="33">
        <f t="shared" si="129"/>
        <v>2444.3915999999995</v>
      </c>
      <c r="J903" s="33">
        <f t="shared" si="132"/>
        <v>2466.1559999999999</v>
      </c>
      <c r="K903" s="33">
        <f t="shared" si="128"/>
        <v>2466.1559999999999</v>
      </c>
      <c r="L903" s="59">
        <f t="shared" si="133"/>
        <v>-8.8252324670458904E-3</v>
      </c>
      <c r="M903" s="60" t="str">
        <f t="shared" si="134"/>
        <v/>
      </c>
    </row>
    <row r="904" spans="2:13" x14ac:dyDescent="0.55000000000000004">
      <c r="B904" s="35">
        <f t="shared" si="127"/>
        <v>17</v>
      </c>
      <c r="C904" s="72" t="s">
        <v>122</v>
      </c>
      <c r="D904" s="44">
        <f t="shared" si="131"/>
        <v>43633</v>
      </c>
      <c r="E904" s="38">
        <v>5.8810000000000002</v>
      </c>
      <c r="F904" s="39">
        <f>F903</f>
        <v>420</v>
      </c>
      <c r="G904" s="33">
        <f t="shared" si="126"/>
        <v>2475.1440000000002</v>
      </c>
      <c r="H904" s="33">
        <f t="shared" si="125"/>
        <v>2448.3564000000001</v>
      </c>
      <c r="I904" s="33">
        <f t="shared" si="129"/>
        <v>2448.3564000000001</v>
      </c>
      <c r="J904" s="33">
        <f t="shared" si="132"/>
        <v>2466.1559999999999</v>
      </c>
      <c r="K904" s="33">
        <f t="shared" si="128"/>
        <v>2466.1559999999999</v>
      </c>
      <c r="L904" s="59">
        <f t="shared" si="133"/>
        <v>-7.2175482816171513E-3</v>
      </c>
      <c r="M904" s="60" t="str">
        <f t="shared" si="134"/>
        <v/>
      </c>
    </row>
    <row r="905" spans="2:13" x14ac:dyDescent="0.55000000000000004">
      <c r="B905" s="35">
        <f t="shared" si="127"/>
        <v>18</v>
      </c>
      <c r="C905" s="72" t="s">
        <v>122</v>
      </c>
      <c r="D905" s="44">
        <f t="shared" si="131"/>
        <v>43634</v>
      </c>
      <c r="E905" s="38">
        <v>5.8514999999999997</v>
      </c>
      <c r="F905" s="39">
        <f t="shared" si="130"/>
        <v>420</v>
      </c>
      <c r="G905" s="33">
        <f t="shared" si="126"/>
        <v>2470.02</v>
      </c>
      <c r="H905" s="33">
        <f t="shared" si="125"/>
        <v>2453.6988000000001</v>
      </c>
      <c r="I905" s="33">
        <f t="shared" si="129"/>
        <v>2453.6988000000001</v>
      </c>
      <c r="J905" s="33">
        <f t="shared" si="132"/>
        <v>2466.1559999999999</v>
      </c>
      <c r="K905" s="33">
        <f t="shared" si="128"/>
        <v>2466.1559999999999</v>
      </c>
      <c r="L905" s="59">
        <f t="shared" si="133"/>
        <v>-5.0512619639632812E-3</v>
      </c>
      <c r="M905" s="60" t="str">
        <f t="shared" si="134"/>
        <v/>
      </c>
    </row>
    <row r="906" spans="2:13" x14ac:dyDescent="0.55000000000000004">
      <c r="B906" s="35">
        <f t="shared" si="127"/>
        <v>19</v>
      </c>
      <c r="C906" s="72" t="s">
        <v>122</v>
      </c>
      <c r="D906" s="44">
        <f t="shared" si="131"/>
        <v>43635</v>
      </c>
      <c r="E906" s="38">
        <v>5.8624000000000001</v>
      </c>
      <c r="F906" s="39">
        <f t="shared" si="130"/>
        <v>420</v>
      </c>
      <c r="G906" s="33">
        <f t="shared" si="126"/>
        <v>2457.6299999999997</v>
      </c>
      <c r="H906" s="33">
        <f t="shared" si="125"/>
        <v>2458.9067999999997</v>
      </c>
      <c r="I906" s="33">
        <f t="shared" si="129"/>
        <v>2458.9068000000002</v>
      </c>
      <c r="J906" s="33">
        <f t="shared" si="132"/>
        <v>2466.1559999999999</v>
      </c>
      <c r="K906" s="33">
        <f t="shared" si="128"/>
        <v>2466.1559999999999</v>
      </c>
      <c r="L906" s="59">
        <f t="shared" si="133"/>
        <v>-2.9394734153071421E-3</v>
      </c>
      <c r="M906" s="60" t="str">
        <f t="shared" si="134"/>
        <v/>
      </c>
    </row>
    <row r="907" spans="2:13" x14ac:dyDescent="0.55000000000000004">
      <c r="B907" s="35">
        <f t="shared" si="127"/>
        <v>20</v>
      </c>
      <c r="C907" s="72" t="s">
        <v>122</v>
      </c>
      <c r="D907" s="44">
        <f t="shared" si="131"/>
        <v>43636</v>
      </c>
      <c r="E907" s="38">
        <v>5.7413999999999996</v>
      </c>
      <c r="F907" s="39">
        <f t="shared" si="130"/>
        <v>420</v>
      </c>
      <c r="G907" s="33">
        <f t="shared" si="126"/>
        <v>2462.2080000000001</v>
      </c>
      <c r="H907" s="33">
        <f t="shared" si="125"/>
        <v>2463.3000000000002</v>
      </c>
      <c r="I907" s="33">
        <f t="shared" si="129"/>
        <v>2463.3000000000002</v>
      </c>
      <c r="J907" s="33">
        <f t="shared" si="132"/>
        <v>2466.1559999999999</v>
      </c>
      <c r="K907" s="33">
        <f t="shared" si="128"/>
        <v>2466.1559999999999</v>
      </c>
      <c r="L907" s="59">
        <f t="shared" si="133"/>
        <v>-1.1580775911985159E-3</v>
      </c>
      <c r="M907" s="60" t="str">
        <f t="shared" si="134"/>
        <v/>
      </c>
    </row>
    <row r="908" spans="2:13" x14ac:dyDescent="0.55000000000000004">
      <c r="B908" s="35">
        <f t="shared" si="127"/>
        <v>21</v>
      </c>
      <c r="C908" s="72" t="s">
        <v>122</v>
      </c>
      <c r="D908" s="44">
        <f t="shared" si="131"/>
        <v>43637</v>
      </c>
      <c r="E908" s="38">
        <v>5.8019999999999996</v>
      </c>
      <c r="F908" s="39">
        <f t="shared" si="130"/>
        <v>420</v>
      </c>
      <c r="G908" s="33">
        <f t="shared" si="126"/>
        <v>2411.3879999999999</v>
      </c>
      <c r="H908" s="33">
        <f t="shared" si="125"/>
        <v>2455.2779999999998</v>
      </c>
      <c r="I908" s="33">
        <f t="shared" si="129"/>
        <v>2455.2780000000002</v>
      </c>
      <c r="J908" s="33">
        <f t="shared" si="132"/>
        <v>2466.1559999999999</v>
      </c>
      <c r="K908" s="33">
        <f t="shared" si="128"/>
        <v>2466.1559999999999</v>
      </c>
      <c r="L908" s="59">
        <f t="shared" si="133"/>
        <v>-4.4109131782418291E-3</v>
      </c>
      <c r="M908" s="60" t="str">
        <f t="shared" si="134"/>
        <v/>
      </c>
    </row>
    <row r="909" spans="2:13" x14ac:dyDescent="0.55000000000000004">
      <c r="B909" s="35">
        <f t="shared" si="127"/>
        <v>24</v>
      </c>
      <c r="C909" s="72" t="s">
        <v>122</v>
      </c>
      <c r="D909" s="44">
        <f t="shared" si="131"/>
        <v>43640</v>
      </c>
      <c r="E909" s="38">
        <v>5.7546999999999997</v>
      </c>
      <c r="F909" s="39">
        <f t="shared" si="130"/>
        <v>420</v>
      </c>
      <c r="G909" s="33">
        <f t="shared" si="126"/>
        <v>2436.8399999999997</v>
      </c>
      <c r="H909" s="33">
        <f t="shared" si="125"/>
        <v>2447.6171999999997</v>
      </c>
      <c r="I909" s="33">
        <f t="shared" si="129"/>
        <v>2447.6172000000001</v>
      </c>
      <c r="J909" s="33">
        <f t="shared" si="132"/>
        <v>2466.1559999999999</v>
      </c>
      <c r="K909" s="33">
        <f t="shared" si="128"/>
        <v>2466.1559999999999</v>
      </c>
      <c r="L909" s="59">
        <f t="shared" si="133"/>
        <v>-7.517286011104028E-3</v>
      </c>
      <c r="M909" s="60" t="str">
        <f t="shared" si="134"/>
        <v/>
      </c>
    </row>
    <row r="910" spans="2:13" x14ac:dyDescent="0.55000000000000004">
      <c r="B910" s="35">
        <f t="shared" si="127"/>
        <v>25</v>
      </c>
      <c r="C910" s="72" t="s">
        <v>122</v>
      </c>
      <c r="D910" s="44">
        <f t="shared" si="131"/>
        <v>43641</v>
      </c>
      <c r="E910" s="38">
        <v>5.8007999999999997</v>
      </c>
      <c r="F910" s="39">
        <f t="shared" si="130"/>
        <v>420</v>
      </c>
      <c r="G910" s="33">
        <f t="shared" si="126"/>
        <v>2416.9739999999997</v>
      </c>
      <c r="H910" s="33">
        <f t="shared" si="125"/>
        <v>2437.0079999999998</v>
      </c>
      <c r="I910" s="33">
        <f t="shared" si="129"/>
        <v>2437.0079999999998</v>
      </c>
      <c r="J910" s="33">
        <f t="shared" si="132"/>
        <v>2466.1559999999999</v>
      </c>
      <c r="K910" s="33">
        <f t="shared" si="128"/>
        <v>2466.1559999999999</v>
      </c>
      <c r="L910" s="59">
        <f t="shared" si="133"/>
        <v>-1.181920365135058E-2</v>
      </c>
      <c r="M910" s="60" t="str">
        <f t="shared" si="134"/>
        <v/>
      </c>
    </row>
    <row r="911" spans="2:13" x14ac:dyDescent="0.55000000000000004">
      <c r="B911" s="35">
        <f t="shared" si="127"/>
        <v>26</v>
      </c>
      <c r="C911" s="72" t="s">
        <v>122</v>
      </c>
      <c r="D911" s="44">
        <f t="shared" si="131"/>
        <v>43642</v>
      </c>
      <c r="E911" s="38">
        <v>5.7733999999999996</v>
      </c>
      <c r="F911" s="39">
        <f t="shared" si="130"/>
        <v>420</v>
      </c>
      <c r="G911" s="33">
        <f t="shared" si="126"/>
        <v>2436.3359999999998</v>
      </c>
      <c r="H911" s="33">
        <f t="shared" si="125"/>
        <v>2432.7491999999997</v>
      </c>
      <c r="I911" s="33">
        <f t="shared" si="129"/>
        <v>2432.7491999999997</v>
      </c>
      <c r="J911" s="33">
        <f t="shared" si="132"/>
        <v>2466.1559999999999</v>
      </c>
      <c r="K911" s="33">
        <f t="shared" si="128"/>
        <v>2466.1559999999999</v>
      </c>
      <c r="L911" s="59">
        <f t="shared" si="133"/>
        <v>-1.3546101706461474E-2</v>
      </c>
      <c r="M911" s="60" t="str">
        <f t="shared" si="134"/>
        <v/>
      </c>
    </row>
    <row r="912" spans="2:13" x14ac:dyDescent="0.55000000000000004">
      <c r="B912" s="35">
        <f t="shared" si="127"/>
        <v>27</v>
      </c>
      <c r="C912" s="72" t="s">
        <v>122</v>
      </c>
      <c r="D912" s="44">
        <f t="shared" si="131"/>
        <v>43643</v>
      </c>
      <c r="E912" s="38">
        <v>5.7769000000000004</v>
      </c>
      <c r="F912" s="39">
        <f t="shared" si="130"/>
        <v>420</v>
      </c>
      <c r="G912" s="33">
        <f t="shared" si="126"/>
        <v>2424.828</v>
      </c>
      <c r="H912" s="33">
        <f t="shared" si="125"/>
        <v>2425.2731999999996</v>
      </c>
      <c r="I912" s="33">
        <f t="shared" si="129"/>
        <v>2425.2731999999996</v>
      </c>
      <c r="J912" s="33">
        <f t="shared" si="132"/>
        <v>2466.1559999999999</v>
      </c>
      <c r="K912" s="33">
        <f t="shared" si="128"/>
        <v>2466.1559999999999</v>
      </c>
      <c r="L912" s="59">
        <f t="shared" si="133"/>
        <v>-1.6577540106952001E-2</v>
      </c>
      <c r="M912" s="60" t="str">
        <f t="shared" si="134"/>
        <v/>
      </c>
    </row>
    <row r="913" spans="2:13" x14ac:dyDescent="0.55000000000000004">
      <c r="B913" s="35">
        <f t="shared" si="127"/>
        <v>28</v>
      </c>
      <c r="C913" s="72" t="s">
        <v>122</v>
      </c>
      <c r="D913" s="44">
        <f t="shared" si="131"/>
        <v>43644</v>
      </c>
      <c r="E913" s="38">
        <v>5.7653999999999996</v>
      </c>
      <c r="F913" s="39">
        <f t="shared" si="130"/>
        <v>420</v>
      </c>
      <c r="G913" s="33">
        <f t="shared" si="126"/>
        <v>2426.2980000000002</v>
      </c>
      <c r="H913" s="33">
        <f t="shared" ref="H913:H976" si="135">IF(M912&lt;&gt;"",AVERAGE(G913),IF(M911&lt;&gt;"",AVERAGE(G912:G913),IF(M910&lt;&gt;"",AVERAGE(G911:G913),IF(M909&lt;&gt;"",AVERAGE(G910:G913),AVERAGE(G909:G913)))))</f>
        <v>2428.2552000000001</v>
      </c>
      <c r="I913" s="33">
        <f t="shared" si="129"/>
        <v>2428.2552000000001</v>
      </c>
      <c r="J913" s="33">
        <f t="shared" si="132"/>
        <v>2466.1559999999999</v>
      </c>
      <c r="K913" s="33">
        <f t="shared" si="128"/>
        <v>2466.1559999999999</v>
      </c>
      <c r="L913" s="59">
        <f t="shared" si="133"/>
        <v>-1.5368370857317985E-2</v>
      </c>
      <c r="M913" s="60" t="str">
        <f t="shared" si="134"/>
        <v/>
      </c>
    </row>
    <row r="914" spans="2:13" x14ac:dyDescent="0.55000000000000004">
      <c r="B914" s="35">
        <f t="shared" si="127"/>
        <v>1</v>
      </c>
      <c r="C914" s="72" t="s">
        <v>123</v>
      </c>
      <c r="D914" s="44">
        <f t="shared" si="131"/>
        <v>43647</v>
      </c>
      <c r="E914" s="38">
        <v>5.6894999999999998</v>
      </c>
      <c r="F914" s="39">
        <v>378.5</v>
      </c>
      <c r="G914" s="33">
        <f t="shared" ref="G914:G977" si="136">E913*F914</f>
        <v>2182.2039</v>
      </c>
      <c r="H914" s="33">
        <f t="shared" si="135"/>
        <v>2377.32798</v>
      </c>
      <c r="I914" s="33">
        <f t="shared" si="129"/>
        <v>2185.5498400000001</v>
      </c>
      <c r="J914" s="33">
        <f t="shared" si="132"/>
        <v>2182.2039</v>
      </c>
      <c r="K914" s="33">
        <f t="shared" si="128"/>
        <v>2466.1559999999999</v>
      </c>
      <c r="L914" s="59">
        <f t="shared" si="133"/>
        <v>-3.6018816327920831E-2</v>
      </c>
      <c r="M914" s="60">
        <f t="shared" si="134"/>
        <v>-283.95209999999997</v>
      </c>
    </row>
    <row r="915" spans="2:13" x14ac:dyDescent="0.55000000000000004">
      <c r="B915" s="35">
        <f t="shared" si="127"/>
        <v>2</v>
      </c>
      <c r="C915" s="72" t="s">
        <v>123</v>
      </c>
      <c r="D915" s="44">
        <f t="shared" si="131"/>
        <v>43648</v>
      </c>
      <c r="E915" s="38">
        <v>5.6772</v>
      </c>
      <c r="F915" s="39">
        <f t="shared" si="130"/>
        <v>378.5</v>
      </c>
      <c r="G915" s="33">
        <f t="shared" si="136"/>
        <v>2153.4757500000001</v>
      </c>
      <c r="H915" s="33">
        <f t="shared" si="135"/>
        <v>2153.4757500000001</v>
      </c>
      <c r="I915" s="33">
        <f t="shared" si="129"/>
        <v>2180.6142</v>
      </c>
      <c r="J915" s="33">
        <f t="shared" si="132"/>
        <v>2182.2039</v>
      </c>
      <c r="K915" s="33">
        <f t="shared" si="128"/>
        <v>2182.2039</v>
      </c>
      <c r="L915" s="59">
        <f t="shared" si="133"/>
        <v>-1.3164741388281781E-2</v>
      </c>
      <c r="M915" s="60" t="str">
        <f t="shared" si="134"/>
        <v/>
      </c>
    </row>
    <row r="916" spans="2:13" x14ac:dyDescent="0.55000000000000004">
      <c r="B916" s="35">
        <f t="shared" si="127"/>
        <v>3</v>
      </c>
      <c r="C916" s="72" t="s">
        <v>123</v>
      </c>
      <c r="D916" s="44">
        <f t="shared" si="131"/>
        <v>43649</v>
      </c>
      <c r="E916" s="38">
        <v>5.6394000000000002</v>
      </c>
      <c r="F916" s="39">
        <f t="shared" si="130"/>
        <v>378.5</v>
      </c>
      <c r="G916" s="33">
        <f t="shared" si="136"/>
        <v>2148.8202000000001</v>
      </c>
      <c r="H916" s="33">
        <f t="shared" si="135"/>
        <v>2151.1479749999999</v>
      </c>
      <c r="I916" s="33">
        <f t="shared" si="129"/>
        <v>2171.2576799999997</v>
      </c>
      <c r="J916" s="33">
        <f t="shared" si="132"/>
        <v>2182.2039</v>
      </c>
      <c r="K916" s="33">
        <f t="shared" si="128"/>
        <v>2182.2039</v>
      </c>
      <c r="L916" s="59">
        <f t="shared" si="133"/>
        <v>-1.4231449682589293E-2</v>
      </c>
      <c r="M916" s="60" t="str">
        <f t="shared" si="134"/>
        <v/>
      </c>
    </row>
    <row r="917" spans="2:13" x14ac:dyDescent="0.55000000000000004">
      <c r="B917" s="35">
        <f t="shared" si="127"/>
        <v>4</v>
      </c>
      <c r="C917" s="72" t="s">
        <v>123</v>
      </c>
      <c r="D917" s="44">
        <f t="shared" si="131"/>
        <v>43650</v>
      </c>
      <c r="E917" s="38">
        <v>5.6035000000000004</v>
      </c>
      <c r="F917" s="39">
        <f t="shared" si="130"/>
        <v>378.5</v>
      </c>
      <c r="G917" s="33">
        <f t="shared" si="136"/>
        <v>2134.5129000000002</v>
      </c>
      <c r="H917" s="33">
        <f t="shared" si="135"/>
        <v>2145.60295</v>
      </c>
      <c r="I917" s="33">
        <f t="shared" si="129"/>
        <v>2161.1138800000003</v>
      </c>
      <c r="J917" s="33">
        <f t="shared" si="132"/>
        <v>2182.2039</v>
      </c>
      <c r="K917" s="33">
        <f t="shared" si="128"/>
        <v>2182.2039</v>
      </c>
      <c r="L917" s="59">
        <f t="shared" si="133"/>
        <v>-1.6772470253581716E-2</v>
      </c>
      <c r="M917" s="60" t="str">
        <f t="shared" si="134"/>
        <v/>
      </c>
    </row>
    <row r="918" spans="2:13" x14ac:dyDescent="0.55000000000000004">
      <c r="B918" s="35">
        <f t="shared" si="127"/>
        <v>5</v>
      </c>
      <c r="C918" s="72" t="s">
        <v>123</v>
      </c>
      <c r="D918" s="44">
        <f t="shared" si="131"/>
        <v>43651</v>
      </c>
      <c r="E918" s="38">
        <v>5.6108000000000002</v>
      </c>
      <c r="F918" s="39">
        <f t="shared" si="130"/>
        <v>378.5</v>
      </c>
      <c r="G918" s="33">
        <f t="shared" si="136"/>
        <v>2120.9247500000001</v>
      </c>
      <c r="H918" s="33">
        <f t="shared" si="135"/>
        <v>2139.4333999999999</v>
      </c>
      <c r="I918" s="33">
        <f t="shared" si="129"/>
        <v>2147.9874999999997</v>
      </c>
      <c r="J918" s="33">
        <f t="shared" si="132"/>
        <v>2182.2039</v>
      </c>
      <c r="K918" s="33">
        <f t="shared" si="128"/>
        <v>2182.2039</v>
      </c>
      <c r="L918" s="59">
        <f t="shared" si="133"/>
        <v>-1.9599680854754262E-2</v>
      </c>
      <c r="M918" s="60" t="str">
        <f t="shared" si="134"/>
        <v/>
      </c>
    </row>
    <row r="919" spans="2:13" x14ac:dyDescent="0.55000000000000004">
      <c r="B919" s="35">
        <f t="shared" ref="B919:B982" si="137">DAY(D919)</f>
        <v>8</v>
      </c>
      <c r="C919" s="72" t="s">
        <v>123</v>
      </c>
      <c r="D919" s="44">
        <f t="shared" si="131"/>
        <v>43654</v>
      </c>
      <c r="E919" s="38">
        <v>5.7329999999999997</v>
      </c>
      <c r="F919" s="39">
        <f t="shared" si="130"/>
        <v>378.5</v>
      </c>
      <c r="G919" s="33">
        <f t="shared" si="136"/>
        <v>2123.6878000000002</v>
      </c>
      <c r="H919" s="33">
        <f t="shared" si="135"/>
        <v>2136.2842799999999</v>
      </c>
      <c r="I919" s="33">
        <f t="shared" si="129"/>
        <v>2136.2842800000003</v>
      </c>
      <c r="J919" s="33">
        <f t="shared" si="132"/>
        <v>2182.2039</v>
      </c>
      <c r="K919" s="33">
        <f t="shared" si="128"/>
        <v>2182.2039</v>
      </c>
      <c r="L919" s="59">
        <f t="shared" si="133"/>
        <v>-2.1042772400874238E-2</v>
      </c>
      <c r="M919" s="60" t="str">
        <f t="shared" si="134"/>
        <v/>
      </c>
    </row>
    <row r="920" spans="2:13" x14ac:dyDescent="0.55000000000000004">
      <c r="B920" s="35">
        <f t="shared" si="137"/>
        <v>9</v>
      </c>
      <c r="C920" s="72" t="s">
        <v>123</v>
      </c>
      <c r="D920" s="44">
        <f t="shared" si="131"/>
        <v>43655</v>
      </c>
      <c r="E920" s="38">
        <v>5.7225000000000001</v>
      </c>
      <c r="F920" s="39">
        <f t="shared" si="130"/>
        <v>378.5</v>
      </c>
      <c r="G920" s="33">
        <f t="shared" si="136"/>
        <v>2169.9404999999997</v>
      </c>
      <c r="H920" s="33">
        <f t="shared" si="135"/>
        <v>2139.5772299999999</v>
      </c>
      <c r="I920" s="33">
        <f t="shared" si="129"/>
        <v>2139.5772300000003</v>
      </c>
      <c r="J920" s="33">
        <f t="shared" si="132"/>
        <v>2182.2039</v>
      </c>
      <c r="K920" s="33">
        <f t="shared" si="128"/>
        <v>2182.2039</v>
      </c>
      <c r="L920" s="59">
        <f t="shared" si="133"/>
        <v>-1.9533770423561293E-2</v>
      </c>
      <c r="M920" s="60" t="str">
        <f t="shared" si="134"/>
        <v/>
      </c>
    </row>
    <row r="921" spans="2:13" x14ac:dyDescent="0.55000000000000004">
      <c r="B921" s="35">
        <f t="shared" si="137"/>
        <v>10</v>
      </c>
      <c r="C921" s="72" t="s">
        <v>123</v>
      </c>
      <c r="D921" s="44">
        <f t="shared" si="131"/>
        <v>43656</v>
      </c>
      <c r="E921" s="38">
        <v>5.7484999999999999</v>
      </c>
      <c r="F921" s="39">
        <f t="shared" si="130"/>
        <v>378.5</v>
      </c>
      <c r="G921" s="33">
        <f t="shared" si="136"/>
        <v>2165.9662499999999</v>
      </c>
      <c r="H921" s="33">
        <f t="shared" si="135"/>
        <v>2143.0064400000001</v>
      </c>
      <c r="I921" s="33">
        <f t="shared" si="129"/>
        <v>2143.0064400000001</v>
      </c>
      <c r="J921" s="33">
        <f t="shared" si="132"/>
        <v>2182.2039</v>
      </c>
      <c r="K921" s="33">
        <f t="shared" si="128"/>
        <v>2182.2039</v>
      </c>
      <c r="L921" s="59">
        <f t="shared" si="133"/>
        <v>-1.7962326985118057E-2</v>
      </c>
      <c r="M921" s="60" t="str">
        <f t="shared" si="134"/>
        <v/>
      </c>
    </row>
    <row r="922" spans="2:13" x14ac:dyDescent="0.55000000000000004">
      <c r="B922" s="35">
        <f t="shared" si="137"/>
        <v>11</v>
      </c>
      <c r="C922" s="72" t="s">
        <v>123</v>
      </c>
      <c r="D922" s="44">
        <f t="shared" si="131"/>
        <v>43657</v>
      </c>
      <c r="E922" s="38">
        <v>5.6767000000000003</v>
      </c>
      <c r="F922" s="39">
        <f t="shared" si="130"/>
        <v>378.5</v>
      </c>
      <c r="G922" s="33">
        <f t="shared" si="136"/>
        <v>2175.8072499999998</v>
      </c>
      <c r="H922" s="33">
        <f t="shared" si="135"/>
        <v>2151.2653099999998</v>
      </c>
      <c r="I922" s="33">
        <f t="shared" si="129"/>
        <v>2151.2653100000002</v>
      </c>
      <c r="J922" s="33">
        <f t="shared" si="132"/>
        <v>2182.2039</v>
      </c>
      <c r="K922" s="33">
        <f t="shared" si="128"/>
        <v>2182.2039</v>
      </c>
      <c r="L922" s="59">
        <f t="shared" si="133"/>
        <v>-1.4177680646616113E-2</v>
      </c>
      <c r="M922" s="60" t="str">
        <f t="shared" si="134"/>
        <v/>
      </c>
    </row>
    <row r="923" spans="2:13" x14ac:dyDescent="0.55000000000000004">
      <c r="B923" s="35">
        <f t="shared" si="137"/>
        <v>12</v>
      </c>
      <c r="C923" s="72" t="s">
        <v>123</v>
      </c>
      <c r="D923" s="44">
        <f t="shared" si="131"/>
        <v>43658</v>
      </c>
      <c r="E923" s="38">
        <v>5.7019000000000002</v>
      </c>
      <c r="F923" s="39">
        <f t="shared" si="130"/>
        <v>378.5</v>
      </c>
      <c r="G923" s="33">
        <f t="shared" si="136"/>
        <v>2148.6309500000002</v>
      </c>
      <c r="H923" s="33">
        <f t="shared" si="135"/>
        <v>2156.8065500000002</v>
      </c>
      <c r="I923" s="33">
        <f t="shared" si="129"/>
        <v>2156.8065499999998</v>
      </c>
      <c r="J923" s="33">
        <f t="shared" si="132"/>
        <v>2182.2039</v>
      </c>
      <c r="K923" s="33">
        <f t="shared" si="128"/>
        <v>2182.2039</v>
      </c>
      <c r="L923" s="59">
        <f t="shared" si="133"/>
        <v>-1.1638394560654819E-2</v>
      </c>
      <c r="M923" s="60" t="str">
        <f t="shared" si="134"/>
        <v/>
      </c>
    </row>
    <row r="924" spans="2:13" x14ac:dyDescent="0.55000000000000004">
      <c r="B924" s="35">
        <f t="shared" si="137"/>
        <v>15</v>
      </c>
      <c r="C924" s="72" t="s">
        <v>123</v>
      </c>
      <c r="D924" s="44">
        <f t="shared" si="131"/>
        <v>43661</v>
      </c>
      <c r="E924" s="38">
        <v>5.7019000000000002</v>
      </c>
      <c r="F924" s="39">
        <f t="shared" si="130"/>
        <v>378.5</v>
      </c>
      <c r="G924" s="33">
        <f t="shared" si="136"/>
        <v>2158.1691500000002</v>
      </c>
      <c r="H924" s="33">
        <f t="shared" si="135"/>
        <v>2163.70282</v>
      </c>
      <c r="I924" s="33">
        <f t="shared" si="129"/>
        <v>2163.70282</v>
      </c>
      <c r="J924" s="33">
        <f t="shared" si="132"/>
        <v>2182.2039</v>
      </c>
      <c r="K924" s="33">
        <f t="shared" si="128"/>
        <v>2182.2039</v>
      </c>
      <c r="L924" s="59">
        <f t="shared" si="133"/>
        <v>-8.4781628334547488E-3</v>
      </c>
      <c r="M924" s="60" t="str">
        <f t="shared" si="134"/>
        <v/>
      </c>
    </row>
    <row r="925" spans="2:13" x14ac:dyDescent="0.55000000000000004">
      <c r="B925" s="35">
        <f t="shared" si="137"/>
        <v>16</v>
      </c>
      <c r="C925" s="72" t="s">
        <v>123</v>
      </c>
      <c r="D925" s="44">
        <f t="shared" si="131"/>
        <v>43662</v>
      </c>
      <c r="E925" s="38">
        <v>5.7130000000000001</v>
      </c>
      <c r="F925" s="39">
        <f t="shared" si="130"/>
        <v>378.5</v>
      </c>
      <c r="G925" s="33">
        <f t="shared" si="136"/>
        <v>2158.1691500000002</v>
      </c>
      <c r="H925" s="33">
        <f t="shared" si="135"/>
        <v>2161.3485499999997</v>
      </c>
      <c r="I925" s="33">
        <f t="shared" si="129"/>
        <v>2161.3485500000006</v>
      </c>
      <c r="J925" s="33">
        <f t="shared" si="132"/>
        <v>2182.2039</v>
      </c>
      <c r="K925" s="33">
        <f t="shared" ref="K925:K988" si="138">IF(L924&gt;3%,G924,IF(L924&lt;-3%,G924,K924))</f>
        <v>2182.2039</v>
      </c>
      <c r="L925" s="59">
        <f t="shared" si="133"/>
        <v>-9.5570125229820519E-3</v>
      </c>
      <c r="M925" s="60" t="str">
        <f t="shared" si="134"/>
        <v/>
      </c>
    </row>
    <row r="926" spans="2:13" x14ac:dyDescent="0.55000000000000004">
      <c r="B926" s="35">
        <f t="shared" si="137"/>
        <v>17</v>
      </c>
      <c r="C926" s="72" t="s">
        <v>123</v>
      </c>
      <c r="D926" s="44">
        <f t="shared" si="131"/>
        <v>43663</v>
      </c>
      <c r="E926" s="38">
        <v>5.7031000000000001</v>
      </c>
      <c r="F926" s="39">
        <f t="shared" si="130"/>
        <v>378.5</v>
      </c>
      <c r="G926" s="33">
        <f t="shared" si="136"/>
        <v>2162.3705</v>
      </c>
      <c r="H926" s="33">
        <f t="shared" si="135"/>
        <v>2160.6294000000003</v>
      </c>
      <c r="I926" s="33">
        <f t="shared" si="129"/>
        <v>2160.6294000000003</v>
      </c>
      <c r="J926" s="33">
        <f t="shared" si="132"/>
        <v>2182.2039</v>
      </c>
      <c r="K926" s="33">
        <f t="shared" si="138"/>
        <v>2182.2039</v>
      </c>
      <c r="L926" s="59">
        <f t="shared" si="133"/>
        <v>-9.886564678946691E-3</v>
      </c>
      <c r="M926" s="60" t="str">
        <f t="shared" si="134"/>
        <v/>
      </c>
    </row>
    <row r="927" spans="2:13" x14ac:dyDescent="0.55000000000000004">
      <c r="B927" s="35">
        <f t="shared" si="137"/>
        <v>18</v>
      </c>
      <c r="C927" s="72" t="s">
        <v>123</v>
      </c>
      <c r="D927" s="44">
        <f t="shared" si="131"/>
        <v>43664</v>
      </c>
      <c r="E927" s="38">
        <v>5.7013999999999996</v>
      </c>
      <c r="F927" s="39">
        <f t="shared" si="130"/>
        <v>378.5</v>
      </c>
      <c r="G927" s="33">
        <f t="shared" si="136"/>
        <v>2158.6233499999998</v>
      </c>
      <c r="H927" s="33">
        <f t="shared" si="135"/>
        <v>2157.1926199999998</v>
      </c>
      <c r="I927" s="33">
        <f t="shared" si="129"/>
        <v>2157.1926200000003</v>
      </c>
      <c r="J927" s="33">
        <f t="shared" si="132"/>
        <v>2182.2039</v>
      </c>
      <c r="K927" s="33">
        <f t="shared" si="138"/>
        <v>2182.2039</v>
      </c>
      <c r="L927" s="59">
        <f t="shared" si="133"/>
        <v>-1.1461477087452814E-2</v>
      </c>
      <c r="M927" s="60" t="str">
        <f t="shared" si="134"/>
        <v/>
      </c>
    </row>
    <row r="928" spans="2:13" x14ac:dyDescent="0.55000000000000004">
      <c r="B928" s="35">
        <f t="shared" si="137"/>
        <v>19</v>
      </c>
      <c r="C928" s="72" t="s">
        <v>123</v>
      </c>
      <c r="D928" s="44">
        <f t="shared" si="131"/>
        <v>43665</v>
      </c>
      <c r="E928" s="38">
        <v>5.6417000000000002</v>
      </c>
      <c r="F928" s="39">
        <f t="shared" si="130"/>
        <v>378.5</v>
      </c>
      <c r="G928" s="33">
        <f t="shared" si="136"/>
        <v>2157.9798999999998</v>
      </c>
      <c r="H928" s="33">
        <f t="shared" si="135"/>
        <v>2159.06241</v>
      </c>
      <c r="I928" s="33">
        <f t="shared" si="129"/>
        <v>2159.06241</v>
      </c>
      <c r="J928" s="33">
        <f t="shared" si="132"/>
        <v>2182.2039</v>
      </c>
      <c r="K928" s="33">
        <f t="shared" si="138"/>
        <v>2182.2039</v>
      </c>
      <c r="L928" s="59">
        <f t="shared" si="133"/>
        <v>-1.0604641481944E-2</v>
      </c>
      <c r="M928" s="60" t="str">
        <f t="shared" si="134"/>
        <v/>
      </c>
    </row>
    <row r="929" spans="2:15" x14ac:dyDescent="0.55000000000000004">
      <c r="B929" s="35">
        <f t="shared" si="137"/>
        <v>22</v>
      </c>
      <c r="C929" s="72" t="s">
        <v>123</v>
      </c>
      <c r="D929" s="44">
        <f t="shared" si="131"/>
        <v>43668</v>
      </c>
      <c r="E929" s="38">
        <v>5.6786000000000003</v>
      </c>
      <c r="F929" s="39">
        <f t="shared" si="130"/>
        <v>378.5</v>
      </c>
      <c r="G929" s="33">
        <f t="shared" si="136"/>
        <v>2135.3834500000003</v>
      </c>
      <c r="H929" s="33">
        <f t="shared" si="135"/>
        <v>2154.5052700000001</v>
      </c>
      <c r="I929" s="33">
        <f t="shared" si="129"/>
        <v>2154.5052700000001</v>
      </c>
      <c r="J929" s="33">
        <f t="shared" si="132"/>
        <v>2182.2039</v>
      </c>
      <c r="K929" s="33">
        <f t="shared" si="138"/>
        <v>2182.2039</v>
      </c>
      <c r="L929" s="59">
        <f t="shared" si="133"/>
        <v>-1.2692961459742542E-2</v>
      </c>
      <c r="M929" s="60" t="str">
        <f t="shared" si="134"/>
        <v/>
      </c>
    </row>
    <row r="930" spans="2:15" x14ac:dyDescent="0.55000000000000004">
      <c r="B930" s="35">
        <f t="shared" si="137"/>
        <v>23</v>
      </c>
      <c r="C930" s="72" t="s">
        <v>123</v>
      </c>
      <c r="D930" s="44">
        <f t="shared" si="131"/>
        <v>43669</v>
      </c>
      <c r="E930" s="38">
        <v>5.6886000000000001</v>
      </c>
      <c r="F930" s="39">
        <f t="shared" si="130"/>
        <v>378.5</v>
      </c>
      <c r="G930" s="33">
        <f t="shared" si="136"/>
        <v>2149.3501000000001</v>
      </c>
      <c r="H930" s="33">
        <f t="shared" si="135"/>
        <v>2152.7414599999997</v>
      </c>
      <c r="I930" s="33">
        <f t="shared" ref="I930:I993" si="139">F930*AVERAGE(E925:E929)</f>
        <v>2152.7414599999997</v>
      </c>
      <c r="J930" s="33">
        <f t="shared" si="132"/>
        <v>2182.2039</v>
      </c>
      <c r="K930" s="33">
        <f t="shared" si="138"/>
        <v>2182.2039</v>
      </c>
      <c r="L930" s="59">
        <f t="shared" si="133"/>
        <v>-1.3501231484372401E-2</v>
      </c>
      <c r="M930" s="60" t="str">
        <f t="shared" si="134"/>
        <v/>
      </c>
    </row>
    <row r="931" spans="2:15" x14ac:dyDescent="0.55000000000000004">
      <c r="B931" s="35">
        <f t="shared" si="137"/>
        <v>24</v>
      </c>
      <c r="C931" s="72" t="s">
        <v>123</v>
      </c>
      <c r="D931" s="44">
        <f t="shared" si="131"/>
        <v>43670</v>
      </c>
      <c r="E931" s="38">
        <v>5.7237999999999998</v>
      </c>
      <c r="F931" s="39">
        <f t="shared" si="130"/>
        <v>378.5</v>
      </c>
      <c r="G931" s="33">
        <f t="shared" si="136"/>
        <v>2153.1351</v>
      </c>
      <c r="H931" s="33">
        <f t="shared" si="135"/>
        <v>2150.8943800000002</v>
      </c>
      <c r="I931" s="33">
        <f t="shared" si="139"/>
        <v>2150.8943799999997</v>
      </c>
      <c r="J931" s="33">
        <f t="shared" si="132"/>
        <v>2182.2039</v>
      </c>
      <c r="K931" s="33">
        <f t="shared" si="138"/>
        <v>2182.2039</v>
      </c>
      <c r="L931" s="59">
        <f t="shared" si="133"/>
        <v>-1.4347660179692554E-2</v>
      </c>
      <c r="M931" s="60" t="str">
        <f t="shared" si="134"/>
        <v/>
      </c>
    </row>
    <row r="932" spans="2:15" x14ac:dyDescent="0.55000000000000004">
      <c r="B932" s="35">
        <f t="shared" si="137"/>
        <v>25</v>
      </c>
      <c r="C932" s="72" t="s">
        <v>123</v>
      </c>
      <c r="D932" s="44">
        <f t="shared" si="131"/>
        <v>43671</v>
      </c>
      <c r="E932" s="38">
        <v>5.7092999999999998</v>
      </c>
      <c r="F932" s="39">
        <f t="shared" si="130"/>
        <v>378.5</v>
      </c>
      <c r="G932" s="33">
        <f t="shared" si="136"/>
        <v>2166.4582999999998</v>
      </c>
      <c r="H932" s="33">
        <f t="shared" si="135"/>
        <v>2152.46137</v>
      </c>
      <c r="I932" s="33">
        <f t="shared" si="139"/>
        <v>2152.46137</v>
      </c>
      <c r="J932" s="33">
        <f t="shared" si="132"/>
        <v>2182.2039</v>
      </c>
      <c r="K932" s="33">
        <f t="shared" si="138"/>
        <v>2182.2039</v>
      </c>
      <c r="L932" s="59">
        <f t="shared" si="133"/>
        <v>-1.3629583376695453E-2</v>
      </c>
      <c r="M932" s="60" t="str">
        <f t="shared" si="134"/>
        <v/>
      </c>
    </row>
    <row r="933" spans="2:15" x14ac:dyDescent="0.55000000000000004">
      <c r="B933" s="35">
        <f t="shared" si="137"/>
        <v>26</v>
      </c>
      <c r="C933" s="72" t="s">
        <v>123</v>
      </c>
      <c r="D933" s="44">
        <f t="shared" si="131"/>
        <v>43672</v>
      </c>
      <c r="E933" s="38">
        <v>5.6665000000000001</v>
      </c>
      <c r="F933" s="39">
        <f t="shared" si="130"/>
        <v>378.5</v>
      </c>
      <c r="G933" s="33">
        <f t="shared" si="136"/>
        <v>2160.9700499999999</v>
      </c>
      <c r="H933" s="33">
        <f t="shared" si="135"/>
        <v>2153.0594000000001</v>
      </c>
      <c r="I933" s="33">
        <f t="shared" si="139"/>
        <v>2153.0594000000001</v>
      </c>
      <c r="J933" s="33">
        <f t="shared" si="132"/>
        <v>2182.2039</v>
      </c>
      <c r="K933" s="33">
        <f t="shared" si="138"/>
        <v>2182.2039</v>
      </c>
      <c r="L933" s="59">
        <f t="shared" si="133"/>
        <v>-1.3355534741735123E-2</v>
      </c>
      <c r="M933" s="60" t="str">
        <f t="shared" si="134"/>
        <v/>
      </c>
    </row>
    <row r="934" spans="2:15" x14ac:dyDescent="0.55000000000000004">
      <c r="B934" s="35">
        <f t="shared" si="137"/>
        <v>29</v>
      </c>
      <c r="C934" s="72" t="s">
        <v>123</v>
      </c>
      <c r="D934" s="44">
        <f t="shared" si="131"/>
        <v>43675</v>
      </c>
      <c r="E934" s="38">
        <v>5.6372999999999998</v>
      </c>
      <c r="F934" s="39">
        <f t="shared" si="130"/>
        <v>378.5</v>
      </c>
      <c r="G934" s="33">
        <f t="shared" si="136"/>
        <v>2144.77025</v>
      </c>
      <c r="H934" s="33">
        <f t="shared" si="135"/>
        <v>2154.9367599999996</v>
      </c>
      <c r="I934" s="33">
        <f t="shared" si="139"/>
        <v>2154.93676</v>
      </c>
      <c r="J934" s="33">
        <f t="shared" si="132"/>
        <v>2182.2039</v>
      </c>
      <c r="K934" s="33">
        <f t="shared" si="138"/>
        <v>2182.2039</v>
      </c>
      <c r="L934" s="59">
        <f t="shared" si="133"/>
        <v>-1.2495230166163841E-2</v>
      </c>
      <c r="M934" s="60" t="str">
        <f t="shared" si="134"/>
        <v/>
      </c>
    </row>
    <row r="935" spans="2:15" x14ac:dyDescent="0.55000000000000004">
      <c r="B935" s="35">
        <f t="shared" si="137"/>
        <v>30</v>
      </c>
      <c r="C935" s="72" t="s">
        <v>123</v>
      </c>
      <c r="D935" s="44">
        <f t="shared" si="131"/>
        <v>43676</v>
      </c>
      <c r="E935" s="38">
        <v>5.5810000000000004</v>
      </c>
      <c r="F935" s="39">
        <f t="shared" si="130"/>
        <v>378.5</v>
      </c>
      <c r="G935" s="33">
        <f t="shared" si="136"/>
        <v>2133.7180499999999</v>
      </c>
      <c r="H935" s="33">
        <f t="shared" si="135"/>
        <v>2151.8103499999997</v>
      </c>
      <c r="I935" s="33">
        <f t="shared" si="139"/>
        <v>2151.8103500000002</v>
      </c>
      <c r="J935" s="33">
        <f t="shared" si="132"/>
        <v>2182.2039</v>
      </c>
      <c r="K935" s="33">
        <f t="shared" si="138"/>
        <v>2182.2039</v>
      </c>
      <c r="L935" s="59">
        <f t="shared" si="133"/>
        <v>-1.3927914802095364E-2</v>
      </c>
      <c r="M935" s="60" t="str">
        <f t="shared" si="134"/>
        <v/>
      </c>
      <c r="O935" s="75"/>
    </row>
    <row r="936" spans="2:15" x14ac:dyDescent="0.55000000000000004">
      <c r="B936" s="35">
        <f t="shared" si="137"/>
        <v>31</v>
      </c>
      <c r="C936" s="72" t="s">
        <v>123</v>
      </c>
      <c r="D936" s="44">
        <f t="shared" si="131"/>
        <v>43677</v>
      </c>
      <c r="E936" s="38">
        <v>5.5326000000000004</v>
      </c>
      <c r="F936" s="39">
        <f>F935</f>
        <v>378.5</v>
      </c>
      <c r="G936" s="33">
        <f t="shared" si="136"/>
        <v>2112.4085</v>
      </c>
      <c r="H936" s="33">
        <f t="shared" si="135"/>
        <v>2143.6650299999997</v>
      </c>
      <c r="I936" s="33">
        <f t="shared" si="139"/>
        <v>2143.6650299999997</v>
      </c>
      <c r="J936" s="33">
        <f t="shared" si="132"/>
        <v>2182.2039</v>
      </c>
      <c r="K936" s="33">
        <f t="shared" si="138"/>
        <v>2182.2039</v>
      </c>
      <c r="L936" s="59">
        <f t="shared" si="133"/>
        <v>-1.7660526589655678E-2</v>
      </c>
      <c r="M936" s="60" t="str">
        <f t="shared" si="134"/>
        <v/>
      </c>
    </row>
    <row r="937" spans="2:15" x14ac:dyDescent="0.55000000000000004">
      <c r="B937" s="35">
        <f t="shared" si="137"/>
        <v>1</v>
      </c>
      <c r="C937" s="72" t="s">
        <v>124</v>
      </c>
      <c r="D937" s="44">
        <f t="shared" si="131"/>
        <v>43678</v>
      </c>
      <c r="E937" s="38">
        <v>5.5915999999999997</v>
      </c>
      <c r="F937" s="39">
        <v>332.3</v>
      </c>
      <c r="G937" s="33">
        <f t="shared" si="136"/>
        <v>1838.4829800000002</v>
      </c>
      <c r="H937" s="33">
        <f t="shared" si="135"/>
        <v>2078.069966</v>
      </c>
      <c r="I937" s="33">
        <f t="shared" si="139"/>
        <v>1869.3004819999999</v>
      </c>
      <c r="J937" s="33">
        <f t="shared" si="132"/>
        <v>1838.4829800000002</v>
      </c>
      <c r="K937" s="33">
        <f t="shared" si="138"/>
        <v>2182.2039</v>
      </c>
      <c r="L937" s="59">
        <f t="shared" si="133"/>
        <v>-4.7719616851569169E-2</v>
      </c>
      <c r="M937" s="60">
        <f t="shared" si="134"/>
        <v>-343.72091999999975</v>
      </c>
    </row>
    <row r="938" spans="2:15" x14ac:dyDescent="0.55000000000000004">
      <c r="B938" s="35">
        <f t="shared" si="137"/>
        <v>2</v>
      </c>
      <c r="C938" s="72" t="s">
        <v>124</v>
      </c>
      <c r="D938" s="44">
        <f t="shared" si="131"/>
        <v>43679</v>
      </c>
      <c r="E938" s="38">
        <v>5.5910000000000002</v>
      </c>
      <c r="F938" s="39">
        <f t="shared" ref="F938:F1001" si="140">F937</f>
        <v>332.3</v>
      </c>
      <c r="G938" s="33">
        <f t="shared" si="136"/>
        <v>1858.0886800000001</v>
      </c>
      <c r="H938" s="33">
        <f t="shared" si="135"/>
        <v>1858.0886800000001</v>
      </c>
      <c r="I938" s="33">
        <f t="shared" si="139"/>
        <v>1861.4781399999999</v>
      </c>
      <c r="J938" s="33">
        <f t="shared" si="132"/>
        <v>1838.4829800000002</v>
      </c>
      <c r="K938" s="33">
        <f t="shared" si="138"/>
        <v>1838.4829800000002</v>
      </c>
      <c r="L938" s="59">
        <f t="shared" si="133"/>
        <v>1.0664063912084647E-2</v>
      </c>
      <c r="M938" s="60" t="str">
        <f t="shared" si="134"/>
        <v/>
      </c>
    </row>
    <row r="939" spans="2:15" x14ac:dyDescent="0.55000000000000004">
      <c r="B939" s="35">
        <f t="shared" si="137"/>
        <v>5</v>
      </c>
      <c r="C939" s="72" t="s">
        <v>124</v>
      </c>
      <c r="D939" s="44">
        <f t="shared" si="131"/>
        <v>43682</v>
      </c>
      <c r="E939" s="38">
        <v>5.5659999999999998</v>
      </c>
      <c r="F939" s="39">
        <f t="shared" si="140"/>
        <v>332.3</v>
      </c>
      <c r="G939" s="33">
        <f t="shared" si="136"/>
        <v>1857.8893</v>
      </c>
      <c r="H939" s="33">
        <f t="shared" si="135"/>
        <v>1857.9889900000001</v>
      </c>
      <c r="I939" s="33">
        <f t="shared" si="139"/>
        <v>1856.4604100000001</v>
      </c>
      <c r="J939" s="33">
        <f t="shared" si="132"/>
        <v>1838.4829800000002</v>
      </c>
      <c r="K939" s="33">
        <f t="shared" si="138"/>
        <v>1838.4829800000002</v>
      </c>
      <c r="L939" s="59">
        <f t="shared" si="133"/>
        <v>1.0609839858294381E-2</v>
      </c>
      <c r="M939" s="60" t="str">
        <f t="shared" si="134"/>
        <v/>
      </c>
    </row>
    <row r="940" spans="2:15" x14ac:dyDescent="0.55000000000000004">
      <c r="B940" s="35">
        <f t="shared" si="137"/>
        <v>6</v>
      </c>
      <c r="C940" s="72" t="s">
        <v>124</v>
      </c>
      <c r="D940" s="44">
        <f t="shared" si="131"/>
        <v>43683</v>
      </c>
      <c r="E940" s="38">
        <v>5.5415000000000001</v>
      </c>
      <c r="F940" s="39">
        <f t="shared" si="140"/>
        <v>332.3</v>
      </c>
      <c r="G940" s="33">
        <f t="shared" si="136"/>
        <v>1849.5817999999999</v>
      </c>
      <c r="H940" s="33">
        <f t="shared" si="135"/>
        <v>1855.1865933333331</v>
      </c>
      <c r="I940" s="33">
        <f t="shared" si="139"/>
        <v>1851.7218120000002</v>
      </c>
      <c r="J940" s="33">
        <f t="shared" si="132"/>
        <v>1838.4829800000002</v>
      </c>
      <c r="K940" s="33">
        <f t="shared" si="138"/>
        <v>1838.4829800000002</v>
      </c>
      <c r="L940" s="59">
        <f t="shared" si="133"/>
        <v>9.0855414573013313E-3</v>
      </c>
      <c r="M940" s="60" t="str">
        <f t="shared" si="134"/>
        <v/>
      </c>
    </row>
    <row r="941" spans="2:15" x14ac:dyDescent="0.55000000000000004">
      <c r="B941" s="35">
        <f t="shared" si="137"/>
        <v>7</v>
      </c>
      <c r="C941" s="72" t="s">
        <v>124</v>
      </c>
      <c r="D941" s="44">
        <f t="shared" si="131"/>
        <v>43684</v>
      </c>
      <c r="E941" s="38">
        <v>5.4957000000000003</v>
      </c>
      <c r="F941" s="39">
        <f t="shared" si="140"/>
        <v>332.3</v>
      </c>
      <c r="G941" s="33">
        <f t="shared" si="136"/>
        <v>1841.4404500000001</v>
      </c>
      <c r="H941" s="33">
        <f t="shared" si="135"/>
        <v>1851.7500574999999</v>
      </c>
      <c r="I941" s="33">
        <f t="shared" si="139"/>
        <v>1849.0966419999997</v>
      </c>
      <c r="J941" s="33">
        <f t="shared" si="132"/>
        <v>1838.4829800000002</v>
      </c>
      <c r="K941" s="33">
        <f t="shared" si="138"/>
        <v>1838.4829800000002</v>
      </c>
      <c r="L941" s="59">
        <f t="shared" si="133"/>
        <v>7.2163178252537775E-3</v>
      </c>
      <c r="M941" s="60" t="str">
        <f t="shared" si="134"/>
        <v/>
      </c>
    </row>
    <row r="942" spans="2:15" x14ac:dyDescent="0.55000000000000004">
      <c r="B942" s="35">
        <f t="shared" si="137"/>
        <v>8</v>
      </c>
      <c r="C942" s="72" t="s">
        <v>124</v>
      </c>
      <c r="D942" s="44">
        <f t="shared" si="131"/>
        <v>43685</v>
      </c>
      <c r="E942" s="38">
        <v>5.4842000000000004</v>
      </c>
      <c r="F942" s="39">
        <f t="shared" si="140"/>
        <v>332.3</v>
      </c>
      <c r="G942" s="33">
        <f t="shared" si="136"/>
        <v>1826.2211100000002</v>
      </c>
      <c r="H942" s="33">
        <f t="shared" si="135"/>
        <v>1846.644268</v>
      </c>
      <c r="I942" s="33">
        <f t="shared" si="139"/>
        <v>1846.644268</v>
      </c>
      <c r="J942" s="33">
        <f t="shared" si="132"/>
        <v>1838.4829800000002</v>
      </c>
      <c r="K942" s="33">
        <f t="shared" si="138"/>
        <v>1838.4829800000002</v>
      </c>
      <c r="L942" s="59">
        <f t="shared" si="133"/>
        <v>4.4391425369626134E-3</v>
      </c>
      <c r="M942" s="60" t="str">
        <f t="shared" si="134"/>
        <v/>
      </c>
    </row>
    <row r="943" spans="2:15" x14ac:dyDescent="0.55000000000000004">
      <c r="B943" s="35">
        <f t="shared" si="137"/>
        <v>9</v>
      </c>
      <c r="C943" s="72" t="s">
        <v>124</v>
      </c>
      <c r="D943" s="44">
        <f t="shared" si="131"/>
        <v>43686</v>
      </c>
      <c r="E943" s="38">
        <v>5.4907000000000004</v>
      </c>
      <c r="F943" s="39">
        <f t="shared" si="140"/>
        <v>332.3</v>
      </c>
      <c r="G943" s="33">
        <f t="shared" si="136"/>
        <v>1822.3996600000003</v>
      </c>
      <c r="H943" s="33">
        <f t="shared" si="135"/>
        <v>1839.5064640000001</v>
      </c>
      <c r="I943" s="33">
        <f t="shared" si="139"/>
        <v>1839.5064640000001</v>
      </c>
      <c r="J943" s="33">
        <f t="shared" si="132"/>
        <v>1838.4829800000002</v>
      </c>
      <c r="K943" s="33">
        <f t="shared" si="138"/>
        <v>1838.4829800000002</v>
      </c>
      <c r="L943" s="59">
        <f t="shared" si="133"/>
        <v>5.5670028557992183E-4</v>
      </c>
      <c r="M943" s="60" t="str">
        <f t="shared" si="134"/>
        <v/>
      </c>
    </row>
    <row r="944" spans="2:15" x14ac:dyDescent="0.55000000000000004">
      <c r="B944" s="35">
        <f t="shared" si="137"/>
        <v>12</v>
      </c>
      <c r="C944" s="72" t="s">
        <v>124</v>
      </c>
      <c r="D944" s="44">
        <f t="shared" si="131"/>
        <v>43689</v>
      </c>
      <c r="E944" s="38">
        <v>5.4907000000000004</v>
      </c>
      <c r="F944" s="39">
        <f t="shared" si="140"/>
        <v>332.3</v>
      </c>
      <c r="G944" s="33">
        <f t="shared" si="136"/>
        <v>1824.5596100000002</v>
      </c>
      <c r="H944" s="33">
        <f t="shared" si="135"/>
        <v>1832.840526</v>
      </c>
      <c r="I944" s="33">
        <f t="shared" si="139"/>
        <v>1832.8405260000002</v>
      </c>
      <c r="J944" s="33">
        <f t="shared" si="132"/>
        <v>1838.4829800000002</v>
      </c>
      <c r="K944" s="33">
        <f t="shared" si="138"/>
        <v>1838.4829800000002</v>
      </c>
      <c r="L944" s="59">
        <f t="shared" si="133"/>
        <v>-3.0690814445289397E-3</v>
      </c>
      <c r="M944" s="60" t="str">
        <f t="shared" si="134"/>
        <v/>
      </c>
    </row>
    <row r="945" spans="2:13" x14ac:dyDescent="0.55000000000000004">
      <c r="B945" s="35">
        <f t="shared" si="137"/>
        <v>13</v>
      </c>
      <c r="C945" s="72" t="s">
        <v>124</v>
      </c>
      <c r="D945" s="44">
        <f t="shared" si="131"/>
        <v>43690</v>
      </c>
      <c r="E945" s="38">
        <v>5.4907000000000004</v>
      </c>
      <c r="F945" s="39">
        <f t="shared" si="140"/>
        <v>332.3</v>
      </c>
      <c r="G945" s="33">
        <f t="shared" si="136"/>
        <v>1824.5596100000002</v>
      </c>
      <c r="H945" s="33">
        <f t="shared" si="135"/>
        <v>1827.836088</v>
      </c>
      <c r="I945" s="33">
        <f t="shared" si="139"/>
        <v>1827.836088</v>
      </c>
      <c r="J945" s="33">
        <f t="shared" si="132"/>
        <v>1838.4829800000002</v>
      </c>
      <c r="K945" s="33">
        <f t="shared" si="138"/>
        <v>1838.4829800000002</v>
      </c>
      <c r="L945" s="59">
        <f t="shared" si="133"/>
        <v>-5.7911289448000251E-3</v>
      </c>
      <c r="M945" s="60" t="str">
        <f t="shared" si="134"/>
        <v/>
      </c>
    </row>
    <row r="946" spans="2:13" x14ac:dyDescent="0.55000000000000004">
      <c r="B946" s="35">
        <f t="shared" si="137"/>
        <v>14</v>
      </c>
      <c r="C946" s="72" t="s">
        <v>124</v>
      </c>
      <c r="D946" s="44">
        <f t="shared" si="131"/>
        <v>43691</v>
      </c>
      <c r="E946" s="38">
        <v>5.4907000000000004</v>
      </c>
      <c r="F946" s="39">
        <f t="shared" si="140"/>
        <v>332.3</v>
      </c>
      <c r="G946" s="33">
        <f t="shared" si="136"/>
        <v>1824.5596100000002</v>
      </c>
      <c r="H946" s="33">
        <f t="shared" si="135"/>
        <v>1824.4599200000005</v>
      </c>
      <c r="I946" s="33">
        <f t="shared" si="139"/>
        <v>1824.45992</v>
      </c>
      <c r="J946" s="33">
        <f t="shared" si="132"/>
        <v>1838.4829800000002</v>
      </c>
      <c r="K946" s="33">
        <f t="shared" si="138"/>
        <v>1838.4829800000002</v>
      </c>
      <c r="L946" s="59">
        <f t="shared" si="133"/>
        <v>-7.6275168998299657E-3</v>
      </c>
      <c r="M946" s="60" t="str">
        <f t="shared" si="134"/>
        <v/>
      </c>
    </row>
    <row r="947" spans="2:13" x14ac:dyDescent="0.55000000000000004">
      <c r="B947" s="35">
        <f t="shared" si="137"/>
        <v>15</v>
      </c>
      <c r="C947" s="72" t="s">
        <v>124</v>
      </c>
      <c r="D947" s="44">
        <f t="shared" si="131"/>
        <v>43692</v>
      </c>
      <c r="E947" s="38">
        <v>5.5814000000000004</v>
      </c>
      <c r="F947" s="39">
        <f t="shared" si="140"/>
        <v>332.3</v>
      </c>
      <c r="G947" s="33">
        <f t="shared" si="136"/>
        <v>1824.5596100000002</v>
      </c>
      <c r="H947" s="33">
        <f t="shared" si="135"/>
        <v>1824.12762</v>
      </c>
      <c r="I947" s="33">
        <f t="shared" si="139"/>
        <v>1824.1276200000002</v>
      </c>
      <c r="J947" s="33">
        <f t="shared" si="132"/>
        <v>1838.4829800000002</v>
      </c>
      <c r="K947" s="33">
        <f t="shared" si="138"/>
        <v>1838.4829800000002</v>
      </c>
      <c r="L947" s="59">
        <f t="shared" si="133"/>
        <v>-7.8082637457977683E-3</v>
      </c>
      <c r="M947" s="60" t="str">
        <f t="shared" si="134"/>
        <v/>
      </c>
    </row>
    <row r="948" spans="2:13" x14ac:dyDescent="0.55000000000000004">
      <c r="B948" s="35">
        <f t="shared" si="137"/>
        <v>16</v>
      </c>
      <c r="C948" s="72" t="s">
        <v>124</v>
      </c>
      <c r="D948" s="44">
        <f t="shared" si="131"/>
        <v>43693</v>
      </c>
      <c r="E948" s="38">
        <v>5.5496999999999996</v>
      </c>
      <c r="F948" s="39">
        <f t="shared" si="140"/>
        <v>332.3</v>
      </c>
      <c r="G948" s="33">
        <f t="shared" si="136"/>
        <v>1854.6992200000002</v>
      </c>
      <c r="H948" s="33">
        <f t="shared" si="135"/>
        <v>1830.5875320000002</v>
      </c>
      <c r="I948" s="33">
        <f t="shared" si="139"/>
        <v>1830.5875320000005</v>
      </c>
      <c r="J948" s="33">
        <f t="shared" si="132"/>
        <v>1838.4829800000002</v>
      </c>
      <c r="K948" s="33">
        <f t="shared" si="138"/>
        <v>1838.4829800000002</v>
      </c>
      <c r="L948" s="59">
        <f t="shared" si="133"/>
        <v>-4.294545060188692E-3</v>
      </c>
      <c r="M948" s="60" t="str">
        <f t="shared" si="134"/>
        <v/>
      </c>
    </row>
    <row r="949" spans="2:13" x14ac:dyDescent="0.55000000000000004">
      <c r="B949" s="35">
        <f t="shared" si="137"/>
        <v>19</v>
      </c>
      <c r="C949" s="72" t="s">
        <v>124</v>
      </c>
      <c r="D949" s="44">
        <f t="shared" si="131"/>
        <v>43696</v>
      </c>
      <c r="E949" s="38">
        <v>5.5875000000000004</v>
      </c>
      <c r="F949" s="39">
        <f t="shared" si="140"/>
        <v>332.3</v>
      </c>
      <c r="G949" s="33">
        <f t="shared" si="136"/>
        <v>1844.1653099999999</v>
      </c>
      <c r="H949" s="33">
        <f t="shared" si="135"/>
        <v>1834.5086720000004</v>
      </c>
      <c r="I949" s="33">
        <f t="shared" si="139"/>
        <v>1834.5086720000002</v>
      </c>
      <c r="J949" s="33">
        <f t="shared" si="132"/>
        <v>1838.4829800000002</v>
      </c>
      <c r="K949" s="33">
        <f t="shared" si="138"/>
        <v>1838.4829800000002</v>
      </c>
      <c r="L949" s="59">
        <f t="shared" si="133"/>
        <v>-2.1617322777716642E-3</v>
      </c>
      <c r="M949" s="60" t="str">
        <f t="shared" si="134"/>
        <v/>
      </c>
    </row>
    <row r="950" spans="2:13" x14ac:dyDescent="0.55000000000000004">
      <c r="B950" s="35">
        <f t="shared" si="137"/>
        <v>20</v>
      </c>
      <c r="C950" s="72" t="s">
        <v>124</v>
      </c>
      <c r="D950" s="44">
        <f t="shared" si="131"/>
        <v>43697</v>
      </c>
      <c r="E950" s="38">
        <v>5.7149000000000001</v>
      </c>
      <c r="F950" s="39">
        <f t="shared" si="140"/>
        <v>332.3</v>
      </c>
      <c r="G950" s="33">
        <f t="shared" si="136"/>
        <v>1856.7262500000002</v>
      </c>
      <c r="H950" s="33">
        <f t="shared" si="135"/>
        <v>1840.9420000000002</v>
      </c>
      <c r="I950" s="33">
        <f t="shared" si="139"/>
        <v>1840.9420000000005</v>
      </c>
      <c r="J950" s="33">
        <f t="shared" si="132"/>
        <v>1838.4829800000002</v>
      </c>
      <c r="K950" s="33">
        <f t="shared" si="138"/>
        <v>1838.4829800000002</v>
      </c>
      <c r="L950" s="59">
        <f t="shared" si="133"/>
        <v>1.3375266601597853E-3</v>
      </c>
      <c r="M950" s="60" t="str">
        <f t="shared" si="134"/>
        <v/>
      </c>
    </row>
    <row r="951" spans="2:13" x14ac:dyDescent="0.55000000000000004">
      <c r="B951" s="35">
        <f t="shared" si="137"/>
        <v>21</v>
      </c>
      <c r="C951" s="72" t="s">
        <v>124</v>
      </c>
      <c r="D951" s="44">
        <f t="shared" si="131"/>
        <v>43698</v>
      </c>
      <c r="E951" s="38">
        <v>5.7199</v>
      </c>
      <c r="F951" s="39">
        <f t="shared" si="140"/>
        <v>332.3</v>
      </c>
      <c r="G951" s="33">
        <f t="shared" si="136"/>
        <v>1899.0612700000001</v>
      </c>
      <c r="H951" s="33">
        <f t="shared" si="135"/>
        <v>1855.8423320000002</v>
      </c>
      <c r="I951" s="33">
        <f t="shared" si="139"/>
        <v>1855.8423319999999</v>
      </c>
      <c r="J951" s="33">
        <f t="shared" si="132"/>
        <v>1838.4829800000002</v>
      </c>
      <c r="K951" s="33">
        <f t="shared" si="138"/>
        <v>1838.4829800000002</v>
      </c>
      <c r="L951" s="59">
        <f t="shared" si="133"/>
        <v>9.4422152333441464E-3</v>
      </c>
      <c r="M951" s="60" t="str">
        <f t="shared" si="134"/>
        <v/>
      </c>
    </row>
    <row r="952" spans="2:13" x14ac:dyDescent="0.55000000000000004">
      <c r="B952" s="35">
        <f t="shared" si="137"/>
        <v>22</v>
      </c>
      <c r="C952" s="72" t="s">
        <v>124</v>
      </c>
      <c r="D952" s="44">
        <f t="shared" si="131"/>
        <v>43699</v>
      </c>
      <c r="E952" s="38">
        <v>5.7580999999999998</v>
      </c>
      <c r="F952" s="39">
        <f t="shared" si="140"/>
        <v>332.3</v>
      </c>
      <c r="G952" s="33">
        <f t="shared" si="136"/>
        <v>1900.7227700000001</v>
      </c>
      <c r="H952" s="33">
        <f t="shared" si="135"/>
        <v>1871.0749640000001</v>
      </c>
      <c r="I952" s="33">
        <f t="shared" si="139"/>
        <v>1871.0749640000001</v>
      </c>
      <c r="J952" s="33">
        <f t="shared" si="132"/>
        <v>1838.4829800000002</v>
      </c>
      <c r="K952" s="33">
        <f t="shared" si="138"/>
        <v>1838.4829800000002</v>
      </c>
      <c r="L952" s="59">
        <f t="shared" si="133"/>
        <v>1.7727650652496065E-2</v>
      </c>
      <c r="M952" s="60" t="str">
        <f t="shared" si="134"/>
        <v/>
      </c>
    </row>
    <row r="953" spans="2:13" x14ac:dyDescent="0.55000000000000004">
      <c r="B953" s="35">
        <f t="shared" si="137"/>
        <v>23</v>
      </c>
      <c r="C953" s="72" t="s">
        <v>124</v>
      </c>
      <c r="D953" s="44">
        <f t="shared" si="131"/>
        <v>43700</v>
      </c>
      <c r="E953" s="38">
        <v>5.7641999999999998</v>
      </c>
      <c r="F953" s="39">
        <f t="shared" si="140"/>
        <v>332.3</v>
      </c>
      <c r="G953" s="33">
        <f t="shared" si="136"/>
        <v>1913.4166299999999</v>
      </c>
      <c r="H953" s="33">
        <f t="shared" si="135"/>
        <v>1882.818446</v>
      </c>
      <c r="I953" s="33">
        <f t="shared" si="139"/>
        <v>1882.818446</v>
      </c>
      <c r="J953" s="33">
        <f t="shared" si="132"/>
        <v>1838.4829800000002</v>
      </c>
      <c r="K953" s="33">
        <f t="shared" si="138"/>
        <v>1838.4829800000002</v>
      </c>
      <c r="L953" s="59">
        <f t="shared" si="133"/>
        <v>2.4115244188988774E-2</v>
      </c>
      <c r="M953" s="60" t="str">
        <f t="shared" si="134"/>
        <v/>
      </c>
    </row>
    <row r="954" spans="2:13" x14ac:dyDescent="0.55000000000000004">
      <c r="B954" s="35">
        <f t="shared" si="137"/>
        <v>26</v>
      </c>
      <c r="C954" s="72" t="s">
        <v>120</v>
      </c>
      <c r="D954" s="44">
        <f t="shared" ref="D954:D1017" si="141">WORKDAY(D953,1)</f>
        <v>43703</v>
      </c>
      <c r="E954" s="38">
        <v>5.8132999999999999</v>
      </c>
      <c r="F954" s="39">
        <f t="shared" si="140"/>
        <v>332.3</v>
      </c>
      <c r="G954" s="33">
        <f t="shared" si="136"/>
        <v>1915.4436599999999</v>
      </c>
      <c r="H954" s="33">
        <f t="shared" si="135"/>
        <v>1897.0741159999998</v>
      </c>
      <c r="I954" s="33">
        <f t="shared" si="139"/>
        <v>1897.074116</v>
      </c>
      <c r="J954" s="33">
        <f t="shared" si="132"/>
        <v>1915.4436599999999</v>
      </c>
      <c r="K954" s="33">
        <f t="shared" si="138"/>
        <v>1838.4829800000002</v>
      </c>
      <c r="L954" s="59">
        <f t="shared" si="133"/>
        <v>3.1869283880996031E-2</v>
      </c>
      <c r="M954" s="60">
        <f t="shared" si="134"/>
        <v>76.960679999999684</v>
      </c>
    </row>
    <row r="955" spans="2:13" x14ac:dyDescent="0.55000000000000004">
      <c r="B955" s="35">
        <f t="shared" si="137"/>
        <v>27</v>
      </c>
      <c r="C955" s="72" t="s">
        <v>124</v>
      </c>
      <c r="D955" s="44">
        <f t="shared" si="141"/>
        <v>43704</v>
      </c>
      <c r="E955" s="38">
        <v>5.8361999999999998</v>
      </c>
      <c r="F955" s="39">
        <f t="shared" si="140"/>
        <v>332.3</v>
      </c>
      <c r="G955" s="33">
        <f t="shared" si="136"/>
        <v>1931.7595900000001</v>
      </c>
      <c r="H955" s="33">
        <f t="shared" si="135"/>
        <v>1931.7595900000001</v>
      </c>
      <c r="I955" s="33">
        <f t="shared" si="139"/>
        <v>1912.0807839999998</v>
      </c>
      <c r="J955" s="33">
        <f t="shared" si="132"/>
        <v>1915.4436599999999</v>
      </c>
      <c r="K955" s="33">
        <f t="shared" si="138"/>
        <v>1915.4436599999999</v>
      </c>
      <c r="L955" s="59">
        <f t="shared" si="133"/>
        <v>8.5180944450228349E-3</v>
      </c>
      <c r="M955" s="60" t="str">
        <f t="shared" si="134"/>
        <v/>
      </c>
    </row>
    <row r="956" spans="2:13" x14ac:dyDescent="0.55000000000000004">
      <c r="B956" s="35">
        <f t="shared" si="137"/>
        <v>28</v>
      </c>
      <c r="C956" s="72" t="s">
        <v>124</v>
      </c>
      <c r="D956" s="44">
        <f t="shared" si="141"/>
        <v>43705</v>
      </c>
      <c r="E956" s="38">
        <v>5.8098000000000001</v>
      </c>
      <c r="F956" s="39">
        <f t="shared" si="140"/>
        <v>332.3</v>
      </c>
      <c r="G956" s="33">
        <f t="shared" si="136"/>
        <v>1939.3692599999999</v>
      </c>
      <c r="H956" s="33">
        <f t="shared" si="135"/>
        <v>1935.564425</v>
      </c>
      <c r="I956" s="33">
        <f t="shared" si="139"/>
        <v>1920.142382</v>
      </c>
      <c r="J956" s="33">
        <f t="shared" si="132"/>
        <v>1915.4436599999999</v>
      </c>
      <c r="K956" s="33">
        <f t="shared" si="138"/>
        <v>1915.4436599999999</v>
      </c>
      <c r="L956" s="59">
        <f t="shared" si="133"/>
        <v>1.0504493251448659E-2</v>
      </c>
      <c r="M956" s="60" t="str">
        <f t="shared" si="134"/>
        <v/>
      </c>
    </row>
    <row r="957" spans="2:13" x14ac:dyDescent="0.55000000000000004">
      <c r="B957" s="35">
        <f t="shared" si="137"/>
        <v>29</v>
      </c>
      <c r="C957" s="72" t="s">
        <v>124</v>
      </c>
      <c r="D957" s="44">
        <f t="shared" si="141"/>
        <v>43706</v>
      </c>
      <c r="E957" s="38">
        <v>5.8244999999999996</v>
      </c>
      <c r="F957" s="39">
        <f t="shared" si="140"/>
        <v>332.3</v>
      </c>
      <c r="G957" s="33">
        <f t="shared" si="136"/>
        <v>1930.59654</v>
      </c>
      <c r="H957" s="33">
        <f t="shared" si="135"/>
        <v>1933.9084633333332</v>
      </c>
      <c r="I957" s="33">
        <f t="shared" si="139"/>
        <v>1926.1171360000001</v>
      </c>
      <c r="J957" s="33">
        <f t="shared" ref="J957:J1020" si="142">IF(L957&gt;3%,G957,IF(L957&lt;-3%,G957,J956))</f>
        <v>1915.4436599999999</v>
      </c>
      <c r="K957" s="33">
        <f t="shared" si="138"/>
        <v>1915.4436599999999</v>
      </c>
      <c r="L957" s="59">
        <f t="shared" si="133"/>
        <v>9.6399616020725418E-3</v>
      </c>
      <c r="M957" s="60" t="str">
        <f t="shared" si="134"/>
        <v/>
      </c>
    </row>
    <row r="958" spans="2:13" x14ac:dyDescent="0.55000000000000004">
      <c r="B958" s="35">
        <f t="shared" si="137"/>
        <v>30</v>
      </c>
      <c r="C958" s="72" t="s">
        <v>124</v>
      </c>
      <c r="D958" s="44">
        <f t="shared" si="141"/>
        <v>43707</v>
      </c>
      <c r="E958" s="38">
        <v>5.8244999999999996</v>
      </c>
      <c r="F958" s="39">
        <f t="shared" si="140"/>
        <v>332.3</v>
      </c>
      <c r="G958" s="33">
        <f t="shared" si="136"/>
        <v>1935.48135</v>
      </c>
      <c r="H958" s="33">
        <f t="shared" si="135"/>
        <v>1934.3016849999999</v>
      </c>
      <c r="I958" s="33">
        <f t="shared" si="139"/>
        <v>1930.53008</v>
      </c>
      <c r="J958" s="33">
        <f t="shared" si="142"/>
        <v>1915.4436599999999</v>
      </c>
      <c r="K958" s="33">
        <f t="shared" si="138"/>
        <v>1915.4436599999999</v>
      </c>
      <c r="L958" s="59">
        <f t="shared" ref="L958:L1021" si="143">(H958-K958)/K958</f>
        <v>9.8452517261718876E-3</v>
      </c>
      <c r="M958" s="60" t="str">
        <f t="shared" ref="M958:M1021" si="144">IF(OR(L958&lt;-3%,L958&gt;3%),K959-K958,"")</f>
        <v/>
      </c>
    </row>
    <row r="959" spans="2:13" x14ac:dyDescent="0.55000000000000004">
      <c r="B959" s="35">
        <f t="shared" si="137"/>
        <v>2</v>
      </c>
      <c r="C959" s="72" t="s">
        <v>125</v>
      </c>
      <c r="D959" s="44">
        <f t="shared" si="141"/>
        <v>43710</v>
      </c>
      <c r="E959" s="38">
        <v>5.8148999999999997</v>
      </c>
      <c r="F959" s="39">
        <v>344.2</v>
      </c>
      <c r="G959" s="33">
        <f t="shared" si="136"/>
        <v>2004.7928999999997</v>
      </c>
      <c r="H959" s="33">
        <f t="shared" si="135"/>
        <v>1948.399928</v>
      </c>
      <c r="I959" s="33">
        <f t="shared" si="139"/>
        <v>2003.8153719999998</v>
      </c>
      <c r="J959" s="33">
        <f t="shared" si="142"/>
        <v>1915.4436599999999</v>
      </c>
      <c r="K959" s="33">
        <f t="shared" si="138"/>
        <v>1915.4436599999999</v>
      </c>
      <c r="L959" s="59">
        <f t="shared" si="143"/>
        <v>1.72055533076865E-2</v>
      </c>
      <c r="M959" s="60" t="str">
        <f t="shared" si="144"/>
        <v/>
      </c>
    </row>
    <row r="960" spans="2:13" x14ac:dyDescent="0.55000000000000004">
      <c r="B960" s="35">
        <f t="shared" si="137"/>
        <v>3</v>
      </c>
      <c r="C960" s="72" t="s">
        <v>125</v>
      </c>
      <c r="D960" s="44">
        <f t="shared" si="141"/>
        <v>43711</v>
      </c>
      <c r="E960" s="38">
        <v>5.7830000000000004</v>
      </c>
      <c r="F960" s="39">
        <f t="shared" si="140"/>
        <v>344.2</v>
      </c>
      <c r="G960" s="33">
        <f t="shared" si="136"/>
        <v>2001.48858</v>
      </c>
      <c r="H960" s="33">
        <f t="shared" si="135"/>
        <v>1962.345726</v>
      </c>
      <c r="I960" s="33">
        <f t="shared" si="139"/>
        <v>2003.9255160000002</v>
      </c>
      <c r="J960" s="33">
        <f t="shared" si="142"/>
        <v>1915.4436599999999</v>
      </c>
      <c r="K960" s="33">
        <f t="shared" si="138"/>
        <v>1915.4436599999999</v>
      </c>
      <c r="L960" s="59">
        <f t="shared" si="143"/>
        <v>2.4486267583563436E-2</v>
      </c>
      <c r="M960" s="60" t="str">
        <f t="shared" si="144"/>
        <v/>
      </c>
    </row>
    <row r="961" spans="2:13" x14ac:dyDescent="0.55000000000000004">
      <c r="B961" s="35">
        <f t="shared" si="137"/>
        <v>4</v>
      </c>
      <c r="C961" s="72" t="s">
        <v>125</v>
      </c>
      <c r="D961" s="44">
        <f t="shared" si="141"/>
        <v>43712</v>
      </c>
      <c r="E961" s="38">
        <v>5.6757999999999997</v>
      </c>
      <c r="F961" s="39">
        <f t="shared" si="140"/>
        <v>344.2</v>
      </c>
      <c r="G961" s="33">
        <f t="shared" si="136"/>
        <v>1990.5086000000001</v>
      </c>
      <c r="H961" s="33">
        <f t="shared" si="135"/>
        <v>1972.573594</v>
      </c>
      <c r="I961" s="33">
        <f t="shared" si="139"/>
        <v>2000.2632279999998</v>
      </c>
      <c r="J961" s="33">
        <f t="shared" si="142"/>
        <v>1915.4436599999999</v>
      </c>
      <c r="K961" s="33">
        <f t="shared" si="138"/>
        <v>1915.4436599999999</v>
      </c>
      <c r="L961" s="59">
        <f t="shared" si="143"/>
        <v>2.9825953742748063E-2</v>
      </c>
      <c r="M961" s="60" t="str">
        <f t="shared" si="144"/>
        <v/>
      </c>
    </row>
    <row r="962" spans="2:13" x14ac:dyDescent="0.55000000000000004">
      <c r="B962" s="35">
        <f t="shared" si="137"/>
        <v>5</v>
      </c>
      <c r="C962" s="72" t="s">
        <v>125</v>
      </c>
      <c r="D962" s="44">
        <f t="shared" si="141"/>
        <v>43713</v>
      </c>
      <c r="E962" s="38">
        <v>5.6848000000000001</v>
      </c>
      <c r="F962" s="39">
        <f t="shared" si="140"/>
        <v>344.2</v>
      </c>
      <c r="G962" s="33">
        <f t="shared" si="136"/>
        <v>1953.6103599999999</v>
      </c>
      <c r="H962" s="33">
        <f t="shared" si="135"/>
        <v>1977.1763579999999</v>
      </c>
      <c r="I962" s="33">
        <f t="shared" si="139"/>
        <v>1991.0386679999999</v>
      </c>
      <c r="J962" s="33">
        <f t="shared" si="142"/>
        <v>1953.6103599999999</v>
      </c>
      <c r="K962" s="33">
        <f t="shared" si="138"/>
        <v>1915.4436599999999</v>
      </c>
      <c r="L962" s="59">
        <f t="shared" si="143"/>
        <v>3.2228929145323978E-2</v>
      </c>
      <c r="M962" s="60">
        <f t="shared" si="144"/>
        <v>38.166699999999992</v>
      </c>
    </row>
    <row r="963" spans="2:13" x14ac:dyDescent="0.55000000000000004">
      <c r="B963" s="35">
        <f t="shared" si="137"/>
        <v>6</v>
      </c>
      <c r="C963" s="72" t="s">
        <v>125</v>
      </c>
      <c r="D963" s="44">
        <f t="shared" si="141"/>
        <v>43714</v>
      </c>
      <c r="E963" s="38">
        <v>5.7035</v>
      </c>
      <c r="F963" s="39">
        <f>F962</f>
        <v>344.2</v>
      </c>
      <c r="G963" s="33">
        <f t="shared" si="136"/>
        <v>1956.7081599999999</v>
      </c>
      <c r="H963" s="33">
        <f t="shared" si="135"/>
        <v>1956.7081599999999</v>
      </c>
      <c r="I963" s="33">
        <f t="shared" si="139"/>
        <v>1981.4217199999998</v>
      </c>
      <c r="J963" s="33">
        <f t="shared" si="142"/>
        <v>1953.6103599999999</v>
      </c>
      <c r="K963" s="33">
        <f t="shared" si="138"/>
        <v>1953.6103599999999</v>
      </c>
      <c r="L963" s="59">
        <f t="shared" si="143"/>
        <v>1.58567955178125E-3</v>
      </c>
      <c r="M963" s="60" t="str">
        <f t="shared" si="144"/>
        <v/>
      </c>
    </row>
    <row r="964" spans="2:13" x14ac:dyDescent="0.55000000000000004">
      <c r="B964" s="35">
        <f t="shared" si="137"/>
        <v>9</v>
      </c>
      <c r="C964" s="72" t="s">
        <v>125</v>
      </c>
      <c r="D964" s="44">
        <f t="shared" si="141"/>
        <v>43717</v>
      </c>
      <c r="E964" s="38">
        <v>5.7317999999999998</v>
      </c>
      <c r="F964" s="39">
        <f t="shared" si="140"/>
        <v>344.2</v>
      </c>
      <c r="G964" s="33">
        <f t="shared" si="136"/>
        <v>1963.1446999999998</v>
      </c>
      <c r="H964" s="33">
        <f t="shared" si="135"/>
        <v>1959.92643</v>
      </c>
      <c r="I964" s="33">
        <f t="shared" si="139"/>
        <v>1973.0920799999999</v>
      </c>
      <c r="J964" s="33">
        <f t="shared" si="142"/>
        <v>1953.6103599999999</v>
      </c>
      <c r="K964" s="33">
        <f t="shared" si="138"/>
        <v>1953.6103599999999</v>
      </c>
      <c r="L964" s="59">
        <f t="shared" si="143"/>
        <v>3.2330244194651394E-3</v>
      </c>
      <c r="M964" s="60" t="str">
        <f t="shared" si="144"/>
        <v/>
      </c>
    </row>
    <row r="965" spans="2:13" x14ac:dyDescent="0.55000000000000004">
      <c r="B965" s="35">
        <f t="shared" si="137"/>
        <v>10</v>
      </c>
      <c r="C965" s="72" t="s">
        <v>125</v>
      </c>
      <c r="D965" s="44">
        <f t="shared" si="141"/>
        <v>43718</v>
      </c>
      <c r="E965" s="38">
        <v>5.7671000000000001</v>
      </c>
      <c r="F965" s="39">
        <f t="shared" si="140"/>
        <v>344.2</v>
      </c>
      <c r="G965" s="33">
        <f t="shared" si="136"/>
        <v>1972.8855599999999</v>
      </c>
      <c r="H965" s="33">
        <f t="shared" si="135"/>
        <v>1964.24614</v>
      </c>
      <c r="I965" s="33">
        <f t="shared" si="139"/>
        <v>1967.3714759999998</v>
      </c>
      <c r="J965" s="33">
        <f t="shared" si="142"/>
        <v>1953.6103599999999</v>
      </c>
      <c r="K965" s="33">
        <f t="shared" si="138"/>
        <v>1953.6103599999999</v>
      </c>
      <c r="L965" s="59">
        <f t="shared" si="143"/>
        <v>5.4441664611156486E-3</v>
      </c>
      <c r="M965" s="60" t="str">
        <f t="shared" si="144"/>
        <v/>
      </c>
    </row>
    <row r="966" spans="2:13" x14ac:dyDescent="0.55000000000000004">
      <c r="B966" s="35">
        <f t="shared" si="137"/>
        <v>11</v>
      </c>
      <c r="C966" s="72" t="s">
        <v>125</v>
      </c>
      <c r="D966" s="44">
        <f t="shared" si="141"/>
        <v>43719</v>
      </c>
      <c r="E966" s="38">
        <v>5.7815000000000003</v>
      </c>
      <c r="F966" s="39">
        <f t="shared" si="140"/>
        <v>344.2</v>
      </c>
      <c r="G966" s="33">
        <f t="shared" si="136"/>
        <v>1985.0358200000001</v>
      </c>
      <c r="H966" s="33">
        <f t="shared" si="135"/>
        <v>1969.4435599999999</v>
      </c>
      <c r="I966" s="33">
        <f t="shared" si="139"/>
        <v>1966.27692</v>
      </c>
      <c r="J966" s="33">
        <f t="shared" si="142"/>
        <v>1953.6103599999999</v>
      </c>
      <c r="K966" s="33">
        <f t="shared" si="138"/>
        <v>1953.6103599999999</v>
      </c>
      <c r="L966" s="59">
        <f t="shared" si="143"/>
        <v>8.1045843757708343E-3</v>
      </c>
      <c r="M966" s="60" t="str">
        <f t="shared" si="144"/>
        <v/>
      </c>
    </row>
    <row r="967" spans="2:13" x14ac:dyDescent="0.55000000000000004">
      <c r="B967" s="35">
        <f t="shared" si="137"/>
        <v>12</v>
      </c>
      <c r="C967" s="72" t="s">
        <v>125</v>
      </c>
      <c r="D967" s="44">
        <f t="shared" si="141"/>
        <v>43720</v>
      </c>
      <c r="E967" s="38">
        <v>5.7386999999999997</v>
      </c>
      <c r="F967" s="39">
        <f t="shared" si="140"/>
        <v>344.2</v>
      </c>
      <c r="G967" s="33">
        <f t="shared" si="136"/>
        <v>1989.9923000000001</v>
      </c>
      <c r="H967" s="33">
        <f t="shared" si="135"/>
        <v>1973.553308</v>
      </c>
      <c r="I967" s="33">
        <f t="shared" si="139"/>
        <v>1973.553308</v>
      </c>
      <c r="J967" s="33">
        <f t="shared" si="142"/>
        <v>1953.6103599999999</v>
      </c>
      <c r="K967" s="33">
        <f t="shared" si="138"/>
        <v>1953.6103599999999</v>
      </c>
      <c r="L967" s="59">
        <f t="shared" si="143"/>
        <v>1.0208252581133996E-2</v>
      </c>
      <c r="M967" s="60" t="str">
        <f t="shared" si="144"/>
        <v/>
      </c>
    </row>
    <row r="968" spans="2:13" x14ac:dyDescent="0.55000000000000004">
      <c r="B968" s="35">
        <f t="shared" si="137"/>
        <v>13</v>
      </c>
      <c r="C968" s="72" t="s">
        <v>125</v>
      </c>
      <c r="D968" s="44">
        <f t="shared" si="141"/>
        <v>43721</v>
      </c>
      <c r="E968" s="38">
        <v>5.6767000000000003</v>
      </c>
      <c r="F968" s="39">
        <f t="shared" si="140"/>
        <v>344.2</v>
      </c>
      <c r="G968" s="33">
        <f t="shared" si="136"/>
        <v>1975.2605399999998</v>
      </c>
      <c r="H968" s="33">
        <f t="shared" si="135"/>
        <v>1977.263784</v>
      </c>
      <c r="I968" s="33">
        <f t="shared" si="139"/>
        <v>1977.2637839999998</v>
      </c>
      <c r="J968" s="33">
        <f t="shared" si="142"/>
        <v>1953.6103599999999</v>
      </c>
      <c r="K968" s="33">
        <f t="shared" si="138"/>
        <v>1953.6103599999999</v>
      </c>
      <c r="L968" s="59">
        <f t="shared" si="143"/>
        <v>1.2107544310934186E-2</v>
      </c>
      <c r="M968" s="60" t="str">
        <f t="shared" si="144"/>
        <v/>
      </c>
    </row>
    <row r="969" spans="2:13" x14ac:dyDescent="0.55000000000000004">
      <c r="B969" s="35">
        <f t="shared" si="137"/>
        <v>16</v>
      </c>
      <c r="C969" s="72" t="s">
        <v>125</v>
      </c>
      <c r="D969" s="44">
        <f t="shared" si="141"/>
        <v>43724</v>
      </c>
      <c r="E969" s="38">
        <v>5.7228000000000003</v>
      </c>
      <c r="F969" s="39">
        <f t="shared" si="140"/>
        <v>344.2</v>
      </c>
      <c r="G969" s="33">
        <f t="shared" si="136"/>
        <v>1953.9201399999999</v>
      </c>
      <c r="H969" s="33">
        <f t="shared" si="135"/>
        <v>1975.4188719999997</v>
      </c>
      <c r="I969" s="33">
        <f t="shared" si="139"/>
        <v>1975.418872</v>
      </c>
      <c r="J969" s="33">
        <f t="shared" si="142"/>
        <v>1953.6103599999999</v>
      </c>
      <c r="K969" s="33">
        <f t="shared" si="138"/>
        <v>1953.6103599999999</v>
      </c>
      <c r="L969" s="59">
        <f t="shared" si="143"/>
        <v>1.1163184044539894E-2</v>
      </c>
      <c r="M969" s="60" t="str">
        <f t="shared" si="144"/>
        <v/>
      </c>
    </row>
    <row r="970" spans="2:13" x14ac:dyDescent="0.55000000000000004">
      <c r="B970" s="35">
        <f t="shared" si="137"/>
        <v>17</v>
      </c>
      <c r="C970" s="72" t="s">
        <v>125</v>
      </c>
      <c r="D970" s="44">
        <f t="shared" si="141"/>
        <v>43725</v>
      </c>
      <c r="E970" s="38">
        <v>5.7329999999999997</v>
      </c>
      <c r="F970" s="39">
        <f t="shared" si="140"/>
        <v>344.2</v>
      </c>
      <c r="G970" s="33">
        <f t="shared" si="136"/>
        <v>1969.7877600000002</v>
      </c>
      <c r="H970" s="33">
        <f t="shared" si="135"/>
        <v>1974.7993119999999</v>
      </c>
      <c r="I970" s="33">
        <f t="shared" si="139"/>
        <v>1974.7993120000001</v>
      </c>
      <c r="J970" s="33">
        <f t="shared" si="142"/>
        <v>1953.6103599999999</v>
      </c>
      <c r="K970" s="33">
        <f t="shared" si="138"/>
        <v>1953.6103599999999</v>
      </c>
      <c r="L970" s="59">
        <f t="shared" si="143"/>
        <v>1.0846048134183713E-2</v>
      </c>
      <c r="M970" s="60" t="str">
        <f t="shared" si="144"/>
        <v/>
      </c>
    </row>
    <row r="971" spans="2:13" x14ac:dyDescent="0.55000000000000004">
      <c r="B971" s="35">
        <f t="shared" si="137"/>
        <v>18</v>
      </c>
      <c r="C971" s="72" t="s">
        <v>125</v>
      </c>
      <c r="D971" s="44">
        <f t="shared" si="141"/>
        <v>43726</v>
      </c>
      <c r="E971" s="38">
        <v>5.6887999999999996</v>
      </c>
      <c r="F971" s="39">
        <f t="shared" si="140"/>
        <v>344.2</v>
      </c>
      <c r="G971" s="33">
        <f t="shared" si="136"/>
        <v>1973.2985999999999</v>
      </c>
      <c r="H971" s="33">
        <f t="shared" si="135"/>
        <v>1972.4518680000001</v>
      </c>
      <c r="I971" s="33">
        <f t="shared" si="139"/>
        <v>1972.4518679999999</v>
      </c>
      <c r="J971" s="33">
        <f t="shared" si="142"/>
        <v>1953.6103599999999</v>
      </c>
      <c r="K971" s="33">
        <f t="shared" si="138"/>
        <v>1953.6103599999999</v>
      </c>
      <c r="L971" s="59">
        <f t="shared" si="143"/>
        <v>9.6444554071673759E-3</v>
      </c>
      <c r="M971" s="60" t="str">
        <f t="shared" si="144"/>
        <v/>
      </c>
    </row>
    <row r="972" spans="2:13" x14ac:dyDescent="0.55000000000000004">
      <c r="B972" s="35">
        <f t="shared" si="137"/>
        <v>19</v>
      </c>
      <c r="C972" s="72" t="s">
        <v>125</v>
      </c>
      <c r="D972" s="44">
        <f t="shared" si="141"/>
        <v>43727</v>
      </c>
      <c r="E972" s="38">
        <v>5.702</v>
      </c>
      <c r="F972" s="39">
        <f t="shared" si="140"/>
        <v>344.2</v>
      </c>
      <c r="G972" s="33">
        <f t="shared" si="136"/>
        <v>1958.0849599999999</v>
      </c>
      <c r="H972" s="33">
        <f t="shared" si="135"/>
        <v>1966.0703999999998</v>
      </c>
      <c r="I972" s="33">
        <f t="shared" si="139"/>
        <v>1966.0704000000001</v>
      </c>
      <c r="J972" s="33">
        <f t="shared" si="142"/>
        <v>1953.6103599999999</v>
      </c>
      <c r="K972" s="33">
        <f t="shared" si="138"/>
        <v>1953.6103599999999</v>
      </c>
      <c r="L972" s="59">
        <f t="shared" si="143"/>
        <v>6.3779555304978707E-3</v>
      </c>
      <c r="M972" s="60" t="str">
        <f t="shared" si="144"/>
        <v/>
      </c>
    </row>
    <row r="973" spans="2:13" x14ac:dyDescent="0.55000000000000004">
      <c r="B973" s="35">
        <f t="shared" si="137"/>
        <v>20</v>
      </c>
      <c r="C973" s="72" t="s">
        <v>125</v>
      </c>
      <c r="D973" s="44">
        <f t="shared" si="141"/>
        <v>43728</v>
      </c>
      <c r="E973" s="38">
        <v>5.6990999999999996</v>
      </c>
      <c r="F973" s="39">
        <f t="shared" si="140"/>
        <v>344.2</v>
      </c>
      <c r="G973" s="33">
        <f t="shared" si="136"/>
        <v>1962.6283999999998</v>
      </c>
      <c r="H973" s="33">
        <f t="shared" si="135"/>
        <v>1963.5439720000002</v>
      </c>
      <c r="I973" s="33">
        <f t="shared" si="139"/>
        <v>1963.5439719999997</v>
      </c>
      <c r="J973" s="33">
        <f t="shared" si="142"/>
        <v>1953.6103599999999</v>
      </c>
      <c r="K973" s="33">
        <f t="shared" si="138"/>
        <v>1953.6103599999999</v>
      </c>
      <c r="L973" s="59">
        <f t="shared" si="143"/>
        <v>5.0847457627120011E-3</v>
      </c>
      <c r="M973" s="60" t="str">
        <f t="shared" si="144"/>
        <v/>
      </c>
    </row>
    <row r="974" spans="2:13" x14ac:dyDescent="0.55000000000000004">
      <c r="B974" s="35">
        <f t="shared" si="137"/>
        <v>23</v>
      </c>
      <c r="C974" s="72" t="s">
        <v>125</v>
      </c>
      <c r="D974" s="44">
        <f t="shared" si="141"/>
        <v>43731</v>
      </c>
      <c r="E974" s="38">
        <v>5.7286000000000001</v>
      </c>
      <c r="F974" s="39">
        <f t="shared" si="140"/>
        <v>344.2</v>
      </c>
      <c r="G974" s="33">
        <f t="shared" si="136"/>
        <v>1961.6302199999998</v>
      </c>
      <c r="H974" s="33">
        <f t="shared" si="135"/>
        <v>1965.085988</v>
      </c>
      <c r="I974" s="33">
        <f t="shared" si="139"/>
        <v>1965.085988</v>
      </c>
      <c r="J974" s="33">
        <f t="shared" si="142"/>
        <v>1953.6103599999999</v>
      </c>
      <c r="K974" s="33">
        <f t="shared" si="138"/>
        <v>1953.6103599999999</v>
      </c>
      <c r="L974" s="59">
        <f t="shared" si="143"/>
        <v>5.8740618062652697E-3</v>
      </c>
      <c r="M974" s="60" t="str">
        <f t="shared" si="144"/>
        <v/>
      </c>
    </row>
    <row r="975" spans="2:13" x14ac:dyDescent="0.55000000000000004">
      <c r="B975" s="35">
        <f t="shared" si="137"/>
        <v>24</v>
      </c>
      <c r="C975" s="72" t="s">
        <v>125</v>
      </c>
      <c r="D975" s="44">
        <f t="shared" si="141"/>
        <v>43732</v>
      </c>
      <c r="E975" s="38">
        <v>5.6844999999999999</v>
      </c>
      <c r="F975" s="39">
        <f t="shared" si="140"/>
        <v>344.2</v>
      </c>
      <c r="G975" s="33">
        <f t="shared" si="136"/>
        <v>1971.78412</v>
      </c>
      <c r="H975" s="33">
        <f t="shared" si="135"/>
        <v>1965.4852599999999</v>
      </c>
      <c r="I975" s="33">
        <f t="shared" si="139"/>
        <v>1965.4852599999997</v>
      </c>
      <c r="J975" s="33">
        <f t="shared" si="142"/>
        <v>1953.6103599999999</v>
      </c>
      <c r="K975" s="33">
        <f t="shared" si="138"/>
        <v>1953.6103599999999</v>
      </c>
      <c r="L975" s="59">
        <f t="shared" si="143"/>
        <v>6.0784382818281253E-3</v>
      </c>
      <c r="M975" s="60" t="str">
        <f t="shared" si="144"/>
        <v/>
      </c>
    </row>
    <row r="976" spans="2:13" x14ac:dyDescent="0.55000000000000004">
      <c r="B976" s="35">
        <f t="shared" si="137"/>
        <v>25</v>
      </c>
      <c r="C976" s="72" t="s">
        <v>125</v>
      </c>
      <c r="D976" s="44">
        <f t="shared" si="141"/>
        <v>43733</v>
      </c>
      <c r="E976" s="38">
        <v>5.6984000000000004</v>
      </c>
      <c r="F976" s="39">
        <f t="shared" si="140"/>
        <v>344.2</v>
      </c>
      <c r="G976" s="33">
        <f t="shared" si="136"/>
        <v>1956.6048999999998</v>
      </c>
      <c r="H976" s="33">
        <f t="shared" si="135"/>
        <v>1962.1465199999998</v>
      </c>
      <c r="I976" s="33">
        <f t="shared" si="139"/>
        <v>1962.1465199999998</v>
      </c>
      <c r="J976" s="33">
        <f t="shared" si="142"/>
        <v>1953.6103599999999</v>
      </c>
      <c r="K976" s="33">
        <f t="shared" si="138"/>
        <v>1953.6103599999999</v>
      </c>
      <c r="L976" s="59">
        <f t="shared" si="143"/>
        <v>4.369428098241597E-3</v>
      </c>
      <c r="M976" s="60" t="str">
        <f t="shared" si="144"/>
        <v/>
      </c>
    </row>
    <row r="977" spans="2:13" x14ac:dyDescent="0.55000000000000004">
      <c r="B977" s="35">
        <f t="shared" si="137"/>
        <v>26</v>
      </c>
      <c r="C977" s="72" t="s">
        <v>125</v>
      </c>
      <c r="D977" s="44">
        <f t="shared" si="141"/>
        <v>43734</v>
      </c>
      <c r="E977" s="38">
        <v>5.6760999999999999</v>
      </c>
      <c r="F977" s="39">
        <f t="shared" si="140"/>
        <v>344.2</v>
      </c>
      <c r="G977" s="33">
        <f t="shared" si="136"/>
        <v>1961.3892800000001</v>
      </c>
      <c r="H977" s="33">
        <f t="shared" ref="H977:H1040" si="145">IF(M976&lt;&gt;"",AVERAGE(G977),IF(M975&lt;&gt;"",AVERAGE(G976:G977),IF(M974&lt;&gt;"",AVERAGE(G975:G977),IF(M973&lt;&gt;"",AVERAGE(G974:G977),AVERAGE(G973:G977)))))</f>
        <v>1962.8073839999997</v>
      </c>
      <c r="I977" s="33">
        <f t="shared" si="139"/>
        <v>1962.807384</v>
      </c>
      <c r="J977" s="33">
        <f t="shared" si="142"/>
        <v>1953.6103599999999</v>
      </c>
      <c r="K977" s="33">
        <f t="shared" si="138"/>
        <v>1953.6103599999999</v>
      </c>
      <c r="L977" s="59">
        <f t="shared" si="143"/>
        <v>4.7077064026215696E-3</v>
      </c>
      <c r="M977" s="60" t="str">
        <f t="shared" si="144"/>
        <v/>
      </c>
    </row>
    <row r="978" spans="2:13" x14ac:dyDescent="0.55000000000000004">
      <c r="B978" s="35">
        <f t="shared" si="137"/>
        <v>27</v>
      </c>
      <c r="C978" s="72" t="s">
        <v>125</v>
      </c>
      <c r="D978" s="44">
        <f t="shared" si="141"/>
        <v>43735</v>
      </c>
      <c r="E978" s="38">
        <v>5.6692999999999998</v>
      </c>
      <c r="F978" s="39">
        <f t="shared" si="140"/>
        <v>344.2</v>
      </c>
      <c r="G978" s="33">
        <f t="shared" ref="G978:G1041" si="146">E977*F978</f>
        <v>1953.71362</v>
      </c>
      <c r="H978" s="33">
        <f t="shared" si="145"/>
        <v>1961.0244279999999</v>
      </c>
      <c r="I978" s="33">
        <f t="shared" si="139"/>
        <v>1961.0244279999997</v>
      </c>
      <c r="J978" s="33">
        <f t="shared" si="142"/>
        <v>1953.6103599999999</v>
      </c>
      <c r="K978" s="33">
        <f t="shared" si="138"/>
        <v>1953.6103599999999</v>
      </c>
      <c r="L978" s="59">
        <f t="shared" si="143"/>
        <v>3.7950597272631394E-3</v>
      </c>
      <c r="M978" s="60" t="str">
        <f t="shared" si="144"/>
        <v/>
      </c>
    </row>
    <row r="979" spans="2:13" x14ac:dyDescent="0.55000000000000004">
      <c r="B979" s="35">
        <f t="shared" si="137"/>
        <v>30</v>
      </c>
      <c r="C979" s="72" t="s">
        <v>125</v>
      </c>
      <c r="D979" s="44">
        <f t="shared" si="141"/>
        <v>43738</v>
      </c>
      <c r="E979" s="38">
        <v>5.6539000000000001</v>
      </c>
      <c r="F979" s="39">
        <f t="shared" si="140"/>
        <v>344.2</v>
      </c>
      <c r="G979" s="33">
        <f t="shared" si="146"/>
        <v>1951.3730599999999</v>
      </c>
      <c r="H979" s="33">
        <f t="shared" si="145"/>
        <v>1958.972996</v>
      </c>
      <c r="I979" s="33">
        <f t="shared" si="139"/>
        <v>1958.9729959999997</v>
      </c>
      <c r="J979" s="33">
        <f t="shared" si="142"/>
        <v>1953.6103599999999</v>
      </c>
      <c r="K979" s="33">
        <f t="shared" si="138"/>
        <v>1953.6103599999999</v>
      </c>
      <c r="L979" s="59">
        <f t="shared" si="143"/>
        <v>2.7449874907502364E-3</v>
      </c>
      <c r="M979" s="60" t="str">
        <f t="shared" si="144"/>
        <v/>
      </c>
    </row>
    <row r="980" spans="2:13" x14ac:dyDescent="0.55000000000000004">
      <c r="B980" s="35">
        <f t="shared" si="137"/>
        <v>1</v>
      </c>
      <c r="C980" s="72" t="s">
        <v>126</v>
      </c>
      <c r="D980" s="44">
        <f t="shared" si="141"/>
        <v>43739</v>
      </c>
      <c r="E980" s="38">
        <v>5.6855000000000002</v>
      </c>
      <c r="F980" s="39">
        <v>417.5</v>
      </c>
      <c r="G980" s="33">
        <f t="shared" si="146"/>
        <v>2360.5032500000002</v>
      </c>
      <c r="H980" s="33">
        <f t="shared" si="145"/>
        <v>2036.7168219999999</v>
      </c>
      <c r="I980" s="33">
        <f t="shared" si="139"/>
        <v>2369.9136999999996</v>
      </c>
      <c r="J980" s="33">
        <f t="shared" si="142"/>
        <v>2360.5032500000002</v>
      </c>
      <c r="K980" s="33">
        <f t="shared" si="138"/>
        <v>1953.6103599999999</v>
      </c>
      <c r="L980" s="59">
        <f t="shared" si="143"/>
        <v>4.2539937185836776E-2</v>
      </c>
      <c r="M980" s="60">
        <f t="shared" si="144"/>
        <v>406.89289000000031</v>
      </c>
    </row>
    <row r="981" spans="2:13" x14ac:dyDescent="0.55000000000000004">
      <c r="B981" s="35">
        <f t="shared" si="137"/>
        <v>2</v>
      </c>
      <c r="C981" s="72" t="s">
        <v>126</v>
      </c>
      <c r="D981" s="44">
        <f t="shared" si="141"/>
        <v>43740</v>
      </c>
      <c r="E981" s="38">
        <v>5.7382999999999997</v>
      </c>
      <c r="F981" s="39">
        <f t="shared" si="140"/>
        <v>417.5</v>
      </c>
      <c r="G981" s="33">
        <f t="shared" si="146"/>
        <v>2373.69625</v>
      </c>
      <c r="H981" s="33">
        <f t="shared" si="145"/>
        <v>2373.69625</v>
      </c>
      <c r="I981" s="33">
        <f t="shared" si="139"/>
        <v>2369.9972000000002</v>
      </c>
      <c r="J981" s="33">
        <f t="shared" si="142"/>
        <v>2360.5032500000002</v>
      </c>
      <c r="K981" s="33">
        <f t="shared" si="138"/>
        <v>2360.5032500000002</v>
      </c>
      <c r="L981" s="59">
        <f t="shared" si="143"/>
        <v>5.5890624170925225E-3</v>
      </c>
      <c r="M981" s="60" t="str">
        <f t="shared" si="144"/>
        <v/>
      </c>
    </row>
    <row r="982" spans="2:13" x14ac:dyDescent="0.55000000000000004">
      <c r="B982" s="35">
        <f t="shared" si="137"/>
        <v>3</v>
      </c>
      <c r="C982" s="72" t="s">
        <v>126</v>
      </c>
      <c r="D982" s="44">
        <f t="shared" si="141"/>
        <v>43741</v>
      </c>
      <c r="E982" s="38">
        <v>5.6955999999999998</v>
      </c>
      <c r="F982" s="39">
        <f t="shared" si="140"/>
        <v>417.5</v>
      </c>
      <c r="G982" s="33">
        <f t="shared" si="146"/>
        <v>2395.7402499999998</v>
      </c>
      <c r="H982" s="33">
        <f t="shared" si="145"/>
        <v>2384.7182499999999</v>
      </c>
      <c r="I982" s="33">
        <f t="shared" si="139"/>
        <v>2373.3288499999999</v>
      </c>
      <c r="J982" s="33">
        <f t="shared" si="142"/>
        <v>2360.5032500000002</v>
      </c>
      <c r="K982" s="33">
        <f t="shared" si="138"/>
        <v>2360.5032500000002</v>
      </c>
      <c r="L982" s="59">
        <f t="shared" si="143"/>
        <v>1.0258405702258486E-2</v>
      </c>
      <c r="M982" s="60" t="str">
        <f t="shared" si="144"/>
        <v/>
      </c>
    </row>
    <row r="983" spans="2:13" x14ac:dyDescent="0.55000000000000004">
      <c r="B983" s="35">
        <f t="shared" ref="B983:B1046" si="147">DAY(D983)</f>
        <v>4</v>
      </c>
      <c r="C983" s="72" t="s">
        <v>126</v>
      </c>
      <c r="D983" s="44">
        <f t="shared" si="141"/>
        <v>43742</v>
      </c>
      <c r="E983" s="38">
        <v>5.6997</v>
      </c>
      <c r="F983" s="39">
        <f t="shared" si="140"/>
        <v>417.5</v>
      </c>
      <c r="G983" s="33">
        <f t="shared" si="146"/>
        <v>2377.913</v>
      </c>
      <c r="H983" s="33">
        <f t="shared" si="145"/>
        <v>2382.4498333333336</v>
      </c>
      <c r="I983" s="33">
        <f t="shared" si="139"/>
        <v>2374.9570999999996</v>
      </c>
      <c r="J983" s="33">
        <f t="shared" si="142"/>
        <v>2360.5032500000002</v>
      </c>
      <c r="K983" s="33">
        <f t="shared" si="138"/>
        <v>2360.5032500000002</v>
      </c>
      <c r="L983" s="59">
        <f t="shared" si="143"/>
        <v>9.297417122104518E-3</v>
      </c>
      <c r="M983" s="60" t="str">
        <f t="shared" si="144"/>
        <v/>
      </c>
    </row>
    <row r="984" spans="2:13" x14ac:dyDescent="0.55000000000000004">
      <c r="B984" s="35">
        <f t="shared" si="147"/>
        <v>7</v>
      </c>
      <c r="C984" s="72" t="s">
        <v>126</v>
      </c>
      <c r="D984" s="44">
        <f t="shared" si="141"/>
        <v>43745</v>
      </c>
      <c r="E984" s="38">
        <v>5.7446000000000002</v>
      </c>
      <c r="F984" s="39">
        <f t="shared" si="140"/>
        <v>417.5</v>
      </c>
      <c r="G984" s="33">
        <f t="shared" si="146"/>
        <v>2379.6247499999999</v>
      </c>
      <c r="H984" s="33">
        <f t="shared" si="145"/>
        <v>2381.7435624999998</v>
      </c>
      <c r="I984" s="33">
        <f t="shared" si="139"/>
        <v>2377.4955</v>
      </c>
      <c r="J984" s="33">
        <f t="shared" si="142"/>
        <v>2360.5032500000002</v>
      </c>
      <c r="K984" s="33">
        <f t="shared" si="138"/>
        <v>2360.5032500000002</v>
      </c>
      <c r="L984" s="59">
        <f t="shared" si="143"/>
        <v>8.998213622455134E-3</v>
      </c>
      <c r="M984" s="60" t="str">
        <f t="shared" si="144"/>
        <v/>
      </c>
    </row>
    <row r="985" spans="2:13" x14ac:dyDescent="0.55000000000000004">
      <c r="B985" s="35">
        <f t="shared" si="147"/>
        <v>8</v>
      </c>
      <c r="C985" s="72" t="s">
        <v>126</v>
      </c>
      <c r="D985" s="44">
        <f t="shared" si="141"/>
        <v>43746</v>
      </c>
      <c r="E985" s="38">
        <v>5.8265000000000002</v>
      </c>
      <c r="F985" s="39">
        <f t="shared" si="140"/>
        <v>417.5</v>
      </c>
      <c r="G985" s="33">
        <f t="shared" si="146"/>
        <v>2398.3705</v>
      </c>
      <c r="H985" s="33">
        <f t="shared" si="145"/>
        <v>2385.0689499999999</v>
      </c>
      <c r="I985" s="33">
        <f t="shared" si="139"/>
        <v>2385.0689499999999</v>
      </c>
      <c r="J985" s="33">
        <f t="shared" si="142"/>
        <v>2360.5032500000002</v>
      </c>
      <c r="K985" s="33">
        <f t="shared" si="138"/>
        <v>2360.5032500000002</v>
      </c>
      <c r="L985" s="59">
        <f t="shared" si="143"/>
        <v>1.0406975715877387E-2</v>
      </c>
      <c r="M985" s="60" t="str">
        <f t="shared" si="144"/>
        <v/>
      </c>
    </row>
    <row r="986" spans="2:13" x14ac:dyDescent="0.55000000000000004">
      <c r="B986" s="35">
        <f t="shared" si="147"/>
        <v>9</v>
      </c>
      <c r="C986" s="72" t="s">
        <v>126</v>
      </c>
      <c r="D986" s="44">
        <f t="shared" si="141"/>
        <v>43747</v>
      </c>
      <c r="E986" s="38">
        <v>5.8380999999999998</v>
      </c>
      <c r="F986" s="39">
        <f t="shared" si="140"/>
        <v>417.5</v>
      </c>
      <c r="G986" s="33">
        <f t="shared" si="146"/>
        <v>2432.5637500000003</v>
      </c>
      <c r="H986" s="33">
        <f t="shared" si="145"/>
        <v>2396.8424500000001</v>
      </c>
      <c r="I986" s="33">
        <f t="shared" si="139"/>
        <v>2396.8424500000001</v>
      </c>
      <c r="J986" s="33">
        <f t="shared" si="142"/>
        <v>2360.5032500000002</v>
      </c>
      <c r="K986" s="33">
        <f t="shared" si="138"/>
        <v>2360.5032500000002</v>
      </c>
      <c r="L986" s="59">
        <f t="shared" si="143"/>
        <v>1.5394683315941161E-2</v>
      </c>
      <c r="M986" s="60" t="str">
        <f t="shared" si="144"/>
        <v/>
      </c>
    </row>
    <row r="987" spans="2:13" x14ac:dyDescent="0.55000000000000004">
      <c r="B987" s="35">
        <f t="shared" si="147"/>
        <v>10</v>
      </c>
      <c r="C987" s="72" t="s">
        <v>126</v>
      </c>
      <c r="D987" s="44">
        <f t="shared" si="141"/>
        <v>43748</v>
      </c>
      <c r="E987" s="38">
        <v>5.8810000000000002</v>
      </c>
      <c r="F987" s="39">
        <f t="shared" si="140"/>
        <v>417.5</v>
      </c>
      <c r="G987" s="33">
        <f t="shared" si="146"/>
        <v>2437.4067500000001</v>
      </c>
      <c r="H987" s="33">
        <f t="shared" si="145"/>
        <v>2405.1757499999999</v>
      </c>
      <c r="I987" s="33">
        <f t="shared" si="139"/>
        <v>2405.1757499999999</v>
      </c>
      <c r="J987" s="33">
        <f t="shared" si="142"/>
        <v>2360.5032500000002</v>
      </c>
      <c r="K987" s="33">
        <f t="shared" si="138"/>
        <v>2360.5032500000002</v>
      </c>
      <c r="L987" s="59">
        <f t="shared" si="143"/>
        <v>1.8924989830028688E-2</v>
      </c>
      <c r="M987" s="60" t="str">
        <f t="shared" si="144"/>
        <v/>
      </c>
    </row>
    <row r="988" spans="2:13" x14ac:dyDescent="0.55000000000000004">
      <c r="B988" s="35">
        <f t="shared" si="147"/>
        <v>11</v>
      </c>
      <c r="C988" s="72" t="s">
        <v>126</v>
      </c>
      <c r="D988" s="44">
        <f t="shared" si="141"/>
        <v>43749</v>
      </c>
      <c r="E988" s="38">
        <v>5.8521999999999998</v>
      </c>
      <c r="F988" s="39">
        <f t="shared" si="140"/>
        <v>417.5</v>
      </c>
      <c r="G988" s="33">
        <f t="shared" si="146"/>
        <v>2455.3175000000001</v>
      </c>
      <c r="H988" s="33">
        <f>IF(M987&lt;&gt;"",AVERAGE(G988),IF(M986&lt;&gt;"",AVERAGE(G987:G988),IF(M985&lt;&gt;"",AVERAGE(G986:G988),IF(M984&lt;&gt;"",AVERAGE(G985:G988),AVERAGE(G984:G988)))))</f>
        <v>2420.6566499999999</v>
      </c>
      <c r="I988" s="33">
        <f t="shared" si="139"/>
        <v>2420.6566500000004</v>
      </c>
      <c r="J988" s="33">
        <f t="shared" si="142"/>
        <v>2360.5032500000002</v>
      </c>
      <c r="K988" s="33">
        <f t="shared" si="138"/>
        <v>2360.5032500000002</v>
      </c>
      <c r="L988" s="59">
        <f t="shared" si="143"/>
        <v>2.5483294716920932E-2</v>
      </c>
      <c r="M988" s="60" t="str">
        <f t="shared" si="144"/>
        <v/>
      </c>
    </row>
    <row r="989" spans="2:13" x14ac:dyDescent="0.55000000000000004">
      <c r="B989" s="35">
        <f t="shared" si="147"/>
        <v>14</v>
      </c>
      <c r="C989" s="72" t="s">
        <v>126</v>
      </c>
      <c r="D989" s="44">
        <f t="shared" si="141"/>
        <v>43752</v>
      </c>
      <c r="E989" s="38">
        <v>5.9208999999999996</v>
      </c>
      <c r="F989" s="39">
        <f t="shared" si="140"/>
        <v>417.5</v>
      </c>
      <c r="G989" s="33">
        <f t="shared" si="146"/>
        <v>2443.2934999999998</v>
      </c>
      <c r="H989" s="33">
        <f t="shared" si="145"/>
        <v>2433.3904000000002</v>
      </c>
      <c r="I989" s="33">
        <f t="shared" si="139"/>
        <v>2433.3904000000002</v>
      </c>
      <c r="J989" s="33">
        <f t="shared" si="142"/>
        <v>2443.2934999999998</v>
      </c>
      <c r="K989" s="33">
        <f t="shared" ref="K989:K1052" si="148">IF(L988&gt;3%,G988,IF(L988&lt;-3%,G988,K988))</f>
        <v>2360.5032500000002</v>
      </c>
      <c r="L989" s="59">
        <f t="shared" si="143"/>
        <v>3.0877801163798447E-2</v>
      </c>
      <c r="M989" s="60">
        <f>IF(OR(L989&lt;-3%,L989&gt;3%),K990-K989,"")</f>
        <v>82.79024999999956</v>
      </c>
    </row>
    <row r="990" spans="2:13" x14ac:dyDescent="0.55000000000000004">
      <c r="B990" s="35">
        <f t="shared" si="147"/>
        <v>15</v>
      </c>
      <c r="C990" s="72" t="s">
        <v>126</v>
      </c>
      <c r="D990" s="44">
        <f t="shared" si="141"/>
        <v>43753</v>
      </c>
      <c r="E990" s="38">
        <v>5.8986999999999998</v>
      </c>
      <c r="F990" s="39">
        <f t="shared" si="140"/>
        <v>417.5</v>
      </c>
      <c r="G990" s="33">
        <f t="shared" si="146"/>
        <v>2471.9757500000001</v>
      </c>
      <c r="H990" s="33">
        <f t="shared" si="145"/>
        <v>2471.9757500000001</v>
      </c>
      <c r="I990" s="33">
        <f t="shared" si="139"/>
        <v>2448.1114499999999</v>
      </c>
      <c r="J990" s="33">
        <f t="shared" si="142"/>
        <v>2443.2934999999998</v>
      </c>
      <c r="K990" s="33">
        <f t="shared" si="148"/>
        <v>2443.2934999999998</v>
      </c>
      <c r="L990" s="59">
        <f t="shared" si="143"/>
        <v>1.1739175011107056E-2</v>
      </c>
      <c r="M990" s="60" t="str">
        <f t="shared" si="144"/>
        <v/>
      </c>
    </row>
    <row r="991" spans="2:13" x14ac:dyDescent="0.55000000000000004">
      <c r="B991" s="35">
        <f t="shared" si="147"/>
        <v>16</v>
      </c>
      <c r="C991" s="72" t="s">
        <v>126</v>
      </c>
      <c r="D991" s="44">
        <f t="shared" si="141"/>
        <v>43754</v>
      </c>
      <c r="E991" s="38">
        <v>5.9020999999999999</v>
      </c>
      <c r="F991" s="39">
        <f t="shared" si="140"/>
        <v>417.5</v>
      </c>
      <c r="G991" s="33">
        <f t="shared" si="146"/>
        <v>2462.7072499999999</v>
      </c>
      <c r="H991" s="33">
        <f t="shared" si="145"/>
        <v>2467.3415</v>
      </c>
      <c r="I991" s="33">
        <f t="shared" si="139"/>
        <v>2454.1401500000002</v>
      </c>
      <c r="J991" s="33">
        <f t="shared" si="142"/>
        <v>2443.2934999999998</v>
      </c>
      <c r="K991" s="33">
        <f t="shared" si="148"/>
        <v>2443.2934999999998</v>
      </c>
      <c r="L991" s="59">
        <f t="shared" si="143"/>
        <v>9.842452411059183E-3</v>
      </c>
      <c r="M991" s="60" t="str">
        <f t="shared" si="144"/>
        <v/>
      </c>
    </row>
    <row r="992" spans="2:13" x14ac:dyDescent="0.55000000000000004">
      <c r="B992" s="35">
        <f t="shared" si="147"/>
        <v>17</v>
      </c>
      <c r="C992" s="72" t="s">
        <v>126</v>
      </c>
      <c r="D992" s="44">
        <f t="shared" si="141"/>
        <v>43755</v>
      </c>
      <c r="E992" s="38">
        <v>5.8912000000000004</v>
      </c>
      <c r="F992" s="39">
        <f t="shared" si="140"/>
        <v>417.5</v>
      </c>
      <c r="G992" s="33">
        <f t="shared" si="146"/>
        <v>2464.1267499999999</v>
      </c>
      <c r="H992" s="33">
        <f t="shared" si="145"/>
        <v>2466.2699166666666</v>
      </c>
      <c r="I992" s="33">
        <f t="shared" si="139"/>
        <v>2459.4841499999998</v>
      </c>
      <c r="J992" s="33">
        <f t="shared" si="142"/>
        <v>2443.2934999999998</v>
      </c>
      <c r="K992" s="33">
        <f t="shared" si="148"/>
        <v>2443.2934999999998</v>
      </c>
      <c r="L992" s="59">
        <f t="shared" si="143"/>
        <v>9.4038709089460052E-3</v>
      </c>
      <c r="M992" s="60" t="str">
        <f t="shared" si="144"/>
        <v/>
      </c>
    </row>
    <row r="993" spans="2:15" x14ac:dyDescent="0.55000000000000004">
      <c r="B993" s="35">
        <f t="shared" si="147"/>
        <v>18</v>
      </c>
      <c r="C993" s="72" t="s">
        <v>126</v>
      </c>
      <c r="D993" s="44">
        <f t="shared" si="141"/>
        <v>43756</v>
      </c>
      <c r="E993" s="38">
        <v>5.7793999999999999</v>
      </c>
      <c r="F993" s="39">
        <f t="shared" si="140"/>
        <v>417.5</v>
      </c>
      <c r="G993" s="33">
        <f t="shared" si="146"/>
        <v>2459.576</v>
      </c>
      <c r="H993" s="33">
        <f t="shared" si="145"/>
        <v>2464.5964375000003</v>
      </c>
      <c r="I993" s="33">
        <f t="shared" si="139"/>
        <v>2460.3358499999999</v>
      </c>
      <c r="J993" s="33">
        <f t="shared" si="142"/>
        <v>2443.2934999999998</v>
      </c>
      <c r="K993" s="33">
        <f t="shared" si="148"/>
        <v>2443.2934999999998</v>
      </c>
      <c r="L993" s="59">
        <f t="shared" si="143"/>
        <v>8.7189433033733176E-3</v>
      </c>
      <c r="M993" s="60" t="str">
        <f t="shared" si="144"/>
        <v/>
      </c>
    </row>
    <row r="994" spans="2:15" x14ac:dyDescent="0.55000000000000004">
      <c r="B994" s="35">
        <f t="shared" si="147"/>
        <v>21</v>
      </c>
      <c r="C994" s="72" t="s">
        <v>126</v>
      </c>
      <c r="D994" s="44">
        <f t="shared" si="141"/>
        <v>43759</v>
      </c>
      <c r="E994" s="38">
        <v>5.8228</v>
      </c>
      <c r="F994" s="39">
        <f t="shared" si="140"/>
        <v>417.5</v>
      </c>
      <c r="G994" s="33">
        <f t="shared" si="146"/>
        <v>2412.8995</v>
      </c>
      <c r="H994" s="33">
        <f t="shared" si="145"/>
        <v>2454.2570500000002</v>
      </c>
      <c r="I994" s="33">
        <f t="shared" ref="I994:I1057" si="149">F994*AVERAGE(E989:E993)</f>
        <v>2454.2570499999997</v>
      </c>
      <c r="J994" s="33">
        <f t="shared" si="142"/>
        <v>2443.2934999999998</v>
      </c>
      <c r="K994" s="33">
        <f t="shared" si="148"/>
        <v>2443.2934999999998</v>
      </c>
      <c r="L994" s="59">
        <f t="shared" si="143"/>
        <v>4.4872013943475873E-3</v>
      </c>
      <c r="M994" s="60" t="str">
        <f t="shared" si="144"/>
        <v/>
      </c>
    </row>
    <row r="995" spans="2:15" x14ac:dyDescent="0.55000000000000004">
      <c r="B995" s="35">
        <f t="shared" si="147"/>
        <v>22</v>
      </c>
      <c r="C995" s="72" t="s">
        <v>126</v>
      </c>
      <c r="D995" s="44">
        <f t="shared" si="141"/>
        <v>43760</v>
      </c>
      <c r="E995" s="38">
        <v>5.8407999999999998</v>
      </c>
      <c r="F995" s="39">
        <f t="shared" si="140"/>
        <v>417.5</v>
      </c>
      <c r="G995" s="33">
        <f t="shared" si="146"/>
        <v>2431.0189999999998</v>
      </c>
      <c r="H995" s="33">
        <f t="shared" si="145"/>
        <v>2446.0657000000001</v>
      </c>
      <c r="I995" s="33">
        <f t="shared" si="149"/>
        <v>2446.0657000000001</v>
      </c>
      <c r="J995" s="33">
        <f t="shared" si="142"/>
        <v>2443.2934999999998</v>
      </c>
      <c r="K995" s="33">
        <f t="shared" si="148"/>
        <v>2443.2934999999998</v>
      </c>
      <c r="L995" s="59">
        <f t="shared" si="143"/>
        <v>1.1346160418305616E-3</v>
      </c>
      <c r="M995" s="60" t="str">
        <f t="shared" si="144"/>
        <v/>
      </c>
    </row>
    <row r="996" spans="2:15" x14ac:dyDescent="0.55000000000000004">
      <c r="B996" s="35">
        <f t="shared" si="147"/>
        <v>23</v>
      </c>
      <c r="C996" s="72" t="s">
        <v>126</v>
      </c>
      <c r="D996" s="44">
        <f t="shared" si="141"/>
        <v>43761</v>
      </c>
      <c r="E996" s="38">
        <v>5.7816000000000001</v>
      </c>
      <c r="F996" s="39">
        <f t="shared" si="140"/>
        <v>417.5</v>
      </c>
      <c r="G996" s="33">
        <f t="shared" si="146"/>
        <v>2438.5340000000001</v>
      </c>
      <c r="H996" s="33">
        <f t="shared" si="145"/>
        <v>2441.2310499999999</v>
      </c>
      <c r="I996" s="33">
        <f t="shared" si="149"/>
        <v>2441.2310500000003</v>
      </c>
      <c r="J996" s="33">
        <f t="shared" si="142"/>
        <v>2443.2934999999998</v>
      </c>
      <c r="K996" s="33">
        <f t="shared" si="148"/>
        <v>2443.2934999999998</v>
      </c>
      <c r="L996" s="59">
        <f t="shared" si="143"/>
        <v>-8.4412699497620695E-4</v>
      </c>
      <c r="M996" s="60" t="str">
        <f t="shared" si="144"/>
        <v/>
      </c>
    </row>
    <row r="997" spans="2:15" x14ac:dyDescent="0.55000000000000004">
      <c r="B997" s="35">
        <f t="shared" si="147"/>
        <v>24</v>
      </c>
      <c r="C997" s="72" t="s">
        <v>126</v>
      </c>
      <c r="D997" s="44">
        <f t="shared" si="141"/>
        <v>43762</v>
      </c>
      <c r="E997" s="38">
        <v>5.7519999999999998</v>
      </c>
      <c r="F997" s="39">
        <f t="shared" si="140"/>
        <v>417.5</v>
      </c>
      <c r="G997" s="33">
        <f t="shared" si="146"/>
        <v>2413.8180000000002</v>
      </c>
      <c r="H997" s="33">
        <f t="shared" si="145"/>
        <v>2431.1693</v>
      </c>
      <c r="I997" s="33">
        <f t="shared" si="149"/>
        <v>2431.1693</v>
      </c>
      <c r="J997" s="33">
        <f t="shared" si="142"/>
        <v>2443.2934999999998</v>
      </c>
      <c r="K997" s="33">
        <f t="shared" si="148"/>
        <v>2443.2934999999998</v>
      </c>
      <c r="L997" s="59">
        <f t="shared" si="143"/>
        <v>-4.9622364239088543E-3</v>
      </c>
      <c r="M997" s="60" t="str">
        <f t="shared" si="144"/>
        <v/>
      </c>
    </row>
    <row r="998" spans="2:15" x14ac:dyDescent="0.55000000000000004">
      <c r="B998" s="35">
        <f t="shared" si="147"/>
        <v>25</v>
      </c>
      <c r="C998" s="72" t="s">
        <v>126</v>
      </c>
      <c r="D998" s="44">
        <f t="shared" si="141"/>
        <v>43763</v>
      </c>
      <c r="E998" s="38">
        <v>5.7687999999999997</v>
      </c>
      <c r="F998" s="39">
        <f t="shared" si="140"/>
        <v>417.5</v>
      </c>
      <c r="G998" s="33">
        <f t="shared" si="146"/>
        <v>2401.46</v>
      </c>
      <c r="H998" s="33">
        <f t="shared" si="145"/>
        <v>2419.5460999999996</v>
      </c>
      <c r="I998" s="33">
        <f t="shared" si="149"/>
        <v>2419.5460999999996</v>
      </c>
      <c r="J998" s="33">
        <f t="shared" si="142"/>
        <v>2443.2934999999998</v>
      </c>
      <c r="K998" s="33">
        <f t="shared" si="148"/>
        <v>2443.2934999999998</v>
      </c>
      <c r="L998" s="59">
        <f t="shared" si="143"/>
        <v>-9.7194217559209324E-3</v>
      </c>
      <c r="M998" s="60" t="str">
        <f t="shared" si="144"/>
        <v/>
      </c>
    </row>
    <row r="999" spans="2:15" x14ac:dyDescent="0.55000000000000004">
      <c r="B999" s="35">
        <f t="shared" si="147"/>
        <v>28</v>
      </c>
      <c r="C999" s="72" t="s">
        <v>126</v>
      </c>
      <c r="D999" s="44">
        <f t="shared" si="141"/>
        <v>43766</v>
      </c>
      <c r="E999" s="38">
        <v>5.7687999999999997</v>
      </c>
      <c r="F999" s="39">
        <f t="shared" si="140"/>
        <v>417.5</v>
      </c>
      <c r="G999" s="33">
        <f t="shared" si="146"/>
        <v>2408.4739999999997</v>
      </c>
      <c r="H999" s="33">
        <f t="shared" si="145"/>
        <v>2418.6610000000001</v>
      </c>
      <c r="I999" s="33">
        <f t="shared" si="149"/>
        <v>2418.6610000000001</v>
      </c>
      <c r="J999" s="33">
        <f t="shared" si="142"/>
        <v>2443.2934999999998</v>
      </c>
      <c r="K999" s="33">
        <f t="shared" si="148"/>
        <v>2443.2934999999998</v>
      </c>
      <c r="L999" s="59">
        <f t="shared" si="143"/>
        <v>-1.0081678684938878E-2</v>
      </c>
      <c r="M999" s="60" t="str">
        <f t="shared" si="144"/>
        <v/>
      </c>
    </row>
    <row r="1000" spans="2:15" x14ac:dyDescent="0.55000000000000004">
      <c r="B1000" s="35">
        <f t="shared" si="147"/>
        <v>29</v>
      </c>
      <c r="C1000" s="72" t="s">
        <v>126</v>
      </c>
      <c r="D1000" s="44">
        <f t="shared" si="141"/>
        <v>43767</v>
      </c>
      <c r="E1000" s="38">
        <v>5.7687999999999997</v>
      </c>
      <c r="F1000" s="39">
        <f t="shared" si="140"/>
        <v>417.5</v>
      </c>
      <c r="G1000" s="33">
        <f t="shared" si="146"/>
        <v>2408.4739999999997</v>
      </c>
      <c r="H1000" s="33">
        <f t="shared" si="145"/>
        <v>2414.152</v>
      </c>
      <c r="I1000" s="33">
        <f t="shared" si="149"/>
        <v>2414.1519999999996</v>
      </c>
      <c r="J1000" s="33">
        <f t="shared" si="142"/>
        <v>2443.2934999999998</v>
      </c>
      <c r="K1000" s="33">
        <f t="shared" si="148"/>
        <v>2443.2934999999998</v>
      </c>
      <c r="L1000" s="59">
        <f t="shared" si="143"/>
        <v>-1.1927138512012464E-2</v>
      </c>
      <c r="M1000" s="60" t="str">
        <f t="shared" si="144"/>
        <v/>
      </c>
    </row>
    <row r="1001" spans="2:15" x14ac:dyDescent="0.55000000000000004">
      <c r="B1001" s="35">
        <f t="shared" si="147"/>
        <v>30</v>
      </c>
      <c r="C1001" s="72" t="s">
        <v>126</v>
      </c>
      <c r="D1001" s="44">
        <f t="shared" si="141"/>
        <v>43768</v>
      </c>
      <c r="E1001" s="38">
        <v>5.7465999999999999</v>
      </c>
      <c r="F1001" s="39">
        <f t="shared" si="140"/>
        <v>417.5</v>
      </c>
      <c r="G1001" s="33">
        <f t="shared" si="146"/>
        <v>2408.4739999999997</v>
      </c>
      <c r="H1001" s="33">
        <f t="shared" si="145"/>
        <v>2408.1400000000003</v>
      </c>
      <c r="I1001" s="33">
        <f t="shared" si="149"/>
        <v>2408.1399999999994</v>
      </c>
      <c r="J1001" s="33">
        <f t="shared" si="142"/>
        <v>2443.2934999999998</v>
      </c>
      <c r="K1001" s="33">
        <f t="shared" si="148"/>
        <v>2443.2934999999998</v>
      </c>
      <c r="L1001" s="59">
        <f t="shared" si="143"/>
        <v>-1.4387751614777121E-2</v>
      </c>
      <c r="M1001" s="60" t="str">
        <f t="shared" si="144"/>
        <v/>
      </c>
    </row>
    <row r="1002" spans="2:15" x14ac:dyDescent="0.55000000000000004">
      <c r="B1002" s="35">
        <f t="shared" si="147"/>
        <v>31</v>
      </c>
      <c r="C1002" s="72" t="s">
        <v>126</v>
      </c>
      <c r="D1002" s="44">
        <f t="shared" si="141"/>
        <v>43769</v>
      </c>
      <c r="E1002" s="38">
        <v>5.7186000000000003</v>
      </c>
      <c r="F1002" s="39">
        <f t="shared" ref="F1002:F1065" si="150">F1001</f>
        <v>417.5</v>
      </c>
      <c r="G1002" s="33">
        <f t="shared" si="146"/>
        <v>2399.2055</v>
      </c>
      <c r="H1002" s="33">
        <f t="shared" si="145"/>
        <v>2405.2174999999997</v>
      </c>
      <c r="I1002" s="33">
        <f t="shared" si="149"/>
        <v>2405.2175000000002</v>
      </c>
      <c r="J1002" s="33">
        <f t="shared" si="142"/>
        <v>2443.2934999999998</v>
      </c>
      <c r="K1002" s="33">
        <f t="shared" si="148"/>
        <v>2443.2934999999998</v>
      </c>
      <c r="L1002" s="59">
        <f t="shared" si="143"/>
        <v>-1.5583882984176902E-2</v>
      </c>
      <c r="M1002" s="60" t="str">
        <f t="shared" si="144"/>
        <v/>
      </c>
    </row>
    <row r="1003" spans="2:15" x14ac:dyDescent="0.55000000000000004">
      <c r="B1003" s="35">
        <f t="shared" si="147"/>
        <v>1</v>
      </c>
      <c r="C1003" s="72" t="s">
        <v>127</v>
      </c>
      <c r="D1003" s="44">
        <f t="shared" si="141"/>
        <v>43770</v>
      </c>
      <c r="E1003" s="38">
        <v>5.7290999999999999</v>
      </c>
      <c r="F1003" s="39">
        <v>456</v>
      </c>
      <c r="G1003" s="33">
        <f t="shared" si="146"/>
        <v>2607.6816000000003</v>
      </c>
      <c r="H1003" s="33">
        <f t="shared" si="145"/>
        <v>2446.4618199999995</v>
      </c>
      <c r="I1003" s="33">
        <f t="shared" si="149"/>
        <v>2623.96992</v>
      </c>
      <c r="J1003" s="33">
        <f t="shared" si="142"/>
        <v>2443.2934999999998</v>
      </c>
      <c r="K1003" s="33">
        <f t="shared" si="148"/>
        <v>2443.2934999999998</v>
      </c>
      <c r="L1003" s="59">
        <f t="shared" si="143"/>
        <v>1.2967414680224733E-3</v>
      </c>
      <c r="M1003" s="60" t="str">
        <f t="shared" si="144"/>
        <v/>
      </c>
      <c r="O1003">
        <f>360*0.3+0.7*440</f>
        <v>416</v>
      </c>
    </row>
    <row r="1004" spans="2:15" x14ac:dyDescent="0.55000000000000004">
      <c r="B1004" s="35">
        <f t="shared" si="147"/>
        <v>4</v>
      </c>
      <c r="C1004" s="72" t="s">
        <v>127</v>
      </c>
      <c r="D1004" s="44">
        <f t="shared" si="141"/>
        <v>43773</v>
      </c>
      <c r="E1004" s="38">
        <v>5.6933999999999996</v>
      </c>
      <c r="F1004" s="39">
        <f t="shared" si="150"/>
        <v>456</v>
      </c>
      <c r="G1004" s="33">
        <f t="shared" si="146"/>
        <v>2612.4695999999999</v>
      </c>
      <c r="H1004" s="33">
        <f t="shared" si="145"/>
        <v>2487.2609400000001</v>
      </c>
      <c r="I1004" s="33">
        <f t="shared" si="149"/>
        <v>2620.3492799999999</v>
      </c>
      <c r="J1004" s="33">
        <f t="shared" si="142"/>
        <v>2443.2934999999998</v>
      </c>
      <c r="K1004" s="33">
        <f t="shared" si="148"/>
        <v>2443.2934999999998</v>
      </c>
      <c r="L1004" s="59">
        <f t="shared" si="143"/>
        <v>1.7995152854129212E-2</v>
      </c>
      <c r="M1004" s="60" t="str">
        <f t="shared" si="144"/>
        <v/>
      </c>
    </row>
    <row r="1005" spans="2:15" x14ac:dyDescent="0.55000000000000004">
      <c r="B1005" s="35">
        <f t="shared" si="147"/>
        <v>5</v>
      </c>
      <c r="C1005" s="72" t="s">
        <v>127</v>
      </c>
      <c r="D1005" s="44">
        <f t="shared" si="141"/>
        <v>43774</v>
      </c>
      <c r="E1005" s="38">
        <v>5.7385999999999999</v>
      </c>
      <c r="F1005" s="39">
        <f t="shared" si="150"/>
        <v>456</v>
      </c>
      <c r="G1005" s="33">
        <f t="shared" si="146"/>
        <v>2596.1904</v>
      </c>
      <c r="H1005" s="33">
        <f t="shared" si="145"/>
        <v>2524.80422</v>
      </c>
      <c r="I1005" s="33">
        <f t="shared" si="149"/>
        <v>2613.4728</v>
      </c>
      <c r="J1005" s="33">
        <f t="shared" si="142"/>
        <v>2596.1904</v>
      </c>
      <c r="K1005" s="33">
        <f t="shared" si="148"/>
        <v>2443.2934999999998</v>
      </c>
      <c r="L1005" s="59">
        <f t="shared" si="143"/>
        <v>3.3361002270091672E-2</v>
      </c>
      <c r="M1005" s="60">
        <f t="shared" si="144"/>
        <v>152.89690000000019</v>
      </c>
    </row>
    <row r="1006" spans="2:15" x14ac:dyDescent="0.55000000000000004">
      <c r="B1006" s="35">
        <f t="shared" si="147"/>
        <v>6</v>
      </c>
      <c r="C1006" s="72" t="s">
        <v>127</v>
      </c>
      <c r="D1006" s="44">
        <f t="shared" si="141"/>
        <v>43775</v>
      </c>
      <c r="E1006" s="38">
        <v>5.7584</v>
      </c>
      <c r="F1006" s="39">
        <f t="shared" si="150"/>
        <v>456</v>
      </c>
      <c r="G1006" s="33">
        <f t="shared" si="146"/>
        <v>2616.8015999999998</v>
      </c>
      <c r="H1006" s="33">
        <f t="shared" si="145"/>
        <v>2616.8015999999998</v>
      </c>
      <c r="I1006" s="33">
        <f t="shared" si="149"/>
        <v>2610.7185600000003</v>
      </c>
      <c r="J1006" s="33">
        <f t="shared" si="142"/>
        <v>2596.1904</v>
      </c>
      <c r="K1006" s="33">
        <f t="shared" si="148"/>
        <v>2596.1904</v>
      </c>
      <c r="L1006" s="59">
        <f t="shared" si="143"/>
        <v>7.939017107527948E-3</v>
      </c>
      <c r="M1006" s="60" t="str">
        <f t="shared" si="144"/>
        <v/>
      </c>
    </row>
    <row r="1007" spans="2:15" x14ac:dyDescent="0.55000000000000004">
      <c r="B1007" s="35">
        <f t="shared" si="147"/>
        <v>7</v>
      </c>
      <c r="C1007" s="72" t="s">
        <v>127</v>
      </c>
      <c r="D1007" s="44">
        <f t="shared" si="141"/>
        <v>43776</v>
      </c>
      <c r="E1007" s="38">
        <v>5.7469999999999999</v>
      </c>
      <c r="F1007" s="39">
        <f t="shared" si="150"/>
        <v>456</v>
      </c>
      <c r="G1007" s="33">
        <f t="shared" si="146"/>
        <v>2625.8303999999998</v>
      </c>
      <c r="H1007" s="33">
        <f t="shared" si="145"/>
        <v>2621.3159999999998</v>
      </c>
      <c r="I1007" s="33">
        <f t="shared" si="149"/>
        <v>2611.7947199999999</v>
      </c>
      <c r="J1007" s="33">
        <f t="shared" si="142"/>
        <v>2596.1904</v>
      </c>
      <c r="K1007" s="33">
        <f t="shared" si="148"/>
        <v>2596.1904</v>
      </c>
      <c r="L1007" s="59">
        <f t="shared" si="143"/>
        <v>9.6778726244422797E-3</v>
      </c>
      <c r="M1007" s="60" t="str">
        <f t="shared" si="144"/>
        <v/>
      </c>
    </row>
    <row r="1008" spans="2:15" x14ac:dyDescent="0.55000000000000004">
      <c r="B1008" s="35">
        <f t="shared" si="147"/>
        <v>8</v>
      </c>
      <c r="C1008" s="72" t="s">
        <v>127</v>
      </c>
      <c r="D1008" s="44">
        <f t="shared" si="141"/>
        <v>43777</v>
      </c>
      <c r="E1008" s="38">
        <v>5.7531999999999996</v>
      </c>
      <c r="F1008" s="39">
        <f t="shared" si="150"/>
        <v>456</v>
      </c>
      <c r="G1008" s="33">
        <f t="shared" si="146"/>
        <v>2620.6320000000001</v>
      </c>
      <c r="H1008" s="33">
        <f t="shared" si="145"/>
        <v>2621.0879999999997</v>
      </c>
      <c r="I1008" s="33">
        <f t="shared" si="149"/>
        <v>2614.3847999999998</v>
      </c>
      <c r="J1008" s="33">
        <f t="shared" si="142"/>
        <v>2596.1904</v>
      </c>
      <c r="K1008" s="33">
        <f t="shared" si="148"/>
        <v>2596.1904</v>
      </c>
      <c r="L1008" s="59">
        <f t="shared" si="143"/>
        <v>9.5900516387395097E-3</v>
      </c>
      <c r="M1008" s="60" t="str">
        <f t="shared" si="144"/>
        <v/>
      </c>
    </row>
    <row r="1009" spans="2:13" x14ac:dyDescent="0.55000000000000004">
      <c r="B1009" s="35">
        <f t="shared" si="147"/>
        <v>11</v>
      </c>
      <c r="C1009" s="72" t="s">
        <v>127</v>
      </c>
      <c r="D1009" s="44">
        <f t="shared" si="141"/>
        <v>43780</v>
      </c>
      <c r="E1009" s="38">
        <v>5.7808000000000002</v>
      </c>
      <c r="F1009" s="39">
        <f t="shared" si="150"/>
        <v>456</v>
      </c>
      <c r="G1009" s="33">
        <f t="shared" si="146"/>
        <v>2623.4591999999998</v>
      </c>
      <c r="H1009" s="33">
        <f t="shared" si="145"/>
        <v>2621.6807999999996</v>
      </c>
      <c r="I1009" s="33">
        <f t="shared" si="149"/>
        <v>2616.5827199999999</v>
      </c>
      <c r="J1009" s="33">
        <f t="shared" si="142"/>
        <v>2596.1904</v>
      </c>
      <c r="K1009" s="33">
        <f t="shared" si="148"/>
        <v>2596.1904</v>
      </c>
      <c r="L1009" s="59">
        <f t="shared" si="143"/>
        <v>9.8183862015666038E-3</v>
      </c>
      <c r="M1009" s="60" t="str">
        <f t="shared" si="144"/>
        <v/>
      </c>
    </row>
    <row r="1010" spans="2:13" x14ac:dyDescent="0.55000000000000004">
      <c r="B1010" s="35">
        <f t="shared" si="147"/>
        <v>12</v>
      </c>
      <c r="C1010" s="72" t="s">
        <v>127</v>
      </c>
      <c r="D1010" s="44">
        <f t="shared" si="141"/>
        <v>43781</v>
      </c>
      <c r="E1010" s="38">
        <v>5.7769000000000004</v>
      </c>
      <c r="F1010" s="39">
        <f t="shared" si="150"/>
        <v>456</v>
      </c>
      <c r="G1010" s="33">
        <f t="shared" si="146"/>
        <v>2636.0448000000001</v>
      </c>
      <c r="H1010" s="33">
        <f t="shared" si="145"/>
        <v>2624.5535999999997</v>
      </c>
      <c r="I1010" s="33">
        <f t="shared" si="149"/>
        <v>2624.5535999999997</v>
      </c>
      <c r="J1010" s="33">
        <f t="shared" si="142"/>
        <v>2596.1904</v>
      </c>
      <c r="K1010" s="33">
        <f t="shared" si="148"/>
        <v>2596.1904</v>
      </c>
      <c r="L1010" s="59">
        <f t="shared" si="143"/>
        <v>1.0924930621421209E-2</v>
      </c>
      <c r="M1010" s="60" t="str">
        <f t="shared" si="144"/>
        <v/>
      </c>
    </row>
    <row r="1011" spans="2:13" x14ac:dyDescent="0.55000000000000004">
      <c r="B1011" s="35">
        <f t="shared" si="147"/>
        <v>13</v>
      </c>
      <c r="C1011" s="72" t="s">
        <v>127</v>
      </c>
      <c r="D1011" s="44">
        <f t="shared" si="141"/>
        <v>43782</v>
      </c>
      <c r="E1011" s="38">
        <v>5.7675999999999998</v>
      </c>
      <c r="F1011" s="39">
        <f t="shared" si="150"/>
        <v>456</v>
      </c>
      <c r="G1011" s="33">
        <f t="shared" si="146"/>
        <v>2634.2664</v>
      </c>
      <c r="H1011" s="33">
        <f t="shared" si="145"/>
        <v>2628.0465599999998</v>
      </c>
      <c r="I1011" s="33">
        <f t="shared" si="149"/>
        <v>2628.0465600000002</v>
      </c>
      <c r="J1011" s="33">
        <f t="shared" si="142"/>
        <v>2596.1904</v>
      </c>
      <c r="K1011" s="33">
        <f t="shared" si="148"/>
        <v>2596.1904</v>
      </c>
      <c r="L1011" s="59">
        <f t="shared" si="143"/>
        <v>1.2270348122387255E-2</v>
      </c>
      <c r="M1011" s="60" t="str">
        <f t="shared" si="144"/>
        <v/>
      </c>
    </row>
    <row r="1012" spans="2:13" x14ac:dyDescent="0.55000000000000004">
      <c r="B1012" s="35">
        <f t="shared" si="147"/>
        <v>14</v>
      </c>
      <c r="C1012" s="72" t="s">
        <v>127</v>
      </c>
      <c r="D1012" s="44">
        <f t="shared" si="141"/>
        <v>43783</v>
      </c>
      <c r="E1012" s="38">
        <v>5.7674000000000003</v>
      </c>
      <c r="F1012" s="39">
        <f t="shared" si="150"/>
        <v>456</v>
      </c>
      <c r="G1012" s="33">
        <f t="shared" si="146"/>
        <v>2630.0255999999999</v>
      </c>
      <c r="H1012" s="33">
        <f t="shared" si="145"/>
        <v>2628.8856000000001</v>
      </c>
      <c r="I1012" s="33">
        <f t="shared" si="149"/>
        <v>2628.8855999999996</v>
      </c>
      <c r="J1012" s="33">
        <f t="shared" si="142"/>
        <v>2596.1904</v>
      </c>
      <c r="K1012" s="33">
        <f t="shared" si="148"/>
        <v>2596.1904</v>
      </c>
      <c r="L1012" s="59">
        <f t="shared" si="143"/>
        <v>1.2593529349773466E-2</v>
      </c>
      <c r="M1012" s="60" t="str">
        <f t="shared" si="144"/>
        <v/>
      </c>
    </row>
    <row r="1013" spans="2:13" x14ac:dyDescent="0.55000000000000004">
      <c r="B1013" s="35">
        <f t="shared" si="147"/>
        <v>15</v>
      </c>
      <c r="C1013" s="72" t="s">
        <v>127</v>
      </c>
      <c r="D1013" s="44">
        <f t="shared" si="141"/>
        <v>43784</v>
      </c>
      <c r="E1013" s="38">
        <v>5.7572999999999999</v>
      </c>
      <c r="F1013" s="39">
        <f t="shared" si="150"/>
        <v>456</v>
      </c>
      <c r="G1013" s="33">
        <f t="shared" si="146"/>
        <v>2629.9344000000001</v>
      </c>
      <c r="H1013" s="33">
        <f t="shared" si="145"/>
        <v>2630.7460799999999</v>
      </c>
      <c r="I1013" s="33">
        <f t="shared" si="149"/>
        <v>2630.7460800000003</v>
      </c>
      <c r="J1013" s="33">
        <f t="shared" si="142"/>
        <v>2596.1904</v>
      </c>
      <c r="K1013" s="33">
        <f t="shared" si="148"/>
        <v>2596.1904</v>
      </c>
      <c r="L1013" s="59">
        <f t="shared" si="143"/>
        <v>1.3310148593107786E-2</v>
      </c>
      <c r="M1013" s="60" t="str">
        <f t="shared" si="144"/>
        <v/>
      </c>
    </row>
    <row r="1014" spans="2:13" x14ac:dyDescent="0.55000000000000004">
      <c r="B1014" s="35">
        <f t="shared" si="147"/>
        <v>18</v>
      </c>
      <c r="C1014" s="72" t="s">
        <v>127</v>
      </c>
      <c r="D1014" s="44">
        <f t="shared" si="141"/>
        <v>43787</v>
      </c>
      <c r="E1014" s="38">
        <v>5.7407000000000004</v>
      </c>
      <c r="F1014" s="39">
        <f t="shared" si="150"/>
        <v>456</v>
      </c>
      <c r="G1014" s="33">
        <f t="shared" si="146"/>
        <v>2625.3287999999998</v>
      </c>
      <c r="H1014" s="33">
        <f t="shared" si="145"/>
        <v>2631.12</v>
      </c>
      <c r="I1014" s="33">
        <f t="shared" si="149"/>
        <v>2631.1200000000003</v>
      </c>
      <c r="J1014" s="33">
        <f t="shared" si="142"/>
        <v>2596.1904</v>
      </c>
      <c r="K1014" s="33">
        <f t="shared" si="148"/>
        <v>2596.1904</v>
      </c>
      <c r="L1014" s="59">
        <f t="shared" si="143"/>
        <v>1.3454175009660283E-2</v>
      </c>
      <c r="M1014" s="60" t="str">
        <f t="shared" si="144"/>
        <v/>
      </c>
    </row>
    <row r="1015" spans="2:13" x14ac:dyDescent="0.55000000000000004">
      <c r="B1015" s="35">
        <f t="shared" si="147"/>
        <v>19</v>
      </c>
      <c r="C1015" s="72" t="s">
        <v>127</v>
      </c>
      <c r="D1015" s="44">
        <f t="shared" si="141"/>
        <v>43788</v>
      </c>
      <c r="E1015" s="38">
        <v>5.7256</v>
      </c>
      <c r="F1015" s="39">
        <f t="shared" si="150"/>
        <v>456</v>
      </c>
      <c r="G1015" s="33">
        <f t="shared" si="146"/>
        <v>2617.7592</v>
      </c>
      <c r="H1015" s="33">
        <f t="shared" si="145"/>
        <v>2627.46288</v>
      </c>
      <c r="I1015" s="33">
        <f t="shared" si="149"/>
        <v>2627.46288</v>
      </c>
      <c r="J1015" s="33">
        <f t="shared" si="142"/>
        <v>2596.1904</v>
      </c>
      <c r="K1015" s="33">
        <f t="shared" si="148"/>
        <v>2596.1904</v>
      </c>
      <c r="L1015" s="59">
        <f t="shared" si="143"/>
        <v>1.2045526398988336E-2</v>
      </c>
      <c r="M1015" s="60" t="str">
        <f t="shared" si="144"/>
        <v/>
      </c>
    </row>
    <row r="1016" spans="2:13" x14ac:dyDescent="0.55000000000000004">
      <c r="B1016" s="35">
        <f t="shared" si="147"/>
        <v>20</v>
      </c>
      <c r="C1016" s="72" t="s">
        <v>127</v>
      </c>
      <c r="D1016" s="44">
        <f t="shared" si="141"/>
        <v>43789</v>
      </c>
      <c r="E1016" s="38">
        <v>5.7065999999999999</v>
      </c>
      <c r="F1016" s="39">
        <f t="shared" si="150"/>
        <v>456</v>
      </c>
      <c r="G1016" s="33">
        <f t="shared" si="146"/>
        <v>2610.8735999999999</v>
      </c>
      <c r="H1016" s="33">
        <f t="shared" si="145"/>
        <v>2622.7843200000002</v>
      </c>
      <c r="I1016" s="33">
        <f t="shared" si="149"/>
        <v>2622.7843200000002</v>
      </c>
      <c r="J1016" s="33">
        <f t="shared" si="142"/>
        <v>2596.1904</v>
      </c>
      <c r="K1016" s="33">
        <f t="shared" si="148"/>
        <v>2596.1904</v>
      </c>
      <c r="L1016" s="59">
        <f t="shared" si="143"/>
        <v>1.0243439772368104E-2</v>
      </c>
      <c r="M1016" s="60" t="str">
        <f t="shared" si="144"/>
        <v/>
      </c>
    </row>
    <row r="1017" spans="2:13" x14ac:dyDescent="0.55000000000000004">
      <c r="B1017" s="35">
        <f t="shared" si="147"/>
        <v>21</v>
      </c>
      <c r="C1017" s="72" t="s">
        <v>127</v>
      </c>
      <c r="D1017" s="44">
        <f t="shared" si="141"/>
        <v>43790</v>
      </c>
      <c r="E1017" s="38">
        <v>5.6997999999999998</v>
      </c>
      <c r="F1017" s="39">
        <f t="shared" si="150"/>
        <v>456</v>
      </c>
      <c r="G1017" s="33">
        <f t="shared" si="146"/>
        <v>2602.2096000000001</v>
      </c>
      <c r="H1017" s="33">
        <f t="shared" si="145"/>
        <v>2617.2211200000002</v>
      </c>
      <c r="I1017" s="33">
        <f t="shared" si="149"/>
        <v>2617.2211200000002</v>
      </c>
      <c r="J1017" s="33">
        <f t="shared" si="142"/>
        <v>2596.1904</v>
      </c>
      <c r="K1017" s="33">
        <f t="shared" si="148"/>
        <v>2596.1904</v>
      </c>
      <c r="L1017" s="59">
        <f t="shared" si="143"/>
        <v>8.1006077212211411E-3</v>
      </c>
      <c r="M1017" s="60" t="str">
        <f t="shared" si="144"/>
        <v/>
      </c>
    </row>
    <row r="1018" spans="2:13" x14ac:dyDescent="0.55000000000000004">
      <c r="B1018" s="35">
        <f t="shared" si="147"/>
        <v>22</v>
      </c>
      <c r="C1018" s="72" t="s">
        <v>127</v>
      </c>
      <c r="D1018" s="44">
        <f t="shared" ref="D1018:D1081" si="151">WORKDAY(D1017,1)</f>
        <v>43791</v>
      </c>
      <c r="E1018" s="38">
        <v>5.7020999999999997</v>
      </c>
      <c r="F1018" s="39">
        <f t="shared" si="150"/>
        <v>456</v>
      </c>
      <c r="G1018" s="33">
        <f t="shared" si="146"/>
        <v>2599.1088</v>
      </c>
      <c r="H1018" s="33">
        <f t="shared" si="145"/>
        <v>2611.056</v>
      </c>
      <c r="I1018" s="33">
        <f t="shared" si="149"/>
        <v>2611.056</v>
      </c>
      <c r="J1018" s="33">
        <f t="shared" si="142"/>
        <v>2596.1904</v>
      </c>
      <c r="K1018" s="33">
        <f t="shared" si="148"/>
        <v>2596.1904</v>
      </c>
      <c r="L1018" s="59">
        <f t="shared" si="143"/>
        <v>5.7259282678189111E-3</v>
      </c>
      <c r="M1018" s="60" t="str">
        <f t="shared" si="144"/>
        <v/>
      </c>
    </row>
    <row r="1019" spans="2:13" x14ac:dyDescent="0.55000000000000004">
      <c r="B1019" s="35">
        <f t="shared" si="147"/>
        <v>25</v>
      </c>
      <c r="C1019" s="72" t="s">
        <v>127</v>
      </c>
      <c r="D1019" s="44">
        <f t="shared" si="151"/>
        <v>43794</v>
      </c>
      <c r="E1019" s="38">
        <v>5.7294</v>
      </c>
      <c r="F1019" s="39">
        <f t="shared" si="150"/>
        <v>456</v>
      </c>
      <c r="G1019" s="33">
        <f t="shared" si="146"/>
        <v>2600.1576</v>
      </c>
      <c r="H1019" s="33">
        <f t="shared" si="145"/>
        <v>2606.0217600000001</v>
      </c>
      <c r="I1019" s="33">
        <f t="shared" si="149"/>
        <v>2606.0217599999996</v>
      </c>
      <c r="J1019" s="33">
        <f t="shared" si="142"/>
        <v>2596.1904</v>
      </c>
      <c r="K1019" s="33">
        <f t="shared" si="148"/>
        <v>2596.1904</v>
      </c>
      <c r="L1019" s="59">
        <f t="shared" si="143"/>
        <v>3.7868409035023516E-3</v>
      </c>
      <c r="M1019" s="60" t="str">
        <f t="shared" si="144"/>
        <v/>
      </c>
    </row>
    <row r="1020" spans="2:13" x14ac:dyDescent="0.55000000000000004">
      <c r="B1020" s="35">
        <f t="shared" si="147"/>
        <v>26</v>
      </c>
      <c r="C1020" s="72" t="s">
        <v>127</v>
      </c>
      <c r="D1020" s="44">
        <f t="shared" si="151"/>
        <v>43795</v>
      </c>
      <c r="E1020" s="38">
        <v>5.7485999999999997</v>
      </c>
      <c r="F1020" s="39">
        <f t="shared" si="150"/>
        <v>456</v>
      </c>
      <c r="G1020" s="33">
        <f t="shared" si="146"/>
        <v>2612.6064000000001</v>
      </c>
      <c r="H1020" s="33">
        <f t="shared" si="145"/>
        <v>2604.9911999999999</v>
      </c>
      <c r="I1020" s="33">
        <f t="shared" si="149"/>
        <v>2604.9911999999999</v>
      </c>
      <c r="J1020" s="33">
        <f t="shared" si="142"/>
        <v>2596.1904</v>
      </c>
      <c r="K1020" s="33">
        <f t="shared" si="148"/>
        <v>2596.1904</v>
      </c>
      <c r="L1020" s="59">
        <f t="shared" si="143"/>
        <v>3.389890048125893E-3</v>
      </c>
      <c r="M1020" s="60" t="str">
        <f t="shared" si="144"/>
        <v/>
      </c>
    </row>
    <row r="1021" spans="2:13" x14ac:dyDescent="0.55000000000000004">
      <c r="B1021" s="35">
        <f t="shared" si="147"/>
        <v>27</v>
      </c>
      <c r="C1021" s="72" t="s">
        <v>127</v>
      </c>
      <c r="D1021" s="44">
        <f t="shared" si="151"/>
        <v>43796</v>
      </c>
      <c r="E1021" s="38">
        <v>5.7632000000000003</v>
      </c>
      <c r="F1021" s="39">
        <f t="shared" si="150"/>
        <v>456</v>
      </c>
      <c r="G1021" s="33">
        <f t="shared" si="146"/>
        <v>2621.3615999999997</v>
      </c>
      <c r="H1021" s="33">
        <f t="shared" si="145"/>
        <v>2607.0888000000004</v>
      </c>
      <c r="I1021" s="33">
        <f t="shared" si="149"/>
        <v>2607.0888</v>
      </c>
      <c r="J1021" s="33">
        <f t="shared" ref="J1021:J1084" si="152">IF(L1021&gt;3%,G1021,IF(L1021&lt;-3%,G1021,J1020))</f>
        <v>2596.1904</v>
      </c>
      <c r="K1021" s="33">
        <f t="shared" si="148"/>
        <v>2596.1904</v>
      </c>
      <c r="L1021" s="59">
        <f t="shared" si="143"/>
        <v>4.1978431165913301E-3</v>
      </c>
      <c r="M1021" s="60" t="str">
        <f t="shared" si="144"/>
        <v/>
      </c>
    </row>
    <row r="1022" spans="2:13" x14ac:dyDescent="0.55000000000000004">
      <c r="B1022" s="35">
        <f t="shared" si="147"/>
        <v>28</v>
      </c>
      <c r="C1022" s="72" t="s">
        <v>127</v>
      </c>
      <c r="D1022" s="44">
        <f t="shared" si="151"/>
        <v>43797</v>
      </c>
      <c r="E1022" s="38">
        <v>5.7682000000000002</v>
      </c>
      <c r="F1022" s="39">
        <f t="shared" si="150"/>
        <v>456</v>
      </c>
      <c r="G1022" s="33">
        <f t="shared" si="146"/>
        <v>2628.0192000000002</v>
      </c>
      <c r="H1022" s="33">
        <f t="shared" si="145"/>
        <v>2612.2507200000005</v>
      </c>
      <c r="I1022" s="33">
        <f t="shared" si="149"/>
        <v>2612.25072</v>
      </c>
      <c r="J1022" s="33">
        <f t="shared" si="152"/>
        <v>2596.1904</v>
      </c>
      <c r="K1022" s="33">
        <f t="shared" si="148"/>
        <v>2596.1904</v>
      </c>
      <c r="L1022" s="59">
        <f t="shared" ref="L1022:L1085" si="153">(H1022-K1022)/K1022</f>
        <v>6.1861102329014471E-3</v>
      </c>
      <c r="M1022" s="60" t="str">
        <f t="shared" ref="M1022:M1085" si="154">IF(OR(L1022&lt;-3%,L1022&gt;3%),K1023-K1022,"")</f>
        <v/>
      </c>
    </row>
    <row r="1023" spans="2:13" x14ac:dyDescent="0.55000000000000004">
      <c r="B1023" s="35">
        <f t="shared" si="147"/>
        <v>29</v>
      </c>
      <c r="C1023" s="72" t="s">
        <v>127</v>
      </c>
      <c r="D1023" s="44">
        <f t="shared" si="151"/>
        <v>43798</v>
      </c>
      <c r="E1023" s="38">
        <v>5.7507000000000001</v>
      </c>
      <c r="F1023" s="39">
        <f t="shared" si="150"/>
        <v>456</v>
      </c>
      <c r="G1023" s="33">
        <f t="shared" si="146"/>
        <v>2630.2991999999999</v>
      </c>
      <c r="H1023" s="33">
        <f t="shared" si="145"/>
        <v>2618.4888000000001</v>
      </c>
      <c r="I1023" s="33">
        <f t="shared" si="149"/>
        <v>2618.4888000000001</v>
      </c>
      <c r="J1023" s="33">
        <f t="shared" si="152"/>
        <v>2596.1904</v>
      </c>
      <c r="K1023" s="33">
        <f t="shared" si="148"/>
        <v>2596.1904</v>
      </c>
      <c r="L1023" s="59">
        <f t="shared" si="153"/>
        <v>8.5888924017283666E-3</v>
      </c>
      <c r="M1023" s="60" t="str">
        <f t="shared" si="154"/>
        <v/>
      </c>
    </row>
    <row r="1024" spans="2:13" x14ac:dyDescent="0.55000000000000004">
      <c r="B1024" s="35">
        <f t="shared" si="147"/>
        <v>2</v>
      </c>
      <c r="C1024" s="72" t="s">
        <v>128</v>
      </c>
      <c r="D1024" s="44">
        <f t="shared" si="151"/>
        <v>43801</v>
      </c>
      <c r="E1024" s="38">
        <v>5.7529000000000003</v>
      </c>
      <c r="F1024" s="39">
        <v>476.5</v>
      </c>
      <c r="G1024" s="33">
        <f t="shared" si="146"/>
        <v>2740.2085500000003</v>
      </c>
      <c r="H1024" s="33">
        <f t="shared" si="145"/>
        <v>2646.49899</v>
      </c>
      <c r="I1024" s="33">
        <f t="shared" si="149"/>
        <v>2740.8375299999998</v>
      </c>
      <c r="J1024" s="33">
        <f t="shared" si="152"/>
        <v>2596.1904</v>
      </c>
      <c r="K1024" s="33">
        <f t="shared" si="148"/>
        <v>2596.1904</v>
      </c>
      <c r="L1024" s="59">
        <f t="shared" si="153"/>
        <v>1.9377850715417519E-2</v>
      </c>
      <c r="M1024" s="60" t="str">
        <f t="shared" si="154"/>
        <v/>
      </c>
    </row>
    <row r="1025" spans="2:13" x14ac:dyDescent="0.55000000000000004">
      <c r="B1025" s="35">
        <f t="shared" si="147"/>
        <v>3</v>
      </c>
      <c r="C1025" s="72" t="s">
        <v>128</v>
      </c>
      <c r="D1025" s="44">
        <f t="shared" si="151"/>
        <v>43802</v>
      </c>
      <c r="E1025" s="38">
        <v>5.7468000000000004</v>
      </c>
      <c r="F1025" s="39">
        <f t="shared" si="150"/>
        <v>476.5</v>
      </c>
      <c r="G1025" s="33">
        <f t="shared" si="146"/>
        <v>2741.2568500000002</v>
      </c>
      <c r="H1025" s="33">
        <f t="shared" si="145"/>
        <v>2672.2290800000001</v>
      </c>
      <c r="I1025" s="33">
        <f t="shared" si="149"/>
        <v>2743.07708</v>
      </c>
      <c r="J1025" s="33">
        <f t="shared" si="152"/>
        <v>2596.1904</v>
      </c>
      <c r="K1025" s="33">
        <f t="shared" si="148"/>
        <v>2596.1904</v>
      </c>
      <c r="L1025" s="59">
        <f t="shared" si="153"/>
        <v>2.9288560654103072E-2</v>
      </c>
      <c r="M1025" s="60" t="str">
        <f t="shared" si="154"/>
        <v/>
      </c>
    </row>
    <row r="1026" spans="2:13" x14ac:dyDescent="0.55000000000000004">
      <c r="B1026" s="35">
        <f t="shared" si="147"/>
        <v>4</v>
      </c>
      <c r="C1026" s="72" t="s">
        <v>128</v>
      </c>
      <c r="D1026" s="44">
        <f t="shared" si="151"/>
        <v>43803</v>
      </c>
      <c r="E1026" s="38">
        <v>5.7462999999999997</v>
      </c>
      <c r="F1026" s="39">
        <f t="shared" si="150"/>
        <v>476.5</v>
      </c>
      <c r="G1026" s="33">
        <f t="shared" si="146"/>
        <v>2738.3502000000003</v>
      </c>
      <c r="H1026" s="33">
        <f t="shared" si="145"/>
        <v>2695.6268000000005</v>
      </c>
      <c r="I1026" s="33">
        <f t="shared" si="149"/>
        <v>2742.9055399999997</v>
      </c>
      <c r="J1026" s="33">
        <f t="shared" si="152"/>
        <v>2738.3502000000003</v>
      </c>
      <c r="K1026" s="33">
        <f t="shared" si="148"/>
        <v>2596.1904</v>
      </c>
      <c r="L1026" s="59">
        <f t="shared" si="153"/>
        <v>3.8300888871633028E-2</v>
      </c>
      <c r="M1026" s="60">
        <f t="shared" si="154"/>
        <v>142.15980000000036</v>
      </c>
    </row>
    <row r="1027" spans="2:13" x14ac:dyDescent="0.55000000000000004">
      <c r="B1027" s="35">
        <f t="shared" si="147"/>
        <v>5</v>
      </c>
      <c r="C1027" s="72" t="s">
        <v>128</v>
      </c>
      <c r="D1027" s="44">
        <f t="shared" si="151"/>
        <v>43804</v>
      </c>
      <c r="E1027" s="38">
        <v>5.7591000000000001</v>
      </c>
      <c r="F1027" s="39">
        <f t="shared" si="150"/>
        <v>476.5</v>
      </c>
      <c r="G1027" s="33">
        <f t="shared" si="146"/>
        <v>2738.11195</v>
      </c>
      <c r="H1027" s="33">
        <f t="shared" si="145"/>
        <v>2738.11195</v>
      </c>
      <c r="I1027" s="33">
        <f t="shared" si="149"/>
        <v>2741.2949699999995</v>
      </c>
      <c r="J1027" s="33">
        <f t="shared" si="152"/>
        <v>2738.3502000000003</v>
      </c>
      <c r="K1027" s="33">
        <f t="shared" si="148"/>
        <v>2738.3502000000003</v>
      </c>
      <c r="L1027" s="59">
        <f t="shared" si="153"/>
        <v>-8.7004941880821041E-5</v>
      </c>
      <c r="M1027" s="60" t="str">
        <f t="shared" si="154"/>
        <v/>
      </c>
    </row>
    <row r="1028" spans="2:13" x14ac:dyDescent="0.55000000000000004">
      <c r="B1028" s="35">
        <f t="shared" si="147"/>
        <v>6</v>
      </c>
      <c r="C1028" s="72" t="s">
        <v>128</v>
      </c>
      <c r="D1028" s="44">
        <f t="shared" si="151"/>
        <v>43805</v>
      </c>
      <c r="E1028" s="38">
        <v>5.7582000000000004</v>
      </c>
      <c r="F1028" s="39">
        <f t="shared" si="150"/>
        <v>476.5</v>
      </c>
      <c r="G1028" s="33">
        <f t="shared" si="146"/>
        <v>2744.2111500000001</v>
      </c>
      <c r="H1028" s="33">
        <f t="shared" si="145"/>
        <v>2741.1615499999998</v>
      </c>
      <c r="I1028" s="33">
        <f t="shared" si="149"/>
        <v>2740.4277399999996</v>
      </c>
      <c r="J1028" s="33">
        <f t="shared" si="152"/>
        <v>2738.3502000000003</v>
      </c>
      <c r="K1028" s="33">
        <f t="shared" si="148"/>
        <v>2738.3502000000003</v>
      </c>
      <c r="L1028" s="59">
        <f t="shared" si="153"/>
        <v>1.0266583141920608E-3</v>
      </c>
      <c r="M1028" s="60" t="str">
        <f t="shared" si="154"/>
        <v/>
      </c>
    </row>
    <row r="1029" spans="2:13" x14ac:dyDescent="0.55000000000000004">
      <c r="B1029" s="35">
        <f t="shared" si="147"/>
        <v>9</v>
      </c>
      <c r="C1029" s="72" t="s">
        <v>128</v>
      </c>
      <c r="D1029" s="44">
        <f t="shared" si="151"/>
        <v>43808</v>
      </c>
      <c r="E1029" s="38">
        <v>5.8010000000000002</v>
      </c>
      <c r="F1029" s="39">
        <f t="shared" si="150"/>
        <v>476.5</v>
      </c>
      <c r="G1029" s="33">
        <f t="shared" si="146"/>
        <v>2743.7823000000003</v>
      </c>
      <c r="H1029" s="33">
        <f t="shared" si="145"/>
        <v>2742.0351333333333</v>
      </c>
      <c r="I1029" s="33">
        <f t="shared" si="149"/>
        <v>2741.1424900000002</v>
      </c>
      <c r="J1029" s="33">
        <f t="shared" si="152"/>
        <v>2738.3502000000003</v>
      </c>
      <c r="K1029" s="33">
        <f t="shared" si="148"/>
        <v>2738.3502000000003</v>
      </c>
      <c r="L1029" s="59">
        <f t="shared" si="153"/>
        <v>1.3456764344213505E-3</v>
      </c>
      <c r="M1029" s="60" t="str">
        <f t="shared" si="154"/>
        <v/>
      </c>
    </row>
    <row r="1030" spans="2:13" x14ac:dyDescent="0.55000000000000004">
      <c r="B1030" s="35">
        <f t="shared" si="147"/>
        <v>10</v>
      </c>
      <c r="C1030" s="72" t="s">
        <v>128</v>
      </c>
      <c r="D1030" s="44">
        <f t="shared" si="151"/>
        <v>43809</v>
      </c>
      <c r="E1030" s="38">
        <v>5.8091999999999997</v>
      </c>
      <c r="F1030" s="39">
        <f t="shared" si="150"/>
        <v>476.5</v>
      </c>
      <c r="G1030" s="33">
        <f t="shared" si="146"/>
        <v>2764.1765</v>
      </c>
      <c r="H1030" s="33">
        <f t="shared" si="145"/>
        <v>2747.570475</v>
      </c>
      <c r="I1030" s="33">
        <f t="shared" si="149"/>
        <v>2745.7264200000009</v>
      </c>
      <c r="J1030" s="33">
        <f t="shared" si="152"/>
        <v>2738.3502000000003</v>
      </c>
      <c r="K1030" s="33">
        <f t="shared" si="148"/>
        <v>2738.3502000000003</v>
      </c>
      <c r="L1030" s="59">
        <f t="shared" si="153"/>
        <v>3.3670912507829252E-3</v>
      </c>
      <c r="M1030" s="60" t="str">
        <f t="shared" si="154"/>
        <v/>
      </c>
    </row>
    <row r="1031" spans="2:13" x14ac:dyDescent="0.55000000000000004">
      <c r="B1031" s="35">
        <f t="shared" si="147"/>
        <v>11</v>
      </c>
      <c r="C1031" s="72" t="s">
        <v>128</v>
      </c>
      <c r="D1031" s="44">
        <f t="shared" si="151"/>
        <v>43810</v>
      </c>
      <c r="E1031" s="38">
        <v>5.8086000000000002</v>
      </c>
      <c r="F1031" s="39">
        <f t="shared" si="150"/>
        <v>476.5</v>
      </c>
      <c r="G1031" s="33">
        <f t="shared" si="146"/>
        <v>2768.0837999999999</v>
      </c>
      <c r="H1031" s="33">
        <f t="shared" si="145"/>
        <v>2751.6731399999999</v>
      </c>
      <c r="I1031" s="33">
        <f t="shared" si="149"/>
        <v>2751.6731399999999</v>
      </c>
      <c r="J1031" s="33">
        <f t="shared" si="152"/>
        <v>2738.3502000000003</v>
      </c>
      <c r="K1031" s="33">
        <f t="shared" si="148"/>
        <v>2738.3502000000003</v>
      </c>
      <c r="L1031" s="59">
        <f t="shared" si="153"/>
        <v>4.8653163499685174E-3</v>
      </c>
      <c r="M1031" s="60" t="str">
        <f t="shared" si="154"/>
        <v/>
      </c>
    </row>
    <row r="1032" spans="2:13" x14ac:dyDescent="0.55000000000000004">
      <c r="B1032" s="35">
        <f t="shared" si="147"/>
        <v>12</v>
      </c>
      <c r="C1032" s="72" t="s">
        <v>128</v>
      </c>
      <c r="D1032" s="44">
        <f t="shared" si="151"/>
        <v>43811</v>
      </c>
      <c r="E1032" s="38">
        <v>5.798</v>
      </c>
      <c r="F1032" s="39">
        <f t="shared" si="150"/>
        <v>476.5</v>
      </c>
      <c r="G1032" s="33">
        <f t="shared" si="146"/>
        <v>2767.7979</v>
      </c>
      <c r="H1032" s="33">
        <f t="shared" si="145"/>
        <v>2757.61033</v>
      </c>
      <c r="I1032" s="33">
        <f t="shared" si="149"/>
        <v>2757.6103300000004</v>
      </c>
      <c r="J1032" s="33">
        <f t="shared" si="152"/>
        <v>2738.3502000000003</v>
      </c>
      <c r="K1032" s="33">
        <f t="shared" si="148"/>
        <v>2738.3502000000003</v>
      </c>
      <c r="L1032" s="59">
        <f t="shared" si="153"/>
        <v>7.0334795016355686E-3</v>
      </c>
      <c r="M1032" s="60" t="str">
        <f t="shared" si="154"/>
        <v/>
      </c>
    </row>
    <row r="1033" spans="2:13" x14ac:dyDescent="0.55000000000000004">
      <c r="B1033" s="35">
        <f t="shared" si="147"/>
        <v>13</v>
      </c>
      <c r="C1033" s="72" t="s">
        <v>128</v>
      </c>
      <c r="D1033" s="44">
        <f t="shared" si="151"/>
        <v>43812</v>
      </c>
      <c r="E1033" s="38">
        <v>5.7830000000000004</v>
      </c>
      <c r="F1033" s="39">
        <f t="shared" si="150"/>
        <v>476.5</v>
      </c>
      <c r="G1033" s="33">
        <f t="shared" si="146"/>
        <v>2762.7469999999998</v>
      </c>
      <c r="H1033" s="33">
        <f t="shared" si="145"/>
        <v>2761.3175000000001</v>
      </c>
      <c r="I1033" s="33">
        <f t="shared" si="149"/>
        <v>2761.3175000000001</v>
      </c>
      <c r="J1033" s="33">
        <f t="shared" si="152"/>
        <v>2738.3502000000003</v>
      </c>
      <c r="K1033" s="33">
        <f t="shared" si="148"/>
        <v>2738.3502000000003</v>
      </c>
      <c r="L1033" s="59">
        <f t="shared" si="153"/>
        <v>8.3872763972992915E-3</v>
      </c>
      <c r="M1033" s="60" t="str">
        <f t="shared" si="154"/>
        <v/>
      </c>
    </row>
    <row r="1034" spans="2:13" x14ac:dyDescent="0.55000000000000004">
      <c r="B1034" s="35">
        <f t="shared" si="147"/>
        <v>16</v>
      </c>
      <c r="C1034" s="72" t="s">
        <v>128</v>
      </c>
      <c r="D1034" s="44">
        <f t="shared" si="151"/>
        <v>43815</v>
      </c>
      <c r="E1034" s="38">
        <v>5.8449</v>
      </c>
      <c r="F1034" s="39">
        <f t="shared" si="150"/>
        <v>476.5</v>
      </c>
      <c r="G1034" s="33">
        <f t="shared" si="146"/>
        <v>2755.5995000000003</v>
      </c>
      <c r="H1034" s="33">
        <f t="shared" si="145"/>
        <v>2763.6809399999997</v>
      </c>
      <c r="I1034" s="33">
        <f t="shared" si="149"/>
        <v>2763.6809400000002</v>
      </c>
      <c r="J1034" s="33">
        <f t="shared" si="152"/>
        <v>2738.3502000000003</v>
      </c>
      <c r="K1034" s="33">
        <f t="shared" si="148"/>
        <v>2738.3502000000003</v>
      </c>
      <c r="L1034" s="59">
        <f t="shared" si="153"/>
        <v>9.2503654207556872E-3</v>
      </c>
      <c r="M1034" s="60" t="str">
        <f t="shared" si="154"/>
        <v/>
      </c>
    </row>
    <row r="1035" spans="2:13" x14ac:dyDescent="0.55000000000000004">
      <c r="B1035" s="35">
        <f t="shared" si="147"/>
        <v>17</v>
      </c>
      <c r="C1035" s="72" t="s">
        <v>128</v>
      </c>
      <c r="D1035" s="44">
        <f t="shared" si="151"/>
        <v>43816</v>
      </c>
      <c r="E1035" s="38">
        <v>5.8663999999999996</v>
      </c>
      <c r="F1035" s="39">
        <f t="shared" si="150"/>
        <v>476.5</v>
      </c>
      <c r="G1035" s="33">
        <f t="shared" si="146"/>
        <v>2785.09485</v>
      </c>
      <c r="H1035" s="33">
        <f t="shared" si="145"/>
        <v>2767.8646099999996</v>
      </c>
      <c r="I1035" s="33">
        <f t="shared" si="149"/>
        <v>2767.8646099999996</v>
      </c>
      <c r="J1035" s="33">
        <f t="shared" si="152"/>
        <v>2738.3502000000003</v>
      </c>
      <c r="K1035" s="33">
        <f t="shared" si="148"/>
        <v>2738.3502000000003</v>
      </c>
      <c r="L1035" s="59">
        <f t="shared" si="153"/>
        <v>1.077817220018072E-2</v>
      </c>
      <c r="M1035" s="60" t="str">
        <f t="shared" si="154"/>
        <v/>
      </c>
    </row>
    <row r="1036" spans="2:13" x14ac:dyDescent="0.55000000000000004">
      <c r="B1036" s="35">
        <f t="shared" si="147"/>
        <v>18</v>
      </c>
      <c r="C1036" s="72" t="s">
        <v>128</v>
      </c>
      <c r="D1036" s="44">
        <f t="shared" si="151"/>
        <v>43817</v>
      </c>
      <c r="E1036" s="38">
        <v>5.9097</v>
      </c>
      <c r="F1036" s="39">
        <f t="shared" si="150"/>
        <v>476.5</v>
      </c>
      <c r="G1036" s="33">
        <f t="shared" si="146"/>
        <v>2795.3395999999998</v>
      </c>
      <c r="H1036" s="33">
        <f t="shared" si="145"/>
        <v>2773.3157700000002</v>
      </c>
      <c r="I1036" s="33">
        <f t="shared" si="149"/>
        <v>2773.3157699999997</v>
      </c>
      <c r="J1036" s="33">
        <f t="shared" si="152"/>
        <v>2738.3502000000003</v>
      </c>
      <c r="K1036" s="33">
        <f t="shared" si="148"/>
        <v>2738.3502000000003</v>
      </c>
      <c r="L1036" s="59">
        <f t="shared" si="153"/>
        <v>1.27688452704113E-2</v>
      </c>
      <c r="M1036" s="60" t="str">
        <f t="shared" si="154"/>
        <v/>
      </c>
    </row>
    <row r="1037" spans="2:13" x14ac:dyDescent="0.55000000000000004">
      <c r="B1037" s="35">
        <f t="shared" si="147"/>
        <v>19</v>
      </c>
      <c r="C1037" s="72" t="s">
        <v>128</v>
      </c>
      <c r="D1037" s="44">
        <f t="shared" si="151"/>
        <v>43818</v>
      </c>
      <c r="E1037" s="38">
        <v>5.9359000000000002</v>
      </c>
      <c r="F1037" s="39">
        <f t="shared" si="150"/>
        <v>476.5</v>
      </c>
      <c r="G1037" s="33">
        <f t="shared" si="146"/>
        <v>2815.9720499999999</v>
      </c>
      <c r="H1037" s="33">
        <f t="shared" si="145"/>
        <v>2782.9505999999997</v>
      </c>
      <c r="I1037" s="33">
        <f t="shared" si="149"/>
        <v>2782.9506000000001</v>
      </c>
      <c r="J1037" s="33">
        <f t="shared" si="152"/>
        <v>2738.3502000000003</v>
      </c>
      <c r="K1037" s="33">
        <f t="shared" si="148"/>
        <v>2738.3502000000003</v>
      </c>
      <c r="L1037" s="59">
        <f t="shared" si="153"/>
        <v>1.6287325120066583E-2</v>
      </c>
      <c r="M1037" s="60" t="str">
        <f t="shared" si="154"/>
        <v/>
      </c>
    </row>
    <row r="1038" spans="2:13" x14ac:dyDescent="0.55000000000000004">
      <c r="B1038" s="35">
        <f t="shared" si="147"/>
        <v>20</v>
      </c>
      <c r="C1038" s="72" t="s">
        <v>128</v>
      </c>
      <c r="D1038" s="44">
        <f t="shared" si="151"/>
        <v>43819</v>
      </c>
      <c r="E1038" s="38">
        <v>5.9222000000000001</v>
      </c>
      <c r="F1038" s="39">
        <f t="shared" si="150"/>
        <v>476.5</v>
      </c>
      <c r="G1038" s="33">
        <f t="shared" si="146"/>
        <v>2828.4563499999999</v>
      </c>
      <c r="H1038" s="33">
        <f t="shared" si="145"/>
        <v>2796.09247</v>
      </c>
      <c r="I1038" s="33">
        <f t="shared" si="149"/>
        <v>2796.09247</v>
      </c>
      <c r="J1038" s="33">
        <f t="shared" si="152"/>
        <v>2738.3502000000003</v>
      </c>
      <c r="K1038" s="33">
        <f t="shared" si="148"/>
        <v>2738.3502000000003</v>
      </c>
      <c r="L1038" s="59">
        <f t="shared" si="153"/>
        <v>2.1086517714206068E-2</v>
      </c>
      <c r="M1038" s="60" t="str">
        <f t="shared" si="154"/>
        <v/>
      </c>
    </row>
    <row r="1039" spans="2:13" x14ac:dyDescent="0.55000000000000004">
      <c r="B1039" s="35">
        <f t="shared" si="147"/>
        <v>23</v>
      </c>
      <c r="C1039" s="72" t="s">
        <v>128</v>
      </c>
      <c r="D1039" s="44">
        <f t="shared" si="151"/>
        <v>43822</v>
      </c>
      <c r="E1039" s="38">
        <v>5.9398</v>
      </c>
      <c r="F1039" s="39">
        <f t="shared" si="150"/>
        <v>476.5</v>
      </c>
      <c r="G1039" s="33">
        <f t="shared" si="146"/>
        <v>2821.9283</v>
      </c>
      <c r="H1039" s="33">
        <f t="shared" si="145"/>
        <v>2809.3582299999998</v>
      </c>
      <c r="I1039" s="33">
        <f t="shared" si="149"/>
        <v>2809.3582299999998</v>
      </c>
      <c r="J1039" s="33">
        <f t="shared" si="152"/>
        <v>2738.3502000000003</v>
      </c>
      <c r="K1039" s="33">
        <f t="shared" si="148"/>
        <v>2738.3502000000003</v>
      </c>
      <c r="L1039" s="59">
        <f t="shared" si="153"/>
        <v>2.5930952878123293E-2</v>
      </c>
      <c r="M1039" s="60" t="str">
        <f t="shared" si="154"/>
        <v/>
      </c>
    </row>
    <row r="1040" spans="2:13" x14ac:dyDescent="0.55000000000000004">
      <c r="B1040" s="35">
        <f t="shared" si="147"/>
        <v>24</v>
      </c>
      <c r="C1040" s="72" t="s">
        <v>128</v>
      </c>
      <c r="D1040" s="44">
        <f t="shared" si="151"/>
        <v>43823</v>
      </c>
      <c r="E1040" s="38">
        <v>5.9470999999999998</v>
      </c>
      <c r="F1040" s="39">
        <f t="shared" si="150"/>
        <v>476.5</v>
      </c>
      <c r="G1040" s="33">
        <f t="shared" si="146"/>
        <v>2830.3146999999999</v>
      </c>
      <c r="H1040" s="33">
        <f t="shared" si="145"/>
        <v>2818.4021999999995</v>
      </c>
      <c r="I1040" s="33">
        <f t="shared" si="149"/>
        <v>2818.4022</v>
      </c>
      <c r="J1040" s="33">
        <f t="shared" si="152"/>
        <v>2738.3502000000003</v>
      </c>
      <c r="K1040" s="33">
        <f t="shared" si="148"/>
        <v>2738.3502000000003</v>
      </c>
      <c r="L1040" s="59">
        <f t="shared" si="153"/>
        <v>2.9233660471914519E-2</v>
      </c>
      <c r="M1040" s="60" t="str">
        <f t="shared" si="154"/>
        <v/>
      </c>
    </row>
    <row r="1041" spans="2:14" x14ac:dyDescent="0.55000000000000004">
      <c r="B1041" s="35">
        <f t="shared" si="147"/>
        <v>25</v>
      </c>
      <c r="C1041" s="72" t="s">
        <v>120</v>
      </c>
      <c r="D1041" s="44">
        <f t="shared" si="151"/>
        <v>43824</v>
      </c>
      <c r="E1041" s="38">
        <v>5.94</v>
      </c>
      <c r="F1041" s="39">
        <f t="shared" si="150"/>
        <v>476.5</v>
      </c>
      <c r="G1041" s="33">
        <f t="shared" si="146"/>
        <v>2833.79315</v>
      </c>
      <c r="H1041" s="33">
        <f t="shared" ref="H1041:H1104" si="155">IF(M1040&lt;&gt;"",AVERAGE(G1041),IF(M1039&lt;&gt;"",AVERAGE(G1040:G1041),IF(M1038&lt;&gt;"",AVERAGE(G1039:G1041),IF(M1037&lt;&gt;"",AVERAGE(G1038:G1041),AVERAGE(G1037:G1041)))))</f>
        <v>2826.0929099999998</v>
      </c>
      <c r="I1041" s="33">
        <f t="shared" si="149"/>
        <v>2826.0929099999998</v>
      </c>
      <c r="J1041" s="33">
        <f t="shared" si="152"/>
        <v>2833.79315</v>
      </c>
      <c r="K1041" s="33">
        <f t="shared" si="148"/>
        <v>2738.3502000000003</v>
      </c>
      <c r="L1041" s="59">
        <f t="shared" si="153"/>
        <v>3.2042179995823587E-2</v>
      </c>
      <c r="M1041" s="60">
        <f t="shared" si="154"/>
        <v>95.409799999999905</v>
      </c>
    </row>
    <row r="1042" spans="2:14" x14ac:dyDescent="0.55000000000000004">
      <c r="B1042" s="35">
        <f t="shared" si="147"/>
        <v>26</v>
      </c>
      <c r="C1042" s="72" t="s">
        <v>120</v>
      </c>
      <c r="D1042" s="44">
        <f t="shared" si="151"/>
        <v>43825</v>
      </c>
      <c r="E1042" s="38">
        <v>5.9409000000000001</v>
      </c>
      <c r="F1042" s="39">
        <f t="shared" si="150"/>
        <v>476.5</v>
      </c>
      <c r="G1042" s="33">
        <f t="shared" ref="G1042:G1105" si="156">E1041*F1042</f>
        <v>2830.4100000000003</v>
      </c>
      <c r="H1042" s="33">
        <f t="shared" si="155"/>
        <v>2830.4100000000003</v>
      </c>
      <c r="I1042" s="33">
        <f t="shared" si="149"/>
        <v>2828.9804999999997</v>
      </c>
      <c r="J1042" s="33">
        <f t="shared" si="152"/>
        <v>2833.79315</v>
      </c>
      <c r="K1042" s="33">
        <v>2833.76</v>
      </c>
      <c r="L1042" s="59">
        <f t="shared" si="153"/>
        <v>-1.1821749195414957E-3</v>
      </c>
      <c r="M1042" s="60" t="str">
        <f t="shared" si="154"/>
        <v/>
      </c>
    </row>
    <row r="1043" spans="2:14" x14ac:dyDescent="0.55000000000000004">
      <c r="B1043" s="35">
        <f t="shared" si="147"/>
        <v>27</v>
      </c>
      <c r="C1043" s="72" t="s">
        <v>128</v>
      </c>
      <c r="D1043" s="44">
        <f t="shared" si="151"/>
        <v>43826</v>
      </c>
      <c r="E1043" s="38">
        <v>5.9477000000000002</v>
      </c>
      <c r="F1043" s="39">
        <f t="shared" si="150"/>
        <v>476.5</v>
      </c>
      <c r="G1043" s="33">
        <f t="shared" si="156"/>
        <v>2830.8388500000001</v>
      </c>
      <c r="H1043" s="33">
        <f t="shared" si="155"/>
        <v>2830.624425</v>
      </c>
      <c r="I1043" s="33">
        <f t="shared" si="149"/>
        <v>2829.4570000000003</v>
      </c>
      <c r="J1043" s="33">
        <f t="shared" si="152"/>
        <v>2833.79315</v>
      </c>
      <c r="K1043" s="33">
        <f t="shared" si="148"/>
        <v>2833.76</v>
      </c>
      <c r="L1043" s="59">
        <f t="shared" si="153"/>
        <v>-1.1065069024900642E-3</v>
      </c>
      <c r="M1043" s="60" t="str">
        <f t="shared" si="154"/>
        <v/>
      </c>
    </row>
    <row r="1044" spans="2:14" x14ac:dyDescent="0.55000000000000004">
      <c r="B1044" s="35">
        <f t="shared" si="147"/>
        <v>30</v>
      </c>
      <c r="C1044" s="72" t="s">
        <v>128</v>
      </c>
      <c r="D1044" s="44">
        <f t="shared" si="151"/>
        <v>43829</v>
      </c>
      <c r="E1044" s="38">
        <v>5.9508999999999999</v>
      </c>
      <c r="F1044" s="39">
        <f t="shared" si="150"/>
        <v>476.5</v>
      </c>
      <c r="G1044" s="33">
        <f t="shared" si="156"/>
        <v>2834.0790500000003</v>
      </c>
      <c r="H1044" s="33">
        <f t="shared" si="155"/>
        <v>2831.7759666666666</v>
      </c>
      <c r="I1044" s="33">
        <f t="shared" si="149"/>
        <v>2831.88715</v>
      </c>
      <c r="J1044" s="33">
        <f t="shared" si="152"/>
        <v>2833.79315</v>
      </c>
      <c r="K1044" s="33">
        <f t="shared" si="148"/>
        <v>2833.76</v>
      </c>
      <c r="L1044" s="59">
        <f t="shared" si="153"/>
        <v>-7.0014162573175834E-4</v>
      </c>
      <c r="M1044" s="60" t="str">
        <f t="shared" si="154"/>
        <v/>
      </c>
      <c r="N1044" s="76">
        <f t="shared" ref="N1044:N1107" si="157">K1044/E1043</f>
        <v>476.44635741547154</v>
      </c>
    </row>
    <row r="1045" spans="2:14" x14ac:dyDescent="0.55000000000000004">
      <c r="B1045" s="35">
        <f t="shared" si="147"/>
        <v>31</v>
      </c>
      <c r="C1045" s="72" t="s">
        <v>128</v>
      </c>
      <c r="D1045" s="44">
        <f t="shared" si="151"/>
        <v>43830</v>
      </c>
      <c r="E1045" s="38">
        <v>5.9507000000000003</v>
      </c>
      <c r="F1045" s="39">
        <f t="shared" si="150"/>
        <v>476.5</v>
      </c>
      <c r="G1045" s="33">
        <f t="shared" si="156"/>
        <v>2835.60385</v>
      </c>
      <c r="H1045" s="33">
        <f t="shared" si="155"/>
        <v>2832.7329374999999</v>
      </c>
      <c r="I1045" s="33">
        <f t="shared" si="149"/>
        <v>2832.9449800000002</v>
      </c>
      <c r="J1045" s="33">
        <f t="shared" si="152"/>
        <v>2833.79315</v>
      </c>
      <c r="K1045" s="33">
        <f t="shared" si="148"/>
        <v>2833.76</v>
      </c>
      <c r="L1045" s="59">
        <f t="shared" si="153"/>
        <v>-3.6243806814983758E-4</v>
      </c>
      <c r="M1045" s="60" t="str">
        <f t="shared" si="154"/>
        <v/>
      </c>
      <c r="N1045" s="76">
        <f t="shared" si="157"/>
        <v>476.19015611084041</v>
      </c>
    </row>
    <row r="1046" spans="2:14" x14ac:dyDescent="0.55000000000000004">
      <c r="B1046" s="35">
        <f t="shared" si="147"/>
        <v>1</v>
      </c>
      <c r="C1046" s="72" t="s">
        <v>120</v>
      </c>
      <c r="D1046" s="44">
        <f t="shared" si="151"/>
        <v>43831</v>
      </c>
      <c r="E1046" s="38">
        <v>5.9507000000000003</v>
      </c>
      <c r="F1046" s="39">
        <f t="shared" si="150"/>
        <v>476.5</v>
      </c>
      <c r="G1046" s="33">
        <f t="shared" si="156"/>
        <v>2835.50855</v>
      </c>
      <c r="H1046" s="33">
        <f t="shared" si="155"/>
        <v>2833.2880599999999</v>
      </c>
      <c r="I1046" s="33">
        <f t="shared" si="149"/>
        <v>2833.2880600000003</v>
      </c>
      <c r="J1046" s="33">
        <f t="shared" si="152"/>
        <v>2833.79315</v>
      </c>
      <c r="K1046" s="33">
        <f t="shared" si="148"/>
        <v>2833.76</v>
      </c>
      <c r="L1046" s="59">
        <f t="shared" si="153"/>
        <v>-1.665419795608516E-4</v>
      </c>
      <c r="M1046" s="60" t="str">
        <f t="shared" si="154"/>
        <v/>
      </c>
      <c r="N1046" s="76">
        <f t="shared" si="157"/>
        <v>476.20616061975903</v>
      </c>
    </row>
    <row r="1047" spans="2:14" x14ac:dyDescent="0.55000000000000004">
      <c r="B1047" s="35">
        <f t="shared" ref="B1047:B1110" si="158">DAY(D1047)</f>
        <v>2</v>
      </c>
      <c r="C1047" s="72" t="s">
        <v>129</v>
      </c>
      <c r="D1047" s="44">
        <f t="shared" si="151"/>
        <v>43832</v>
      </c>
      <c r="E1047" s="38">
        <v>5.9584999999999999</v>
      </c>
      <c r="F1047" s="39">
        <v>509.1</v>
      </c>
      <c r="G1047" s="33">
        <f t="shared" si="156"/>
        <v>3029.5013700000004</v>
      </c>
      <c r="H1047" s="33">
        <f t="shared" si="155"/>
        <v>2873.1063340000001</v>
      </c>
      <c r="I1047" s="33">
        <f t="shared" si="149"/>
        <v>3028.2184380000003</v>
      </c>
      <c r="J1047" s="33">
        <f t="shared" si="152"/>
        <v>2833.79315</v>
      </c>
      <c r="K1047" s="33">
        <f t="shared" si="148"/>
        <v>2833.76</v>
      </c>
      <c r="L1047" s="59">
        <f t="shared" si="153"/>
        <v>1.3884850516628027E-2</v>
      </c>
      <c r="M1047" s="60" t="str">
        <f t="shared" si="154"/>
        <v/>
      </c>
      <c r="N1047" s="76">
        <f t="shared" si="157"/>
        <v>476.20616061975903</v>
      </c>
    </row>
    <row r="1048" spans="2:14" x14ac:dyDescent="0.55000000000000004">
      <c r="B1048" s="35">
        <f t="shared" si="158"/>
        <v>3</v>
      </c>
      <c r="C1048" s="72" t="s">
        <v>129</v>
      </c>
      <c r="D1048" s="44">
        <f t="shared" si="151"/>
        <v>43833</v>
      </c>
      <c r="E1048" s="38">
        <v>5.9733999999999998</v>
      </c>
      <c r="F1048" s="39">
        <f t="shared" si="150"/>
        <v>509.1</v>
      </c>
      <c r="G1048" s="33">
        <f t="shared" si="156"/>
        <v>3033.47235</v>
      </c>
      <c r="H1048" s="33">
        <f t="shared" si="155"/>
        <v>2913.633034</v>
      </c>
      <c r="I1048" s="33">
        <f t="shared" si="149"/>
        <v>3030.0104700000006</v>
      </c>
      <c r="J1048" s="33">
        <f t="shared" si="152"/>
        <v>2833.79315</v>
      </c>
      <c r="K1048" s="33">
        <f t="shared" si="148"/>
        <v>2833.76</v>
      </c>
      <c r="L1048" s="59">
        <f t="shared" si="153"/>
        <v>2.8186238072384299E-2</v>
      </c>
      <c r="M1048" s="60" t="str">
        <f t="shared" si="154"/>
        <v/>
      </c>
      <c r="N1048" s="76">
        <f t="shared" si="157"/>
        <v>475.58278090123355</v>
      </c>
    </row>
    <row r="1049" spans="2:14" x14ac:dyDescent="0.55000000000000004">
      <c r="B1049" s="35">
        <f t="shared" si="158"/>
        <v>6</v>
      </c>
      <c r="C1049" s="72" t="s">
        <v>129</v>
      </c>
      <c r="D1049" s="44">
        <f t="shared" si="151"/>
        <v>43836</v>
      </c>
      <c r="E1049" s="38">
        <v>5.9766000000000004</v>
      </c>
      <c r="F1049" s="39">
        <f t="shared" si="150"/>
        <v>509.1</v>
      </c>
      <c r="G1049" s="33">
        <f t="shared" si="156"/>
        <v>3041.0579400000001</v>
      </c>
      <c r="H1049" s="33">
        <f t="shared" si="155"/>
        <v>2955.028812</v>
      </c>
      <c r="I1049" s="33">
        <f t="shared" si="149"/>
        <v>3032.6272439999998</v>
      </c>
      <c r="J1049" s="33">
        <f t="shared" si="152"/>
        <v>3041.0579400000001</v>
      </c>
      <c r="K1049" s="33">
        <f t="shared" si="148"/>
        <v>2833.76</v>
      </c>
      <c r="L1049" s="59">
        <f t="shared" si="153"/>
        <v>4.2794312856416841E-2</v>
      </c>
      <c r="M1049" s="60">
        <f t="shared" si="154"/>
        <v>207.29793999999993</v>
      </c>
      <c r="N1049" s="76">
        <f t="shared" si="157"/>
        <v>474.39649111059032</v>
      </c>
    </row>
    <row r="1050" spans="2:14" x14ac:dyDescent="0.55000000000000004">
      <c r="B1050" s="35">
        <f t="shared" si="158"/>
        <v>7</v>
      </c>
      <c r="C1050" s="72" t="s">
        <v>129</v>
      </c>
      <c r="D1050" s="44">
        <f t="shared" si="151"/>
        <v>43837</v>
      </c>
      <c r="E1050" s="38">
        <v>5.9701000000000004</v>
      </c>
      <c r="F1050" s="39">
        <f t="shared" si="150"/>
        <v>509.1</v>
      </c>
      <c r="G1050" s="33">
        <f t="shared" si="156"/>
        <v>3042.6870600000002</v>
      </c>
      <c r="H1050" s="33">
        <f t="shared" si="155"/>
        <v>3042.6870600000002</v>
      </c>
      <c r="I1050" s="33">
        <f t="shared" si="149"/>
        <v>3035.2440180000003</v>
      </c>
      <c r="J1050" s="33">
        <f t="shared" si="152"/>
        <v>3041.0579400000001</v>
      </c>
      <c r="K1050" s="33">
        <f t="shared" si="148"/>
        <v>3041.0579400000001</v>
      </c>
      <c r="L1050" s="59">
        <f t="shared" si="153"/>
        <v>5.3570830682695152E-4</v>
      </c>
      <c r="M1050" s="60" t="str">
        <f t="shared" si="154"/>
        <v/>
      </c>
      <c r="N1050" s="76">
        <f t="shared" si="157"/>
        <v>508.82741692601144</v>
      </c>
    </row>
    <row r="1051" spans="2:14" x14ac:dyDescent="0.55000000000000004">
      <c r="B1051" s="35">
        <f t="shared" si="158"/>
        <v>8</v>
      </c>
      <c r="C1051" s="72" t="s">
        <v>129</v>
      </c>
      <c r="D1051" s="44">
        <f t="shared" si="151"/>
        <v>43838</v>
      </c>
      <c r="E1051" s="38">
        <v>5.9679000000000002</v>
      </c>
      <c r="F1051" s="39">
        <f t="shared" si="150"/>
        <v>509.1</v>
      </c>
      <c r="G1051" s="33">
        <f t="shared" si="156"/>
        <v>3039.3779100000002</v>
      </c>
      <c r="H1051" s="33">
        <f t="shared" si="155"/>
        <v>3041.0324850000002</v>
      </c>
      <c r="I1051" s="33">
        <f t="shared" si="149"/>
        <v>3037.2193260000008</v>
      </c>
      <c r="J1051" s="33">
        <f t="shared" si="152"/>
        <v>3041.0579400000001</v>
      </c>
      <c r="K1051" s="33">
        <f t="shared" si="148"/>
        <v>3041.0579400000001</v>
      </c>
      <c r="L1051" s="59">
        <f t="shared" si="153"/>
        <v>-8.3704422941594352E-6</v>
      </c>
      <c r="M1051" s="60" t="str">
        <f t="shared" si="154"/>
        <v/>
      </c>
      <c r="N1051" s="76">
        <f t="shared" si="157"/>
        <v>509.38140734661062</v>
      </c>
    </row>
    <row r="1052" spans="2:14" x14ac:dyDescent="0.55000000000000004">
      <c r="B1052" s="35">
        <f t="shared" si="158"/>
        <v>9</v>
      </c>
      <c r="C1052" s="72" t="s">
        <v>129</v>
      </c>
      <c r="D1052" s="44">
        <f t="shared" si="151"/>
        <v>43839</v>
      </c>
      <c r="E1052" s="38">
        <v>5.8916000000000004</v>
      </c>
      <c r="F1052" s="39">
        <f t="shared" si="150"/>
        <v>509.1</v>
      </c>
      <c r="G1052" s="33">
        <f t="shared" si="156"/>
        <v>3038.2578900000003</v>
      </c>
      <c r="H1052" s="33">
        <f t="shared" si="155"/>
        <v>3040.1076200000002</v>
      </c>
      <c r="I1052" s="33">
        <f t="shared" si="149"/>
        <v>3038.9706299999998</v>
      </c>
      <c r="J1052" s="33">
        <f t="shared" si="152"/>
        <v>3041.0579400000001</v>
      </c>
      <c r="K1052" s="33">
        <f t="shared" si="148"/>
        <v>3041.0579400000001</v>
      </c>
      <c r="L1052" s="59">
        <f t="shared" si="153"/>
        <v>-3.1249651231568434E-4</v>
      </c>
      <c r="M1052" s="60" t="str">
        <f t="shared" si="154"/>
        <v/>
      </c>
      <c r="N1052" s="76">
        <f t="shared" si="157"/>
        <v>509.5691851405017</v>
      </c>
    </row>
    <row r="1053" spans="2:14" x14ac:dyDescent="0.55000000000000004">
      <c r="B1053" s="35">
        <f t="shared" si="158"/>
        <v>10</v>
      </c>
      <c r="C1053" s="72" t="s">
        <v>129</v>
      </c>
      <c r="D1053" s="44">
        <f t="shared" si="151"/>
        <v>43840</v>
      </c>
      <c r="E1053" s="38">
        <v>5.8818999999999999</v>
      </c>
      <c r="F1053" s="39">
        <f t="shared" si="150"/>
        <v>509.1</v>
      </c>
      <c r="G1053" s="33">
        <f t="shared" si="156"/>
        <v>2999.4135600000004</v>
      </c>
      <c r="H1053" s="33">
        <f t="shared" si="155"/>
        <v>3029.9341050000003</v>
      </c>
      <c r="I1053" s="33">
        <f t="shared" si="149"/>
        <v>3032.158872</v>
      </c>
      <c r="J1053" s="33">
        <f t="shared" si="152"/>
        <v>3041.0579400000001</v>
      </c>
      <c r="K1053" s="33">
        <f t="shared" ref="K1053:K1116" si="159">IF(L1052&gt;3%,G1052,IF(L1052&lt;-3%,G1052,K1052))</f>
        <v>3041.0579400000001</v>
      </c>
      <c r="L1053" s="59">
        <f t="shared" si="153"/>
        <v>-3.6578832825526078E-3</v>
      </c>
      <c r="M1053" s="60" t="str">
        <f t="shared" si="154"/>
        <v/>
      </c>
      <c r="N1053" s="76">
        <f t="shared" si="157"/>
        <v>516.16843302328743</v>
      </c>
    </row>
    <row r="1054" spans="2:14" x14ac:dyDescent="0.55000000000000004">
      <c r="B1054" s="35">
        <f t="shared" si="158"/>
        <v>13</v>
      </c>
      <c r="C1054" s="72" t="s">
        <v>129</v>
      </c>
      <c r="D1054" s="44">
        <f t="shared" si="151"/>
        <v>43843</v>
      </c>
      <c r="E1054" s="38">
        <v>5.8635000000000002</v>
      </c>
      <c r="F1054" s="39">
        <f t="shared" si="150"/>
        <v>509.1</v>
      </c>
      <c r="G1054" s="33">
        <f t="shared" si="156"/>
        <v>2994.4752899999999</v>
      </c>
      <c r="H1054" s="33">
        <f t="shared" si="155"/>
        <v>3022.8423420000004</v>
      </c>
      <c r="I1054" s="33">
        <f t="shared" si="149"/>
        <v>3022.8423419999999</v>
      </c>
      <c r="J1054" s="33">
        <f t="shared" si="152"/>
        <v>3041.0579400000001</v>
      </c>
      <c r="K1054" s="33">
        <f t="shared" si="159"/>
        <v>3041.0579400000001</v>
      </c>
      <c r="L1054" s="59">
        <f t="shared" si="153"/>
        <v>-5.9898885057085667E-3</v>
      </c>
      <c r="M1054" s="60" t="str">
        <f t="shared" si="154"/>
        <v/>
      </c>
      <c r="N1054" s="76">
        <f t="shared" si="157"/>
        <v>517.01966031384416</v>
      </c>
    </row>
    <row r="1055" spans="2:14" x14ac:dyDescent="0.55000000000000004">
      <c r="B1055" s="35">
        <f t="shared" si="158"/>
        <v>14</v>
      </c>
      <c r="C1055" s="72" t="s">
        <v>129</v>
      </c>
      <c r="D1055" s="44">
        <f t="shared" si="151"/>
        <v>43844</v>
      </c>
      <c r="E1055" s="38">
        <v>5.8917000000000002</v>
      </c>
      <c r="F1055" s="39">
        <f t="shared" si="150"/>
        <v>509.1</v>
      </c>
      <c r="G1055" s="33">
        <f t="shared" si="156"/>
        <v>2985.1078500000003</v>
      </c>
      <c r="H1055" s="33">
        <f t="shared" si="155"/>
        <v>3011.3265000000001</v>
      </c>
      <c r="I1055" s="33">
        <f t="shared" si="149"/>
        <v>3011.3265000000006</v>
      </c>
      <c r="J1055" s="33">
        <f t="shared" si="152"/>
        <v>3041.0579400000001</v>
      </c>
      <c r="K1055" s="33">
        <f t="shared" si="159"/>
        <v>3041.0579400000001</v>
      </c>
      <c r="L1055" s="59">
        <f t="shared" si="153"/>
        <v>-9.776676599591529E-3</v>
      </c>
      <c r="M1055" s="60" t="str">
        <f t="shared" si="154"/>
        <v/>
      </c>
      <c r="N1055" s="76">
        <f t="shared" si="157"/>
        <v>518.64209772320282</v>
      </c>
    </row>
    <row r="1056" spans="2:14" x14ac:dyDescent="0.55000000000000004">
      <c r="B1056" s="35">
        <f t="shared" si="158"/>
        <v>15</v>
      </c>
      <c r="C1056" s="72" t="s">
        <v>129</v>
      </c>
      <c r="D1056" s="44">
        <f t="shared" si="151"/>
        <v>43845</v>
      </c>
      <c r="E1056" s="38">
        <v>5.8933</v>
      </c>
      <c r="F1056" s="39">
        <f t="shared" si="150"/>
        <v>509.1</v>
      </c>
      <c r="G1056" s="33">
        <f t="shared" si="156"/>
        <v>2999.4644700000003</v>
      </c>
      <c r="H1056" s="33">
        <f t="shared" si="155"/>
        <v>3003.3438120000001</v>
      </c>
      <c r="I1056" s="33">
        <f t="shared" si="149"/>
        <v>3003.3438120000005</v>
      </c>
      <c r="J1056" s="33">
        <f t="shared" si="152"/>
        <v>3041.0579400000001</v>
      </c>
      <c r="K1056" s="33">
        <f t="shared" si="159"/>
        <v>3041.0579400000001</v>
      </c>
      <c r="L1056" s="59">
        <f t="shared" si="153"/>
        <v>-1.2401647303043516E-2</v>
      </c>
      <c r="M1056" s="60" t="str">
        <f t="shared" si="154"/>
        <v/>
      </c>
      <c r="N1056" s="76">
        <f t="shared" si="157"/>
        <v>516.15967208106315</v>
      </c>
    </row>
    <row r="1057" spans="2:16" x14ac:dyDescent="0.55000000000000004">
      <c r="B1057" s="35">
        <f t="shared" si="158"/>
        <v>16</v>
      </c>
      <c r="C1057" s="72" t="s">
        <v>129</v>
      </c>
      <c r="D1057" s="44">
        <f t="shared" si="151"/>
        <v>43846</v>
      </c>
      <c r="E1057" s="38">
        <v>5.8789999999999996</v>
      </c>
      <c r="F1057" s="39">
        <f t="shared" si="150"/>
        <v>509.1</v>
      </c>
      <c r="G1057" s="33">
        <f t="shared" si="156"/>
        <v>3000.2790300000001</v>
      </c>
      <c r="H1057" s="33">
        <f t="shared" si="155"/>
        <v>2995.7480399999999</v>
      </c>
      <c r="I1057" s="33">
        <f t="shared" si="149"/>
        <v>2995.7480400000004</v>
      </c>
      <c r="J1057" s="33">
        <f t="shared" si="152"/>
        <v>3041.0579400000001</v>
      </c>
      <c r="K1057" s="33">
        <f t="shared" si="159"/>
        <v>3041.0579400000001</v>
      </c>
      <c r="L1057" s="59">
        <f t="shared" si="153"/>
        <v>-1.4899387283624131E-2</v>
      </c>
      <c r="M1057" s="60" t="str">
        <f t="shared" si="154"/>
        <v/>
      </c>
      <c r="N1057" s="76">
        <f t="shared" si="157"/>
        <v>516.01953744082266</v>
      </c>
    </row>
    <row r="1058" spans="2:16" x14ac:dyDescent="0.55000000000000004">
      <c r="B1058" s="35">
        <f t="shared" si="158"/>
        <v>17</v>
      </c>
      <c r="C1058" s="72" t="s">
        <v>129</v>
      </c>
      <c r="D1058" s="44">
        <f t="shared" si="151"/>
        <v>43847</v>
      </c>
      <c r="E1058" s="38">
        <v>5.867</v>
      </c>
      <c r="F1058" s="39">
        <f t="shared" si="150"/>
        <v>509.1</v>
      </c>
      <c r="G1058" s="33">
        <f t="shared" si="156"/>
        <v>2992.9989</v>
      </c>
      <c r="H1058" s="33">
        <f t="shared" si="155"/>
        <v>2994.4651080000003</v>
      </c>
      <c r="I1058" s="33">
        <f t="shared" ref="I1058:I1121" si="160">F1058*AVERAGE(E1053:E1057)</f>
        <v>2994.4651079999999</v>
      </c>
      <c r="J1058" s="33">
        <f t="shared" si="152"/>
        <v>3041.0579400000001</v>
      </c>
      <c r="K1058" s="33">
        <f t="shared" si="159"/>
        <v>3041.0579400000001</v>
      </c>
      <c r="L1058" s="59">
        <f t="shared" si="153"/>
        <v>-1.5321257575250215E-2</v>
      </c>
      <c r="M1058" s="60" t="str">
        <f t="shared" si="154"/>
        <v/>
      </c>
      <c r="N1058" s="76">
        <f t="shared" si="157"/>
        <v>517.27469637693491</v>
      </c>
    </row>
    <row r="1059" spans="2:16" x14ac:dyDescent="0.55000000000000004">
      <c r="B1059" s="35">
        <f t="shared" si="158"/>
        <v>20</v>
      </c>
      <c r="C1059" s="72" t="s">
        <v>129</v>
      </c>
      <c r="D1059" s="44">
        <f t="shared" si="151"/>
        <v>43850</v>
      </c>
      <c r="E1059" s="38">
        <v>5.9085000000000001</v>
      </c>
      <c r="F1059" s="39">
        <f t="shared" si="150"/>
        <v>509.1</v>
      </c>
      <c r="G1059" s="33">
        <f t="shared" si="156"/>
        <v>2986.8897000000002</v>
      </c>
      <c r="H1059" s="33">
        <f t="shared" si="155"/>
        <v>2992.9479900000001</v>
      </c>
      <c r="I1059" s="33">
        <f t="shared" si="160"/>
        <v>2992.9479900000001</v>
      </c>
      <c r="J1059" s="33">
        <f t="shared" si="152"/>
        <v>3041.0579400000001</v>
      </c>
      <c r="K1059" s="33">
        <f t="shared" si="159"/>
        <v>3041.0579400000001</v>
      </c>
      <c r="L1059" s="59">
        <f t="shared" si="153"/>
        <v>-1.5820135935982867E-2</v>
      </c>
      <c r="M1059" s="60" t="str">
        <f t="shared" si="154"/>
        <v/>
      </c>
      <c r="N1059" s="76">
        <f t="shared" si="157"/>
        <v>518.332698142151</v>
      </c>
    </row>
    <row r="1060" spans="2:16" x14ac:dyDescent="0.55000000000000004">
      <c r="B1060" s="35">
        <f t="shared" si="158"/>
        <v>21</v>
      </c>
      <c r="C1060" s="72" t="s">
        <v>129</v>
      </c>
      <c r="D1060" s="44">
        <f t="shared" si="151"/>
        <v>43851</v>
      </c>
      <c r="E1060" s="38">
        <v>5.9297000000000004</v>
      </c>
      <c r="F1060" s="39">
        <f t="shared" si="150"/>
        <v>509.1</v>
      </c>
      <c r="G1060" s="33">
        <f t="shared" si="156"/>
        <v>3008.0173500000001</v>
      </c>
      <c r="H1060" s="33">
        <f t="shared" si="155"/>
        <v>2997.5298900000003</v>
      </c>
      <c r="I1060" s="33">
        <f t="shared" si="160"/>
        <v>2997.5298900000003</v>
      </c>
      <c r="J1060" s="33">
        <f t="shared" si="152"/>
        <v>3041.0579400000001</v>
      </c>
      <c r="K1060" s="33">
        <f t="shared" si="159"/>
        <v>3041.0579400000001</v>
      </c>
      <c r="L1060" s="59">
        <f t="shared" si="153"/>
        <v>-1.4313456323032074E-2</v>
      </c>
      <c r="M1060" s="60" t="str">
        <f t="shared" si="154"/>
        <v/>
      </c>
      <c r="N1060" s="76">
        <f t="shared" si="157"/>
        <v>514.69204366590509</v>
      </c>
    </row>
    <row r="1061" spans="2:16" x14ac:dyDescent="0.55000000000000004">
      <c r="B1061" s="35">
        <f t="shared" si="158"/>
        <v>22</v>
      </c>
      <c r="C1061" s="72" t="s">
        <v>129</v>
      </c>
      <c r="D1061" s="44">
        <f t="shared" si="151"/>
        <v>43852</v>
      </c>
      <c r="E1061" s="38">
        <v>5.94</v>
      </c>
      <c r="F1061" s="39">
        <f t="shared" si="150"/>
        <v>509.1</v>
      </c>
      <c r="G1061" s="33">
        <f t="shared" si="156"/>
        <v>3018.8102700000004</v>
      </c>
      <c r="H1061" s="33">
        <f t="shared" si="155"/>
        <v>3001.39905</v>
      </c>
      <c r="I1061" s="33">
        <f t="shared" si="160"/>
        <v>3001.3990500000004</v>
      </c>
      <c r="J1061" s="33">
        <f t="shared" si="152"/>
        <v>3041.0579400000001</v>
      </c>
      <c r="K1061" s="33">
        <f t="shared" si="159"/>
        <v>3041.0579400000001</v>
      </c>
      <c r="L1061" s="59">
        <f t="shared" si="153"/>
        <v>-1.3041149094318194E-2</v>
      </c>
      <c r="M1061" s="60" t="str">
        <f t="shared" si="154"/>
        <v/>
      </c>
      <c r="N1061" s="76">
        <f t="shared" si="157"/>
        <v>512.8519048181189</v>
      </c>
    </row>
    <row r="1062" spans="2:16" x14ac:dyDescent="0.55000000000000004">
      <c r="B1062" s="35">
        <f t="shared" si="158"/>
        <v>23</v>
      </c>
      <c r="C1062" s="72" t="s">
        <v>129</v>
      </c>
      <c r="D1062" s="44">
        <f t="shared" si="151"/>
        <v>43853</v>
      </c>
      <c r="E1062" s="38">
        <v>5.9259000000000004</v>
      </c>
      <c r="F1062" s="39">
        <f t="shared" si="150"/>
        <v>509.1</v>
      </c>
      <c r="G1062" s="33">
        <f t="shared" si="156"/>
        <v>3024.0540000000005</v>
      </c>
      <c r="H1062" s="33">
        <f t="shared" si="155"/>
        <v>3006.1540439999999</v>
      </c>
      <c r="I1062" s="33">
        <f t="shared" si="160"/>
        <v>3006.1540440000003</v>
      </c>
      <c r="J1062" s="33">
        <f t="shared" si="152"/>
        <v>3041.0579400000001</v>
      </c>
      <c r="K1062" s="33">
        <f t="shared" si="159"/>
        <v>3041.0579400000001</v>
      </c>
      <c r="L1062" s="59">
        <f t="shared" si="153"/>
        <v>-1.1477550473767119E-2</v>
      </c>
      <c r="M1062" s="60" t="str">
        <f t="shared" si="154"/>
        <v/>
      </c>
      <c r="N1062" s="76">
        <f t="shared" si="157"/>
        <v>511.96261616161615</v>
      </c>
    </row>
    <row r="1063" spans="2:16" x14ac:dyDescent="0.55000000000000004">
      <c r="B1063" s="35">
        <f t="shared" si="158"/>
        <v>24</v>
      </c>
      <c r="C1063" s="72" t="s">
        <v>129</v>
      </c>
      <c r="D1063" s="44">
        <f t="shared" si="151"/>
        <v>43854</v>
      </c>
      <c r="E1063" s="38">
        <v>5.9394</v>
      </c>
      <c r="F1063" s="39">
        <f t="shared" si="150"/>
        <v>509.1</v>
      </c>
      <c r="G1063" s="33">
        <f t="shared" si="156"/>
        <v>3016.8756900000003</v>
      </c>
      <c r="H1063" s="33">
        <f t="shared" si="155"/>
        <v>3010.9294020000002</v>
      </c>
      <c r="I1063" s="33">
        <f t="shared" si="160"/>
        <v>3010.9294020000002</v>
      </c>
      <c r="J1063" s="33">
        <f t="shared" si="152"/>
        <v>3041.0579400000001</v>
      </c>
      <c r="K1063" s="33">
        <f t="shared" si="159"/>
        <v>3041.0579400000001</v>
      </c>
      <c r="L1063" s="59">
        <f t="shared" si="153"/>
        <v>-9.9072554993805649E-3</v>
      </c>
      <c r="M1063" s="60" t="str">
        <f t="shared" si="154"/>
        <v/>
      </c>
      <c r="N1063" s="76">
        <f t="shared" si="157"/>
        <v>513.18077254087984</v>
      </c>
    </row>
    <row r="1064" spans="2:16" x14ac:dyDescent="0.55000000000000004">
      <c r="B1064" s="35">
        <f t="shared" si="158"/>
        <v>27</v>
      </c>
      <c r="C1064" s="72" t="s">
        <v>129</v>
      </c>
      <c r="D1064" s="44">
        <f t="shared" si="151"/>
        <v>43857</v>
      </c>
      <c r="E1064" s="38">
        <v>5.9478</v>
      </c>
      <c r="F1064" s="39">
        <f t="shared" si="150"/>
        <v>509.1</v>
      </c>
      <c r="G1064" s="33">
        <f t="shared" si="156"/>
        <v>3023.74854</v>
      </c>
      <c r="H1064" s="33">
        <f t="shared" si="155"/>
        <v>3018.3011700000002</v>
      </c>
      <c r="I1064" s="33">
        <f t="shared" si="160"/>
        <v>3018.3011700000006</v>
      </c>
      <c r="J1064" s="33">
        <f t="shared" si="152"/>
        <v>3041.0579400000001</v>
      </c>
      <c r="K1064" s="33">
        <f t="shared" si="159"/>
        <v>3041.0579400000001</v>
      </c>
      <c r="L1064" s="59">
        <f t="shared" si="153"/>
        <v>-7.483175410988703E-3</v>
      </c>
      <c r="M1064" s="60" t="str">
        <f t="shared" si="154"/>
        <v/>
      </c>
      <c r="N1064" s="76">
        <f t="shared" si="157"/>
        <v>512.01433478129104</v>
      </c>
    </row>
    <row r="1065" spans="2:16" x14ac:dyDescent="0.55000000000000004">
      <c r="B1065" s="35">
        <f t="shared" si="158"/>
        <v>28</v>
      </c>
      <c r="C1065" s="72" t="s">
        <v>129</v>
      </c>
      <c r="D1065" s="44">
        <f t="shared" si="151"/>
        <v>43858</v>
      </c>
      <c r="E1065" s="38">
        <v>5.9440999999999997</v>
      </c>
      <c r="F1065" s="39">
        <f t="shared" si="150"/>
        <v>509.1</v>
      </c>
      <c r="G1065" s="33">
        <f t="shared" si="156"/>
        <v>3028.0249800000001</v>
      </c>
      <c r="H1065" s="33">
        <f t="shared" si="155"/>
        <v>3022.3026960000002</v>
      </c>
      <c r="I1065" s="33">
        <f t="shared" si="160"/>
        <v>3022.3026960000002</v>
      </c>
      <c r="J1065" s="33">
        <f t="shared" si="152"/>
        <v>3041.0579400000001</v>
      </c>
      <c r="K1065" s="33">
        <f t="shared" si="159"/>
        <v>3041.0579400000001</v>
      </c>
      <c r="L1065" s="59">
        <f t="shared" si="153"/>
        <v>-6.1673418823450458E-3</v>
      </c>
      <c r="M1065" s="60" t="str">
        <f t="shared" si="154"/>
        <v/>
      </c>
      <c r="N1065" s="76">
        <f t="shared" si="157"/>
        <v>511.29122364571776</v>
      </c>
    </row>
    <row r="1066" spans="2:16" x14ac:dyDescent="0.55000000000000004">
      <c r="B1066" s="35">
        <f t="shared" si="158"/>
        <v>29</v>
      </c>
      <c r="C1066" s="72" t="s">
        <v>129</v>
      </c>
      <c r="D1066" s="44">
        <f t="shared" si="151"/>
        <v>43859</v>
      </c>
      <c r="E1066" s="38">
        <v>5.9512</v>
      </c>
      <c r="F1066" s="39">
        <f t="shared" ref="F1066:F1129" si="161">F1065</f>
        <v>509.1</v>
      </c>
      <c r="G1066" s="33">
        <f t="shared" si="156"/>
        <v>3026.14131</v>
      </c>
      <c r="H1066" s="33">
        <f t="shared" si="155"/>
        <v>3023.7689040000005</v>
      </c>
      <c r="I1066" s="33">
        <f t="shared" si="160"/>
        <v>3023.768904</v>
      </c>
      <c r="J1066" s="33">
        <f t="shared" si="152"/>
        <v>3041.0579400000001</v>
      </c>
      <c r="K1066" s="33">
        <f t="shared" si="159"/>
        <v>3041.0579400000001</v>
      </c>
      <c r="L1066" s="59">
        <f t="shared" si="153"/>
        <v>-5.6852044062007147E-3</v>
      </c>
      <c r="M1066" s="60" t="str">
        <f t="shared" si="154"/>
        <v/>
      </c>
      <c r="N1066" s="76">
        <f t="shared" si="157"/>
        <v>511.60948503558154</v>
      </c>
    </row>
    <row r="1067" spans="2:16" x14ac:dyDescent="0.55000000000000004">
      <c r="B1067" s="35">
        <f t="shared" si="158"/>
        <v>30</v>
      </c>
      <c r="C1067" s="72" t="s">
        <v>129</v>
      </c>
      <c r="D1067" s="44">
        <f t="shared" si="151"/>
        <v>43860</v>
      </c>
      <c r="E1067" s="38">
        <v>5.9824000000000002</v>
      </c>
      <c r="F1067" s="39">
        <f t="shared" si="161"/>
        <v>509.1</v>
      </c>
      <c r="G1067" s="33">
        <f t="shared" si="156"/>
        <v>3029.7559200000001</v>
      </c>
      <c r="H1067" s="33">
        <f t="shared" si="155"/>
        <v>3024.9092879999998</v>
      </c>
      <c r="I1067" s="33">
        <f t="shared" si="160"/>
        <v>3024.9092879999998</v>
      </c>
      <c r="J1067" s="33">
        <f t="shared" si="152"/>
        <v>3041.0579400000001</v>
      </c>
      <c r="K1067" s="33">
        <f t="shared" si="159"/>
        <v>3041.0579400000001</v>
      </c>
      <c r="L1067" s="59">
        <f t="shared" si="153"/>
        <v>-5.3102085914220731E-3</v>
      </c>
      <c r="M1067" s="60" t="str">
        <f t="shared" si="154"/>
        <v/>
      </c>
      <c r="N1067" s="76">
        <f t="shared" si="157"/>
        <v>510.9991161446431</v>
      </c>
    </row>
    <row r="1068" spans="2:16" x14ac:dyDescent="0.55000000000000004">
      <c r="B1068" s="35">
        <f t="shared" si="158"/>
        <v>31</v>
      </c>
      <c r="C1068" s="72" t="s">
        <v>129</v>
      </c>
      <c r="D1068" s="44">
        <f t="shared" si="151"/>
        <v>43861</v>
      </c>
      <c r="E1068" s="38">
        <v>5.9832999999999998</v>
      </c>
      <c r="F1068" s="39">
        <f t="shared" si="161"/>
        <v>509.1</v>
      </c>
      <c r="G1068" s="33">
        <f t="shared" si="156"/>
        <v>3045.6398400000003</v>
      </c>
      <c r="H1068" s="33">
        <f t="shared" si="155"/>
        <v>3030.6621180000002</v>
      </c>
      <c r="I1068" s="33">
        <f t="shared" si="160"/>
        <v>3030.6621179999997</v>
      </c>
      <c r="J1068" s="33">
        <f t="shared" si="152"/>
        <v>3041.0579400000001</v>
      </c>
      <c r="K1068" s="33">
        <f t="shared" si="159"/>
        <v>3041.0579400000001</v>
      </c>
      <c r="L1068" s="59">
        <f t="shared" si="153"/>
        <v>-3.4184886329393488E-3</v>
      </c>
      <c r="M1068" s="60" t="str">
        <f t="shared" si="154"/>
        <v/>
      </c>
      <c r="N1068" s="76">
        <f t="shared" si="157"/>
        <v>508.33410336988499</v>
      </c>
    </row>
    <row r="1069" spans="2:16" ht="14.7" thickBot="1" x14ac:dyDescent="0.6">
      <c r="B1069" s="35">
        <f t="shared" si="158"/>
        <v>3</v>
      </c>
      <c r="C1069" s="72" t="s">
        <v>130</v>
      </c>
      <c r="D1069" s="44">
        <f t="shared" si="151"/>
        <v>43864</v>
      </c>
      <c r="E1069" s="38">
        <v>5.9863</v>
      </c>
      <c r="F1069" s="39">
        <v>484</v>
      </c>
      <c r="G1069" s="33">
        <f t="shared" si="156"/>
        <v>2895.9171999999999</v>
      </c>
      <c r="H1069" s="33">
        <f t="shared" si="155"/>
        <v>3005.0958500000002</v>
      </c>
      <c r="I1069" s="33">
        <f t="shared" si="160"/>
        <v>2885.4918400000001</v>
      </c>
      <c r="J1069" s="33">
        <f t="shared" si="152"/>
        <v>3041.0579400000001</v>
      </c>
      <c r="K1069" s="33">
        <f t="shared" si="159"/>
        <v>3041.0579400000001</v>
      </c>
      <c r="L1069" s="59">
        <f t="shared" si="153"/>
        <v>-1.1825519509832157E-2</v>
      </c>
      <c r="M1069" s="60" t="str">
        <f t="shared" si="154"/>
        <v/>
      </c>
      <c r="N1069" s="76">
        <f t="shared" si="157"/>
        <v>508.25764043253724</v>
      </c>
    </row>
    <row r="1070" spans="2:16" ht="14.7" thickBot="1" x14ac:dyDescent="0.6">
      <c r="B1070" s="35">
        <f t="shared" si="158"/>
        <v>4</v>
      </c>
      <c r="C1070" s="72" t="s">
        <v>130</v>
      </c>
      <c r="D1070" s="44">
        <f t="shared" si="151"/>
        <v>43865</v>
      </c>
      <c r="E1070" s="38">
        <v>5.9821999999999997</v>
      </c>
      <c r="F1070" s="39">
        <f t="shared" si="161"/>
        <v>484</v>
      </c>
      <c r="G1070" s="33">
        <f t="shared" si="156"/>
        <v>2897.3692000000001</v>
      </c>
      <c r="H1070" s="33">
        <f t="shared" si="155"/>
        <v>2978.9646939999998</v>
      </c>
      <c r="I1070" s="33">
        <f t="shared" si="160"/>
        <v>2889.2186400000001</v>
      </c>
      <c r="J1070" s="33">
        <f t="shared" si="152"/>
        <v>3041.0579400000001</v>
      </c>
      <c r="K1070" s="33">
        <f t="shared" si="159"/>
        <v>3041.0579400000001</v>
      </c>
      <c r="L1070" s="59">
        <f t="shared" si="153"/>
        <v>-2.0418304164241067E-2</v>
      </c>
      <c r="M1070" s="60" t="str">
        <f t="shared" si="154"/>
        <v/>
      </c>
      <c r="N1070" s="76">
        <f t="shared" si="157"/>
        <v>508.0029300235538</v>
      </c>
      <c r="P1070" s="77" t="s">
        <v>131</v>
      </c>
    </row>
    <row r="1071" spans="2:16" ht="14.7" thickBot="1" x14ac:dyDescent="0.6">
      <c r="B1071" s="35">
        <f t="shared" si="158"/>
        <v>5</v>
      </c>
      <c r="C1071" s="72" t="s">
        <v>130</v>
      </c>
      <c r="D1071" s="44">
        <f t="shared" si="151"/>
        <v>43866</v>
      </c>
      <c r="E1071" s="38">
        <v>5.9866999999999999</v>
      </c>
      <c r="F1071" s="39">
        <f t="shared" si="161"/>
        <v>484</v>
      </c>
      <c r="G1071" s="33">
        <f t="shared" si="156"/>
        <v>2895.3847999999998</v>
      </c>
      <c r="H1071" s="33">
        <f t="shared" si="155"/>
        <v>2952.813392</v>
      </c>
      <c r="I1071" s="33">
        <f t="shared" si="160"/>
        <v>2892.9067199999995</v>
      </c>
      <c r="J1071" s="33">
        <f t="shared" si="152"/>
        <v>3041.0579400000001</v>
      </c>
      <c r="K1071" s="33">
        <f t="shared" si="159"/>
        <v>3041.0579400000001</v>
      </c>
      <c r="L1071" s="59">
        <f t="shared" si="153"/>
        <v>-2.901771348690585E-2</v>
      </c>
      <c r="M1071" s="60" t="str">
        <f t="shared" si="154"/>
        <v/>
      </c>
      <c r="N1071" s="76">
        <f t="shared" si="157"/>
        <v>508.35109825816596</v>
      </c>
      <c r="P1071" s="78">
        <v>4466.28</v>
      </c>
    </row>
    <row r="1072" spans="2:16" x14ac:dyDescent="0.55000000000000004">
      <c r="B1072" s="35">
        <f t="shared" si="158"/>
        <v>6</v>
      </c>
      <c r="C1072" s="72" t="s">
        <v>130</v>
      </c>
      <c r="D1072" s="44">
        <f t="shared" si="151"/>
        <v>43867</v>
      </c>
      <c r="E1072" s="38">
        <v>5.9890999999999996</v>
      </c>
      <c r="F1072" s="39">
        <f t="shared" si="161"/>
        <v>484</v>
      </c>
      <c r="G1072" s="33">
        <f t="shared" si="156"/>
        <v>2897.5628000000002</v>
      </c>
      <c r="H1072" s="33">
        <f t="shared" si="155"/>
        <v>2926.3747680000001</v>
      </c>
      <c r="I1072" s="33">
        <f t="shared" si="160"/>
        <v>2896.3431199999995</v>
      </c>
      <c r="J1072" s="33">
        <f t="shared" si="152"/>
        <v>2897.5628000000002</v>
      </c>
      <c r="K1072" s="33">
        <f t="shared" si="159"/>
        <v>3041.0579400000001</v>
      </c>
      <c r="L1072" s="59">
        <f t="shared" si="153"/>
        <v>-3.7711603745372906E-2</v>
      </c>
      <c r="M1072" s="60">
        <f t="shared" si="154"/>
        <v>-143.49513999999999</v>
      </c>
      <c r="N1072" s="76">
        <f t="shared" si="157"/>
        <v>507.96898792322986</v>
      </c>
    </row>
    <row r="1073" spans="2:23" x14ac:dyDescent="0.55000000000000004">
      <c r="B1073" s="35">
        <f t="shared" si="158"/>
        <v>7</v>
      </c>
      <c r="C1073" s="72" t="s">
        <v>130</v>
      </c>
      <c r="D1073" s="44">
        <f t="shared" si="151"/>
        <v>43868</v>
      </c>
      <c r="E1073" s="38">
        <v>5.9884000000000004</v>
      </c>
      <c r="F1073" s="39">
        <f t="shared" si="161"/>
        <v>484</v>
      </c>
      <c r="G1073" s="33">
        <f t="shared" si="156"/>
        <v>2898.7243999999996</v>
      </c>
      <c r="H1073" s="33">
        <f t="shared" si="155"/>
        <v>2898.7243999999996</v>
      </c>
      <c r="I1073" s="33">
        <f t="shared" si="160"/>
        <v>2896.9916799999996</v>
      </c>
      <c r="J1073" s="33">
        <f t="shared" si="152"/>
        <v>2897.5628000000002</v>
      </c>
      <c r="K1073" s="33">
        <f t="shared" si="159"/>
        <v>2897.5628000000002</v>
      </c>
      <c r="L1073" s="59">
        <f t="shared" si="153"/>
        <v>4.0088863647733634E-4</v>
      </c>
      <c r="M1073" s="60" t="str">
        <f t="shared" si="154"/>
        <v/>
      </c>
      <c r="N1073" s="76">
        <f t="shared" si="157"/>
        <v>483.80604765323676</v>
      </c>
    </row>
    <row r="1074" spans="2:23" x14ac:dyDescent="0.55000000000000004">
      <c r="B1074" s="35">
        <f t="shared" si="158"/>
        <v>10</v>
      </c>
      <c r="C1074" s="72" t="s">
        <v>130</v>
      </c>
      <c r="D1074" s="44">
        <f t="shared" si="151"/>
        <v>43871</v>
      </c>
      <c r="E1074" s="38">
        <v>6.0058999999999996</v>
      </c>
      <c r="F1074" s="39">
        <f t="shared" si="161"/>
        <v>484</v>
      </c>
      <c r="G1074" s="33">
        <f t="shared" si="156"/>
        <v>2898.3856000000001</v>
      </c>
      <c r="H1074" s="33">
        <f t="shared" si="155"/>
        <v>2898.5549999999998</v>
      </c>
      <c r="I1074" s="33">
        <f t="shared" si="160"/>
        <v>2897.4853599999997</v>
      </c>
      <c r="J1074" s="33">
        <f t="shared" si="152"/>
        <v>2897.5628000000002</v>
      </c>
      <c r="K1074" s="33">
        <f t="shared" si="159"/>
        <v>2897.5628000000002</v>
      </c>
      <c r="L1074" s="59">
        <f t="shared" si="153"/>
        <v>3.4242571032444378E-4</v>
      </c>
      <c r="M1074" s="60" t="str">
        <f t="shared" si="154"/>
        <v/>
      </c>
      <c r="N1074" s="76">
        <f t="shared" si="157"/>
        <v>483.86260102865538</v>
      </c>
    </row>
    <row r="1075" spans="2:23" ht="14.7" thickBot="1" x14ac:dyDescent="0.6">
      <c r="B1075" s="35">
        <f t="shared" si="158"/>
        <v>11</v>
      </c>
      <c r="C1075" s="72" t="s">
        <v>130</v>
      </c>
      <c r="D1075" s="44">
        <f t="shared" si="151"/>
        <v>43872</v>
      </c>
      <c r="E1075" s="38">
        <v>6.0380000000000003</v>
      </c>
      <c r="F1075" s="39">
        <f t="shared" si="161"/>
        <v>484</v>
      </c>
      <c r="G1075" s="33">
        <f t="shared" si="156"/>
        <v>2906.8555999999999</v>
      </c>
      <c r="H1075" s="33">
        <f t="shared" si="155"/>
        <v>2901.3218666666667</v>
      </c>
      <c r="I1075" s="33">
        <f t="shared" si="160"/>
        <v>2899.3826399999998</v>
      </c>
      <c r="J1075" s="33">
        <f t="shared" si="152"/>
        <v>2897.5628000000002</v>
      </c>
      <c r="K1075" s="33">
        <f t="shared" si="159"/>
        <v>2897.5628000000002</v>
      </c>
      <c r="L1075" s="59">
        <f t="shared" si="153"/>
        <v>1.2973201708230491E-3</v>
      </c>
      <c r="M1075" s="60" t="str">
        <f t="shared" si="154"/>
        <v/>
      </c>
      <c r="N1075" s="76">
        <f t="shared" si="157"/>
        <v>482.45272149053437</v>
      </c>
    </row>
    <row r="1076" spans="2:23" ht="14.7" thickBot="1" x14ac:dyDescent="0.6">
      <c r="B1076" s="35">
        <f t="shared" si="158"/>
        <v>12</v>
      </c>
      <c r="C1076" s="72" t="s">
        <v>130</v>
      </c>
      <c r="D1076" s="44">
        <f t="shared" si="151"/>
        <v>43873</v>
      </c>
      <c r="E1076" s="38">
        <v>6.0324</v>
      </c>
      <c r="F1076" s="39">
        <f t="shared" si="161"/>
        <v>484</v>
      </c>
      <c r="G1076" s="33">
        <f t="shared" si="156"/>
        <v>2922.3920000000003</v>
      </c>
      <c r="H1076" s="33">
        <f t="shared" si="155"/>
        <v>2906.5893999999998</v>
      </c>
      <c r="I1076" s="33">
        <f t="shared" si="160"/>
        <v>2904.7840799999999</v>
      </c>
      <c r="J1076" s="33">
        <f t="shared" si="152"/>
        <v>2897.5628000000002</v>
      </c>
      <c r="K1076" s="33">
        <f t="shared" si="159"/>
        <v>2897.5628000000002</v>
      </c>
      <c r="L1076" s="59">
        <f t="shared" si="153"/>
        <v>3.1152387792939946E-3</v>
      </c>
      <c r="M1076" s="60" t="str">
        <f t="shared" si="154"/>
        <v/>
      </c>
      <c r="N1076" s="76">
        <f t="shared" si="157"/>
        <v>479.88784365684</v>
      </c>
      <c r="O1076" s="159" t="s">
        <v>132</v>
      </c>
      <c r="P1076" s="160"/>
      <c r="Q1076" s="160"/>
      <c r="R1076" s="161"/>
      <c r="T1076" s="159" t="s">
        <v>132</v>
      </c>
      <c r="U1076" s="160"/>
      <c r="V1076" s="160"/>
      <c r="W1076" s="161"/>
    </row>
    <row r="1077" spans="2:23" x14ac:dyDescent="0.55000000000000004">
      <c r="B1077" s="35">
        <f t="shared" si="158"/>
        <v>13</v>
      </c>
      <c r="C1077" s="72" t="s">
        <v>130</v>
      </c>
      <c r="D1077" s="44">
        <f t="shared" si="151"/>
        <v>43874</v>
      </c>
      <c r="E1077" s="38">
        <v>6.0568</v>
      </c>
      <c r="F1077" s="39">
        <f t="shared" si="161"/>
        <v>484</v>
      </c>
      <c r="G1077" s="33">
        <f t="shared" si="156"/>
        <v>2919.6815999999999</v>
      </c>
      <c r="H1077" s="33">
        <f t="shared" si="155"/>
        <v>2909.20784</v>
      </c>
      <c r="I1077" s="33">
        <f t="shared" si="160"/>
        <v>2909.2078399999996</v>
      </c>
      <c r="J1077" s="33">
        <f t="shared" si="152"/>
        <v>2897.5628000000002</v>
      </c>
      <c r="K1077" s="33">
        <f t="shared" si="159"/>
        <v>2897.5628000000002</v>
      </c>
      <c r="L1077" s="59">
        <f t="shared" si="153"/>
        <v>4.0189085806871484E-3</v>
      </c>
      <c r="M1077" s="60" t="str">
        <f t="shared" si="154"/>
        <v/>
      </c>
      <c r="N1077" s="76">
        <f t="shared" si="157"/>
        <v>480.33333333333337</v>
      </c>
      <c r="O1077" s="162" t="s">
        <v>35</v>
      </c>
      <c r="P1077" s="79" t="s">
        <v>133</v>
      </c>
      <c r="Q1077" s="79" t="s">
        <v>134</v>
      </c>
      <c r="R1077" s="80" t="s">
        <v>135</v>
      </c>
      <c r="T1077" s="162" t="s">
        <v>35</v>
      </c>
      <c r="U1077" s="79" t="s">
        <v>133</v>
      </c>
      <c r="V1077" s="79" t="s">
        <v>134</v>
      </c>
      <c r="W1077" s="80" t="s">
        <v>135</v>
      </c>
    </row>
    <row r="1078" spans="2:23" ht="14.7" thickBot="1" x14ac:dyDescent="0.6">
      <c r="B1078" s="35">
        <f t="shared" si="158"/>
        <v>14</v>
      </c>
      <c r="C1078" s="72" t="s">
        <v>130</v>
      </c>
      <c r="D1078" s="44">
        <f t="shared" si="151"/>
        <v>43875</v>
      </c>
      <c r="E1078" s="38">
        <v>6.0579000000000001</v>
      </c>
      <c r="F1078" s="39">
        <f t="shared" si="161"/>
        <v>484</v>
      </c>
      <c r="G1078" s="33">
        <f t="shared" si="156"/>
        <v>2931.4911999999999</v>
      </c>
      <c r="H1078" s="33">
        <f t="shared" si="155"/>
        <v>2915.7611999999999</v>
      </c>
      <c r="I1078" s="33">
        <f t="shared" si="160"/>
        <v>2915.7611999999995</v>
      </c>
      <c r="J1078" s="33">
        <f t="shared" si="152"/>
        <v>2897.5628000000002</v>
      </c>
      <c r="K1078" s="33">
        <f t="shared" si="159"/>
        <v>2897.5628000000002</v>
      </c>
      <c r="L1078" s="59">
        <f t="shared" si="153"/>
        <v>6.2805886381478134E-3</v>
      </c>
      <c r="M1078" s="60" t="str">
        <f t="shared" si="154"/>
        <v/>
      </c>
      <c r="N1078" s="76">
        <f t="shared" si="157"/>
        <v>478.39829612996965</v>
      </c>
      <c r="O1078" s="163"/>
      <c r="P1078" s="81" t="s">
        <v>136</v>
      </c>
      <c r="Q1078" s="81" t="s">
        <v>136</v>
      </c>
      <c r="R1078" s="82" t="s">
        <v>136</v>
      </c>
      <c r="T1078" s="163"/>
      <c r="U1078" s="81" t="s">
        <v>136</v>
      </c>
      <c r="V1078" s="81" t="s">
        <v>136</v>
      </c>
      <c r="W1078" s="82" t="s">
        <v>136</v>
      </c>
    </row>
    <row r="1079" spans="2:23" x14ac:dyDescent="0.55000000000000004">
      <c r="B1079" s="35">
        <f t="shared" si="158"/>
        <v>17</v>
      </c>
      <c r="C1079" s="72" t="s">
        <v>130</v>
      </c>
      <c r="D1079" s="44">
        <f t="shared" si="151"/>
        <v>43878</v>
      </c>
      <c r="E1079" s="38">
        <v>6.0460000000000003</v>
      </c>
      <c r="F1079" s="39">
        <f t="shared" si="161"/>
        <v>484</v>
      </c>
      <c r="G1079" s="33">
        <f t="shared" si="156"/>
        <v>2932.0236</v>
      </c>
      <c r="H1079" s="33">
        <f t="shared" si="155"/>
        <v>2922.4888000000001</v>
      </c>
      <c r="I1079" s="33">
        <f t="shared" si="160"/>
        <v>2922.4888000000001</v>
      </c>
      <c r="J1079" s="33">
        <f t="shared" si="152"/>
        <v>2897.5628000000002</v>
      </c>
      <c r="K1079" s="33">
        <f t="shared" si="159"/>
        <v>2897.5628000000002</v>
      </c>
      <c r="L1079" s="59">
        <f t="shared" si="153"/>
        <v>8.6024019910802031E-3</v>
      </c>
      <c r="M1079" s="60" t="str">
        <f t="shared" si="154"/>
        <v/>
      </c>
      <c r="N1079" s="76">
        <f t="shared" si="157"/>
        <v>478.3114280526255</v>
      </c>
      <c r="O1079" s="83">
        <v>43868</v>
      </c>
      <c r="P1079" s="84">
        <v>2987.56</v>
      </c>
      <c r="Q1079" s="84">
        <v>1557.9</v>
      </c>
      <c r="R1079" s="84">
        <f>SUM(P1079:Q1079)</f>
        <v>4545.46</v>
      </c>
      <c r="T1079" s="85">
        <v>43895</v>
      </c>
      <c r="U1079" s="86">
        <v>2575.2800000000002</v>
      </c>
      <c r="V1079" s="86">
        <v>1778</v>
      </c>
      <c r="W1079" s="86">
        <f>SUM(U1079:V1079)</f>
        <v>4353.2800000000007</v>
      </c>
    </row>
    <row r="1080" spans="2:23" ht="14.7" thickBot="1" x14ac:dyDescent="0.6">
      <c r="B1080" s="35">
        <f t="shared" si="158"/>
        <v>18</v>
      </c>
      <c r="C1080" s="72" t="s">
        <v>130</v>
      </c>
      <c r="D1080" s="44">
        <f t="shared" si="151"/>
        <v>43879</v>
      </c>
      <c r="E1080" s="38">
        <v>6.0686999999999998</v>
      </c>
      <c r="F1080" s="39">
        <f t="shared" si="161"/>
        <v>484</v>
      </c>
      <c r="G1080" s="33">
        <f t="shared" si="156"/>
        <v>2926.2640000000001</v>
      </c>
      <c r="H1080" s="33">
        <f t="shared" si="155"/>
        <v>2926.37048</v>
      </c>
      <c r="I1080" s="33">
        <f t="shared" si="160"/>
        <v>2926.37048</v>
      </c>
      <c r="J1080" s="33">
        <f t="shared" si="152"/>
        <v>2897.5628000000002</v>
      </c>
      <c r="K1080" s="33">
        <f t="shared" si="159"/>
        <v>2897.5628000000002</v>
      </c>
      <c r="L1080" s="59">
        <f t="shared" si="153"/>
        <v>9.9420381846425862E-3</v>
      </c>
      <c r="M1080" s="60" t="str">
        <f t="shared" si="154"/>
        <v/>
      </c>
      <c r="N1080" s="76">
        <f t="shared" si="157"/>
        <v>479.25286139596426</v>
      </c>
      <c r="O1080" s="85">
        <v>43895</v>
      </c>
      <c r="P1080" s="86">
        <v>2575.2800000000002</v>
      </c>
      <c r="Q1080" s="86">
        <v>1778</v>
      </c>
      <c r="R1080" s="86">
        <f>SUM(P1080:Q1080)</f>
        <v>4353.2800000000007</v>
      </c>
      <c r="T1080" s="87">
        <v>43910</v>
      </c>
      <c r="U1080" s="78">
        <v>2708.66</v>
      </c>
      <c r="V1080" s="78">
        <v>1746.8</v>
      </c>
      <c r="W1080" s="78">
        <f>SUM(U1080:V1080)</f>
        <v>4455.46</v>
      </c>
    </row>
    <row r="1081" spans="2:23" ht="14.7" thickBot="1" x14ac:dyDescent="0.6">
      <c r="B1081" s="35">
        <f t="shared" si="158"/>
        <v>19</v>
      </c>
      <c r="C1081" s="72" t="s">
        <v>130</v>
      </c>
      <c r="D1081" s="44">
        <f t="shared" si="151"/>
        <v>43880</v>
      </c>
      <c r="E1081" s="38">
        <v>6.069</v>
      </c>
      <c r="F1081" s="39">
        <f t="shared" si="161"/>
        <v>484</v>
      </c>
      <c r="G1081" s="33">
        <f t="shared" si="156"/>
        <v>2937.2507999999998</v>
      </c>
      <c r="H1081" s="33">
        <f t="shared" si="155"/>
        <v>2929.3422399999999</v>
      </c>
      <c r="I1081" s="33">
        <f t="shared" si="160"/>
        <v>2929.3422399999999</v>
      </c>
      <c r="J1081" s="33">
        <f t="shared" si="152"/>
        <v>2897.5628000000002</v>
      </c>
      <c r="K1081" s="33">
        <f t="shared" si="159"/>
        <v>2897.5628000000002</v>
      </c>
      <c r="L1081" s="59">
        <f t="shared" si="153"/>
        <v>1.0967644946297555E-2</v>
      </c>
      <c r="M1081" s="60" t="str">
        <f t="shared" si="154"/>
        <v/>
      </c>
      <c r="N1081" s="76">
        <f t="shared" si="157"/>
        <v>477.46021388435747</v>
      </c>
      <c r="O1081" s="87">
        <v>43910</v>
      </c>
      <c r="P1081" s="78">
        <v>2708.66</v>
      </c>
      <c r="Q1081" s="78">
        <v>1746.8</v>
      </c>
      <c r="R1081" s="78">
        <f>SUM(P1081:Q1081)</f>
        <v>4455.46</v>
      </c>
      <c r="T1081" s="87" t="s">
        <v>137</v>
      </c>
      <c r="U1081" s="88">
        <f>U1080-U1079</f>
        <v>133.37999999999965</v>
      </c>
      <c r="V1081" s="88">
        <f>V1080-V1079</f>
        <v>-31.200000000000045</v>
      </c>
      <c r="W1081" s="88">
        <f>W1080-W1079</f>
        <v>102.17999999999938</v>
      </c>
    </row>
    <row r="1082" spans="2:23" ht="14.7" thickBot="1" x14ac:dyDescent="0.6">
      <c r="B1082" s="35">
        <f t="shared" si="158"/>
        <v>20</v>
      </c>
      <c r="C1082" s="72" t="s">
        <v>130</v>
      </c>
      <c r="D1082" s="44">
        <f t="shared" ref="D1082:D1145" si="162">WORKDAY(D1081,1)</f>
        <v>43881</v>
      </c>
      <c r="E1082" s="38">
        <v>6.0933999999999999</v>
      </c>
      <c r="F1082" s="39">
        <f t="shared" si="161"/>
        <v>484</v>
      </c>
      <c r="G1082" s="33">
        <f t="shared" si="156"/>
        <v>2937.3960000000002</v>
      </c>
      <c r="H1082" s="33">
        <f t="shared" si="155"/>
        <v>2932.8851199999999</v>
      </c>
      <c r="I1082" s="33">
        <f t="shared" si="160"/>
        <v>2932.8851199999995</v>
      </c>
      <c r="J1082" s="33">
        <f t="shared" si="152"/>
        <v>2897.5628000000002</v>
      </c>
      <c r="K1082" s="33">
        <f t="shared" si="159"/>
        <v>2897.5628000000002</v>
      </c>
      <c r="L1082" s="59">
        <f t="shared" si="153"/>
        <v>1.2190355287553996E-2</v>
      </c>
      <c r="M1082" s="60" t="str">
        <f t="shared" si="154"/>
        <v/>
      </c>
      <c r="N1082" s="76">
        <f t="shared" si="157"/>
        <v>477.43661229197562</v>
      </c>
      <c r="O1082" s="87" t="s">
        <v>137</v>
      </c>
      <c r="P1082" s="78">
        <f>P1081-P1080</f>
        <v>133.37999999999965</v>
      </c>
      <c r="Q1082" s="78">
        <f>Q1081-Q1080</f>
        <v>-31.200000000000045</v>
      </c>
      <c r="R1082" s="78">
        <f>R1081-R1080</f>
        <v>102.17999999999938</v>
      </c>
    </row>
    <row r="1083" spans="2:23" ht="14.7" thickBot="1" x14ac:dyDescent="0.6">
      <c r="B1083" s="35">
        <f t="shared" si="158"/>
        <v>21</v>
      </c>
      <c r="C1083" s="72" t="s">
        <v>130</v>
      </c>
      <c r="D1083" s="44">
        <f t="shared" si="162"/>
        <v>43882</v>
      </c>
      <c r="E1083" s="38">
        <v>6.1132999999999997</v>
      </c>
      <c r="F1083" s="39">
        <f t="shared" si="161"/>
        <v>484</v>
      </c>
      <c r="G1083" s="33">
        <f t="shared" si="156"/>
        <v>2949.2055999999998</v>
      </c>
      <c r="H1083" s="33">
        <f t="shared" si="155"/>
        <v>2936.4279999999999</v>
      </c>
      <c r="I1083" s="33">
        <f t="shared" si="160"/>
        <v>2936.4279999999994</v>
      </c>
      <c r="J1083" s="33">
        <f t="shared" si="152"/>
        <v>2897.5628000000002</v>
      </c>
      <c r="K1083" s="33">
        <f t="shared" si="159"/>
        <v>2897.5628000000002</v>
      </c>
      <c r="L1083" s="59">
        <f t="shared" si="153"/>
        <v>1.3413065628810436E-2</v>
      </c>
      <c r="M1083" s="60" t="str">
        <f t="shared" si="154"/>
        <v/>
      </c>
      <c r="N1083" s="76">
        <f t="shared" si="157"/>
        <v>475.52479732169235</v>
      </c>
    </row>
    <row r="1084" spans="2:23" ht="14.7" thickBot="1" x14ac:dyDescent="0.6">
      <c r="B1084" s="35">
        <f t="shared" si="158"/>
        <v>24</v>
      </c>
      <c r="C1084" s="72" t="s">
        <v>130</v>
      </c>
      <c r="D1084" s="44">
        <f t="shared" si="162"/>
        <v>43885</v>
      </c>
      <c r="E1084" s="38">
        <v>6.1494</v>
      </c>
      <c r="F1084" s="39">
        <f t="shared" si="161"/>
        <v>484</v>
      </c>
      <c r="G1084" s="33">
        <f t="shared" si="156"/>
        <v>2958.8371999999999</v>
      </c>
      <c r="H1084" s="33">
        <f t="shared" si="155"/>
        <v>2941.79072</v>
      </c>
      <c r="I1084" s="33">
        <f t="shared" si="160"/>
        <v>2941.7907199999995</v>
      </c>
      <c r="J1084" s="33">
        <f t="shared" si="152"/>
        <v>2897.5628000000002</v>
      </c>
      <c r="K1084" s="33">
        <f t="shared" si="159"/>
        <v>2897.5628000000002</v>
      </c>
      <c r="L1084" s="59">
        <f t="shared" si="153"/>
        <v>1.5263834833881705E-2</v>
      </c>
      <c r="M1084" s="60" t="str">
        <f t="shared" si="154"/>
        <v/>
      </c>
      <c r="N1084" s="76">
        <f t="shared" si="157"/>
        <v>473.97687010289047</v>
      </c>
      <c r="O1084" s="159" t="s">
        <v>138</v>
      </c>
      <c r="P1084" s="160"/>
      <c r="Q1084" s="160"/>
      <c r="R1084" s="161"/>
    </row>
    <row r="1085" spans="2:23" x14ac:dyDescent="0.55000000000000004">
      <c r="B1085" s="35">
        <f t="shared" si="158"/>
        <v>25</v>
      </c>
      <c r="C1085" s="72" t="s">
        <v>130</v>
      </c>
      <c r="D1085" s="44">
        <f t="shared" si="162"/>
        <v>43886</v>
      </c>
      <c r="E1085" s="38">
        <v>6.1327999999999996</v>
      </c>
      <c r="F1085" s="39">
        <f t="shared" si="161"/>
        <v>484</v>
      </c>
      <c r="G1085" s="33">
        <f t="shared" si="156"/>
        <v>2976.3096</v>
      </c>
      <c r="H1085" s="33">
        <f t="shared" si="155"/>
        <v>2951.7998400000001</v>
      </c>
      <c r="I1085" s="33">
        <f t="shared" si="160"/>
        <v>2951.7998399999997</v>
      </c>
      <c r="J1085" s="33">
        <f t="shared" ref="J1085:J1148" si="163">IF(L1085&gt;3%,G1085,IF(L1085&lt;-3%,G1085,J1084))</f>
        <v>2897.5628000000002</v>
      </c>
      <c r="K1085" s="33">
        <f t="shared" si="159"/>
        <v>2897.5628000000002</v>
      </c>
      <c r="L1085" s="59">
        <f t="shared" si="153"/>
        <v>1.8718158584863104E-2</v>
      </c>
      <c r="M1085" s="60" t="str">
        <f t="shared" si="154"/>
        <v/>
      </c>
      <c r="N1085" s="76">
        <f t="shared" si="157"/>
        <v>471.1943929489056</v>
      </c>
      <c r="O1085" s="162" t="s">
        <v>35</v>
      </c>
      <c r="P1085" s="79" t="s">
        <v>133</v>
      </c>
      <c r="Q1085" s="79" t="s">
        <v>134</v>
      </c>
      <c r="R1085" s="80" t="s">
        <v>135</v>
      </c>
    </row>
    <row r="1086" spans="2:23" ht="14.7" thickBot="1" x14ac:dyDescent="0.6">
      <c r="B1086" s="35">
        <f t="shared" si="158"/>
        <v>26</v>
      </c>
      <c r="C1086" s="72" t="s">
        <v>130</v>
      </c>
      <c r="D1086" s="44">
        <f t="shared" si="162"/>
        <v>43887</v>
      </c>
      <c r="E1086" s="38">
        <v>6.1574</v>
      </c>
      <c r="F1086" s="39">
        <f t="shared" si="161"/>
        <v>484</v>
      </c>
      <c r="G1086" s="33">
        <f t="shared" si="156"/>
        <v>2968.2751999999996</v>
      </c>
      <c r="H1086" s="33">
        <f t="shared" si="155"/>
        <v>2958.0047199999999</v>
      </c>
      <c r="I1086" s="33">
        <f t="shared" si="160"/>
        <v>2958.0047199999999</v>
      </c>
      <c r="J1086" s="33">
        <f t="shared" si="163"/>
        <v>2897.5628000000002</v>
      </c>
      <c r="K1086" s="33">
        <f t="shared" si="159"/>
        <v>2897.5628000000002</v>
      </c>
      <c r="L1086" s="59">
        <f t="shared" ref="L1086:L1149" si="164">(H1086-K1086)/K1086</f>
        <v>2.0859572051380476E-2</v>
      </c>
      <c r="M1086" s="60" t="str">
        <f t="shared" ref="M1086:M1149" si="165">IF(OR(L1086&lt;-3%,L1086&gt;3%),K1087-K1086,"")</f>
        <v/>
      </c>
      <c r="N1086" s="76">
        <f t="shared" si="157"/>
        <v>472.46980172188893</v>
      </c>
      <c r="O1086" s="163"/>
      <c r="P1086" s="81" t="s">
        <v>136</v>
      </c>
      <c r="Q1086" s="81" t="s">
        <v>136</v>
      </c>
      <c r="R1086" s="82" t="s">
        <v>136</v>
      </c>
    </row>
    <row r="1087" spans="2:23" x14ac:dyDescent="0.55000000000000004">
      <c r="B1087" s="35">
        <f t="shared" si="158"/>
        <v>27</v>
      </c>
      <c r="C1087" s="72" t="s">
        <v>130</v>
      </c>
      <c r="D1087" s="44">
        <f t="shared" si="162"/>
        <v>43888</v>
      </c>
      <c r="E1087" s="38">
        <v>6.1703999999999999</v>
      </c>
      <c r="F1087" s="39">
        <f t="shared" si="161"/>
        <v>484</v>
      </c>
      <c r="G1087" s="33">
        <f t="shared" si="156"/>
        <v>2980.1815999999999</v>
      </c>
      <c r="H1087" s="33">
        <f t="shared" si="155"/>
        <v>2966.5618399999998</v>
      </c>
      <c r="I1087" s="33">
        <f t="shared" si="160"/>
        <v>2966.5618399999998</v>
      </c>
      <c r="J1087" s="33">
        <f t="shared" si="163"/>
        <v>2897.5628000000002</v>
      </c>
      <c r="K1087" s="33">
        <f t="shared" si="159"/>
        <v>2897.5628000000002</v>
      </c>
      <c r="L1087" s="59">
        <f t="shared" si="164"/>
        <v>2.381278500676489E-2</v>
      </c>
      <c r="M1087" s="60" t="str">
        <f t="shared" si="165"/>
        <v/>
      </c>
      <c r="N1087" s="76">
        <f t="shared" si="157"/>
        <v>470.5821937830903</v>
      </c>
      <c r="O1087" s="83">
        <v>43868</v>
      </c>
      <c r="P1087" s="86">
        <f>2555.733/0.76</f>
        <v>3362.8065789473685</v>
      </c>
      <c r="Q1087" s="86">
        <f>2376.5/0.76</f>
        <v>3126.9736842105262</v>
      </c>
      <c r="R1087" s="89">
        <f>SUM(P1087:Q1087)</f>
        <v>6489.7802631578943</v>
      </c>
    </row>
    <row r="1088" spans="2:23" ht="14.7" thickBot="1" x14ac:dyDescent="0.6">
      <c r="B1088" s="35">
        <f t="shared" si="158"/>
        <v>28</v>
      </c>
      <c r="C1088" s="72" t="s">
        <v>130</v>
      </c>
      <c r="D1088" s="44">
        <f t="shared" si="162"/>
        <v>43889</v>
      </c>
      <c r="E1088" s="38">
        <v>6.2370999999999999</v>
      </c>
      <c r="F1088" s="39">
        <f t="shared" si="161"/>
        <v>484</v>
      </c>
      <c r="G1088" s="33">
        <f t="shared" si="156"/>
        <v>2986.4735999999998</v>
      </c>
      <c r="H1088" s="33">
        <f t="shared" si="155"/>
        <v>2974.0154400000001</v>
      </c>
      <c r="I1088" s="33">
        <f t="shared" si="160"/>
        <v>2974.0154400000001</v>
      </c>
      <c r="J1088" s="33">
        <f t="shared" si="163"/>
        <v>2897.5628000000002</v>
      </c>
      <c r="K1088" s="33">
        <f t="shared" si="159"/>
        <v>2897.5628000000002</v>
      </c>
      <c r="L1088" s="59">
        <f t="shared" si="164"/>
        <v>2.6385153757495772E-2</v>
      </c>
      <c r="M1088" s="60" t="str">
        <f t="shared" si="165"/>
        <v/>
      </c>
      <c r="N1088" s="76">
        <f t="shared" si="157"/>
        <v>469.59075586671855</v>
      </c>
      <c r="O1088" s="87">
        <v>43895</v>
      </c>
      <c r="P1088" s="78">
        <f>2324.962/0.76</f>
        <v>3059.1605263157894</v>
      </c>
      <c r="Q1088" s="78">
        <f>2526.5/0.76</f>
        <v>3324.3421052631579</v>
      </c>
      <c r="R1088" s="90">
        <f>SUM(P1088:Q1088)</f>
        <v>6383.5026315789473</v>
      </c>
    </row>
    <row r="1089" spans="2:17" x14ac:dyDescent="0.55000000000000004">
      <c r="B1089" s="35">
        <f t="shared" si="158"/>
        <v>2</v>
      </c>
      <c r="C1089" s="72" t="s">
        <v>139</v>
      </c>
      <c r="D1089" s="44">
        <f t="shared" si="162"/>
        <v>43892</v>
      </c>
      <c r="E1089" s="38">
        <v>6.2304000000000004</v>
      </c>
      <c r="F1089" s="39">
        <v>415</v>
      </c>
      <c r="G1089" s="33">
        <f t="shared" si="156"/>
        <v>2588.3964999999998</v>
      </c>
      <c r="H1089" s="33">
        <f t="shared" si="155"/>
        <v>2899.9273000000003</v>
      </c>
      <c r="I1089" s="33">
        <f t="shared" si="160"/>
        <v>2560.3092999999999</v>
      </c>
      <c r="J1089" s="33">
        <f t="shared" si="163"/>
        <v>2897.5628000000002</v>
      </c>
      <c r="K1089" s="33">
        <f t="shared" si="159"/>
        <v>2897.5628000000002</v>
      </c>
      <c r="L1089" s="59">
        <f t="shared" si="164"/>
        <v>8.1603063098412728E-4</v>
      </c>
      <c r="M1089" s="60" t="str">
        <f t="shared" si="165"/>
        <v/>
      </c>
      <c r="N1089" s="76">
        <f t="shared" si="157"/>
        <v>464.56891824726239</v>
      </c>
    </row>
    <row r="1090" spans="2:17" x14ac:dyDescent="0.55000000000000004">
      <c r="B1090" s="35">
        <f t="shared" si="158"/>
        <v>3</v>
      </c>
      <c r="C1090" s="72" t="s">
        <v>139</v>
      </c>
      <c r="D1090" s="44">
        <f t="shared" si="162"/>
        <v>43893</v>
      </c>
      <c r="E1090" s="38">
        <v>6.2054999999999998</v>
      </c>
      <c r="F1090" s="39">
        <f t="shared" si="161"/>
        <v>415</v>
      </c>
      <c r="G1090" s="33">
        <f t="shared" si="156"/>
        <v>2585.616</v>
      </c>
      <c r="H1090" s="33">
        <f t="shared" si="155"/>
        <v>2821.7885799999999</v>
      </c>
      <c r="I1090" s="33">
        <f t="shared" si="160"/>
        <v>2567.0322999999999</v>
      </c>
      <c r="J1090" s="33">
        <f t="shared" si="163"/>
        <v>2897.5628000000002</v>
      </c>
      <c r="K1090" s="33">
        <f t="shared" si="159"/>
        <v>2897.5628000000002</v>
      </c>
      <c r="L1090" s="59">
        <f t="shared" si="164"/>
        <v>-2.6151019056429161E-2</v>
      </c>
      <c r="M1090" s="60" t="str">
        <f t="shared" si="165"/>
        <v/>
      </c>
      <c r="N1090" s="76">
        <f t="shared" si="157"/>
        <v>465.06850282485874</v>
      </c>
      <c r="Q1090" s="91"/>
    </row>
    <row r="1091" spans="2:17" x14ac:dyDescent="0.55000000000000004">
      <c r="B1091" s="35">
        <f t="shared" si="158"/>
        <v>4</v>
      </c>
      <c r="C1091" s="72" t="s">
        <v>139</v>
      </c>
      <c r="D1091" s="44">
        <f t="shared" si="162"/>
        <v>43894</v>
      </c>
      <c r="E1091" s="38">
        <v>6.1013999999999999</v>
      </c>
      <c r="F1091" s="39">
        <f t="shared" si="161"/>
        <v>415</v>
      </c>
      <c r="G1091" s="33">
        <f t="shared" si="156"/>
        <v>2575.2824999999998</v>
      </c>
      <c r="H1091" s="33">
        <f t="shared" si="155"/>
        <v>2743.19004</v>
      </c>
      <c r="I1091" s="33">
        <f t="shared" si="160"/>
        <v>2573.0664000000002</v>
      </c>
      <c r="J1091" s="33">
        <f t="shared" si="163"/>
        <v>2575.2824999999998</v>
      </c>
      <c r="K1091" s="33">
        <f t="shared" si="159"/>
        <v>2897.5628000000002</v>
      </c>
      <c r="L1091" s="59">
        <f t="shared" si="164"/>
        <v>-5.3276760731467213E-2</v>
      </c>
      <c r="M1091" s="60">
        <f>IF(OR(L1091&lt;-3%,L1091&gt;3%),K1092-K1091,"")</f>
        <v>-322.28030000000035</v>
      </c>
      <c r="N1091" s="76">
        <f t="shared" si="157"/>
        <v>466.93462251228755</v>
      </c>
    </row>
    <row r="1092" spans="2:17" x14ac:dyDescent="0.55000000000000004">
      <c r="B1092" s="35">
        <f t="shared" si="158"/>
        <v>5</v>
      </c>
      <c r="C1092" s="72" t="s">
        <v>139</v>
      </c>
      <c r="D1092" s="44">
        <f t="shared" si="162"/>
        <v>43895</v>
      </c>
      <c r="E1092" s="38">
        <v>6.0881999999999996</v>
      </c>
      <c r="F1092" s="39">
        <f t="shared" si="161"/>
        <v>415</v>
      </c>
      <c r="G1092" s="33">
        <f t="shared" si="156"/>
        <v>2532.0810000000001</v>
      </c>
      <c r="H1092" s="33">
        <f t="shared" si="155"/>
        <v>2532.0810000000001</v>
      </c>
      <c r="I1092" s="33">
        <f t="shared" si="160"/>
        <v>2568.4184</v>
      </c>
      <c r="J1092" s="33">
        <f t="shared" si="163"/>
        <v>2575.2824999999998</v>
      </c>
      <c r="K1092" s="33">
        <f t="shared" si="159"/>
        <v>2575.2824999999998</v>
      </c>
      <c r="L1092" s="59">
        <f t="shared" si="164"/>
        <v>-1.6775441140923247E-2</v>
      </c>
      <c r="M1092" s="60" t="str">
        <f t="shared" si="165"/>
        <v/>
      </c>
      <c r="N1092" s="76">
        <f t="shared" si="157"/>
        <v>422.08058806175632</v>
      </c>
    </row>
    <row r="1093" spans="2:17" x14ac:dyDescent="0.55000000000000004">
      <c r="B1093" s="35">
        <f t="shared" si="158"/>
        <v>6</v>
      </c>
      <c r="C1093" s="72" t="s">
        <v>139</v>
      </c>
      <c r="D1093" s="44">
        <f t="shared" si="162"/>
        <v>43896</v>
      </c>
      <c r="E1093" s="38">
        <v>6.093</v>
      </c>
      <c r="F1093" s="39">
        <f t="shared" si="161"/>
        <v>415</v>
      </c>
      <c r="G1093" s="33">
        <f t="shared" si="156"/>
        <v>2526.6030000000001</v>
      </c>
      <c r="H1093" s="33">
        <f t="shared" si="155"/>
        <v>2529.3420000000001</v>
      </c>
      <c r="I1093" s="33">
        <f t="shared" si="160"/>
        <v>2561.5958000000001</v>
      </c>
      <c r="J1093" s="33">
        <f t="shared" si="163"/>
        <v>2575.2824999999998</v>
      </c>
      <c r="K1093" s="33">
        <f t="shared" si="159"/>
        <v>2575.2824999999998</v>
      </c>
      <c r="L1093" s="59">
        <f t="shared" si="164"/>
        <v>-1.7839013778099957E-2</v>
      </c>
      <c r="M1093" s="60" t="str">
        <f t="shared" si="165"/>
        <v/>
      </c>
      <c r="N1093" s="76">
        <f t="shared" si="157"/>
        <v>422.99571301862619</v>
      </c>
    </row>
    <row r="1094" spans="2:17" x14ac:dyDescent="0.55000000000000004">
      <c r="B1094" s="35">
        <f t="shared" si="158"/>
        <v>9</v>
      </c>
      <c r="C1094" s="72" t="s">
        <v>139</v>
      </c>
      <c r="D1094" s="44">
        <f t="shared" si="162"/>
        <v>43899</v>
      </c>
      <c r="E1094" s="38">
        <v>6.1208</v>
      </c>
      <c r="F1094" s="39">
        <f t="shared" si="161"/>
        <v>415</v>
      </c>
      <c r="G1094" s="33">
        <f t="shared" si="156"/>
        <v>2528.5949999999998</v>
      </c>
      <c r="H1094" s="33">
        <f t="shared" si="155"/>
        <v>2529.0930000000003</v>
      </c>
      <c r="I1094" s="33">
        <f t="shared" si="160"/>
        <v>2549.6355000000003</v>
      </c>
      <c r="J1094" s="33">
        <f t="shared" si="163"/>
        <v>2575.2824999999998</v>
      </c>
      <c r="K1094" s="33">
        <f t="shared" si="159"/>
        <v>2575.2824999999998</v>
      </c>
      <c r="L1094" s="59">
        <f t="shared" si="164"/>
        <v>-1.7935702199661396E-2</v>
      </c>
      <c r="M1094" s="60" t="str">
        <f t="shared" si="165"/>
        <v/>
      </c>
      <c r="N1094" s="76">
        <f t="shared" si="157"/>
        <v>422.66248153618903</v>
      </c>
    </row>
    <row r="1095" spans="2:17" x14ac:dyDescent="0.55000000000000004">
      <c r="B1095" s="35">
        <f t="shared" si="158"/>
        <v>10</v>
      </c>
      <c r="C1095" s="72" t="s">
        <v>139</v>
      </c>
      <c r="D1095" s="44">
        <f t="shared" si="162"/>
        <v>43900</v>
      </c>
      <c r="E1095" s="38">
        <v>6.1261000000000001</v>
      </c>
      <c r="F1095" s="39">
        <f t="shared" si="161"/>
        <v>415</v>
      </c>
      <c r="G1095" s="33">
        <f t="shared" si="156"/>
        <v>2540.1320000000001</v>
      </c>
      <c r="H1095" s="33">
        <f t="shared" si="155"/>
        <v>2531.85275</v>
      </c>
      <c r="I1095" s="33">
        <f t="shared" si="160"/>
        <v>2540.5386999999996</v>
      </c>
      <c r="J1095" s="33">
        <f t="shared" si="163"/>
        <v>2575.2824999999998</v>
      </c>
      <c r="K1095" s="33">
        <f t="shared" si="159"/>
        <v>2575.2824999999998</v>
      </c>
      <c r="L1095" s="59">
        <f t="shared" si="164"/>
        <v>-1.6864072194021352E-2</v>
      </c>
      <c r="M1095" s="60" t="str">
        <f t="shared" si="165"/>
        <v/>
      </c>
      <c r="N1095" s="76">
        <f t="shared" si="157"/>
        <v>420.7427950594693</v>
      </c>
    </row>
    <row r="1096" spans="2:17" x14ac:dyDescent="0.55000000000000004">
      <c r="B1096" s="35">
        <f t="shared" si="158"/>
        <v>11</v>
      </c>
      <c r="C1096" s="72" t="s">
        <v>139</v>
      </c>
      <c r="D1096" s="44">
        <f t="shared" si="162"/>
        <v>43901</v>
      </c>
      <c r="E1096" s="38">
        <v>6.1612999999999998</v>
      </c>
      <c r="F1096" s="39">
        <f t="shared" si="161"/>
        <v>415</v>
      </c>
      <c r="G1096" s="33">
        <f t="shared" si="156"/>
        <v>2542.3315000000002</v>
      </c>
      <c r="H1096" s="33">
        <f t="shared" si="155"/>
        <v>2533.9485</v>
      </c>
      <c r="I1096" s="33">
        <f t="shared" si="160"/>
        <v>2533.9485</v>
      </c>
      <c r="J1096" s="33">
        <f t="shared" si="163"/>
        <v>2575.2824999999998</v>
      </c>
      <c r="K1096" s="33">
        <f t="shared" si="159"/>
        <v>2575.2824999999998</v>
      </c>
      <c r="L1096" s="59">
        <f t="shared" si="164"/>
        <v>-1.6050277979211925E-2</v>
      </c>
      <c r="M1096" s="60" t="str">
        <f t="shared" si="165"/>
        <v/>
      </c>
      <c r="N1096" s="76">
        <f t="shared" si="157"/>
        <v>420.37878911542413</v>
      </c>
    </row>
    <row r="1097" spans="2:17" x14ac:dyDescent="0.55000000000000004">
      <c r="B1097" s="35">
        <f t="shared" si="158"/>
        <v>12</v>
      </c>
      <c r="C1097" s="72" t="s">
        <v>139</v>
      </c>
      <c r="D1097" s="44">
        <f t="shared" si="162"/>
        <v>43902</v>
      </c>
      <c r="E1097" s="38">
        <v>6.2375999999999996</v>
      </c>
      <c r="F1097" s="39">
        <f t="shared" si="161"/>
        <v>415</v>
      </c>
      <c r="G1097" s="33">
        <f t="shared" si="156"/>
        <v>2556.9395</v>
      </c>
      <c r="H1097" s="33">
        <f t="shared" si="155"/>
        <v>2538.9202</v>
      </c>
      <c r="I1097" s="33">
        <f t="shared" si="160"/>
        <v>2538.9202</v>
      </c>
      <c r="J1097" s="33">
        <f t="shared" si="163"/>
        <v>2575.2824999999998</v>
      </c>
      <c r="K1097" s="33">
        <f t="shared" si="159"/>
        <v>2575.2824999999998</v>
      </c>
      <c r="L1097" s="59">
        <f t="shared" si="164"/>
        <v>-1.4119732495366927E-2</v>
      </c>
      <c r="M1097" s="60" t="str">
        <f t="shared" si="165"/>
        <v/>
      </c>
      <c r="N1097" s="76">
        <f t="shared" si="157"/>
        <v>417.97713144953173</v>
      </c>
    </row>
    <row r="1098" spans="2:17" x14ac:dyDescent="0.55000000000000004">
      <c r="B1098" s="35">
        <f t="shared" si="158"/>
        <v>13</v>
      </c>
      <c r="C1098" s="72" t="s">
        <v>139</v>
      </c>
      <c r="D1098" s="44">
        <f t="shared" si="162"/>
        <v>43903</v>
      </c>
      <c r="E1098" s="38">
        <v>6.2824</v>
      </c>
      <c r="F1098" s="39">
        <f t="shared" si="161"/>
        <v>415</v>
      </c>
      <c r="G1098" s="33">
        <f t="shared" si="156"/>
        <v>2588.6039999999998</v>
      </c>
      <c r="H1098" s="33">
        <f t="shared" si="155"/>
        <v>2551.3203999999996</v>
      </c>
      <c r="I1098" s="33">
        <f t="shared" si="160"/>
        <v>2551.3204000000001</v>
      </c>
      <c r="J1098" s="33">
        <f t="shared" si="163"/>
        <v>2575.2824999999998</v>
      </c>
      <c r="K1098" s="33">
        <f t="shared" si="159"/>
        <v>2575.2824999999998</v>
      </c>
      <c r="L1098" s="59">
        <f t="shared" si="164"/>
        <v>-9.3046491016034912E-3</v>
      </c>
      <c r="M1098" s="60" t="str">
        <f t="shared" si="165"/>
        <v/>
      </c>
      <c r="N1098" s="76">
        <f t="shared" si="157"/>
        <v>412.86432281646785</v>
      </c>
    </row>
    <row r="1099" spans="2:17" x14ac:dyDescent="0.55000000000000004">
      <c r="B1099" s="35">
        <f t="shared" si="158"/>
        <v>16</v>
      </c>
      <c r="C1099" s="72" t="s">
        <v>139</v>
      </c>
      <c r="D1099" s="44">
        <f t="shared" si="162"/>
        <v>43906</v>
      </c>
      <c r="E1099" s="38">
        <v>6.3742999999999999</v>
      </c>
      <c r="F1099" s="39">
        <f t="shared" si="161"/>
        <v>415</v>
      </c>
      <c r="G1099" s="33">
        <f t="shared" si="156"/>
        <v>2607.1959999999999</v>
      </c>
      <c r="H1099" s="33">
        <f t="shared" si="155"/>
        <v>2567.0405999999998</v>
      </c>
      <c r="I1099" s="33">
        <f t="shared" si="160"/>
        <v>2567.0406000000003</v>
      </c>
      <c r="J1099" s="33">
        <f t="shared" si="163"/>
        <v>2575.2824999999998</v>
      </c>
      <c r="K1099" s="33">
        <f t="shared" si="159"/>
        <v>2575.2824999999998</v>
      </c>
      <c r="L1099" s="59">
        <f t="shared" si="164"/>
        <v>-3.2003867536862414E-3</v>
      </c>
      <c r="M1099" s="60" t="str">
        <f t="shared" si="165"/>
        <v/>
      </c>
      <c r="N1099" s="76">
        <f t="shared" si="157"/>
        <v>409.92017381892265</v>
      </c>
    </row>
    <row r="1100" spans="2:17" x14ac:dyDescent="0.55000000000000004">
      <c r="B1100" s="35">
        <f t="shared" si="158"/>
        <v>17</v>
      </c>
      <c r="C1100" s="72" t="s">
        <v>139</v>
      </c>
      <c r="D1100" s="44">
        <f t="shared" si="162"/>
        <v>43907</v>
      </c>
      <c r="E1100" s="38">
        <v>6.4644000000000004</v>
      </c>
      <c r="F1100" s="39">
        <f t="shared" si="161"/>
        <v>415</v>
      </c>
      <c r="G1100" s="33">
        <f t="shared" si="156"/>
        <v>2645.3344999999999</v>
      </c>
      <c r="H1100" s="33">
        <f t="shared" si="155"/>
        <v>2588.0811000000003</v>
      </c>
      <c r="I1100" s="33">
        <f t="shared" si="160"/>
        <v>2588.0810999999999</v>
      </c>
      <c r="J1100" s="33">
        <f t="shared" si="163"/>
        <v>2575.2824999999998</v>
      </c>
      <c r="K1100" s="33">
        <f t="shared" si="159"/>
        <v>2575.2824999999998</v>
      </c>
      <c r="L1100" s="59">
        <f t="shared" si="164"/>
        <v>4.9697848682622335E-3</v>
      </c>
      <c r="M1100" s="60" t="str">
        <f t="shared" si="165"/>
        <v/>
      </c>
      <c r="N1100" s="76">
        <f t="shared" si="157"/>
        <v>404.01024426211501</v>
      </c>
    </row>
    <row r="1101" spans="2:17" x14ac:dyDescent="0.55000000000000004">
      <c r="B1101" s="35">
        <f t="shared" si="158"/>
        <v>18</v>
      </c>
      <c r="C1101" s="72" t="s">
        <v>139</v>
      </c>
      <c r="D1101" s="44">
        <f t="shared" si="162"/>
        <v>43908</v>
      </c>
      <c r="E1101" s="38">
        <v>6.4627999999999997</v>
      </c>
      <c r="F1101" s="39">
        <f t="shared" si="161"/>
        <v>415</v>
      </c>
      <c r="G1101" s="33">
        <f t="shared" si="156"/>
        <v>2682.7260000000001</v>
      </c>
      <c r="H1101" s="33">
        <f t="shared" si="155"/>
        <v>2616.1600000000003</v>
      </c>
      <c r="I1101" s="33">
        <f t="shared" si="160"/>
        <v>2616.1600000000003</v>
      </c>
      <c r="J1101" s="33">
        <f t="shared" si="163"/>
        <v>2575.2824999999998</v>
      </c>
      <c r="K1101" s="33">
        <f t="shared" si="159"/>
        <v>2575.2824999999998</v>
      </c>
      <c r="L1101" s="59">
        <f t="shared" si="164"/>
        <v>1.5873015873016073E-2</v>
      </c>
      <c r="M1101" s="60" t="str">
        <f t="shared" si="165"/>
        <v/>
      </c>
      <c r="N1101" s="76">
        <f t="shared" si="157"/>
        <v>398.37919992574712</v>
      </c>
    </row>
    <row r="1102" spans="2:17" x14ac:dyDescent="0.55000000000000004">
      <c r="B1102" s="35">
        <f t="shared" si="158"/>
        <v>19</v>
      </c>
      <c r="C1102" s="72" t="s">
        <v>139</v>
      </c>
      <c r="D1102" s="44">
        <f t="shared" si="162"/>
        <v>43909</v>
      </c>
      <c r="E1102" s="38">
        <v>6.5270999999999999</v>
      </c>
      <c r="F1102" s="39">
        <f t="shared" si="161"/>
        <v>415</v>
      </c>
      <c r="G1102" s="33">
        <f t="shared" si="156"/>
        <v>2682.0619999999999</v>
      </c>
      <c r="H1102" s="33">
        <f t="shared" si="155"/>
        <v>2641.1844999999998</v>
      </c>
      <c r="I1102" s="33">
        <f t="shared" si="160"/>
        <v>2641.1844999999998</v>
      </c>
      <c r="J1102" s="33">
        <f t="shared" si="163"/>
        <v>2575.2824999999998</v>
      </c>
      <c r="K1102" s="33">
        <f t="shared" si="159"/>
        <v>2575.2824999999998</v>
      </c>
      <c r="L1102" s="59">
        <f t="shared" si="164"/>
        <v>2.5590202239948453E-2</v>
      </c>
      <c r="M1102" s="60" t="str">
        <f t="shared" si="165"/>
        <v/>
      </c>
      <c r="N1102" s="76">
        <f t="shared" si="157"/>
        <v>398.47782694807205</v>
      </c>
    </row>
    <row r="1103" spans="2:17" x14ac:dyDescent="0.55000000000000004">
      <c r="B1103" s="35">
        <f t="shared" si="158"/>
        <v>20</v>
      </c>
      <c r="C1103" s="72" t="s">
        <v>139</v>
      </c>
      <c r="D1103" s="44">
        <f t="shared" si="162"/>
        <v>43910</v>
      </c>
      <c r="E1103" s="38">
        <v>6.4955999999999996</v>
      </c>
      <c r="F1103" s="39">
        <f t="shared" si="161"/>
        <v>415</v>
      </c>
      <c r="G1103" s="33">
        <f t="shared" si="156"/>
        <v>2708.7464999999997</v>
      </c>
      <c r="H1103" s="33">
        <f t="shared" si="155"/>
        <v>2665.2129999999997</v>
      </c>
      <c r="I1103" s="33">
        <f t="shared" si="160"/>
        <v>2665.2129999999997</v>
      </c>
      <c r="J1103" s="33">
        <f t="shared" si="163"/>
        <v>2708.7464999999997</v>
      </c>
      <c r="K1103" s="33">
        <f t="shared" si="159"/>
        <v>2575.2824999999998</v>
      </c>
      <c r="L1103" s="59">
        <f t="shared" si="164"/>
        <v>3.4920634920634901E-2</v>
      </c>
      <c r="M1103" s="60">
        <f>IF(OR(L1103&lt;-3%,L1103&gt;3%),K1104-K1103,"")</f>
        <v>133.37750000000005</v>
      </c>
      <c r="N1103" s="76">
        <f t="shared" si="157"/>
        <v>394.55232798639514</v>
      </c>
    </row>
    <row r="1104" spans="2:17" x14ac:dyDescent="0.55000000000000004">
      <c r="B1104" s="35">
        <f t="shared" si="158"/>
        <v>23</v>
      </c>
      <c r="C1104" s="72" t="s">
        <v>139</v>
      </c>
      <c r="D1104" s="44">
        <f t="shared" si="162"/>
        <v>43913</v>
      </c>
      <c r="E1104" s="38">
        <v>6.5983000000000001</v>
      </c>
      <c r="F1104" s="39">
        <f t="shared" si="161"/>
        <v>415</v>
      </c>
      <c r="G1104" s="33">
        <f t="shared" si="156"/>
        <v>2695.674</v>
      </c>
      <c r="H1104" s="33">
        <f t="shared" si="155"/>
        <v>2695.674</v>
      </c>
      <c r="I1104" s="33">
        <f t="shared" si="160"/>
        <v>2682.9085999999998</v>
      </c>
      <c r="J1104" s="33">
        <f t="shared" si="163"/>
        <v>2708.7464999999997</v>
      </c>
      <c r="K1104" s="33">
        <v>2708.66</v>
      </c>
      <c r="L1104" s="59">
        <f t="shared" si="164"/>
        <v>-4.7942525086204536E-3</v>
      </c>
      <c r="M1104" s="60" t="str">
        <f t="shared" si="165"/>
        <v/>
      </c>
      <c r="N1104" s="76">
        <f t="shared" si="157"/>
        <v>416.99919945809472</v>
      </c>
    </row>
    <row r="1105" spans="2:18" x14ac:dyDescent="0.55000000000000004">
      <c r="B1105" s="35">
        <f t="shared" si="158"/>
        <v>24</v>
      </c>
      <c r="C1105" s="72" t="s">
        <v>139</v>
      </c>
      <c r="D1105" s="44">
        <f t="shared" si="162"/>
        <v>43914</v>
      </c>
      <c r="E1105" s="38">
        <v>6.5060000000000002</v>
      </c>
      <c r="F1105" s="39">
        <f t="shared" si="161"/>
        <v>415</v>
      </c>
      <c r="G1105" s="33">
        <f t="shared" si="156"/>
        <v>2738.2945</v>
      </c>
      <c r="H1105" s="33">
        <f t="shared" ref="H1105:H1168" si="166">IF(M1104&lt;&gt;"",AVERAGE(G1105),IF(M1103&lt;&gt;"",AVERAGE(G1104:G1105),IF(M1102&lt;&gt;"",AVERAGE(G1103:G1105),IF(M1101&lt;&gt;"",AVERAGE(G1102:G1105),AVERAGE(G1101:G1105)))))</f>
        <v>2716.98425</v>
      </c>
      <c r="I1105" s="33">
        <f t="shared" si="160"/>
        <v>2701.5005999999998</v>
      </c>
      <c r="J1105" s="33">
        <f t="shared" si="163"/>
        <v>2708.7464999999997</v>
      </c>
      <c r="K1105" s="33">
        <f t="shared" si="159"/>
        <v>2708.66</v>
      </c>
      <c r="L1105" s="59">
        <f t="shared" si="164"/>
        <v>3.0731985557434748E-3</v>
      </c>
      <c r="M1105" s="60" t="str">
        <f t="shared" si="165"/>
        <v/>
      </c>
      <c r="N1105" s="76">
        <f t="shared" si="157"/>
        <v>410.50876740978737</v>
      </c>
    </row>
    <row r="1106" spans="2:18" ht="14.7" thickBot="1" x14ac:dyDescent="0.6">
      <c r="B1106" s="35">
        <f t="shared" si="158"/>
        <v>25</v>
      </c>
      <c r="C1106" s="72" t="s">
        <v>139</v>
      </c>
      <c r="D1106" s="44">
        <f t="shared" si="162"/>
        <v>43915</v>
      </c>
      <c r="E1106" s="38">
        <v>6.4138999999999999</v>
      </c>
      <c r="F1106" s="39">
        <f t="shared" si="161"/>
        <v>415</v>
      </c>
      <c r="G1106" s="33">
        <f t="shared" ref="G1106:G1169" si="167">E1105*F1106</f>
        <v>2699.9900000000002</v>
      </c>
      <c r="H1106" s="33">
        <f t="shared" si="166"/>
        <v>2711.3195000000001</v>
      </c>
      <c r="I1106" s="33">
        <f t="shared" si="160"/>
        <v>2704.9533999999999</v>
      </c>
      <c r="J1106" s="33">
        <f t="shared" si="163"/>
        <v>2708.7464999999997</v>
      </c>
      <c r="K1106" s="33">
        <f t="shared" si="159"/>
        <v>2708.66</v>
      </c>
      <c r="L1106" s="59">
        <f t="shared" si="164"/>
        <v>9.8185080445689285E-4</v>
      </c>
      <c r="M1106" s="60" t="str">
        <f t="shared" si="165"/>
        <v/>
      </c>
      <c r="N1106" s="76">
        <f t="shared" si="157"/>
        <v>416.33261604672606</v>
      </c>
    </row>
    <row r="1107" spans="2:18" ht="14.7" thickBot="1" x14ac:dyDescent="0.6">
      <c r="B1107" s="35">
        <f t="shared" si="158"/>
        <v>26</v>
      </c>
      <c r="C1107" s="72" t="s">
        <v>139</v>
      </c>
      <c r="D1107" s="44">
        <f t="shared" si="162"/>
        <v>43916</v>
      </c>
      <c r="E1107" s="38">
        <v>6.4676</v>
      </c>
      <c r="F1107" s="39">
        <f t="shared" si="161"/>
        <v>415</v>
      </c>
      <c r="G1107" s="33">
        <f t="shared" si="167"/>
        <v>2661.7685000000001</v>
      </c>
      <c r="H1107" s="33">
        <f t="shared" si="166"/>
        <v>2698.9317500000002</v>
      </c>
      <c r="I1107" s="33">
        <f t="shared" si="160"/>
        <v>2700.8947000000003</v>
      </c>
      <c r="J1107" s="33">
        <f t="shared" si="163"/>
        <v>2708.7464999999997</v>
      </c>
      <c r="K1107" s="33">
        <f t="shared" si="159"/>
        <v>2708.66</v>
      </c>
      <c r="L1107" s="59">
        <f t="shared" si="164"/>
        <v>-3.5915360362687313E-3</v>
      </c>
      <c r="M1107" s="60" t="str">
        <f t="shared" si="165"/>
        <v/>
      </c>
      <c r="N1107" s="76">
        <f t="shared" si="157"/>
        <v>422.31091847393941</v>
      </c>
      <c r="O1107" s="159" t="s">
        <v>132</v>
      </c>
      <c r="P1107" s="160"/>
      <c r="Q1107" s="160"/>
      <c r="R1107" s="161"/>
    </row>
    <row r="1108" spans="2:18" x14ac:dyDescent="0.55000000000000004">
      <c r="B1108" s="35">
        <f t="shared" si="158"/>
        <v>27</v>
      </c>
      <c r="C1108" s="72" t="s">
        <v>139</v>
      </c>
      <c r="D1108" s="44">
        <f t="shared" si="162"/>
        <v>43917</v>
      </c>
      <c r="E1108" s="38">
        <v>6.4462000000000002</v>
      </c>
      <c r="F1108" s="39">
        <f t="shared" si="161"/>
        <v>415</v>
      </c>
      <c r="G1108" s="33">
        <f t="shared" si="167"/>
        <v>2684.0540000000001</v>
      </c>
      <c r="H1108" s="33">
        <f t="shared" si="166"/>
        <v>2695.9562000000001</v>
      </c>
      <c r="I1108" s="33">
        <f t="shared" si="160"/>
        <v>2695.9561999999996</v>
      </c>
      <c r="J1108" s="33">
        <f t="shared" si="163"/>
        <v>2708.7464999999997</v>
      </c>
      <c r="K1108" s="33">
        <f t="shared" si="159"/>
        <v>2708.66</v>
      </c>
      <c r="L1108" s="59">
        <f t="shared" si="164"/>
        <v>-4.6900681517797636E-3</v>
      </c>
      <c r="M1108" s="60" t="str">
        <f t="shared" si="165"/>
        <v/>
      </c>
      <c r="N1108" s="76">
        <f t="shared" ref="N1108:N1171" si="168">K1108/E1107</f>
        <v>418.80450244294633</v>
      </c>
      <c r="O1108" s="162" t="s">
        <v>35</v>
      </c>
      <c r="P1108" s="79" t="s">
        <v>133</v>
      </c>
      <c r="Q1108" s="79" t="s">
        <v>134</v>
      </c>
      <c r="R1108" s="80" t="s">
        <v>135</v>
      </c>
    </row>
    <row r="1109" spans="2:18" ht="14.7" thickBot="1" x14ac:dyDescent="0.6">
      <c r="B1109" s="35">
        <f t="shared" si="158"/>
        <v>30</v>
      </c>
      <c r="C1109" s="72" t="s">
        <v>139</v>
      </c>
      <c r="D1109" s="44">
        <f t="shared" si="162"/>
        <v>43920</v>
      </c>
      <c r="E1109" s="38">
        <v>6.5277000000000003</v>
      </c>
      <c r="F1109" s="39">
        <f t="shared" si="161"/>
        <v>415</v>
      </c>
      <c r="G1109" s="33">
        <f t="shared" si="167"/>
        <v>2675.1730000000002</v>
      </c>
      <c r="H1109" s="33">
        <f t="shared" si="166"/>
        <v>2691.8560000000002</v>
      </c>
      <c r="I1109" s="33">
        <f t="shared" si="160"/>
        <v>2691.8560000000002</v>
      </c>
      <c r="J1109" s="33">
        <f t="shared" si="163"/>
        <v>2708.7464999999997</v>
      </c>
      <c r="K1109" s="33">
        <f t="shared" si="159"/>
        <v>2708.66</v>
      </c>
      <c r="L1109" s="59">
        <f t="shared" si="164"/>
        <v>-6.2038055717585942E-3</v>
      </c>
      <c r="M1109" s="60" t="str">
        <f t="shared" si="165"/>
        <v/>
      </c>
      <c r="N1109" s="76">
        <f t="shared" si="168"/>
        <v>420.19484347367438</v>
      </c>
      <c r="O1109" s="163"/>
      <c r="P1109" s="81" t="s">
        <v>136</v>
      </c>
      <c r="Q1109" s="81" t="s">
        <v>136</v>
      </c>
      <c r="R1109" s="82" t="s">
        <v>136</v>
      </c>
    </row>
    <row r="1110" spans="2:18" x14ac:dyDescent="0.55000000000000004">
      <c r="B1110" s="35">
        <f t="shared" si="158"/>
        <v>31</v>
      </c>
      <c r="C1110" s="72" t="s">
        <v>139</v>
      </c>
      <c r="D1110" s="44">
        <f t="shared" si="162"/>
        <v>43921</v>
      </c>
      <c r="E1110" s="38">
        <v>6.5815000000000001</v>
      </c>
      <c r="F1110" s="39">
        <f t="shared" si="161"/>
        <v>415</v>
      </c>
      <c r="G1110" s="33">
        <f t="shared" si="167"/>
        <v>2708.9955</v>
      </c>
      <c r="H1110" s="33">
        <f t="shared" si="166"/>
        <v>2685.9962</v>
      </c>
      <c r="I1110" s="33">
        <f t="shared" si="160"/>
        <v>2685.9962</v>
      </c>
      <c r="J1110" s="33">
        <f t="shared" si="163"/>
        <v>2708.7464999999997</v>
      </c>
      <c r="K1110" s="33">
        <f t="shared" si="159"/>
        <v>2708.66</v>
      </c>
      <c r="L1110" s="59">
        <f t="shared" si="164"/>
        <v>-8.3671630990969012E-3</v>
      </c>
      <c r="M1110" s="60" t="str">
        <f t="shared" si="165"/>
        <v/>
      </c>
      <c r="N1110" s="76">
        <f t="shared" si="168"/>
        <v>414.94860364293697</v>
      </c>
      <c r="O1110" s="85">
        <v>43910</v>
      </c>
      <c r="P1110" s="86">
        <v>2708.66</v>
      </c>
      <c r="Q1110" s="86">
        <v>1746.8</v>
      </c>
      <c r="R1110" s="86">
        <v>4455.46</v>
      </c>
    </row>
    <row r="1111" spans="2:18" ht="14.7" thickBot="1" x14ac:dyDescent="0.6">
      <c r="B1111" s="35">
        <f t="shared" ref="B1111:B1174" si="169">DAY(D1111)</f>
        <v>1</v>
      </c>
      <c r="C1111" s="72" t="s">
        <v>140</v>
      </c>
      <c r="D1111" s="44">
        <f t="shared" si="162"/>
        <v>43922</v>
      </c>
      <c r="E1111" s="38">
        <v>6.6547999999999998</v>
      </c>
      <c r="F1111" s="39">
        <v>188</v>
      </c>
      <c r="G1111" s="33">
        <f t="shared" si="167"/>
        <v>1237.3220000000001</v>
      </c>
      <c r="H1111" s="33">
        <f t="shared" si="166"/>
        <v>2393.4626000000003</v>
      </c>
      <c r="I1111" s="33">
        <f t="shared" si="160"/>
        <v>1219.62744</v>
      </c>
      <c r="J1111" s="33">
        <f t="shared" si="163"/>
        <v>1237.3220000000001</v>
      </c>
      <c r="K1111" s="33">
        <f t="shared" si="159"/>
        <v>2708.66</v>
      </c>
      <c r="L1111" s="59">
        <f t="shared" si="164"/>
        <v>-0.11636654286621413</v>
      </c>
      <c r="M1111" s="60">
        <f t="shared" si="165"/>
        <v>-1471.3379999999997</v>
      </c>
      <c r="N1111" s="76">
        <f t="shared" si="168"/>
        <v>411.55663602522219</v>
      </c>
      <c r="O1111" s="87">
        <v>43922</v>
      </c>
      <c r="P1111" s="78">
        <v>1237.32</v>
      </c>
      <c r="Q1111" s="78">
        <v>1778</v>
      </c>
      <c r="R1111" s="78">
        <f>SUM(P1111:Q1111)</f>
        <v>3015.3199999999997</v>
      </c>
    </row>
    <row r="1112" spans="2:18" ht="14.7" thickBot="1" x14ac:dyDescent="0.6">
      <c r="B1112" s="35">
        <f t="shared" si="169"/>
        <v>2</v>
      </c>
      <c r="C1112" s="72" t="s">
        <v>140</v>
      </c>
      <c r="D1112" s="44">
        <f t="shared" si="162"/>
        <v>43923</v>
      </c>
      <c r="E1112" s="38">
        <v>6.6791999999999998</v>
      </c>
      <c r="F1112" s="39">
        <f t="shared" si="161"/>
        <v>188</v>
      </c>
      <c r="G1112" s="33">
        <f t="shared" si="167"/>
        <v>1251.1024</v>
      </c>
      <c r="H1112" s="33">
        <f t="shared" si="166"/>
        <v>1251.1024</v>
      </c>
      <c r="I1112" s="33">
        <f t="shared" si="160"/>
        <v>1228.6852800000001</v>
      </c>
      <c r="J1112" s="33">
        <f t="shared" si="163"/>
        <v>1237.3220000000001</v>
      </c>
      <c r="K1112" s="33">
        <f t="shared" si="159"/>
        <v>1237.3220000000001</v>
      </c>
      <c r="L1112" s="59">
        <f t="shared" si="164"/>
        <v>1.1137278735850386E-2</v>
      </c>
      <c r="M1112" s="60" t="str">
        <f t="shared" si="165"/>
        <v/>
      </c>
      <c r="N1112" s="76">
        <f t="shared" si="168"/>
        <v>185.92925407224863</v>
      </c>
      <c r="O1112" s="87" t="s">
        <v>137</v>
      </c>
      <c r="P1112" s="92">
        <f>P1111-P1110</f>
        <v>-1471.34</v>
      </c>
      <c r="Q1112" s="88">
        <f>Q1111-Q1110</f>
        <v>31.200000000000045</v>
      </c>
      <c r="R1112" s="92">
        <f>R1111-R1110</f>
        <v>-1440.1400000000003</v>
      </c>
    </row>
    <row r="1113" spans="2:18" x14ac:dyDescent="0.55000000000000004">
      <c r="B1113" s="35">
        <f t="shared" si="169"/>
        <v>3</v>
      </c>
      <c r="C1113" s="72" t="s">
        <v>140</v>
      </c>
      <c r="D1113" s="44">
        <f t="shared" si="162"/>
        <v>43924</v>
      </c>
      <c r="E1113" s="38">
        <v>6.7023999999999999</v>
      </c>
      <c r="F1113" s="39">
        <f t="shared" si="161"/>
        <v>188</v>
      </c>
      <c r="G1113" s="33">
        <f t="shared" si="167"/>
        <v>1255.6895999999999</v>
      </c>
      <c r="H1113" s="33">
        <f t="shared" si="166"/>
        <v>1253.396</v>
      </c>
      <c r="I1113" s="33">
        <f t="shared" si="160"/>
        <v>1236.6414400000001</v>
      </c>
      <c r="J1113" s="33">
        <f t="shared" si="163"/>
        <v>1237.3220000000001</v>
      </c>
      <c r="K1113" s="33">
        <f t="shared" si="159"/>
        <v>1237.3220000000001</v>
      </c>
      <c r="L1113" s="59">
        <f t="shared" si="164"/>
        <v>1.2990959507710878E-2</v>
      </c>
      <c r="M1113" s="60" t="str">
        <f t="shared" si="165"/>
        <v/>
      </c>
      <c r="N1113" s="76">
        <f t="shared" si="168"/>
        <v>185.25002994370587</v>
      </c>
    </row>
    <row r="1114" spans="2:18" x14ac:dyDescent="0.55000000000000004">
      <c r="B1114" s="35">
        <f t="shared" si="169"/>
        <v>6</v>
      </c>
      <c r="C1114" s="72" t="s">
        <v>140</v>
      </c>
      <c r="D1114" s="44">
        <f t="shared" si="162"/>
        <v>43927</v>
      </c>
      <c r="E1114" s="38">
        <v>6.7671000000000001</v>
      </c>
      <c r="F1114" s="39">
        <f t="shared" si="161"/>
        <v>188</v>
      </c>
      <c r="G1114" s="33">
        <f t="shared" si="167"/>
        <v>1260.0511999999999</v>
      </c>
      <c r="H1114" s="33">
        <f t="shared" si="166"/>
        <v>1255.6143999999999</v>
      </c>
      <c r="I1114" s="33">
        <f t="shared" si="160"/>
        <v>1246.2745600000001</v>
      </c>
      <c r="J1114" s="33">
        <f t="shared" si="163"/>
        <v>1237.3220000000001</v>
      </c>
      <c r="K1114" s="33">
        <f t="shared" si="159"/>
        <v>1237.3220000000001</v>
      </c>
      <c r="L1114" s="59">
        <f t="shared" si="164"/>
        <v>1.4783863860821851E-2</v>
      </c>
      <c r="M1114" s="60" t="str">
        <f t="shared" si="165"/>
        <v/>
      </c>
      <c r="N1114" s="76">
        <f t="shared" si="168"/>
        <v>184.60879684888997</v>
      </c>
    </row>
    <row r="1115" spans="2:18" x14ac:dyDescent="0.55000000000000004">
      <c r="B1115" s="35">
        <f t="shared" si="169"/>
        <v>7</v>
      </c>
      <c r="C1115" s="72" t="s">
        <v>140</v>
      </c>
      <c r="D1115" s="44">
        <f t="shared" si="162"/>
        <v>43928</v>
      </c>
      <c r="E1115" s="38">
        <v>6.7496</v>
      </c>
      <c r="F1115" s="39">
        <f t="shared" si="161"/>
        <v>188</v>
      </c>
      <c r="G1115" s="33">
        <f t="shared" si="167"/>
        <v>1272.2148</v>
      </c>
      <c r="H1115" s="33">
        <f t="shared" si="166"/>
        <v>1259.7645</v>
      </c>
      <c r="I1115" s="33">
        <f t="shared" si="160"/>
        <v>1255.2760000000003</v>
      </c>
      <c r="J1115" s="33">
        <f t="shared" si="163"/>
        <v>1237.3220000000001</v>
      </c>
      <c r="K1115" s="33">
        <f t="shared" si="159"/>
        <v>1237.3220000000001</v>
      </c>
      <c r="L1115" s="59">
        <f t="shared" si="164"/>
        <v>1.8137962470561327E-2</v>
      </c>
      <c r="M1115" s="60" t="str">
        <f t="shared" si="165"/>
        <v/>
      </c>
      <c r="N1115" s="76">
        <f t="shared" si="168"/>
        <v>182.84375877406868</v>
      </c>
    </row>
    <row r="1116" spans="2:18" x14ac:dyDescent="0.55000000000000004">
      <c r="B1116" s="35">
        <f t="shared" si="169"/>
        <v>8</v>
      </c>
      <c r="C1116" s="72" t="s">
        <v>140</v>
      </c>
      <c r="D1116" s="44">
        <f t="shared" si="162"/>
        <v>43929</v>
      </c>
      <c r="E1116" s="38">
        <v>6.7827000000000002</v>
      </c>
      <c r="F1116" s="39">
        <f t="shared" si="161"/>
        <v>188</v>
      </c>
      <c r="G1116" s="33">
        <f t="shared" si="167"/>
        <v>1268.9248</v>
      </c>
      <c r="H1116" s="33">
        <f t="shared" si="166"/>
        <v>1261.59656</v>
      </c>
      <c r="I1116" s="33">
        <f t="shared" si="160"/>
        <v>1261.5965600000002</v>
      </c>
      <c r="J1116" s="33">
        <f t="shared" si="163"/>
        <v>1237.3220000000001</v>
      </c>
      <c r="K1116" s="33">
        <f t="shared" si="159"/>
        <v>1237.3220000000001</v>
      </c>
      <c r="L1116" s="59">
        <f t="shared" si="164"/>
        <v>1.9618627972346595E-2</v>
      </c>
      <c r="M1116" s="60" t="str">
        <f t="shared" si="165"/>
        <v/>
      </c>
      <c r="N1116" s="76">
        <f t="shared" si="168"/>
        <v>183.31782624155508</v>
      </c>
    </row>
    <row r="1117" spans="2:18" x14ac:dyDescent="0.55000000000000004">
      <c r="B1117" s="35">
        <f t="shared" si="169"/>
        <v>9</v>
      </c>
      <c r="C1117" s="72"/>
      <c r="D1117" s="44">
        <f t="shared" si="162"/>
        <v>43930</v>
      </c>
      <c r="E1117" s="38">
        <v>6.7504</v>
      </c>
      <c r="F1117" s="39">
        <f t="shared" si="161"/>
        <v>188</v>
      </c>
      <c r="G1117" s="33">
        <f t="shared" si="167"/>
        <v>1275.1476</v>
      </c>
      <c r="H1117" s="33">
        <f t="shared" si="166"/>
        <v>1266.4055999999998</v>
      </c>
      <c r="I1117" s="33">
        <f t="shared" si="160"/>
        <v>1266.4055999999998</v>
      </c>
      <c r="J1117" s="33">
        <f t="shared" si="163"/>
        <v>1237.3220000000001</v>
      </c>
      <c r="K1117" s="33">
        <f t="shared" ref="K1117:K1179" si="170">IF(L1116&gt;3%,G1116,IF(L1116&lt;-3%,G1116,K1116))</f>
        <v>1237.3220000000001</v>
      </c>
      <c r="L1117" s="59">
        <f t="shared" si="164"/>
        <v>2.3505279951378626E-2</v>
      </c>
      <c r="M1117" s="60" t="str">
        <f t="shared" si="165"/>
        <v/>
      </c>
      <c r="N1117" s="76">
        <f t="shared" si="168"/>
        <v>182.42322378993617</v>
      </c>
    </row>
    <row r="1118" spans="2:18" x14ac:dyDescent="0.55000000000000004">
      <c r="B1118" s="35">
        <f t="shared" si="169"/>
        <v>10</v>
      </c>
      <c r="C1118" s="72"/>
      <c r="D1118" s="44">
        <f t="shared" si="162"/>
        <v>43931</v>
      </c>
      <c r="E1118" s="38">
        <v>6.6997999999999998</v>
      </c>
      <c r="F1118" s="39">
        <f t="shared" si="161"/>
        <v>188</v>
      </c>
      <c r="G1118" s="33">
        <f t="shared" si="167"/>
        <v>1269.0752</v>
      </c>
      <c r="H1118" s="33">
        <f t="shared" si="166"/>
        <v>1269.0827199999999</v>
      </c>
      <c r="I1118" s="33">
        <f t="shared" si="160"/>
        <v>1269.0827200000001</v>
      </c>
      <c r="J1118" s="33">
        <f t="shared" si="163"/>
        <v>1237.3220000000001</v>
      </c>
      <c r="K1118" s="33">
        <f t="shared" si="170"/>
        <v>1237.3220000000001</v>
      </c>
      <c r="L1118" s="59">
        <f t="shared" si="164"/>
        <v>2.5668920458861769E-2</v>
      </c>
      <c r="M1118" s="60" t="str">
        <f t="shared" si="165"/>
        <v/>
      </c>
      <c r="N1118" s="76">
        <f t="shared" si="168"/>
        <v>183.29610097179429</v>
      </c>
    </row>
    <row r="1119" spans="2:18" x14ac:dyDescent="0.55000000000000004">
      <c r="B1119" s="35">
        <f t="shared" si="169"/>
        <v>13</v>
      </c>
      <c r="C1119" s="72">
        <v>0</v>
      </c>
      <c r="D1119" s="44">
        <f t="shared" si="162"/>
        <v>43934</v>
      </c>
      <c r="E1119" s="38">
        <v>6.774</v>
      </c>
      <c r="F1119" s="39">
        <f t="shared" si="161"/>
        <v>188</v>
      </c>
      <c r="G1119" s="33">
        <f t="shared" si="167"/>
        <v>1259.5624</v>
      </c>
      <c r="H1119" s="33">
        <f t="shared" si="166"/>
        <v>1268.98496</v>
      </c>
      <c r="I1119" s="33">
        <f t="shared" si="160"/>
        <v>1268.98496</v>
      </c>
      <c r="J1119" s="33">
        <f t="shared" si="163"/>
        <v>1237.3220000000001</v>
      </c>
      <c r="K1119" s="33">
        <f t="shared" si="170"/>
        <v>1237.3220000000001</v>
      </c>
      <c r="L1119" s="59">
        <f t="shared" si="164"/>
        <v>2.5589911114487482E-2</v>
      </c>
      <c r="M1119" s="60" t="str">
        <f t="shared" si="165"/>
        <v/>
      </c>
      <c r="N1119" s="76">
        <f t="shared" si="168"/>
        <v>184.68043822203651</v>
      </c>
    </row>
    <row r="1120" spans="2:18" ht="14.7" thickBot="1" x14ac:dyDescent="0.6">
      <c r="B1120" s="35">
        <f t="shared" si="169"/>
        <v>14</v>
      </c>
      <c r="C1120" s="72" t="s">
        <v>140</v>
      </c>
      <c r="D1120" s="44">
        <f t="shared" si="162"/>
        <v>43935</v>
      </c>
      <c r="E1120" s="38">
        <v>6.7873999999999999</v>
      </c>
      <c r="F1120" s="39">
        <f t="shared" si="161"/>
        <v>188</v>
      </c>
      <c r="G1120" s="33">
        <f t="shared" si="167"/>
        <v>1273.5119999999999</v>
      </c>
      <c r="H1120" s="33">
        <f t="shared" si="166"/>
        <v>1269.2444</v>
      </c>
      <c r="I1120" s="33">
        <f t="shared" si="160"/>
        <v>1269.2443999999998</v>
      </c>
      <c r="J1120" s="33">
        <f t="shared" si="163"/>
        <v>1237.3220000000001</v>
      </c>
      <c r="K1120" s="33">
        <f t="shared" si="170"/>
        <v>1237.3220000000001</v>
      </c>
      <c r="L1120" s="59">
        <f t="shared" si="164"/>
        <v>2.5799589759173378E-2</v>
      </c>
      <c r="M1120" s="60" t="str">
        <f t="shared" si="165"/>
        <v/>
      </c>
      <c r="N1120" s="76">
        <f t="shared" si="168"/>
        <v>182.65751402421023</v>
      </c>
    </row>
    <row r="1121" spans="2:18" ht="14.7" thickBot="1" x14ac:dyDescent="0.6">
      <c r="B1121" s="35">
        <f t="shared" si="169"/>
        <v>15</v>
      </c>
      <c r="C1121" s="72" t="s">
        <v>140</v>
      </c>
      <c r="D1121" s="44">
        <f t="shared" si="162"/>
        <v>43936</v>
      </c>
      <c r="E1121" s="38">
        <v>6.8628</v>
      </c>
      <c r="F1121" s="39">
        <f t="shared" si="161"/>
        <v>188</v>
      </c>
      <c r="G1121" s="33">
        <f t="shared" si="167"/>
        <v>1276.0311999999999</v>
      </c>
      <c r="H1121" s="33">
        <f t="shared" si="166"/>
        <v>1270.6656800000001</v>
      </c>
      <c r="I1121" s="33">
        <f t="shared" si="160"/>
        <v>1270.6656800000001</v>
      </c>
      <c r="J1121" s="33">
        <f t="shared" si="163"/>
        <v>1237.3220000000001</v>
      </c>
      <c r="K1121" s="33">
        <f t="shared" si="170"/>
        <v>1237.3220000000001</v>
      </c>
      <c r="L1121" s="59">
        <f t="shared" si="164"/>
        <v>2.6948264073539424E-2</v>
      </c>
      <c r="M1121" s="60" t="str">
        <f t="shared" si="165"/>
        <v/>
      </c>
      <c r="N1121" s="76">
        <f t="shared" si="168"/>
        <v>182.29690308512835</v>
      </c>
      <c r="O1121" s="159" t="s">
        <v>132</v>
      </c>
      <c r="P1121" s="160"/>
      <c r="Q1121" s="160"/>
      <c r="R1121" s="161"/>
    </row>
    <row r="1122" spans="2:18" x14ac:dyDescent="0.55000000000000004">
      <c r="B1122" s="35">
        <f t="shared" si="169"/>
        <v>16</v>
      </c>
      <c r="C1122" s="72" t="s">
        <v>140</v>
      </c>
      <c r="D1122" s="44">
        <f t="shared" si="162"/>
        <v>43937</v>
      </c>
      <c r="E1122" s="38">
        <v>6.9196999999999997</v>
      </c>
      <c r="F1122" s="39">
        <f t="shared" si="161"/>
        <v>188</v>
      </c>
      <c r="G1122" s="33">
        <f t="shared" si="167"/>
        <v>1290.2064</v>
      </c>
      <c r="H1122" s="33">
        <f t="shared" si="166"/>
        <v>1273.6774399999999</v>
      </c>
      <c r="I1122" s="33">
        <f t="shared" ref="I1122:I1185" si="171">F1122*AVERAGE(E1117:E1121)</f>
        <v>1273.6774400000002</v>
      </c>
      <c r="J1122" s="33">
        <f t="shared" si="163"/>
        <v>1237.3220000000001</v>
      </c>
      <c r="K1122" s="33">
        <f t="shared" si="170"/>
        <v>1237.3220000000001</v>
      </c>
      <c r="L1122" s="59">
        <f t="shared" si="164"/>
        <v>2.93823596444578E-2</v>
      </c>
      <c r="M1122" s="60" t="str">
        <f t="shared" si="165"/>
        <v/>
      </c>
      <c r="N1122" s="76">
        <f t="shared" si="168"/>
        <v>180.29404907617882</v>
      </c>
      <c r="O1122" s="162" t="s">
        <v>35</v>
      </c>
      <c r="P1122" s="79" t="s">
        <v>133</v>
      </c>
      <c r="Q1122" s="79" t="s">
        <v>134</v>
      </c>
      <c r="R1122" s="80" t="s">
        <v>135</v>
      </c>
    </row>
    <row r="1123" spans="2:18" ht="14.7" thickBot="1" x14ac:dyDescent="0.6">
      <c r="B1123" s="35">
        <f t="shared" si="169"/>
        <v>17</v>
      </c>
      <c r="C1123" s="72" t="s">
        <v>140</v>
      </c>
      <c r="D1123" s="44">
        <f t="shared" si="162"/>
        <v>43938</v>
      </c>
      <c r="E1123" s="38">
        <v>6.9255000000000004</v>
      </c>
      <c r="F1123" s="39">
        <f t="shared" si="161"/>
        <v>188</v>
      </c>
      <c r="G1123" s="33">
        <f t="shared" si="167"/>
        <v>1300.9035999999999</v>
      </c>
      <c r="H1123" s="33">
        <f t="shared" si="166"/>
        <v>1280.0431199999998</v>
      </c>
      <c r="I1123" s="33">
        <f t="shared" si="171"/>
        <v>1280.04312</v>
      </c>
      <c r="J1123" s="33">
        <f t="shared" si="163"/>
        <v>1300.9035999999999</v>
      </c>
      <c r="K1123" s="33">
        <f t="shared" si="170"/>
        <v>1237.3220000000001</v>
      </c>
      <c r="L1123" s="59">
        <f t="shared" si="164"/>
        <v>3.4527083491605014E-2</v>
      </c>
      <c r="M1123" s="60">
        <f t="shared" si="165"/>
        <v>63.581599999999753</v>
      </c>
      <c r="N1123" s="76">
        <f t="shared" si="168"/>
        <v>178.81150916947269</v>
      </c>
      <c r="O1123" s="163"/>
      <c r="P1123" s="81" t="s">
        <v>136</v>
      </c>
      <c r="Q1123" s="81" t="s">
        <v>136</v>
      </c>
      <c r="R1123" s="82" t="s">
        <v>136</v>
      </c>
    </row>
    <row r="1124" spans="2:18" ht="14.7" thickBot="1" x14ac:dyDescent="0.6">
      <c r="B1124" s="35">
        <f t="shared" si="169"/>
        <v>20</v>
      </c>
      <c r="C1124" s="72" t="s">
        <v>140</v>
      </c>
      <c r="D1124" s="44">
        <f t="shared" si="162"/>
        <v>43941</v>
      </c>
      <c r="E1124" s="38">
        <v>6.9207000000000001</v>
      </c>
      <c r="F1124" s="39">
        <f t="shared" si="161"/>
        <v>188</v>
      </c>
      <c r="G1124" s="33">
        <f t="shared" si="167"/>
        <v>1301.9940000000001</v>
      </c>
      <c r="H1124" s="33">
        <f t="shared" si="166"/>
        <v>1301.9940000000001</v>
      </c>
      <c r="I1124" s="33">
        <f t="shared" si="171"/>
        <v>1288.5294399999998</v>
      </c>
      <c r="J1124" s="33">
        <f t="shared" si="163"/>
        <v>1300.9035999999999</v>
      </c>
      <c r="K1124" s="33">
        <f t="shared" si="170"/>
        <v>1300.9035999999999</v>
      </c>
      <c r="L1124" s="59">
        <f t="shared" si="164"/>
        <v>8.3818662658806744E-4</v>
      </c>
      <c r="M1124" s="60" t="str">
        <f t="shared" si="165"/>
        <v/>
      </c>
      <c r="N1124" s="76">
        <f t="shared" si="168"/>
        <v>187.84255288426826</v>
      </c>
      <c r="O1124" s="87">
        <v>43922</v>
      </c>
      <c r="P1124" s="78">
        <v>1237.32</v>
      </c>
      <c r="Q1124" s="78">
        <v>1778</v>
      </c>
      <c r="R1124" s="78">
        <f>SUM(P1124:Q1124)</f>
        <v>3015.3199999999997</v>
      </c>
    </row>
    <row r="1125" spans="2:18" ht="14.7" thickBot="1" x14ac:dyDescent="0.6">
      <c r="B1125" s="35">
        <f t="shared" si="169"/>
        <v>21</v>
      </c>
      <c r="C1125" s="72" t="s">
        <v>140</v>
      </c>
      <c r="D1125" s="44">
        <f t="shared" si="162"/>
        <v>43942</v>
      </c>
      <c r="E1125" s="38">
        <v>6.9718999999999998</v>
      </c>
      <c r="F1125" s="39">
        <f t="shared" si="161"/>
        <v>188</v>
      </c>
      <c r="G1125" s="33">
        <f t="shared" si="167"/>
        <v>1301.0916</v>
      </c>
      <c r="H1125" s="33">
        <f t="shared" si="166"/>
        <v>1301.5428000000002</v>
      </c>
      <c r="I1125" s="33">
        <f t="shared" si="171"/>
        <v>1294.0453599999998</v>
      </c>
      <c r="J1125" s="33">
        <f t="shared" si="163"/>
        <v>1300.9035999999999</v>
      </c>
      <c r="K1125" s="33">
        <f t="shared" si="170"/>
        <v>1300.9035999999999</v>
      </c>
      <c r="L1125" s="59">
        <f t="shared" si="164"/>
        <v>4.9135078110345838E-4</v>
      </c>
      <c r="M1125" s="60" t="str">
        <f t="shared" si="165"/>
        <v/>
      </c>
      <c r="N1125" s="76">
        <f t="shared" si="168"/>
        <v>187.97283511783488</v>
      </c>
      <c r="O1125" s="87">
        <v>43941</v>
      </c>
      <c r="P1125" s="78">
        <v>1300.9000000000001</v>
      </c>
      <c r="Q1125" s="78">
        <v>1778</v>
      </c>
      <c r="R1125" s="78">
        <f>SUM(P1125:Q1125)</f>
        <v>3078.9</v>
      </c>
    </row>
    <row r="1126" spans="2:18" ht="14.7" thickBot="1" x14ac:dyDescent="0.6">
      <c r="B1126" s="35">
        <f t="shared" si="169"/>
        <v>22</v>
      </c>
      <c r="C1126" s="72" t="s">
        <v>140</v>
      </c>
      <c r="D1126" s="44">
        <f t="shared" si="162"/>
        <v>43943</v>
      </c>
      <c r="E1126" s="38">
        <v>6.9832999999999998</v>
      </c>
      <c r="F1126" s="39">
        <f t="shared" si="161"/>
        <v>188</v>
      </c>
      <c r="G1126" s="33">
        <f t="shared" si="167"/>
        <v>1310.7172</v>
      </c>
      <c r="H1126" s="33">
        <f t="shared" si="166"/>
        <v>1304.6009333333334</v>
      </c>
      <c r="I1126" s="33">
        <f t="shared" si="171"/>
        <v>1300.9825599999999</v>
      </c>
      <c r="J1126" s="33">
        <f t="shared" si="163"/>
        <v>1300.9035999999999</v>
      </c>
      <c r="K1126" s="33">
        <f t="shared" si="170"/>
        <v>1300.9035999999999</v>
      </c>
      <c r="L1126" s="59">
        <f t="shared" si="164"/>
        <v>2.8421270671658669E-3</v>
      </c>
      <c r="M1126" s="60" t="str">
        <f t="shared" si="165"/>
        <v/>
      </c>
      <c r="N1126" s="76">
        <f t="shared" si="168"/>
        <v>186.59240666102497</v>
      </c>
      <c r="O1126" s="87" t="s">
        <v>137</v>
      </c>
      <c r="P1126" s="92">
        <f>P1125-P1124</f>
        <v>63.580000000000155</v>
      </c>
      <c r="Q1126" s="88">
        <f>Q1125-Q1124</f>
        <v>0</v>
      </c>
      <c r="R1126" s="92">
        <f>R1125-R1124</f>
        <v>63.580000000000382</v>
      </c>
    </row>
    <row r="1127" spans="2:18" x14ac:dyDescent="0.55000000000000004">
      <c r="B1127" s="35">
        <f t="shared" si="169"/>
        <v>23</v>
      </c>
      <c r="C1127" s="72" t="s">
        <v>140</v>
      </c>
      <c r="D1127" s="44">
        <f t="shared" si="162"/>
        <v>43944</v>
      </c>
      <c r="E1127" s="38">
        <v>6.9832999999999998</v>
      </c>
      <c r="F1127" s="39">
        <f t="shared" si="161"/>
        <v>188</v>
      </c>
      <c r="G1127" s="33">
        <f t="shared" si="167"/>
        <v>1312.8604</v>
      </c>
      <c r="H1127" s="33">
        <f t="shared" si="166"/>
        <v>1306.6658000000002</v>
      </c>
      <c r="I1127" s="33">
        <f t="shared" si="171"/>
        <v>1305.5133599999999</v>
      </c>
      <c r="J1127" s="33">
        <f t="shared" si="163"/>
        <v>1300.9035999999999</v>
      </c>
      <c r="K1127" s="33">
        <f t="shared" si="170"/>
        <v>1300.9035999999999</v>
      </c>
      <c r="L1127" s="59">
        <f t="shared" si="164"/>
        <v>4.4293827767102412E-3</v>
      </c>
      <c r="M1127" s="60" t="str">
        <f t="shared" si="165"/>
        <v/>
      </c>
      <c r="N1127" s="76">
        <f t="shared" si="168"/>
        <v>186.2878008964243</v>
      </c>
    </row>
    <row r="1128" spans="2:18" x14ac:dyDescent="0.55000000000000004">
      <c r="B1128" s="35">
        <f t="shared" si="169"/>
        <v>24</v>
      </c>
      <c r="C1128" s="72" t="s">
        <v>140</v>
      </c>
      <c r="D1128" s="44">
        <f t="shared" si="162"/>
        <v>43945</v>
      </c>
      <c r="E1128" s="38">
        <v>6.9714999999999998</v>
      </c>
      <c r="F1128" s="39">
        <f t="shared" si="161"/>
        <v>188</v>
      </c>
      <c r="G1128" s="33">
        <f t="shared" si="167"/>
        <v>1312.8604</v>
      </c>
      <c r="H1128" s="33">
        <f t="shared" si="166"/>
        <v>1307.90472</v>
      </c>
      <c r="I1128" s="33">
        <f t="shared" si="171"/>
        <v>1307.90472</v>
      </c>
      <c r="J1128" s="33">
        <f t="shared" si="163"/>
        <v>1300.9035999999999</v>
      </c>
      <c r="K1128" s="33">
        <f t="shared" si="170"/>
        <v>1300.9035999999999</v>
      </c>
      <c r="L1128" s="59">
        <f t="shared" si="164"/>
        <v>5.3817362024366211E-3</v>
      </c>
      <c r="M1128" s="60" t="str">
        <f t="shared" si="165"/>
        <v/>
      </c>
      <c r="N1128" s="76">
        <f t="shared" si="168"/>
        <v>186.2878008964243</v>
      </c>
    </row>
    <row r="1129" spans="2:18" x14ac:dyDescent="0.55000000000000004">
      <c r="B1129" s="35">
        <f t="shared" si="169"/>
        <v>27</v>
      </c>
      <c r="C1129" s="72" t="s">
        <v>140</v>
      </c>
      <c r="D1129" s="44">
        <f t="shared" si="162"/>
        <v>43948</v>
      </c>
      <c r="E1129" s="38">
        <v>6.9801000000000002</v>
      </c>
      <c r="F1129" s="39">
        <f t="shared" si="161"/>
        <v>188</v>
      </c>
      <c r="G1129" s="33">
        <f t="shared" si="167"/>
        <v>1310.6420000000001</v>
      </c>
      <c r="H1129" s="33">
        <f t="shared" si="166"/>
        <v>1309.6343199999999</v>
      </c>
      <c r="I1129" s="33">
        <f t="shared" si="171"/>
        <v>1309.6343200000001</v>
      </c>
      <c r="J1129" s="33">
        <f t="shared" si="163"/>
        <v>1300.9035999999999</v>
      </c>
      <c r="K1129" s="33">
        <f t="shared" si="170"/>
        <v>1300.9035999999999</v>
      </c>
      <c r="L1129" s="59">
        <f t="shared" si="164"/>
        <v>6.7112736101276223E-3</v>
      </c>
      <c r="M1129" s="60" t="str">
        <f t="shared" si="165"/>
        <v/>
      </c>
      <c r="N1129" s="76">
        <f t="shared" si="168"/>
        <v>186.60311267302589</v>
      </c>
    </row>
    <row r="1130" spans="2:18" x14ac:dyDescent="0.55000000000000004">
      <c r="B1130" s="35">
        <f t="shared" si="169"/>
        <v>28</v>
      </c>
      <c r="C1130" s="72" t="s">
        <v>140</v>
      </c>
      <c r="D1130" s="44">
        <f t="shared" si="162"/>
        <v>43949</v>
      </c>
      <c r="E1130" s="38">
        <v>7.0006000000000004</v>
      </c>
      <c r="F1130" s="39">
        <f t="shared" ref="F1130:F1193" si="172">F1129</f>
        <v>188</v>
      </c>
      <c r="G1130" s="33">
        <f t="shared" si="167"/>
        <v>1312.2588000000001</v>
      </c>
      <c r="H1130" s="33">
        <f t="shared" si="166"/>
        <v>1311.8677599999999</v>
      </c>
      <c r="I1130" s="33">
        <f t="shared" si="171"/>
        <v>1311.8677599999999</v>
      </c>
      <c r="J1130" s="33">
        <f t="shared" si="163"/>
        <v>1300.9035999999999</v>
      </c>
      <c r="K1130" s="33">
        <f t="shared" si="170"/>
        <v>1300.9035999999999</v>
      </c>
      <c r="L1130" s="59">
        <f t="shared" si="164"/>
        <v>8.4281110452765241E-3</v>
      </c>
      <c r="M1130" s="60" t="str">
        <f t="shared" si="165"/>
        <v/>
      </c>
      <c r="N1130" s="76">
        <f t="shared" si="168"/>
        <v>186.37320382229478</v>
      </c>
    </row>
    <row r="1131" spans="2:18" ht="14.7" thickBot="1" x14ac:dyDescent="0.6">
      <c r="B1131" s="35">
        <f t="shared" si="169"/>
        <v>29</v>
      </c>
      <c r="C1131" s="72" t="s">
        <v>140</v>
      </c>
      <c r="D1131" s="44">
        <f t="shared" si="162"/>
        <v>43950</v>
      </c>
      <c r="E1131" s="38">
        <v>6.9912999999999998</v>
      </c>
      <c r="F1131" s="39">
        <f t="shared" si="172"/>
        <v>188</v>
      </c>
      <c r="G1131" s="33">
        <f t="shared" si="167"/>
        <v>1316.1128000000001</v>
      </c>
      <c r="H1131" s="33">
        <f t="shared" si="166"/>
        <v>1312.94688</v>
      </c>
      <c r="I1131" s="33">
        <f t="shared" si="171"/>
        <v>1312.94688</v>
      </c>
      <c r="J1131" s="33">
        <f t="shared" si="163"/>
        <v>1300.9035999999999</v>
      </c>
      <c r="K1131" s="33">
        <f t="shared" si="170"/>
        <v>1300.9035999999999</v>
      </c>
      <c r="L1131" s="59">
        <f t="shared" si="164"/>
        <v>9.2576267757273449E-3</v>
      </c>
      <c r="M1131" s="60" t="str">
        <f t="shared" si="165"/>
        <v/>
      </c>
      <c r="N1131" s="76">
        <f t="shared" si="168"/>
        <v>185.82744336199752</v>
      </c>
    </row>
    <row r="1132" spans="2:18" ht="14.7" thickBot="1" x14ac:dyDescent="0.6">
      <c r="B1132" s="35">
        <f t="shared" si="169"/>
        <v>30</v>
      </c>
      <c r="C1132" s="72" t="s">
        <v>140</v>
      </c>
      <c r="D1132" s="44">
        <f t="shared" si="162"/>
        <v>43951</v>
      </c>
      <c r="E1132" s="38">
        <v>6.9844999999999997</v>
      </c>
      <c r="F1132" s="39">
        <f t="shared" si="172"/>
        <v>188</v>
      </c>
      <c r="G1132" s="33">
        <f t="shared" si="167"/>
        <v>1314.3643999999999</v>
      </c>
      <c r="H1132" s="33">
        <f t="shared" si="166"/>
        <v>1313.2476799999999</v>
      </c>
      <c r="I1132" s="33">
        <f t="shared" si="171"/>
        <v>1313.2476799999999</v>
      </c>
      <c r="J1132" s="33">
        <f t="shared" si="163"/>
        <v>1300.9035999999999</v>
      </c>
      <c r="K1132" s="33">
        <f t="shared" si="170"/>
        <v>1300.9035999999999</v>
      </c>
      <c r="L1132" s="59">
        <f t="shared" si="164"/>
        <v>9.4888506727170852E-3</v>
      </c>
      <c r="M1132" s="60" t="str">
        <f t="shared" si="165"/>
        <v/>
      </c>
      <c r="N1132" s="76">
        <f t="shared" si="168"/>
        <v>186.07463561855448</v>
      </c>
      <c r="O1132" s="159" t="s">
        <v>132</v>
      </c>
      <c r="P1132" s="160"/>
      <c r="Q1132" s="160"/>
      <c r="R1132" s="161"/>
    </row>
    <row r="1133" spans="2:18" x14ac:dyDescent="0.55000000000000004">
      <c r="B1133" s="35">
        <f t="shared" si="169"/>
        <v>1</v>
      </c>
      <c r="C1133" s="72" t="s">
        <v>141</v>
      </c>
      <c r="D1133" s="44">
        <f t="shared" si="162"/>
        <v>43952</v>
      </c>
      <c r="E1133" s="38">
        <v>6.9844999999999997</v>
      </c>
      <c r="F1133" s="39">
        <f>199.5+40</f>
        <v>239.5</v>
      </c>
      <c r="G1133" s="33">
        <f t="shared" si="167"/>
        <v>1672.78775</v>
      </c>
      <c r="H1133" s="33">
        <f t="shared" si="166"/>
        <v>1385.23315</v>
      </c>
      <c r="I1133" s="33">
        <f t="shared" si="171"/>
        <v>1673.0511999999999</v>
      </c>
      <c r="J1133" s="33">
        <f t="shared" si="163"/>
        <v>1672.78775</v>
      </c>
      <c r="K1133" s="33">
        <f t="shared" si="170"/>
        <v>1300.9035999999999</v>
      </c>
      <c r="L1133" s="59">
        <f t="shared" si="164"/>
        <v>6.4823827069123457E-2</v>
      </c>
      <c r="M1133" s="93"/>
      <c r="N1133" s="76">
        <f t="shared" si="168"/>
        <v>186.25579497458656</v>
      </c>
      <c r="O1133" s="162" t="s">
        <v>35</v>
      </c>
      <c r="P1133" s="79" t="s">
        <v>133</v>
      </c>
      <c r="Q1133" s="79" t="s">
        <v>134</v>
      </c>
      <c r="R1133" s="80" t="s">
        <v>135</v>
      </c>
    </row>
    <row r="1134" spans="2:18" ht="14.7" thickBot="1" x14ac:dyDescent="0.6">
      <c r="B1134" s="35">
        <f t="shared" si="169"/>
        <v>4</v>
      </c>
      <c r="C1134" s="72" t="s">
        <v>141</v>
      </c>
      <c r="D1134" s="44">
        <f t="shared" si="162"/>
        <v>43955</v>
      </c>
      <c r="E1134" s="38">
        <v>7.0278</v>
      </c>
      <c r="F1134" s="39">
        <f t="shared" si="172"/>
        <v>239.5</v>
      </c>
      <c r="G1134" s="33">
        <f t="shared" si="167"/>
        <v>1672.78775</v>
      </c>
      <c r="H1134" s="33">
        <f t="shared" si="166"/>
        <v>1457.6623</v>
      </c>
      <c r="I1134" s="33">
        <f t="shared" si="171"/>
        <v>1673.6739000000002</v>
      </c>
      <c r="J1134" s="33">
        <f t="shared" si="163"/>
        <v>1672.78775</v>
      </c>
      <c r="K1134" s="33">
        <v>1300.9035999999999</v>
      </c>
      <c r="L1134" s="59">
        <f t="shared" si="164"/>
        <v>0.12049985871358962</v>
      </c>
      <c r="M1134" s="60">
        <f t="shared" si="165"/>
        <v>371.88415000000009</v>
      </c>
      <c r="N1134" s="76">
        <f t="shared" si="168"/>
        <v>186.25579497458656</v>
      </c>
      <c r="O1134" s="163"/>
      <c r="P1134" s="81" t="s">
        <v>136</v>
      </c>
      <c r="Q1134" s="81" t="s">
        <v>136</v>
      </c>
      <c r="R1134" s="82" t="s">
        <v>136</v>
      </c>
    </row>
    <row r="1135" spans="2:18" ht="14.7" thickBot="1" x14ac:dyDescent="0.6">
      <c r="B1135" s="35">
        <f t="shared" si="169"/>
        <v>5</v>
      </c>
      <c r="C1135" s="72" t="s">
        <v>141</v>
      </c>
      <c r="D1135" s="44">
        <f t="shared" si="162"/>
        <v>43956</v>
      </c>
      <c r="E1135" s="38">
        <v>7.0677000000000003</v>
      </c>
      <c r="F1135" s="39">
        <f t="shared" si="172"/>
        <v>239.5</v>
      </c>
      <c r="G1135" s="33">
        <f t="shared" si="167"/>
        <v>1683.1581000000001</v>
      </c>
      <c r="H1135" s="33">
        <f t="shared" si="166"/>
        <v>1683.1581000000001</v>
      </c>
      <c r="I1135" s="33">
        <f t="shared" si="171"/>
        <v>1675.9587300000001</v>
      </c>
      <c r="J1135" s="33">
        <f t="shared" si="163"/>
        <v>1672.78775</v>
      </c>
      <c r="K1135" s="33">
        <f t="shared" si="170"/>
        <v>1672.78775</v>
      </c>
      <c r="L1135" s="59">
        <f t="shared" si="164"/>
        <v>6.1994416207317065E-3</v>
      </c>
      <c r="M1135" s="60" t="str">
        <f t="shared" si="165"/>
        <v/>
      </c>
      <c r="N1135" s="76">
        <f t="shared" si="168"/>
        <v>238.02438174108539</v>
      </c>
      <c r="O1135" s="87">
        <v>43941</v>
      </c>
      <c r="P1135" s="78">
        <v>1300.9000000000001</v>
      </c>
      <c r="Q1135" s="78">
        <v>1778</v>
      </c>
      <c r="R1135" s="78">
        <f>SUM(P1135:Q1135)</f>
        <v>3078.9</v>
      </c>
    </row>
    <row r="1136" spans="2:18" ht="14.7" thickBot="1" x14ac:dyDescent="0.6">
      <c r="B1136" s="35">
        <f t="shared" si="169"/>
        <v>6</v>
      </c>
      <c r="C1136" s="72" t="s">
        <v>141</v>
      </c>
      <c r="D1136" s="44">
        <f t="shared" si="162"/>
        <v>43957</v>
      </c>
      <c r="E1136" s="38">
        <v>7.1463000000000001</v>
      </c>
      <c r="F1136" s="39">
        <f t="shared" si="172"/>
        <v>239.5</v>
      </c>
      <c r="G1136" s="33">
        <f t="shared" si="167"/>
        <v>1692.71415</v>
      </c>
      <c r="H1136" s="33">
        <f t="shared" si="166"/>
        <v>1687.9361250000002</v>
      </c>
      <c r="I1136" s="33">
        <f t="shared" si="171"/>
        <v>1679.1728199999998</v>
      </c>
      <c r="J1136" s="33">
        <f t="shared" si="163"/>
        <v>1672.78775</v>
      </c>
      <c r="K1136" s="33">
        <f t="shared" si="170"/>
        <v>1672.78775</v>
      </c>
      <c r="L1136" s="59">
        <f t="shared" si="164"/>
        <v>9.0557663397524378E-3</v>
      </c>
      <c r="M1136" s="60" t="str">
        <f t="shared" si="165"/>
        <v/>
      </c>
      <c r="N1136" s="76">
        <f t="shared" si="168"/>
        <v>236.68063868019297</v>
      </c>
      <c r="O1136" s="87">
        <v>43955</v>
      </c>
      <c r="P1136" s="78">
        <v>1672.79</v>
      </c>
      <c r="Q1136" s="78">
        <v>1778</v>
      </c>
      <c r="R1136" s="78">
        <f>SUM(P1136:Q1136)</f>
        <v>3450.79</v>
      </c>
    </row>
    <row r="1137" spans="2:18" ht="14.7" thickBot="1" x14ac:dyDescent="0.6">
      <c r="B1137" s="35">
        <f t="shared" si="169"/>
        <v>7</v>
      </c>
      <c r="C1137" s="72"/>
      <c r="D1137" s="44">
        <f t="shared" si="162"/>
        <v>43958</v>
      </c>
      <c r="E1137" s="38">
        <v>7.2339000000000002</v>
      </c>
      <c r="F1137" s="39">
        <f t="shared" si="172"/>
        <v>239.5</v>
      </c>
      <c r="G1137" s="33">
        <f t="shared" si="167"/>
        <v>1711.5388499999999</v>
      </c>
      <c r="H1137" s="33">
        <f t="shared" si="166"/>
        <v>1695.8037000000002</v>
      </c>
      <c r="I1137" s="33">
        <f t="shared" si="171"/>
        <v>1686.5973200000003</v>
      </c>
      <c r="J1137" s="33">
        <f t="shared" si="163"/>
        <v>1672.78775</v>
      </c>
      <c r="K1137" s="33">
        <f t="shared" si="170"/>
        <v>1672.78775</v>
      </c>
      <c r="L1137" s="59">
        <f t="shared" si="164"/>
        <v>1.3759037869568452E-2</v>
      </c>
      <c r="M1137" s="60" t="str">
        <f t="shared" si="165"/>
        <v/>
      </c>
      <c r="N1137" s="76">
        <f t="shared" si="168"/>
        <v>234.07745966444173</v>
      </c>
      <c r="O1137" s="87" t="s">
        <v>137</v>
      </c>
      <c r="P1137" s="92">
        <f>P1136-P1135</f>
        <v>371.88999999999987</v>
      </c>
      <c r="Q1137" s="88">
        <f>Q1136-Q1135</f>
        <v>0</v>
      </c>
      <c r="R1137" s="92">
        <f>R1136-R1135</f>
        <v>371.88999999999987</v>
      </c>
    </row>
    <row r="1138" spans="2:18" x14ac:dyDescent="0.55000000000000004">
      <c r="B1138" s="35">
        <f t="shared" si="169"/>
        <v>8</v>
      </c>
      <c r="C1138" s="72" t="s">
        <v>120</v>
      </c>
      <c r="D1138" s="44">
        <f t="shared" si="162"/>
        <v>43959</v>
      </c>
      <c r="E1138" s="38">
        <v>7.1087999999999996</v>
      </c>
      <c r="F1138" s="39">
        <f t="shared" si="172"/>
        <v>239.5</v>
      </c>
      <c r="G1138" s="33">
        <f t="shared" si="167"/>
        <v>1732.5190500000001</v>
      </c>
      <c r="H1138" s="33">
        <f t="shared" si="166"/>
        <v>1704.9825375</v>
      </c>
      <c r="I1138" s="33">
        <f t="shared" si="171"/>
        <v>1698.54358</v>
      </c>
      <c r="J1138" s="33">
        <f t="shared" si="163"/>
        <v>1672.78775</v>
      </c>
      <c r="K1138" s="33">
        <f t="shared" si="170"/>
        <v>1672.78775</v>
      </c>
      <c r="L1138" s="59">
        <f t="shared" si="164"/>
        <v>1.9246187987687065E-2</v>
      </c>
      <c r="M1138" s="60" t="str">
        <f t="shared" si="165"/>
        <v/>
      </c>
      <c r="N1138" s="76">
        <f t="shared" si="168"/>
        <v>231.2428634623094</v>
      </c>
    </row>
    <row r="1139" spans="2:18" x14ac:dyDescent="0.55000000000000004">
      <c r="B1139" s="35">
        <f t="shared" si="169"/>
        <v>11</v>
      </c>
      <c r="C1139" s="72" t="s">
        <v>141</v>
      </c>
      <c r="D1139" s="44">
        <f t="shared" si="162"/>
        <v>43962</v>
      </c>
      <c r="E1139" s="38">
        <v>7.0803000000000003</v>
      </c>
      <c r="F1139" s="39">
        <f t="shared" si="172"/>
        <v>239.5</v>
      </c>
      <c r="G1139" s="33">
        <f t="shared" si="167"/>
        <v>1702.5575999999999</v>
      </c>
      <c r="H1139" s="33">
        <f t="shared" si="166"/>
        <v>1704.49755</v>
      </c>
      <c r="I1139" s="33">
        <f t="shared" si="171"/>
        <v>1704.4975500000003</v>
      </c>
      <c r="J1139" s="33">
        <f t="shared" si="163"/>
        <v>1672.78775</v>
      </c>
      <c r="K1139" s="33">
        <f t="shared" si="170"/>
        <v>1672.78775</v>
      </c>
      <c r="L1139" s="59">
        <f t="shared" si="164"/>
        <v>1.8956260290643619E-2</v>
      </c>
      <c r="M1139" s="60" t="str">
        <f t="shared" si="165"/>
        <v/>
      </c>
      <c r="N1139" s="76">
        <f t="shared" si="168"/>
        <v>235.31225382624353</v>
      </c>
    </row>
    <row r="1140" spans="2:18" x14ac:dyDescent="0.55000000000000004">
      <c r="B1140" s="35">
        <f t="shared" si="169"/>
        <v>12</v>
      </c>
      <c r="C1140" s="72" t="s">
        <v>141</v>
      </c>
      <c r="D1140" s="44">
        <f t="shared" si="162"/>
        <v>43963</v>
      </c>
      <c r="E1140" s="38">
        <v>7.0247999999999999</v>
      </c>
      <c r="F1140" s="39">
        <f t="shared" si="172"/>
        <v>239.5</v>
      </c>
      <c r="G1140" s="33">
        <f t="shared" si="167"/>
        <v>1695.7318500000001</v>
      </c>
      <c r="H1140" s="33">
        <f t="shared" si="166"/>
        <v>1707.0122999999999</v>
      </c>
      <c r="I1140" s="33">
        <f t="shared" si="171"/>
        <v>1707.0122999999999</v>
      </c>
      <c r="J1140" s="33">
        <f t="shared" si="163"/>
        <v>1672.78775</v>
      </c>
      <c r="K1140" s="33">
        <f t="shared" si="170"/>
        <v>1672.78775</v>
      </c>
      <c r="L1140" s="59">
        <f t="shared" si="164"/>
        <v>2.0459589090128086E-2</v>
      </c>
      <c r="M1140" s="60" t="str">
        <f t="shared" si="165"/>
        <v/>
      </c>
      <c r="N1140" s="76">
        <f t="shared" si="168"/>
        <v>236.25944522124766</v>
      </c>
    </row>
    <row r="1141" spans="2:18" x14ac:dyDescent="0.55000000000000004">
      <c r="B1141" s="35">
        <f t="shared" si="169"/>
        <v>13</v>
      </c>
      <c r="C1141" s="72" t="s">
        <v>141</v>
      </c>
      <c r="D1141" s="44">
        <f t="shared" si="162"/>
        <v>43964</v>
      </c>
      <c r="E1141" s="38">
        <v>6.9915000000000003</v>
      </c>
      <c r="F1141" s="39">
        <f t="shared" si="172"/>
        <v>239.5</v>
      </c>
      <c r="G1141" s="33">
        <f t="shared" si="167"/>
        <v>1682.4395999999999</v>
      </c>
      <c r="H1141" s="33">
        <f t="shared" si="166"/>
        <v>1704.95739</v>
      </c>
      <c r="I1141" s="33">
        <f t="shared" si="171"/>
        <v>1704.9573900000003</v>
      </c>
      <c r="J1141" s="33">
        <f t="shared" si="163"/>
        <v>1672.78775</v>
      </c>
      <c r="K1141" s="33">
        <f t="shared" si="170"/>
        <v>1672.78775</v>
      </c>
      <c r="L1141" s="59">
        <f t="shared" si="164"/>
        <v>1.9231154699692218E-2</v>
      </c>
      <c r="M1141" s="60" t="str">
        <f t="shared" si="165"/>
        <v/>
      </c>
      <c r="N1141" s="76">
        <f t="shared" si="168"/>
        <v>238.12603205785217</v>
      </c>
    </row>
    <row r="1142" spans="2:18" x14ac:dyDescent="0.55000000000000004">
      <c r="B1142" s="35">
        <f t="shared" si="169"/>
        <v>14</v>
      </c>
      <c r="C1142" s="72" t="s">
        <v>141</v>
      </c>
      <c r="D1142" s="44">
        <f t="shared" si="162"/>
        <v>43965</v>
      </c>
      <c r="E1142" s="38">
        <v>6.9668000000000001</v>
      </c>
      <c r="F1142" s="39">
        <f t="shared" si="172"/>
        <v>239.5</v>
      </c>
      <c r="G1142" s="33">
        <f t="shared" si="167"/>
        <v>1674.46425</v>
      </c>
      <c r="H1142" s="33">
        <f t="shared" si="166"/>
        <v>1697.5424699999999</v>
      </c>
      <c r="I1142" s="33">
        <f t="shared" si="171"/>
        <v>1697.5424700000003</v>
      </c>
      <c r="J1142" s="33">
        <f t="shared" si="163"/>
        <v>1672.78775</v>
      </c>
      <c r="K1142" s="33">
        <f t="shared" si="170"/>
        <v>1672.78775</v>
      </c>
      <c r="L1142" s="59">
        <f t="shared" si="164"/>
        <v>1.4798482353783322E-2</v>
      </c>
      <c r="M1142" s="60" t="str">
        <f t="shared" si="165"/>
        <v/>
      </c>
      <c r="N1142" s="76">
        <f t="shared" si="168"/>
        <v>239.26020882500177</v>
      </c>
    </row>
    <row r="1143" spans="2:18" x14ac:dyDescent="0.55000000000000004">
      <c r="B1143" s="35">
        <f t="shared" si="169"/>
        <v>15</v>
      </c>
      <c r="C1143" s="72" t="s">
        <v>141</v>
      </c>
      <c r="D1143" s="44">
        <f t="shared" si="162"/>
        <v>43966</v>
      </c>
      <c r="E1143" s="38">
        <v>6.9165999999999999</v>
      </c>
      <c r="F1143" s="39">
        <f t="shared" si="172"/>
        <v>239.5</v>
      </c>
      <c r="G1143" s="33">
        <f t="shared" si="167"/>
        <v>1668.5486000000001</v>
      </c>
      <c r="H1143" s="33">
        <f t="shared" si="166"/>
        <v>1684.7483800000002</v>
      </c>
      <c r="I1143" s="33">
        <f t="shared" si="171"/>
        <v>1684.7483799999998</v>
      </c>
      <c r="J1143" s="33">
        <f t="shared" si="163"/>
        <v>1672.78775</v>
      </c>
      <c r="K1143" s="33">
        <f t="shared" si="170"/>
        <v>1672.78775</v>
      </c>
      <c r="L1143" s="59">
        <f t="shared" si="164"/>
        <v>7.1501181186915466E-3</v>
      </c>
      <c r="M1143" s="60" t="str">
        <f t="shared" si="165"/>
        <v/>
      </c>
      <c r="N1143" s="76">
        <f t="shared" si="168"/>
        <v>240.108478785095</v>
      </c>
    </row>
    <row r="1144" spans="2:18" x14ac:dyDescent="0.55000000000000004">
      <c r="B1144" s="35">
        <f t="shared" si="169"/>
        <v>18</v>
      </c>
      <c r="C1144" s="72" t="s">
        <v>141</v>
      </c>
      <c r="D1144" s="44">
        <f t="shared" si="162"/>
        <v>43969</v>
      </c>
      <c r="E1144" s="38">
        <v>6.8719999999999999</v>
      </c>
      <c r="F1144" s="39">
        <f t="shared" si="172"/>
        <v>239.5</v>
      </c>
      <c r="G1144" s="33">
        <f t="shared" si="167"/>
        <v>1656.5256999999999</v>
      </c>
      <c r="H1144" s="33">
        <f t="shared" si="166"/>
        <v>1675.5419999999999</v>
      </c>
      <c r="I1144" s="33">
        <f t="shared" si="171"/>
        <v>1675.5420000000001</v>
      </c>
      <c r="J1144" s="33">
        <f t="shared" si="163"/>
        <v>1672.78775</v>
      </c>
      <c r="K1144" s="33">
        <f t="shared" si="170"/>
        <v>1672.78775</v>
      </c>
      <c r="L1144" s="59">
        <f t="shared" si="164"/>
        <v>1.64650297086403E-3</v>
      </c>
      <c r="M1144" s="60" t="str">
        <f t="shared" si="165"/>
        <v/>
      </c>
      <c r="N1144" s="76">
        <f t="shared" si="168"/>
        <v>241.8511624208426</v>
      </c>
    </row>
    <row r="1145" spans="2:18" x14ac:dyDescent="0.55000000000000004">
      <c r="B1145" s="35">
        <f t="shared" si="169"/>
        <v>19</v>
      </c>
      <c r="C1145" s="72" t="s">
        <v>141</v>
      </c>
      <c r="D1145" s="44">
        <f t="shared" si="162"/>
        <v>43970</v>
      </c>
      <c r="E1145" s="38">
        <v>6.8719999999999999</v>
      </c>
      <c r="F1145" s="39">
        <f t="shared" si="172"/>
        <v>239.5</v>
      </c>
      <c r="G1145" s="33">
        <f t="shared" si="167"/>
        <v>1645.8440000000001</v>
      </c>
      <c r="H1145" s="33">
        <f t="shared" si="166"/>
        <v>1665.5644299999999</v>
      </c>
      <c r="I1145" s="33">
        <f t="shared" si="171"/>
        <v>1665.5644299999999</v>
      </c>
      <c r="J1145" s="33">
        <f t="shared" si="163"/>
        <v>1672.78775</v>
      </c>
      <c r="K1145" s="33">
        <f t="shared" si="170"/>
        <v>1672.78775</v>
      </c>
      <c r="L1145" s="59">
        <f t="shared" si="164"/>
        <v>-4.3181330088052465E-3</v>
      </c>
      <c r="M1145" s="60" t="str">
        <f t="shared" si="165"/>
        <v/>
      </c>
      <c r="N1145" s="76">
        <f t="shared" si="168"/>
        <v>243.42080180442375</v>
      </c>
    </row>
    <row r="1146" spans="2:18" x14ac:dyDescent="0.55000000000000004">
      <c r="B1146" s="35">
        <f t="shared" si="169"/>
        <v>20</v>
      </c>
      <c r="C1146" s="72" t="s">
        <v>141</v>
      </c>
      <c r="D1146" s="44">
        <f t="shared" ref="D1146:D1209" si="173">WORKDAY(D1145,1)</f>
        <v>43971</v>
      </c>
      <c r="E1146" s="38">
        <v>6.7962999999999996</v>
      </c>
      <c r="F1146" s="39">
        <f t="shared" si="172"/>
        <v>239.5</v>
      </c>
      <c r="G1146" s="33">
        <f t="shared" si="167"/>
        <v>1645.8440000000001</v>
      </c>
      <c r="H1146" s="33">
        <f t="shared" si="166"/>
        <v>1658.2453099999998</v>
      </c>
      <c r="I1146" s="33">
        <f t="shared" si="171"/>
        <v>1658.2453099999998</v>
      </c>
      <c r="J1146" s="33">
        <f t="shared" si="163"/>
        <v>1672.78775</v>
      </c>
      <c r="K1146" s="33">
        <f t="shared" si="170"/>
        <v>1672.78775</v>
      </c>
      <c r="L1146" s="59">
        <f t="shared" si="164"/>
        <v>-8.6935356861623184E-3</v>
      </c>
      <c r="M1146" s="60" t="str">
        <f t="shared" si="165"/>
        <v/>
      </c>
      <c r="N1146" s="76">
        <f t="shared" si="168"/>
        <v>243.42080180442375</v>
      </c>
    </row>
    <row r="1147" spans="2:18" x14ac:dyDescent="0.55000000000000004">
      <c r="B1147" s="35">
        <f t="shared" si="169"/>
        <v>21</v>
      </c>
      <c r="C1147" s="72" t="s">
        <v>141</v>
      </c>
      <c r="D1147" s="44">
        <f t="shared" si="173"/>
        <v>43972</v>
      </c>
      <c r="E1147" s="38">
        <v>6.8005000000000004</v>
      </c>
      <c r="F1147" s="39">
        <f t="shared" si="172"/>
        <v>239.5</v>
      </c>
      <c r="G1147" s="33">
        <f t="shared" si="167"/>
        <v>1627.7138499999999</v>
      </c>
      <c r="H1147" s="33">
        <f t="shared" si="166"/>
        <v>1648.8952300000001</v>
      </c>
      <c r="I1147" s="33">
        <f t="shared" si="171"/>
        <v>1648.8952300000001</v>
      </c>
      <c r="J1147" s="33">
        <f t="shared" si="163"/>
        <v>1672.78775</v>
      </c>
      <c r="K1147" s="33">
        <f t="shared" si="170"/>
        <v>1672.78775</v>
      </c>
      <c r="L1147" s="59">
        <f t="shared" si="164"/>
        <v>-1.4283055336817166E-2</v>
      </c>
      <c r="M1147" s="60" t="str">
        <f t="shared" si="165"/>
        <v/>
      </c>
      <c r="N1147" s="76">
        <f t="shared" si="168"/>
        <v>246.13212336124067</v>
      </c>
    </row>
    <row r="1148" spans="2:18" x14ac:dyDescent="0.55000000000000004">
      <c r="B1148" s="35">
        <f t="shared" si="169"/>
        <v>22</v>
      </c>
      <c r="C1148" s="72"/>
      <c r="D1148" s="44">
        <f t="shared" si="173"/>
        <v>43973</v>
      </c>
      <c r="E1148" s="38">
        <v>6.8040000000000003</v>
      </c>
      <c r="F1148" s="39">
        <f t="shared" si="172"/>
        <v>239.5</v>
      </c>
      <c r="G1148" s="33">
        <f t="shared" si="167"/>
        <v>1628.7197500000002</v>
      </c>
      <c r="H1148" s="33">
        <f t="shared" si="166"/>
        <v>1640.9294600000001</v>
      </c>
      <c r="I1148" s="33">
        <f t="shared" si="171"/>
        <v>1640.9294599999998</v>
      </c>
      <c r="J1148" s="33">
        <f t="shared" si="163"/>
        <v>1672.78775</v>
      </c>
      <c r="K1148" s="33">
        <f t="shared" si="170"/>
        <v>1672.78775</v>
      </c>
      <c r="L1148" s="59">
        <f t="shared" si="164"/>
        <v>-1.9045028276898787E-2</v>
      </c>
      <c r="M1148" s="60" t="str">
        <f t="shared" si="165"/>
        <v/>
      </c>
      <c r="N1148" s="76">
        <f t="shared" si="168"/>
        <v>245.98011175648847</v>
      </c>
    </row>
    <row r="1149" spans="2:18" x14ac:dyDescent="0.55000000000000004">
      <c r="B1149" s="35">
        <f t="shared" si="169"/>
        <v>25</v>
      </c>
      <c r="C1149" s="72" t="s">
        <v>120</v>
      </c>
      <c r="D1149" s="44">
        <f t="shared" si="173"/>
        <v>43976</v>
      </c>
      <c r="E1149" s="38">
        <v>6.8040000000000003</v>
      </c>
      <c r="F1149" s="39">
        <f t="shared" si="172"/>
        <v>239.5</v>
      </c>
      <c r="G1149" s="33">
        <f t="shared" si="167"/>
        <v>1629.558</v>
      </c>
      <c r="H1149" s="33">
        <f t="shared" si="166"/>
        <v>1635.53592</v>
      </c>
      <c r="I1149" s="33">
        <f t="shared" si="171"/>
        <v>1635.5359199999998</v>
      </c>
      <c r="J1149" s="33">
        <f t="shared" ref="J1149:J1212" si="174">IF(L1149&gt;3%,G1149,IF(L1149&lt;-3%,G1149,J1148))</f>
        <v>1672.78775</v>
      </c>
      <c r="K1149" s="33">
        <f t="shared" si="170"/>
        <v>1672.78775</v>
      </c>
      <c r="L1149" s="59">
        <f t="shared" si="164"/>
        <v>-2.2269310616364765E-2</v>
      </c>
      <c r="M1149" s="60" t="str">
        <f t="shared" si="165"/>
        <v/>
      </c>
      <c r="N1149" s="76">
        <f t="shared" si="168"/>
        <v>245.85357877718988</v>
      </c>
    </row>
    <row r="1150" spans="2:18" x14ac:dyDescent="0.55000000000000004">
      <c r="B1150" s="35">
        <f t="shared" si="169"/>
        <v>26</v>
      </c>
      <c r="C1150" s="72" t="s">
        <v>141</v>
      </c>
      <c r="D1150" s="44">
        <f t="shared" si="173"/>
        <v>43977</v>
      </c>
      <c r="E1150" s="38">
        <v>6.8040000000000003</v>
      </c>
      <c r="F1150" s="39">
        <f t="shared" si="172"/>
        <v>239.5</v>
      </c>
      <c r="G1150" s="33">
        <f t="shared" si="167"/>
        <v>1629.558</v>
      </c>
      <c r="H1150" s="33">
        <f t="shared" si="166"/>
        <v>1632.27872</v>
      </c>
      <c r="I1150" s="33">
        <f t="shared" si="171"/>
        <v>1632.27872</v>
      </c>
      <c r="J1150" s="33">
        <f t="shared" si="174"/>
        <v>1672.78775</v>
      </c>
      <c r="K1150" s="33">
        <f t="shared" si="170"/>
        <v>1672.78775</v>
      </c>
      <c r="L1150" s="59">
        <f t="shared" ref="L1150:L1213" si="175">(H1150-K1150)/K1150</f>
        <v>-2.4216479347125744E-2</v>
      </c>
      <c r="M1150" s="60" t="str">
        <f t="shared" ref="M1150:M1213" si="176">IF(OR(L1150&lt;-3%,L1150&gt;3%),K1151-K1150,"")</f>
        <v/>
      </c>
      <c r="N1150" s="76">
        <f t="shared" si="168"/>
        <v>245.85357877718988</v>
      </c>
    </row>
    <row r="1151" spans="2:18" x14ac:dyDescent="0.55000000000000004">
      <c r="B1151" s="35">
        <f t="shared" si="169"/>
        <v>27</v>
      </c>
      <c r="C1151" s="72" t="s">
        <v>141</v>
      </c>
      <c r="D1151" s="44">
        <f t="shared" si="173"/>
        <v>43978</v>
      </c>
      <c r="E1151" s="38">
        <v>6.7728999999999999</v>
      </c>
      <c r="F1151" s="39">
        <f t="shared" si="172"/>
        <v>239.5</v>
      </c>
      <c r="G1151" s="33">
        <f t="shared" si="167"/>
        <v>1629.558</v>
      </c>
      <c r="H1151" s="33">
        <f t="shared" si="166"/>
        <v>1629.02152</v>
      </c>
      <c r="I1151" s="33">
        <f t="shared" si="171"/>
        <v>1629.02152</v>
      </c>
      <c r="J1151" s="33">
        <f t="shared" si="174"/>
        <v>1672.78775</v>
      </c>
      <c r="K1151" s="33">
        <f t="shared" si="170"/>
        <v>1672.78775</v>
      </c>
      <c r="L1151" s="59">
        <f t="shared" si="175"/>
        <v>-2.6163648077886719E-2</v>
      </c>
      <c r="M1151" s="60" t="str">
        <f t="shared" si="176"/>
        <v/>
      </c>
      <c r="N1151" s="76">
        <f t="shared" si="168"/>
        <v>245.85357877718988</v>
      </c>
    </row>
    <row r="1152" spans="2:18" x14ac:dyDescent="0.55000000000000004">
      <c r="B1152" s="35">
        <f t="shared" si="169"/>
        <v>28</v>
      </c>
      <c r="C1152" s="72" t="s">
        <v>141</v>
      </c>
      <c r="D1152" s="44">
        <f t="shared" si="173"/>
        <v>43979</v>
      </c>
      <c r="E1152" s="38">
        <v>6.8015999999999996</v>
      </c>
      <c r="F1152" s="39">
        <f t="shared" si="172"/>
        <v>239.5</v>
      </c>
      <c r="G1152" s="33">
        <f t="shared" si="167"/>
        <v>1622.1095499999999</v>
      </c>
      <c r="H1152" s="33">
        <f t="shared" si="166"/>
        <v>1627.90066</v>
      </c>
      <c r="I1152" s="33">
        <f t="shared" si="171"/>
        <v>1627.9006600000002</v>
      </c>
      <c r="J1152" s="33">
        <f t="shared" si="174"/>
        <v>1672.78775</v>
      </c>
      <c r="K1152" s="33">
        <f t="shared" si="170"/>
        <v>1672.78775</v>
      </c>
      <c r="L1152" s="59">
        <f t="shared" si="175"/>
        <v>-2.6833703199942698E-2</v>
      </c>
      <c r="M1152" s="60" t="str">
        <f t="shared" si="176"/>
        <v/>
      </c>
      <c r="N1152" s="76">
        <f t="shared" si="168"/>
        <v>246.98249641955439</v>
      </c>
    </row>
    <row r="1153" spans="2:14" x14ac:dyDescent="0.55000000000000004">
      <c r="B1153" s="35">
        <f t="shared" si="169"/>
        <v>29</v>
      </c>
      <c r="C1153" s="72" t="s">
        <v>141</v>
      </c>
      <c r="D1153" s="44">
        <f t="shared" si="173"/>
        <v>43980</v>
      </c>
      <c r="E1153" s="38">
        <v>6.8259999999999996</v>
      </c>
      <c r="F1153" s="39">
        <f t="shared" si="172"/>
        <v>239.5</v>
      </c>
      <c r="G1153" s="33">
        <f t="shared" si="167"/>
        <v>1628.9831999999999</v>
      </c>
      <c r="H1153" s="33">
        <f t="shared" si="166"/>
        <v>1627.95335</v>
      </c>
      <c r="I1153" s="33">
        <f t="shared" si="171"/>
        <v>1627.95335</v>
      </c>
      <c r="J1153" s="33">
        <f t="shared" si="174"/>
        <v>1672.78775</v>
      </c>
      <c r="K1153" s="33">
        <f t="shared" si="170"/>
        <v>1672.78775</v>
      </c>
      <c r="L1153" s="59">
        <f t="shared" si="175"/>
        <v>-2.6802204882239222E-2</v>
      </c>
      <c r="M1153" s="60" t="str">
        <f t="shared" si="176"/>
        <v/>
      </c>
      <c r="N1153" s="76">
        <f t="shared" si="168"/>
        <v>245.94033021641968</v>
      </c>
    </row>
    <row r="1154" spans="2:14" x14ac:dyDescent="0.55000000000000004">
      <c r="B1154" s="35">
        <f t="shared" si="169"/>
        <v>1</v>
      </c>
      <c r="C1154" s="72" t="s">
        <v>142</v>
      </c>
      <c r="D1154" s="44">
        <f t="shared" si="173"/>
        <v>43983</v>
      </c>
      <c r="E1154" s="38">
        <v>6.8181000000000003</v>
      </c>
      <c r="F1154" s="39">
        <f>248+40</f>
        <v>288</v>
      </c>
      <c r="G1154" s="33">
        <f t="shared" si="167"/>
        <v>1965.8879999999999</v>
      </c>
      <c r="H1154" s="33">
        <f t="shared" si="166"/>
        <v>1695.2193500000001</v>
      </c>
      <c r="I1154" s="33">
        <f t="shared" si="171"/>
        <v>1958.8895999999997</v>
      </c>
      <c r="J1154" s="33">
        <v>1963.61</v>
      </c>
      <c r="K1154" s="33">
        <f t="shared" si="170"/>
        <v>1672.78775</v>
      </c>
      <c r="L1154" s="59">
        <f t="shared" si="175"/>
        <v>1.3409710825536663E-2</v>
      </c>
      <c r="M1154" s="60" t="str">
        <f t="shared" si="176"/>
        <v/>
      </c>
      <c r="N1154" s="76">
        <f t="shared" si="168"/>
        <v>245.06119982420159</v>
      </c>
    </row>
    <row r="1155" spans="2:14" x14ac:dyDescent="0.55000000000000004">
      <c r="B1155" s="35">
        <f t="shared" si="169"/>
        <v>2</v>
      </c>
      <c r="C1155" s="72" t="s">
        <v>142</v>
      </c>
      <c r="D1155" s="44">
        <f t="shared" si="173"/>
        <v>43984</v>
      </c>
      <c r="E1155" s="38">
        <v>6.7938999999999998</v>
      </c>
      <c r="F1155" s="39">
        <f t="shared" si="172"/>
        <v>288</v>
      </c>
      <c r="G1155" s="33">
        <f t="shared" si="167"/>
        <v>1963.6128000000001</v>
      </c>
      <c r="H1155" s="33">
        <f t="shared" si="166"/>
        <v>1762.0303100000001</v>
      </c>
      <c r="I1155" s="33">
        <f t="shared" si="171"/>
        <v>1959.7017599999997</v>
      </c>
      <c r="J1155" s="33">
        <f t="shared" si="174"/>
        <v>1963.6128000000001</v>
      </c>
      <c r="K1155" s="33">
        <f>IF(L1154&gt;3%,G1154,IF(L1154&lt;-3%,G1154,K1154))-2.278</f>
        <v>1670.5097499999999</v>
      </c>
      <c r="L1155" s="59">
        <f t="shared" si="175"/>
        <v>5.4786007684181529E-2</v>
      </c>
      <c r="M1155" s="60">
        <f t="shared" si="176"/>
        <v>293.10305000000017</v>
      </c>
      <c r="N1155" s="76">
        <f t="shared" si="168"/>
        <v>245.01103679910824</v>
      </c>
    </row>
    <row r="1156" spans="2:14" x14ac:dyDescent="0.55000000000000004">
      <c r="B1156" s="35">
        <f t="shared" si="169"/>
        <v>3</v>
      </c>
      <c r="C1156" s="72" t="s">
        <v>142</v>
      </c>
      <c r="D1156" s="44">
        <f t="shared" si="173"/>
        <v>43985</v>
      </c>
      <c r="E1156" s="38">
        <v>6.7428999999999997</v>
      </c>
      <c r="F1156" s="39">
        <f t="shared" si="172"/>
        <v>288</v>
      </c>
      <c r="G1156" s="33">
        <f t="shared" si="167"/>
        <v>1956.6432</v>
      </c>
      <c r="H1156" s="33">
        <f t="shared" si="166"/>
        <v>1956.6432</v>
      </c>
      <c r="I1156" s="33">
        <f t="shared" si="171"/>
        <v>1959.1200000000001</v>
      </c>
      <c r="J1156" s="33">
        <f t="shared" si="174"/>
        <v>1963.6128000000001</v>
      </c>
      <c r="K1156" s="33">
        <f t="shared" si="170"/>
        <v>1963.6128000000001</v>
      </c>
      <c r="L1156" s="59">
        <f t="shared" si="175"/>
        <v>-3.5493759258445083E-3</v>
      </c>
      <c r="M1156" s="60" t="str">
        <f t="shared" si="176"/>
        <v/>
      </c>
      <c r="N1156" s="76">
        <f t="shared" si="168"/>
        <v>289.02586143452214</v>
      </c>
    </row>
    <row r="1157" spans="2:14" x14ac:dyDescent="0.55000000000000004">
      <c r="B1157" s="35">
        <f t="shared" si="169"/>
        <v>4</v>
      </c>
      <c r="C1157" s="72" t="s">
        <v>142</v>
      </c>
      <c r="D1157" s="44">
        <f t="shared" si="173"/>
        <v>43986</v>
      </c>
      <c r="E1157" s="38">
        <v>6.7598000000000003</v>
      </c>
      <c r="F1157" s="39">
        <f t="shared" si="172"/>
        <v>288</v>
      </c>
      <c r="G1157" s="33">
        <f t="shared" si="167"/>
        <v>1941.9551999999999</v>
      </c>
      <c r="H1157" s="33">
        <f t="shared" si="166"/>
        <v>1949.2991999999999</v>
      </c>
      <c r="I1157" s="33">
        <f t="shared" si="171"/>
        <v>1957.3920000000001</v>
      </c>
      <c r="J1157" s="33">
        <f t="shared" si="174"/>
        <v>1963.6128000000001</v>
      </c>
      <c r="K1157" s="33">
        <f t="shared" si="170"/>
        <v>1963.6128000000001</v>
      </c>
      <c r="L1157" s="59">
        <f t="shared" si="175"/>
        <v>-7.2894208063831005E-3</v>
      </c>
      <c r="M1157" s="60" t="str">
        <f t="shared" si="176"/>
        <v/>
      </c>
      <c r="N1157" s="76">
        <f t="shared" si="168"/>
        <v>291.21191178869628</v>
      </c>
    </row>
    <row r="1158" spans="2:14" x14ac:dyDescent="0.55000000000000004">
      <c r="B1158" s="35">
        <f t="shared" si="169"/>
        <v>5</v>
      </c>
      <c r="C1158" s="72" t="s">
        <v>142</v>
      </c>
      <c r="D1158" s="44">
        <f t="shared" si="173"/>
        <v>43987</v>
      </c>
      <c r="E1158" s="38">
        <v>6.7694999999999999</v>
      </c>
      <c r="F1158" s="39">
        <f t="shared" si="172"/>
        <v>288</v>
      </c>
      <c r="G1158" s="33">
        <f t="shared" si="167"/>
        <v>1946.8224</v>
      </c>
      <c r="H1158" s="33">
        <f t="shared" si="166"/>
        <v>1948.4736</v>
      </c>
      <c r="I1158" s="33">
        <f t="shared" si="171"/>
        <v>1954.98432</v>
      </c>
      <c r="J1158" s="33">
        <f t="shared" si="174"/>
        <v>1963.6128000000001</v>
      </c>
      <c r="K1158" s="33">
        <f t="shared" si="170"/>
        <v>1963.6128000000001</v>
      </c>
      <c r="L1158" s="59">
        <f t="shared" si="175"/>
        <v>-7.7098702962213692E-3</v>
      </c>
      <c r="M1158" s="60" t="str">
        <f t="shared" si="176"/>
        <v/>
      </c>
      <c r="N1158" s="76">
        <f t="shared" si="168"/>
        <v>290.48386046924463</v>
      </c>
    </row>
    <row r="1159" spans="2:14" x14ac:dyDescent="0.55000000000000004">
      <c r="B1159" s="35">
        <f t="shared" si="169"/>
        <v>8</v>
      </c>
      <c r="C1159" s="72" t="s">
        <v>142</v>
      </c>
      <c r="D1159" s="44">
        <f t="shared" si="173"/>
        <v>43990</v>
      </c>
      <c r="E1159" s="38">
        <v>6.7835999999999999</v>
      </c>
      <c r="F1159" s="39">
        <f t="shared" si="172"/>
        <v>288</v>
      </c>
      <c r="G1159" s="33">
        <f t="shared" si="167"/>
        <v>1949.616</v>
      </c>
      <c r="H1159" s="33">
        <f t="shared" si="166"/>
        <v>1948.7592</v>
      </c>
      <c r="I1159" s="33">
        <f t="shared" si="171"/>
        <v>1951.72992</v>
      </c>
      <c r="J1159" s="33">
        <f t="shared" si="174"/>
        <v>1963.6128000000001</v>
      </c>
      <c r="K1159" s="33">
        <f t="shared" si="170"/>
        <v>1963.6128000000001</v>
      </c>
      <c r="L1159" s="59">
        <f t="shared" si="175"/>
        <v>-7.5644241064226824E-3</v>
      </c>
      <c r="M1159" s="60" t="str">
        <f t="shared" si="176"/>
        <v/>
      </c>
      <c r="N1159" s="76">
        <f t="shared" si="168"/>
        <v>290.06762685575006</v>
      </c>
    </row>
    <row r="1160" spans="2:14" x14ac:dyDescent="0.55000000000000004">
      <c r="B1160" s="35">
        <f t="shared" si="169"/>
        <v>9</v>
      </c>
      <c r="C1160" s="72" t="s">
        <v>142</v>
      </c>
      <c r="D1160" s="44">
        <f t="shared" si="173"/>
        <v>43991</v>
      </c>
      <c r="E1160" s="38">
        <v>6.7950999999999997</v>
      </c>
      <c r="F1160" s="39">
        <f t="shared" si="172"/>
        <v>288</v>
      </c>
      <c r="G1160" s="33">
        <f t="shared" si="167"/>
        <v>1953.6768</v>
      </c>
      <c r="H1160" s="33">
        <f t="shared" si="166"/>
        <v>1949.7427199999997</v>
      </c>
      <c r="I1160" s="33">
        <f t="shared" si="171"/>
        <v>1949.74272</v>
      </c>
      <c r="J1160" s="33">
        <f t="shared" si="174"/>
        <v>1963.6128000000001</v>
      </c>
      <c r="K1160" s="33">
        <f t="shared" si="170"/>
        <v>1963.6128000000001</v>
      </c>
      <c r="L1160" s="59">
        <f t="shared" si="175"/>
        <v>-7.0635514292840063E-3</v>
      </c>
      <c r="M1160" s="60" t="str">
        <f t="shared" si="176"/>
        <v/>
      </c>
      <c r="N1160" s="76">
        <f t="shared" si="168"/>
        <v>289.46470900406865</v>
      </c>
    </row>
    <row r="1161" spans="2:14" x14ac:dyDescent="0.55000000000000004">
      <c r="B1161" s="35">
        <f t="shared" si="169"/>
        <v>10</v>
      </c>
      <c r="C1161" s="72" t="s">
        <v>142</v>
      </c>
      <c r="D1161" s="44">
        <f t="shared" si="173"/>
        <v>43992</v>
      </c>
      <c r="E1161" s="38">
        <v>6.7899000000000003</v>
      </c>
      <c r="F1161" s="39">
        <f t="shared" si="172"/>
        <v>288</v>
      </c>
      <c r="G1161" s="33">
        <f t="shared" si="167"/>
        <v>1956.9887999999999</v>
      </c>
      <c r="H1161" s="33">
        <f t="shared" si="166"/>
        <v>1949.8118399999998</v>
      </c>
      <c r="I1161" s="33">
        <f t="shared" si="171"/>
        <v>1949.8118400000003</v>
      </c>
      <c r="J1161" s="33">
        <f t="shared" si="174"/>
        <v>1963.6128000000001</v>
      </c>
      <c r="K1161" s="33">
        <f t="shared" si="170"/>
        <v>1963.6128000000001</v>
      </c>
      <c r="L1161" s="59">
        <f t="shared" si="175"/>
        <v>-7.0283510068788807E-3</v>
      </c>
      <c r="M1161" s="60" t="str">
        <f t="shared" si="176"/>
        <v/>
      </c>
      <c r="N1161" s="76">
        <f t="shared" si="168"/>
        <v>288.9748200909479</v>
      </c>
    </row>
    <row r="1162" spans="2:14" x14ac:dyDescent="0.55000000000000004">
      <c r="B1162" s="35">
        <f t="shared" si="169"/>
        <v>11</v>
      </c>
      <c r="C1162" s="72" t="s">
        <v>142</v>
      </c>
      <c r="D1162" s="44">
        <f t="shared" si="173"/>
        <v>43993</v>
      </c>
      <c r="E1162" s="38">
        <v>6.7949000000000002</v>
      </c>
      <c r="F1162" s="39">
        <f t="shared" si="172"/>
        <v>288</v>
      </c>
      <c r="G1162" s="33">
        <f t="shared" si="167"/>
        <v>1955.4912000000002</v>
      </c>
      <c r="H1162" s="33">
        <f t="shared" si="166"/>
        <v>1952.5190399999999</v>
      </c>
      <c r="I1162" s="33">
        <f t="shared" si="171"/>
        <v>1952.5190400000001</v>
      </c>
      <c r="J1162" s="33">
        <f t="shared" si="174"/>
        <v>1963.6128000000001</v>
      </c>
      <c r="K1162" s="33">
        <f t="shared" si="170"/>
        <v>1963.6128000000001</v>
      </c>
      <c r="L1162" s="59">
        <f t="shared" si="175"/>
        <v>-5.6496677960136549E-3</v>
      </c>
      <c r="M1162" s="60" t="str">
        <f t="shared" si="176"/>
        <v/>
      </c>
      <c r="N1162" s="76">
        <f t="shared" si="168"/>
        <v>289.19612954535415</v>
      </c>
    </row>
    <row r="1163" spans="2:14" x14ac:dyDescent="0.55000000000000004">
      <c r="B1163" s="35">
        <f t="shared" si="169"/>
        <v>12</v>
      </c>
      <c r="C1163" s="72" t="s">
        <v>142</v>
      </c>
      <c r="D1163" s="44">
        <f t="shared" si="173"/>
        <v>43994</v>
      </c>
      <c r="E1163" s="38">
        <v>6.8265000000000002</v>
      </c>
      <c r="F1163" s="39">
        <f t="shared" si="172"/>
        <v>288</v>
      </c>
      <c r="G1163" s="33">
        <f t="shared" si="167"/>
        <v>1956.9312</v>
      </c>
      <c r="H1163" s="33">
        <f t="shared" si="166"/>
        <v>1954.5408000000002</v>
      </c>
      <c r="I1163" s="33">
        <f t="shared" si="171"/>
        <v>1954.5408</v>
      </c>
      <c r="J1163" s="33">
        <f t="shared" si="174"/>
        <v>1963.6128000000001</v>
      </c>
      <c r="K1163" s="33">
        <f t="shared" si="170"/>
        <v>1963.6128000000001</v>
      </c>
      <c r="L1163" s="59">
        <f t="shared" si="175"/>
        <v>-4.6200554406652314E-3</v>
      </c>
      <c r="M1163" s="60" t="str">
        <f t="shared" si="176"/>
        <v/>
      </c>
      <c r="N1163" s="76">
        <f t="shared" si="168"/>
        <v>288.98332572959134</v>
      </c>
    </row>
    <row r="1164" spans="2:14" x14ac:dyDescent="0.55000000000000004">
      <c r="B1164" s="35">
        <f t="shared" si="169"/>
        <v>15</v>
      </c>
      <c r="C1164" s="72" t="s">
        <v>142</v>
      </c>
      <c r="D1164" s="44">
        <f t="shared" si="173"/>
        <v>43997</v>
      </c>
      <c r="E1164" s="38">
        <v>6.8342999999999998</v>
      </c>
      <c r="F1164" s="39">
        <f t="shared" si="172"/>
        <v>288</v>
      </c>
      <c r="G1164" s="33">
        <f t="shared" si="167"/>
        <v>1966.0320000000002</v>
      </c>
      <c r="H1164" s="33">
        <f t="shared" si="166"/>
        <v>1957.8239999999998</v>
      </c>
      <c r="I1164" s="33">
        <f t="shared" si="171"/>
        <v>1957.8240000000001</v>
      </c>
      <c r="J1164" s="33">
        <f t="shared" si="174"/>
        <v>1963.6128000000001</v>
      </c>
      <c r="K1164" s="33">
        <f t="shared" si="170"/>
        <v>1963.6128000000001</v>
      </c>
      <c r="L1164" s="59">
        <f t="shared" si="175"/>
        <v>-2.9480353764246518E-3</v>
      </c>
      <c r="M1164" s="60" t="str">
        <f t="shared" si="176"/>
        <v/>
      </c>
      <c r="N1164" s="76">
        <f t="shared" si="168"/>
        <v>287.6456163480554</v>
      </c>
    </row>
    <row r="1165" spans="2:14" x14ac:dyDescent="0.55000000000000004">
      <c r="B1165" s="35">
        <f t="shared" si="169"/>
        <v>16</v>
      </c>
      <c r="C1165" s="72" t="s">
        <v>142</v>
      </c>
      <c r="D1165" s="44">
        <f t="shared" si="173"/>
        <v>43998</v>
      </c>
      <c r="E1165" s="38">
        <v>6.8376999999999999</v>
      </c>
      <c r="F1165" s="39">
        <f t="shared" si="172"/>
        <v>288</v>
      </c>
      <c r="G1165" s="33">
        <f t="shared" si="167"/>
        <v>1968.2783999999999</v>
      </c>
      <c r="H1165" s="33">
        <f t="shared" si="166"/>
        <v>1960.7443200000002</v>
      </c>
      <c r="I1165" s="33">
        <f t="shared" si="171"/>
        <v>1960.74432</v>
      </c>
      <c r="J1165" s="33">
        <f t="shared" si="174"/>
        <v>1963.6128000000001</v>
      </c>
      <c r="K1165" s="33">
        <f t="shared" si="170"/>
        <v>1963.6128000000001</v>
      </c>
      <c r="L1165" s="59">
        <f t="shared" si="175"/>
        <v>-1.460817529810288E-3</v>
      </c>
      <c r="M1165" s="60" t="str">
        <f t="shared" si="176"/>
        <v/>
      </c>
      <c r="N1165" s="76">
        <f t="shared" si="168"/>
        <v>287.31732584171021</v>
      </c>
    </row>
    <row r="1166" spans="2:14" x14ac:dyDescent="0.55000000000000004">
      <c r="B1166" s="35">
        <f t="shared" si="169"/>
        <v>17</v>
      </c>
      <c r="C1166" s="72" t="s">
        <v>142</v>
      </c>
      <c r="D1166" s="44">
        <f t="shared" si="173"/>
        <v>43999</v>
      </c>
      <c r="E1166" s="38">
        <v>6.8456000000000001</v>
      </c>
      <c r="F1166" s="39">
        <f t="shared" si="172"/>
        <v>288</v>
      </c>
      <c r="G1166" s="33">
        <f t="shared" si="167"/>
        <v>1969.2575999999999</v>
      </c>
      <c r="H1166" s="33">
        <f t="shared" si="166"/>
        <v>1963.1980800000001</v>
      </c>
      <c r="I1166" s="33">
        <f t="shared" si="171"/>
        <v>1963.1980800000001</v>
      </c>
      <c r="J1166" s="33">
        <f t="shared" si="174"/>
        <v>1963.6128000000001</v>
      </c>
      <c r="K1166" s="33">
        <f t="shared" si="170"/>
        <v>1963.6128000000001</v>
      </c>
      <c r="L1166" s="59">
        <f t="shared" si="175"/>
        <v>-2.1120253443040725E-4</v>
      </c>
      <c r="M1166" s="60" t="str">
        <f t="shared" si="176"/>
        <v/>
      </c>
      <c r="N1166" s="76">
        <f t="shared" si="168"/>
        <v>287.17445924799279</v>
      </c>
    </row>
    <row r="1167" spans="2:14" x14ac:dyDescent="0.55000000000000004">
      <c r="B1167" s="35">
        <f t="shared" si="169"/>
        <v>18</v>
      </c>
      <c r="C1167" s="72" t="s">
        <v>142</v>
      </c>
      <c r="D1167" s="44">
        <f t="shared" si="173"/>
        <v>44000</v>
      </c>
      <c r="E1167" s="38">
        <v>6.8573000000000004</v>
      </c>
      <c r="F1167" s="39">
        <f t="shared" si="172"/>
        <v>288</v>
      </c>
      <c r="G1167" s="33">
        <f t="shared" si="167"/>
        <v>1971.5328</v>
      </c>
      <c r="H1167" s="33">
        <f t="shared" si="166"/>
        <v>1966.4063999999998</v>
      </c>
      <c r="I1167" s="33">
        <f t="shared" si="171"/>
        <v>1966.4063999999996</v>
      </c>
      <c r="J1167" s="33">
        <f t="shared" si="174"/>
        <v>1963.6128000000001</v>
      </c>
      <c r="K1167" s="33">
        <f t="shared" si="170"/>
        <v>1963.6128000000001</v>
      </c>
      <c r="L1167" s="59">
        <f t="shared" si="175"/>
        <v>1.4226837388714017E-3</v>
      </c>
      <c r="M1167" s="60" t="str">
        <f t="shared" si="176"/>
        <v/>
      </c>
      <c r="N1167" s="76">
        <f t="shared" si="168"/>
        <v>286.84305247166066</v>
      </c>
    </row>
    <row r="1168" spans="2:14" x14ac:dyDescent="0.55000000000000004">
      <c r="B1168" s="35">
        <f t="shared" si="169"/>
        <v>19</v>
      </c>
      <c r="C1168" s="72" t="s">
        <v>142</v>
      </c>
      <c r="D1168" s="44">
        <f t="shared" si="173"/>
        <v>44001</v>
      </c>
      <c r="E1168" s="38">
        <v>6.8563000000000001</v>
      </c>
      <c r="F1168" s="39">
        <f t="shared" si="172"/>
        <v>288</v>
      </c>
      <c r="G1168" s="33">
        <f t="shared" si="167"/>
        <v>1974.9024000000002</v>
      </c>
      <c r="H1168" s="33">
        <f t="shared" si="166"/>
        <v>1970.0006400000002</v>
      </c>
      <c r="I1168" s="33">
        <f t="shared" si="171"/>
        <v>1970.00064</v>
      </c>
      <c r="J1168" s="33">
        <f t="shared" si="174"/>
        <v>1963.6128000000001</v>
      </c>
      <c r="K1168" s="33">
        <f t="shared" si="170"/>
        <v>1963.6128000000001</v>
      </c>
      <c r="L1168" s="59">
        <f t="shared" si="175"/>
        <v>3.2531057039351628E-3</v>
      </c>
      <c r="M1168" s="60" t="str">
        <f t="shared" si="176"/>
        <v/>
      </c>
      <c r="N1168" s="76">
        <f t="shared" si="168"/>
        <v>286.35363772913536</v>
      </c>
    </row>
    <row r="1169" spans="2:18" x14ac:dyDescent="0.55000000000000004">
      <c r="B1169" s="35">
        <f t="shared" si="169"/>
        <v>22</v>
      </c>
      <c r="C1169" s="72" t="s">
        <v>142</v>
      </c>
      <c r="D1169" s="44">
        <f t="shared" si="173"/>
        <v>44004</v>
      </c>
      <c r="E1169" s="38">
        <v>6.8544999999999998</v>
      </c>
      <c r="F1169" s="39">
        <f t="shared" si="172"/>
        <v>288</v>
      </c>
      <c r="G1169" s="33">
        <f t="shared" si="167"/>
        <v>1974.6143999999999</v>
      </c>
      <c r="H1169" s="33">
        <f t="shared" ref="H1169:H1232" si="177">IF(M1168&lt;&gt;"",AVERAGE(G1169),IF(M1167&lt;&gt;"",AVERAGE(G1168:G1169),IF(M1166&lt;&gt;"",AVERAGE(G1167:G1169),IF(M1165&lt;&gt;"",AVERAGE(G1166:G1169),AVERAGE(G1165:G1169)))))</f>
        <v>1971.71712</v>
      </c>
      <c r="I1169" s="33">
        <f t="shared" si="171"/>
        <v>1971.71712</v>
      </c>
      <c r="J1169" s="33">
        <f t="shared" si="174"/>
        <v>1963.6128000000001</v>
      </c>
      <c r="K1169" s="33">
        <f t="shared" si="170"/>
        <v>1963.6128000000001</v>
      </c>
      <c r="L1169" s="59">
        <f t="shared" si="175"/>
        <v>4.127249526994281E-3</v>
      </c>
      <c r="M1169" s="60" t="str">
        <f t="shared" si="176"/>
        <v/>
      </c>
      <c r="N1169" s="76">
        <f t="shared" si="168"/>
        <v>286.39540276825693</v>
      </c>
    </row>
    <row r="1170" spans="2:18" x14ac:dyDescent="0.55000000000000004">
      <c r="B1170" s="35">
        <f t="shared" si="169"/>
        <v>23</v>
      </c>
      <c r="C1170" s="72" t="s">
        <v>142</v>
      </c>
      <c r="D1170" s="44">
        <f t="shared" si="173"/>
        <v>44005</v>
      </c>
      <c r="E1170" s="38">
        <v>6.8563000000000001</v>
      </c>
      <c r="F1170" s="39">
        <f t="shared" si="172"/>
        <v>288</v>
      </c>
      <c r="G1170" s="33">
        <f t="shared" ref="G1170:G1233" si="178">E1169*F1170</f>
        <v>1974.096</v>
      </c>
      <c r="H1170" s="33">
        <f t="shared" si="177"/>
        <v>1972.8806399999999</v>
      </c>
      <c r="I1170" s="33">
        <f t="shared" si="171"/>
        <v>1972.8806399999999</v>
      </c>
      <c r="J1170" s="33">
        <f t="shared" si="174"/>
        <v>1963.6128000000001</v>
      </c>
      <c r="K1170" s="33">
        <f t="shared" si="170"/>
        <v>1963.6128000000001</v>
      </c>
      <c r="L1170" s="59">
        <f t="shared" si="175"/>
        <v>4.7197899708128557E-3</v>
      </c>
      <c r="M1170" s="60" t="str">
        <f t="shared" si="176"/>
        <v/>
      </c>
      <c r="N1170" s="76">
        <f t="shared" si="168"/>
        <v>286.47061054781534</v>
      </c>
    </row>
    <row r="1171" spans="2:18" x14ac:dyDescent="0.55000000000000004">
      <c r="B1171" s="35">
        <f t="shared" si="169"/>
        <v>24</v>
      </c>
      <c r="C1171" s="72" t="s">
        <v>142</v>
      </c>
      <c r="D1171" s="44">
        <f t="shared" si="173"/>
        <v>44006</v>
      </c>
      <c r="E1171" s="38">
        <v>6.8574999999999999</v>
      </c>
      <c r="F1171" s="39">
        <f t="shared" si="172"/>
        <v>288</v>
      </c>
      <c r="G1171" s="33">
        <f t="shared" si="178"/>
        <v>1974.6143999999999</v>
      </c>
      <c r="H1171" s="33">
        <f t="shared" si="177"/>
        <v>1973.952</v>
      </c>
      <c r="I1171" s="33">
        <f t="shared" si="171"/>
        <v>1973.9519999999998</v>
      </c>
      <c r="J1171" s="33">
        <f t="shared" si="174"/>
        <v>1963.6128000000001</v>
      </c>
      <c r="K1171" s="33">
        <f>IF(L1170&gt;3%,G1170,IF(L1170&lt;-3%,G1170,K1170))</f>
        <v>1963.6128000000001</v>
      </c>
      <c r="L1171" s="59">
        <f t="shared" si="175"/>
        <v>5.2653965180914954E-3</v>
      </c>
      <c r="M1171" s="60" t="str">
        <f t="shared" si="176"/>
        <v/>
      </c>
      <c r="N1171" s="76">
        <f t="shared" si="168"/>
        <v>286.39540276825693</v>
      </c>
    </row>
    <row r="1172" spans="2:18" x14ac:dyDescent="0.55000000000000004">
      <c r="B1172" s="35">
        <f t="shared" si="169"/>
        <v>25</v>
      </c>
      <c r="C1172" s="72" t="s">
        <v>142</v>
      </c>
      <c r="D1172" s="44">
        <f t="shared" si="173"/>
        <v>44007</v>
      </c>
      <c r="E1172" s="38">
        <v>6.8558000000000003</v>
      </c>
      <c r="F1172" s="39">
        <f t="shared" si="172"/>
        <v>288</v>
      </c>
      <c r="G1172" s="33">
        <f t="shared" si="178"/>
        <v>1974.96</v>
      </c>
      <c r="H1172" s="33">
        <f t="shared" si="177"/>
        <v>1974.63744</v>
      </c>
      <c r="I1172" s="33">
        <f t="shared" si="171"/>
        <v>1974.63744</v>
      </c>
      <c r="J1172" s="33">
        <f t="shared" si="174"/>
        <v>1963.6128000000001</v>
      </c>
      <c r="K1172" s="33">
        <f t="shared" si="170"/>
        <v>1963.6128000000001</v>
      </c>
      <c r="L1172" s="59">
        <f t="shared" si="175"/>
        <v>5.614467373608413E-3</v>
      </c>
      <c r="M1172" s="60" t="str">
        <f t="shared" si="176"/>
        <v/>
      </c>
      <c r="N1172" s="76">
        <f t="shared" ref="N1172:N1235" si="179">K1172/E1171</f>
        <v>286.3452861830113</v>
      </c>
    </row>
    <row r="1173" spans="2:18" x14ac:dyDescent="0.55000000000000004">
      <c r="B1173" s="35">
        <f t="shared" si="169"/>
        <v>26</v>
      </c>
      <c r="C1173" s="72" t="s">
        <v>142</v>
      </c>
      <c r="D1173" s="44">
        <f t="shared" si="173"/>
        <v>44008</v>
      </c>
      <c r="E1173" s="38">
        <v>6.8540000000000001</v>
      </c>
      <c r="F1173" s="39">
        <f t="shared" si="172"/>
        <v>288</v>
      </c>
      <c r="G1173" s="33">
        <f t="shared" si="178"/>
        <v>1974.4704000000002</v>
      </c>
      <c r="H1173" s="33">
        <f t="shared" si="177"/>
        <v>1974.5510399999998</v>
      </c>
      <c r="I1173" s="33">
        <f t="shared" si="171"/>
        <v>1974.5510400000001</v>
      </c>
      <c r="J1173" s="33">
        <f t="shared" si="174"/>
        <v>1963.6128000000001</v>
      </c>
      <c r="K1173" s="33">
        <f>IF(L1172&gt;3%,G1172,IF(L1172&lt;-3%,G1172,K1172))</f>
        <v>1963.6128000000001</v>
      </c>
      <c r="L1173" s="59">
        <f t="shared" si="175"/>
        <v>5.5704668456020064E-3</v>
      </c>
      <c r="M1173" s="60" t="str">
        <f t="shared" si="176"/>
        <v/>
      </c>
      <c r="N1173" s="76">
        <f t="shared" si="179"/>
        <v>286.41628985676363</v>
      </c>
    </row>
    <row r="1174" spans="2:18" x14ac:dyDescent="0.55000000000000004">
      <c r="B1174" s="35">
        <f t="shared" si="169"/>
        <v>29</v>
      </c>
      <c r="C1174" s="72" t="s">
        <v>142</v>
      </c>
      <c r="D1174" s="44">
        <f t="shared" si="173"/>
        <v>44011</v>
      </c>
      <c r="E1174" s="38">
        <v>6.8544999999999998</v>
      </c>
      <c r="F1174" s="39">
        <f t="shared" si="172"/>
        <v>288</v>
      </c>
      <c r="G1174" s="33">
        <f t="shared" si="178"/>
        <v>1973.952</v>
      </c>
      <c r="H1174" s="33">
        <f t="shared" si="177"/>
        <v>1974.4185600000001</v>
      </c>
      <c r="I1174" s="33">
        <f t="shared" si="171"/>
        <v>1974.4185600000001</v>
      </c>
      <c r="J1174" s="33">
        <f t="shared" si="174"/>
        <v>1963.6128000000001</v>
      </c>
      <c r="K1174" s="33">
        <f t="shared" si="170"/>
        <v>1963.6128000000001</v>
      </c>
      <c r="L1174" s="59">
        <f>(H1174-K1174)/K1174</f>
        <v>5.5029993693257468E-3</v>
      </c>
      <c r="M1174" s="60" t="str">
        <f t="shared" si="176"/>
        <v/>
      </c>
      <c r="N1174" s="76">
        <f t="shared" si="179"/>
        <v>286.49150860811204</v>
      </c>
    </row>
    <row r="1175" spans="2:18" ht="14.7" thickBot="1" x14ac:dyDescent="0.6">
      <c r="B1175" s="35">
        <f t="shared" ref="B1175:B1238" si="180">DAY(D1175)</f>
        <v>30</v>
      </c>
      <c r="C1175" s="72" t="s">
        <v>142</v>
      </c>
      <c r="D1175" s="44">
        <f t="shared" si="173"/>
        <v>44012</v>
      </c>
      <c r="E1175" s="38">
        <v>6.8555000000000001</v>
      </c>
      <c r="F1175" s="39">
        <f t="shared" si="172"/>
        <v>288</v>
      </c>
      <c r="G1175" s="33">
        <f t="shared" si="178"/>
        <v>1974.096</v>
      </c>
      <c r="H1175" s="33">
        <f t="shared" si="177"/>
        <v>1974.4185600000001</v>
      </c>
      <c r="I1175" s="33">
        <f t="shared" si="171"/>
        <v>1974.4185600000001</v>
      </c>
      <c r="J1175" s="33">
        <f t="shared" si="174"/>
        <v>1963.6128000000001</v>
      </c>
      <c r="K1175" s="33">
        <f>IF(L1174&gt;3%,G1174,IF(L1174&lt;-3%,G1174,K1174))</f>
        <v>1963.6128000000001</v>
      </c>
      <c r="L1175" s="59">
        <f t="shared" si="175"/>
        <v>5.5029993693257468E-3</v>
      </c>
      <c r="M1175" s="60" t="str">
        <f t="shared" si="176"/>
        <v/>
      </c>
      <c r="N1175" s="76">
        <f t="shared" si="179"/>
        <v>286.47061054781534</v>
      </c>
    </row>
    <row r="1176" spans="2:18" ht="14.7" thickBot="1" x14ac:dyDescent="0.6">
      <c r="B1176" s="35">
        <f t="shared" si="180"/>
        <v>1</v>
      </c>
      <c r="C1176" s="72" t="s">
        <v>143</v>
      </c>
      <c r="D1176" s="44">
        <f t="shared" si="173"/>
        <v>44013</v>
      </c>
      <c r="E1176" s="38">
        <v>6.8555000000000001</v>
      </c>
      <c r="F1176" s="39">
        <f>316+40</f>
        <v>356</v>
      </c>
      <c r="G1176" s="33">
        <f t="shared" si="178"/>
        <v>2440.558</v>
      </c>
      <c r="H1176" s="33">
        <f t="shared" si="177"/>
        <v>2067.6072800000002</v>
      </c>
      <c r="I1176" s="33">
        <f t="shared" si="171"/>
        <v>2440.5437599999996</v>
      </c>
      <c r="J1176" s="33">
        <f>IF(L1176&gt;3%,G1176,IF(L1176&lt;-3%,G1176,J1175))</f>
        <v>2440.558</v>
      </c>
      <c r="K1176" s="33">
        <f>IF(L1175&gt;3%,G1175,IF(L1175&lt;-3%,G1175,K1175))</f>
        <v>1963.6128000000001</v>
      </c>
      <c r="L1176" s="59">
        <f t="shared" si="175"/>
        <v>5.2960787381300459E-2</v>
      </c>
      <c r="M1176" s="60">
        <f>IF(OR(L1176&lt;-3%,L1176&gt;3%),K1177-K1176,"")</f>
        <v>476.94519999999989</v>
      </c>
      <c r="N1176" s="76">
        <f t="shared" si="179"/>
        <v>286.42882357231423</v>
      </c>
      <c r="O1176" s="159" t="s">
        <v>132</v>
      </c>
      <c r="P1176" s="160"/>
      <c r="Q1176" s="160"/>
      <c r="R1176" s="161"/>
    </row>
    <row r="1177" spans="2:18" x14ac:dyDescent="0.55000000000000004">
      <c r="B1177" s="35">
        <f t="shared" si="180"/>
        <v>2</v>
      </c>
      <c r="C1177" s="72" t="s">
        <v>143</v>
      </c>
      <c r="D1177" s="44">
        <f t="shared" si="173"/>
        <v>44014</v>
      </c>
      <c r="E1177" s="38">
        <v>6.8552</v>
      </c>
      <c r="F1177" s="39">
        <f t="shared" si="172"/>
        <v>356</v>
      </c>
      <c r="G1177" s="33">
        <f t="shared" si="178"/>
        <v>2440.558</v>
      </c>
      <c r="H1177" s="33">
        <f t="shared" si="177"/>
        <v>2440.558</v>
      </c>
      <c r="I1177" s="33">
        <f t="shared" si="171"/>
        <v>2440.4013599999998</v>
      </c>
      <c r="J1177" s="33">
        <f t="shared" si="174"/>
        <v>2440.558</v>
      </c>
      <c r="K1177" s="33">
        <f>IF(L1176&gt;3%,G1176,IF(L1176&lt;-3%,G1176,K1176))</f>
        <v>2440.558</v>
      </c>
      <c r="L1177" s="59">
        <f t="shared" si="175"/>
        <v>0</v>
      </c>
      <c r="M1177" s="60" t="str">
        <f t="shared" si="176"/>
        <v/>
      </c>
      <c r="N1177" s="76">
        <f t="shared" si="179"/>
        <v>356</v>
      </c>
      <c r="O1177" s="162" t="s">
        <v>35</v>
      </c>
      <c r="P1177" s="79" t="s">
        <v>133</v>
      </c>
      <c r="Q1177" s="79" t="s">
        <v>134</v>
      </c>
      <c r="R1177" s="80" t="s">
        <v>135</v>
      </c>
    </row>
    <row r="1178" spans="2:18" ht="14.7" thickBot="1" x14ac:dyDescent="0.6">
      <c r="B1178" s="35">
        <f t="shared" si="180"/>
        <v>3</v>
      </c>
      <c r="C1178" s="72" t="s">
        <v>143</v>
      </c>
      <c r="D1178" s="44">
        <f t="shared" si="173"/>
        <v>44015</v>
      </c>
      <c r="E1178" s="38">
        <v>6.8544999999999998</v>
      </c>
      <c r="F1178" s="39">
        <f t="shared" si="172"/>
        <v>356</v>
      </c>
      <c r="G1178" s="33">
        <f t="shared" si="178"/>
        <v>2440.4512</v>
      </c>
      <c r="H1178" s="33">
        <f t="shared" si="177"/>
        <v>2440.5046000000002</v>
      </c>
      <c r="I1178" s="33">
        <f t="shared" si="171"/>
        <v>2440.3586399999995</v>
      </c>
      <c r="J1178" s="33">
        <f t="shared" si="174"/>
        <v>2440.558</v>
      </c>
      <c r="K1178" s="33">
        <f t="shared" si="170"/>
        <v>2440.558</v>
      </c>
      <c r="L1178" s="59">
        <f t="shared" si="175"/>
        <v>-2.1880242141257522E-5</v>
      </c>
      <c r="M1178" s="60" t="str">
        <f t="shared" si="176"/>
        <v/>
      </c>
      <c r="N1178" s="76">
        <f t="shared" si="179"/>
        <v>356.01557941416735</v>
      </c>
      <c r="O1178" s="163"/>
      <c r="P1178" s="81" t="s">
        <v>136</v>
      </c>
      <c r="Q1178" s="81" t="s">
        <v>136</v>
      </c>
      <c r="R1178" s="82" t="s">
        <v>136</v>
      </c>
    </row>
    <row r="1179" spans="2:18" ht="14.7" thickBot="1" x14ac:dyDescent="0.6">
      <c r="B1179" s="35">
        <f t="shared" si="180"/>
        <v>6</v>
      </c>
      <c r="C1179" s="72" t="s">
        <v>143</v>
      </c>
      <c r="D1179" s="44">
        <f t="shared" si="173"/>
        <v>44018</v>
      </c>
      <c r="E1179" s="38">
        <v>6.859</v>
      </c>
      <c r="F1179" s="39">
        <f t="shared" si="172"/>
        <v>356</v>
      </c>
      <c r="G1179" s="33">
        <f t="shared" si="178"/>
        <v>2440.2019999999998</v>
      </c>
      <c r="H1179" s="33">
        <f t="shared" si="177"/>
        <v>2440.4037333333331</v>
      </c>
      <c r="I1179" s="33">
        <f t="shared" si="171"/>
        <v>2440.3942400000001</v>
      </c>
      <c r="J1179" s="33">
        <f t="shared" si="174"/>
        <v>2440.558</v>
      </c>
      <c r="K1179" s="33">
        <f t="shared" si="170"/>
        <v>2440.558</v>
      </c>
      <c r="L1179" s="59">
        <f t="shared" si="175"/>
        <v>-6.3209588408429237E-5</v>
      </c>
      <c r="M1179" s="60" t="str">
        <f t="shared" si="176"/>
        <v/>
      </c>
      <c r="N1179" s="76">
        <f t="shared" si="179"/>
        <v>356.05193668393025</v>
      </c>
      <c r="O1179" s="87">
        <v>43985</v>
      </c>
      <c r="P1179" s="78">
        <v>1963.61</v>
      </c>
      <c r="Q1179" s="78">
        <v>1778</v>
      </c>
      <c r="R1179" s="78">
        <f>SUM(P1179:Q1179)</f>
        <v>3741.6099999999997</v>
      </c>
    </row>
    <row r="1180" spans="2:18" ht="14.7" thickBot="1" x14ac:dyDescent="0.6">
      <c r="B1180" s="35">
        <f t="shared" si="180"/>
        <v>7</v>
      </c>
      <c r="C1180" s="72" t="s">
        <v>143</v>
      </c>
      <c r="D1180" s="44">
        <f t="shared" si="173"/>
        <v>44019</v>
      </c>
      <c r="E1180" s="38">
        <v>6.8642000000000003</v>
      </c>
      <c r="F1180" s="39">
        <f t="shared" si="172"/>
        <v>356</v>
      </c>
      <c r="G1180" s="33">
        <f t="shared" si="178"/>
        <v>2441.8040000000001</v>
      </c>
      <c r="H1180" s="33">
        <f t="shared" si="177"/>
        <v>2440.7538</v>
      </c>
      <c r="I1180" s="33">
        <f t="shared" si="171"/>
        <v>2440.7146400000006</v>
      </c>
      <c r="J1180" s="33">
        <f t="shared" si="174"/>
        <v>2440.558</v>
      </c>
      <c r="K1180" s="33">
        <f>IF(L1179&gt;3%,G1179,IF(L1179&lt;-3%,G1179,K1179))</f>
        <v>2440.558</v>
      </c>
      <c r="L1180" s="59">
        <f t="shared" si="175"/>
        <v>8.0227554518254803E-5</v>
      </c>
      <c r="M1180" s="60" t="str">
        <f t="shared" si="176"/>
        <v/>
      </c>
      <c r="N1180" s="76">
        <f t="shared" si="179"/>
        <v>355.81834086601543</v>
      </c>
      <c r="O1180" s="87">
        <v>44014</v>
      </c>
      <c r="P1180" s="78">
        <v>2440.56</v>
      </c>
      <c r="Q1180" s="78">
        <v>1778</v>
      </c>
      <c r="R1180" s="78">
        <f>SUM(P1180:Q1180)</f>
        <v>4218.5599999999995</v>
      </c>
    </row>
    <row r="1181" spans="2:18" ht="14.7" thickBot="1" x14ac:dyDescent="0.6">
      <c r="B1181" s="35">
        <f t="shared" si="180"/>
        <v>8</v>
      </c>
      <c r="C1181" s="72" t="s">
        <v>143</v>
      </c>
      <c r="D1181" s="44">
        <f t="shared" si="173"/>
        <v>44020</v>
      </c>
      <c r="E1181" s="38">
        <v>6.8647</v>
      </c>
      <c r="F1181" s="39">
        <f t="shared" si="172"/>
        <v>356</v>
      </c>
      <c r="G1181" s="33">
        <f t="shared" si="178"/>
        <v>2443.6552000000001</v>
      </c>
      <c r="H1181" s="33">
        <f t="shared" si="177"/>
        <v>2441.3340799999996</v>
      </c>
      <c r="I1181" s="33">
        <f t="shared" si="171"/>
        <v>2441.3340799999996</v>
      </c>
      <c r="J1181" s="33">
        <f t="shared" si="174"/>
        <v>2440.558</v>
      </c>
      <c r="K1181" s="33">
        <f t="shared" ref="K1181:K1244" si="181">IF(L1180&gt;3%,G1180,IF(L1180&lt;-3%,G1180,K1180))</f>
        <v>2440.558</v>
      </c>
      <c r="L1181" s="59">
        <f t="shared" si="175"/>
        <v>3.1799285245408547E-4</v>
      </c>
      <c r="M1181" s="60" t="str">
        <f t="shared" si="176"/>
        <v/>
      </c>
      <c r="N1181" s="76">
        <f t="shared" si="179"/>
        <v>355.54878937093906</v>
      </c>
      <c r="O1181" s="87" t="s">
        <v>137</v>
      </c>
      <c r="P1181" s="92">
        <f>P1180-P1179</f>
        <v>476.95000000000005</v>
      </c>
      <c r="Q1181" s="94">
        <f>Q1180-Q1179</f>
        <v>0</v>
      </c>
      <c r="R1181" s="92">
        <f>R1180-R1179</f>
        <v>476.94999999999982</v>
      </c>
    </row>
    <row r="1182" spans="2:18" x14ac:dyDescent="0.55000000000000004">
      <c r="B1182" s="35">
        <f t="shared" si="180"/>
        <v>9</v>
      </c>
      <c r="C1182" s="72" t="s">
        <v>143</v>
      </c>
      <c r="D1182" s="44">
        <f t="shared" si="173"/>
        <v>44021</v>
      </c>
      <c r="E1182" s="38">
        <v>6.8654000000000002</v>
      </c>
      <c r="F1182" s="39">
        <f t="shared" si="172"/>
        <v>356</v>
      </c>
      <c r="G1182" s="33">
        <f t="shared" si="178"/>
        <v>2443.8332</v>
      </c>
      <c r="H1182" s="33">
        <f t="shared" si="177"/>
        <v>2441.9891199999997</v>
      </c>
      <c r="I1182" s="33">
        <f t="shared" si="171"/>
        <v>2441.9891200000002</v>
      </c>
      <c r="J1182" s="33">
        <f t="shared" si="174"/>
        <v>2440.558</v>
      </c>
      <c r="K1182" s="33">
        <f t="shared" si="181"/>
        <v>2440.558</v>
      </c>
      <c r="L1182" s="59">
        <f t="shared" si="175"/>
        <v>5.8639048938797481E-4</v>
      </c>
      <c r="M1182" s="60" t="str">
        <f t="shared" si="176"/>
        <v/>
      </c>
      <c r="N1182" s="76">
        <f t="shared" si="179"/>
        <v>355.52289247891389</v>
      </c>
    </row>
    <row r="1183" spans="2:18" x14ac:dyDescent="0.55000000000000004">
      <c r="B1183" s="35">
        <f t="shared" si="180"/>
        <v>10</v>
      </c>
      <c r="C1183" s="72" t="s">
        <v>143</v>
      </c>
      <c r="D1183" s="44">
        <f t="shared" si="173"/>
        <v>44022</v>
      </c>
      <c r="E1183" s="38">
        <v>6.8638000000000003</v>
      </c>
      <c r="F1183" s="39">
        <f t="shared" si="172"/>
        <v>356</v>
      </c>
      <c r="G1183" s="33">
        <f t="shared" si="178"/>
        <v>2444.0824000000002</v>
      </c>
      <c r="H1183" s="33">
        <f t="shared" si="177"/>
        <v>2442.7153599999997</v>
      </c>
      <c r="I1183" s="33">
        <f t="shared" si="171"/>
        <v>2442.7153600000001</v>
      </c>
      <c r="J1183" s="33">
        <f t="shared" si="174"/>
        <v>2440.558</v>
      </c>
      <c r="K1183" s="33">
        <f t="shared" si="181"/>
        <v>2440.558</v>
      </c>
      <c r="L1183" s="59">
        <f t="shared" si="175"/>
        <v>8.8396178251026964E-4</v>
      </c>
      <c r="M1183" s="60" t="str">
        <f t="shared" si="176"/>
        <v/>
      </c>
      <c r="N1183" s="76">
        <f t="shared" si="179"/>
        <v>355.48664316718617</v>
      </c>
    </row>
    <row r="1184" spans="2:18" x14ac:dyDescent="0.55000000000000004">
      <c r="B1184" s="35">
        <f t="shared" si="180"/>
        <v>13</v>
      </c>
      <c r="C1184" s="72" t="s">
        <v>143</v>
      </c>
      <c r="D1184" s="44">
        <f t="shared" si="173"/>
        <v>44025</v>
      </c>
      <c r="E1184" s="38">
        <v>6.8651999999999997</v>
      </c>
      <c r="F1184" s="39">
        <f t="shared" si="172"/>
        <v>356</v>
      </c>
      <c r="G1184" s="33">
        <f t="shared" si="178"/>
        <v>2443.5128</v>
      </c>
      <c r="H1184" s="33">
        <f t="shared" si="177"/>
        <v>2443.3775200000005</v>
      </c>
      <c r="I1184" s="33">
        <f t="shared" si="171"/>
        <v>2443.37752</v>
      </c>
      <c r="J1184" s="33">
        <f t="shared" si="174"/>
        <v>2440.558</v>
      </c>
      <c r="K1184" s="33">
        <f t="shared" si="181"/>
        <v>2440.558</v>
      </c>
      <c r="L1184" s="59">
        <f t="shared" si="175"/>
        <v>1.1552767850632789E-3</v>
      </c>
      <c r="M1184" s="60" t="str">
        <f t="shared" si="176"/>
        <v/>
      </c>
      <c r="N1184" s="76">
        <f t="shared" si="179"/>
        <v>355.5695096010956</v>
      </c>
    </row>
    <row r="1185" spans="2:14" x14ac:dyDescent="0.55000000000000004">
      <c r="B1185" s="35">
        <f t="shared" si="180"/>
        <v>14</v>
      </c>
      <c r="C1185" s="72" t="s">
        <v>143</v>
      </c>
      <c r="D1185" s="44">
        <f t="shared" si="173"/>
        <v>44026</v>
      </c>
      <c r="E1185" s="38">
        <v>6.8647999999999998</v>
      </c>
      <c r="F1185" s="39">
        <f t="shared" si="172"/>
        <v>356</v>
      </c>
      <c r="G1185" s="33">
        <f t="shared" si="178"/>
        <v>2444.0111999999999</v>
      </c>
      <c r="H1185" s="33">
        <f t="shared" si="177"/>
        <v>2443.8189599999996</v>
      </c>
      <c r="I1185" s="33">
        <f t="shared" si="171"/>
        <v>2443.8189600000001</v>
      </c>
      <c r="J1185" s="33">
        <f t="shared" si="174"/>
        <v>2440.558</v>
      </c>
      <c r="K1185" s="33">
        <f t="shared" si="181"/>
        <v>2440.558</v>
      </c>
      <c r="L1185" s="59">
        <f t="shared" si="175"/>
        <v>1.336153453431393E-3</v>
      </c>
      <c r="M1185" s="60" t="str">
        <f t="shared" si="176"/>
        <v/>
      </c>
      <c r="N1185" s="76">
        <f t="shared" si="179"/>
        <v>355.49699935908643</v>
      </c>
    </row>
    <row r="1186" spans="2:14" x14ac:dyDescent="0.55000000000000004">
      <c r="B1186" s="35">
        <f t="shared" si="180"/>
        <v>15</v>
      </c>
      <c r="C1186" s="72" t="s">
        <v>143</v>
      </c>
      <c r="D1186" s="44">
        <f t="shared" si="173"/>
        <v>44027</v>
      </c>
      <c r="E1186" s="38">
        <v>6.8647999999999998</v>
      </c>
      <c r="F1186" s="39">
        <f t="shared" si="172"/>
        <v>356</v>
      </c>
      <c r="G1186" s="33">
        <f t="shared" si="178"/>
        <v>2443.8687999999997</v>
      </c>
      <c r="H1186" s="33">
        <f t="shared" si="177"/>
        <v>2443.8616800000004</v>
      </c>
      <c r="I1186" s="33">
        <f t="shared" ref="I1186:I1249" si="182">F1186*AVERAGE(E1181:E1185)</f>
        <v>2443.86168</v>
      </c>
      <c r="J1186" s="33">
        <f t="shared" si="174"/>
        <v>2440.558</v>
      </c>
      <c r="K1186" s="33">
        <f t="shared" si="181"/>
        <v>2440.558</v>
      </c>
      <c r="L1186" s="59">
        <f t="shared" si="175"/>
        <v>1.353657647144809E-3</v>
      </c>
      <c r="M1186" s="60" t="str">
        <f t="shared" si="176"/>
        <v/>
      </c>
      <c r="N1186" s="76">
        <f t="shared" si="179"/>
        <v>355.51771355319892</v>
      </c>
    </row>
    <row r="1187" spans="2:14" x14ac:dyDescent="0.55000000000000004">
      <c r="B1187" s="35">
        <f t="shared" si="180"/>
        <v>16</v>
      </c>
      <c r="C1187" s="72" t="s">
        <v>143</v>
      </c>
      <c r="D1187" s="44">
        <f t="shared" si="173"/>
        <v>44028</v>
      </c>
      <c r="E1187" s="38">
        <v>6.8573000000000004</v>
      </c>
      <c r="F1187" s="39">
        <f t="shared" si="172"/>
        <v>356</v>
      </c>
      <c r="G1187" s="33">
        <f t="shared" si="178"/>
        <v>2443.8687999999997</v>
      </c>
      <c r="H1187" s="33">
        <f t="shared" si="177"/>
        <v>2443.8687999999997</v>
      </c>
      <c r="I1187" s="33">
        <f t="shared" si="182"/>
        <v>2443.8687999999997</v>
      </c>
      <c r="J1187" s="33">
        <f t="shared" si="174"/>
        <v>2440.558</v>
      </c>
      <c r="K1187" s="33">
        <f t="shared" si="181"/>
        <v>2440.558</v>
      </c>
      <c r="L1187" s="59">
        <f t="shared" si="175"/>
        <v>1.3565750127633698E-3</v>
      </c>
      <c r="M1187" s="60" t="str">
        <f t="shared" si="176"/>
        <v/>
      </c>
      <c r="N1187" s="76">
        <f t="shared" si="179"/>
        <v>355.51771355319892</v>
      </c>
    </row>
    <row r="1188" spans="2:14" x14ac:dyDescent="0.55000000000000004">
      <c r="B1188" s="35">
        <f t="shared" si="180"/>
        <v>17</v>
      </c>
      <c r="C1188" s="72" t="s">
        <v>143</v>
      </c>
      <c r="D1188" s="44">
        <f t="shared" si="173"/>
        <v>44029</v>
      </c>
      <c r="E1188" s="38">
        <v>6.8563000000000001</v>
      </c>
      <c r="F1188" s="39">
        <f t="shared" si="172"/>
        <v>356</v>
      </c>
      <c r="G1188" s="33">
        <f t="shared" si="178"/>
        <v>2441.1988000000001</v>
      </c>
      <c r="H1188" s="33">
        <f t="shared" si="177"/>
        <v>2443.2920800000002</v>
      </c>
      <c r="I1188" s="33">
        <f t="shared" si="182"/>
        <v>2443.2920800000002</v>
      </c>
      <c r="J1188" s="33">
        <f t="shared" si="174"/>
        <v>2440.558</v>
      </c>
      <c r="K1188" s="33">
        <f t="shared" si="181"/>
        <v>2440.558</v>
      </c>
      <c r="L1188" s="59">
        <f t="shared" si="175"/>
        <v>1.1202683976370062E-3</v>
      </c>
      <c r="M1188" s="60" t="str">
        <f t="shared" si="176"/>
        <v/>
      </c>
      <c r="N1188" s="76">
        <f t="shared" si="179"/>
        <v>355.90655214151343</v>
      </c>
    </row>
    <row r="1189" spans="2:14" x14ac:dyDescent="0.55000000000000004">
      <c r="B1189" s="35">
        <f t="shared" si="180"/>
        <v>20</v>
      </c>
      <c r="C1189" s="72" t="s">
        <v>143</v>
      </c>
      <c r="D1189" s="44">
        <f t="shared" si="173"/>
        <v>44032</v>
      </c>
      <c r="E1189" s="38">
        <v>6.8562000000000003</v>
      </c>
      <c r="F1189" s="39">
        <f t="shared" si="172"/>
        <v>356</v>
      </c>
      <c r="G1189" s="33">
        <f t="shared" si="178"/>
        <v>2440.8427999999999</v>
      </c>
      <c r="H1189" s="33">
        <f t="shared" si="177"/>
        <v>2442.7580800000001</v>
      </c>
      <c r="I1189" s="33">
        <f t="shared" si="182"/>
        <v>2442.7580800000001</v>
      </c>
      <c r="J1189" s="33">
        <f t="shared" si="174"/>
        <v>2440.558</v>
      </c>
      <c r="K1189" s="33">
        <f t="shared" si="181"/>
        <v>2440.558</v>
      </c>
      <c r="L1189" s="59">
        <f t="shared" si="175"/>
        <v>9.0146597622349923E-4</v>
      </c>
      <c r="M1189" s="60" t="str">
        <f t="shared" si="176"/>
        <v/>
      </c>
      <c r="N1189" s="76">
        <f t="shared" si="179"/>
        <v>355.95846156090016</v>
      </c>
    </row>
    <row r="1190" spans="2:14" x14ac:dyDescent="0.55000000000000004">
      <c r="B1190" s="35">
        <f t="shared" si="180"/>
        <v>21</v>
      </c>
      <c r="C1190" s="72" t="s">
        <v>143</v>
      </c>
      <c r="D1190" s="44">
        <f t="shared" si="173"/>
        <v>44033</v>
      </c>
      <c r="E1190" s="38">
        <v>6.8552999999999997</v>
      </c>
      <c r="F1190" s="39">
        <f t="shared" si="172"/>
        <v>356</v>
      </c>
      <c r="G1190" s="33">
        <f t="shared" si="178"/>
        <v>2440.8072000000002</v>
      </c>
      <c r="H1190" s="33">
        <f t="shared" si="177"/>
        <v>2442.1172799999999</v>
      </c>
      <c r="I1190" s="33">
        <f t="shared" si="182"/>
        <v>2442.1172799999999</v>
      </c>
      <c r="J1190" s="33">
        <f t="shared" si="174"/>
        <v>2440.558</v>
      </c>
      <c r="K1190" s="33">
        <f t="shared" si="181"/>
        <v>2440.558</v>
      </c>
      <c r="L1190" s="59">
        <f t="shared" si="175"/>
        <v>6.3890307052729095E-4</v>
      </c>
      <c r="M1190" s="60" t="str">
        <f t="shared" si="176"/>
        <v/>
      </c>
      <c r="N1190" s="76">
        <f t="shared" si="179"/>
        <v>355.96365333566695</v>
      </c>
    </row>
    <row r="1191" spans="2:14" x14ac:dyDescent="0.55000000000000004">
      <c r="B1191" s="35">
        <f t="shared" si="180"/>
        <v>22</v>
      </c>
      <c r="C1191" s="72" t="s">
        <v>143</v>
      </c>
      <c r="D1191" s="44">
        <f t="shared" si="173"/>
        <v>44034</v>
      </c>
      <c r="E1191" s="38">
        <v>6.8494999999999999</v>
      </c>
      <c r="F1191" s="39">
        <f t="shared" si="172"/>
        <v>356</v>
      </c>
      <c r="G1191" s="33">
        <f t="shared" si="178"/>
        <v>2440.4867999999997</v>
      </c>
      <c r="H1191" s="33">
        <f t="shared" si="177"/>
        <v>2441.4408799999997</v>
      </c>
      <c r="I1191" s="33">
        <f t="shared" si="182"/>
        <v>2441.4408800000001</v>
      </c>
      <c r="J1191" s="33">
        <f t="shared" si="174"/>
        <v>2440.558</v>
      </c>
      <c r="K1191" s="33">
        <f t="shared" si="181"/>
        <v>2440.558</v>
      </c>
      <c r="L1191" s="59">
        <f t="shared" si="175"/>
        <v>3.6175333673678687E-4</v>
      </c>
      <c r="M1191" s="60" t="str">
        <f t="shared" si="176"/>
        <v/>
      </c>
      <c r="N1191" s="76">
        <f t="shared" si="179"/>
        <v>356.01038612460434</v>
      </c>
    </row>
    <row r="1192" spans="2:14" x14ac:dyDescent="0.55000000000000004">
      <c r="B1192" s="35">
        <f t="shared" si="180"/>
        <v>23</v>
      </c>
      <c r="C1192" s="72" t="s">
        <v>143</v>
      </c>
      <c r="D1192" s="44">
        <f t="shared" si="173"/>
        <v>44035</v>
      </c>
      <c r="E1192" s="38">
        <v>6.8471000000000002</v>
      </c>
      <c r="F1192" s="39">
        <f t="shared" si="172"/>
        <v>356</v>
      </c>
      <c r="G1192" s="33">
        <f t="shared" si="178"/>
        <v>2438.422</v>
      </c>
      <c r="H1192" s="33">
        <f t="shared" si="177"/>
        <v>2440.3515200000002</v>
      </c>
      <c r="I1192" s="33">
        <f t="shared" si="182"/>
        <v>2440.3515200000002</v>
      </c>
      <c r="J1192" s="33">
        <f t="shared" si="174"/>
        <v>2440.558</v>
      </c>
      <c r="K1192" s="33">
        <f t="shared" si="181"/>
        <v>2440.558</v>
      </c>
      <c r="L1192" s="59">
        <f t="shared" si="175"/>
        <v>-8.4603602946469041E-5</v>
      </c>
      <c r="M1192" s="60" t="str">
        <f t="shared" si="176"/>
        <v/>
      </c>
      <c r="N1192" s="76">
        <f t="shared" si="179"/>
        <v>356.31184758011534</v>
      </c>
    </row>
    <row r="1193" spans="2:14" x14ac:dyDescent="0.55000000000000004">
      <c r="B1193" s="35">
        <f t="shared" si="180"/>
        <v>24</v>
      </c>
      <c r="C1193" s="72" t="s">
        <v>143</v>
      </c>
      <c r="D1193" s="44">
        <f t="shared" si="173"/>
        <v>44036</v>
      </c>
      <c r="E1193" s="38">
        <v>6.8475999999999999</v>
      </c>
      <c r="F1193" s="39">
        <f t="shared" si="172"/>
        <v>356</v>
      </c>
      <c r="G1193" s="33">
        <f t="shared" si="178"/>
        <v>2437.5675999999999</v>
      </c>
      <c r="H1193" s="33">
        <f t="shared" si="177"/>
        <v>2439.6252799999997</v>
      </c>
      <c r="I1193" s="33">
        <f t="shared" si="182"/>
        <v>2439.6252799999997</v>
      </c>
      <c r="J1193" s="33">
        <f t="shared" si="174"/>
        <v>2440.558</v>
      </c>
      <c r="K1193" s="33">
        <f t="shared" si="181"/>
        <v>2440.558</v>
      </c>
      <c r="L1193" s="59">
        <f t="shared" si="175"/>
        <v>-3.821748960689502E-4</v>
      </c>
      <c r="M1193" s="60" t="str">
        <f t="shared" si="176"/>
        <v/>
      </c>
      <c r="N1193" s="76">
        <f t="shared" si="179"/>
        <v>356.43673964160007</v>
      </c>
    </row>
    <row r="1194" spans="2:14" x14ac:dyDescent="0.55000000000000004">
      <c r="B1194" s="35">
        <f t="shared" si="180"/>
        <v>27</v>
      </c>
      <c r="C1194" s="72" t="s">
        <v>143</v>
      </c>
      <c r="D1194" s="44">
        <f t="shared" si="173"/>
        <v>44039</v>
      </c>
      <c r="E1194" s="38">
        <v>6.8487</v>
      </c>
      <c r="F1194" s="39">
        <f t="shared" ref="F1194:F1257" si="183">F1193</f>
        <v>356</v>
      </c>
      <c r="G1194" s="33">
        <f t="shared" si="178"/>
        <v>2437.7456000000002</v>
      </c>
      <c r="H1194" s="33">
        <f t="shared" si="177"/>
        <v>2439.0058400000003</v>
      </c>
      <c r="I1194" s="33">
        <f t="shared" si="182"/>
        <v>2439.0058400000003</v>
      </c>
      <c r="J1194" s="33">
        <f t="shared" si="174"/>
        <v>2440.558</v>
      </c>
      <c r="K1194" s="33">
        <f t="shared" si="181"/>
        <v>2440.558</v>
      </c>
      <c r="L1194" s="59">
        <f t="shared" si="175"/>
        <v>-6.3598570490835732E-4</v>
      </c>
      <c r="M1194" s="60" t="str">
        <f t="shared" si="176"/>
        <v/>
      </c>
      <c r="N1194" s="76">
        <f t="shared" si="179"/>
        <v>356.41071324259593</v>
      </c>
    </row>
    <row r="1195" spans="2:14" x14ac:dyDescent="0.55000000000000004">
      <c r="B1195" s="35">
        <f t="shared" si="180"/>
        <v>28</v>
      </c>
      <c r="C1195" s="72" t="s">
        <v>143</v>
      </c>
      <c r="D1195" s="44">
        <f t="shared" si="173"/>
        <v>44040</v>
      </c>
      <c r="E1195" s="38">
        <v>6.8970000000000002</v>
      </c>
      <c r="F1195" s="39">
        <f t="shared" si="183"/>
        <v>356</v>
      </c>
      <c r="G1195" s="33">
        <f t="shared" si="178"/>
        <v>2438.1372000000001</v>
      </c>
      <c r="H1195" s="33">
        <f t="shared" si="177"/>
        <v>2438.4718399999997</v>
      </c>
      <c r="I1195" s="33">
        <f t="shared" si="182"/>
        <v>2438.4718399999997</v>
      </c>
      <c r="J1195" s="33">
        <f t="shared" si="174"/>
        <v>2440.558</v>
      </c>
      <c r="K1195" s="33">
        <f t="shared" si="181"/>
        <v>2440.558</v>
      </c>
      <c r="L1195" s="59">
        <f t="shared" si="175"/>
        <v>-8.5478812632205046E-4</v>
      </c>
      <c r="M1195" s="60" t="str">
        <f t="shared" si="176"/>
        <v/>
      </c>
      <c r="N1195" s="76">
        <f t="shared" si="179"/>
        <v>356.35346854147502</v>
      </c>
    </row>
    <row r="1196" spans="2:14" x14ac:dyDescent="0.55000000000000004">
      <c r="B1196" s="35">
        <f t="shared" si="180"/>
        <v>29</v>
      </c>
      <c r="C1196" s="72" t="s">
        <v>143</v>
      </c>
      <c r="D1196" s="44">
        <f t="shared" si="173"/>
        <v>44041</v>
      </c>
      <c r="E1196" s="38">
        <v>6.9497</v>
      </c>
      <c r="F1196" s="39">
        <f t="shared" si="183"/>
        <v>356</v>
      </c>
      <c r="G1196" s="33">
        <f t="shared" si="178"/>
        <v>2455.3319999999999</v>
      </c>
      <c r="H1196" s="33">
        <f t="shared" si="177"/>
        <v>2441.4408800000001</v>
      </c>
      <c r="I1196" s="33">
        <f t="shared" si="182"/>
        <v>2441.4408800000001</v>
      </c>
      <c r="J1196" s="33">
        <f t="shared" si="174"/>
        <v>2440.558</v>
      </c>
      <c r="K1196" s="33">
        <f t="shared" si="181"/>
        <v>2440.558</v>
      </c>
      <c r="L1196" s="59">
        <f t="shared" si="175"/>
        <v>3.6175333673697319E-4</v>
      </c>
      <c r="M1196" s="60" t="str">
        <f t="shared" si="176"/>
        <v/>
      </c>
      <c r="N1196" s="76">
        <f t="shared" si="179"/>
        <v>353.85790923589963</v>
      </c>
    </row>
    <row r="1197" spans="2:14" x14ac:dyDescent="0.55000000000000004">
      <c r="B1197" s="35">
        <f t="shared" si="180"/>
        <v>30</v>
      </c>
      <c r="C1197" s="72" t="s">
        <v>143</v>
      </c>
      <c r="D1197" s="44">
        <f t="shared" si="173"/>
        <v>44042</v>
      </c>
      <c r="E1197" s="38">
        <v>6.9497</v>
      </c>
      <c r="F1197" s="39">
        <f t="shared" si="183"/>
        <v>356</v>
      </c>
      <c r="G1197" s="33">
        <f t="shared" si="178"/>
        <v>2474.0931999999998</v>
      </c>
      <c r="H1197" s="33">
        <f t="shared" si="177"/>
        <v>2448.57512</v>
      </c>
      <c r="I1197" s="33">
        <f t="shared" si="182"/>
        <v>2448.5751200000004</v>
      </c>
      <c r="J1197" s="33">
        <f t="shared" si="174"/>
        <v>2440.558</v>
      </c>
      <c r="K1197" s="33">
        <f t="shared" si="181"/>
        <v>2440.558</v>
      </c>
      <c r="L1197" s="59">
        <f t="shared" si="175"/>
        <v>3.2849536868207914E-3</v>
      </c>
      <c r="M1197" s="60" t="str">
        <f t="shared" si="176"/>
        <v/>
      </c>
      <c r="N1197" s="76">
        <f t="shared" si="179"/>
        <v>351.17458307552846</v>
      </c>
    </row>
    <row r="1198" spans="2:14" x14ac:dyDescent="0.55000000000000004">
      <c r="B1198" s="35">
        <f t="shared" si="180"/>
        <v>31</v>
      </c>
      <c r="C1198" s="72" t="s">
        <v>143</v>
      </c>
      <c r="D1198" s="44">
        <f t="shared" si="173"/>
        <v>44043</v>
      </c>
      <c r="E1198" s="38">
        <v>6.9497</v>
      </c>
      <c r="F1198" s="39">
        <f t="shared" si="183"/>
        <v>356</v>
      </c>
      <c r="G1198" s="33">
        <f t="shared" si="178"/>
        <v>2474.0931999999998</v>
      </c>
      <c r="H1198" s="33">
        <f t="shared" si="177"/>
        <v>2455.8802399999995</v>
      </c>
      <c r="I1198" s="33">
        <f t="shared" si="182"/>
        <v>2455.88024</v>
      </c>
      <c r="J1198" s="33">
        <f t="shared" si="174"/>
        <v>2440.558</v>
      </c>
      <c r="K1198" s="33">
        <f t="shared" si="181"/>
        <v>2440.558</v>
      </c>
      <c r="L1198" s="59">
        <f t="shared" si="175"/>
        <v>6.2781708117567829E-3</v>
      </c>
      <c r="M1198" s="60" t="str">
        <f t="shared" si="176"/>
        <v/>
      </c>
      <c r="N1198" s="76">
        <f t="shared" si="179"/>
        <v>351.17458307552846</v>
      </c>
    </row>
    <row r="1199" spans="2:14" x14ac:dyDescent="0.55000000000000004">
      <c r="B1199" s="35">
        <f t="shared" si="180"/>
        <v>3</v>
      </c>
      <c r="C1199" s="72" t="s">
        <v>144</v>
      </c>
      <c r="D1199" s="44">
        <f t="shared" si="173"/>
        <v>44046</v>
      </c>
      <c r="E1199" s="38">
        <v>6.9497</v>
      </c>
      <c r="F1199" s="39">
        <f>302.5+40</f>
        <v>342.5</v>
      </c>
      <c r="G1199" s="33">
        <f t="shared" si="178"/>
        <v>2380.27225</v>
      </c>
      <c r="H1199" s="33">
        <f t="shared" si="177"/>
        <v>2444.3855699999995</v>
      </c>
      <c r="I1199" s="33">
        <f t="shared" si="182"/>
        <v>2369.7438000000002</v>
      </c>
      <c r="J1199" s="33">
        <f t="shared" si="174"/>
        <v>2440.558</v>
      </c>
      <c r="K1199" s="33">
        <f t="shared" si="181"/>
        <v>2440.558</v>
      </c>
      <c r="L1199" s="59">
        <f t="shared" si="175"/>
        <v>1.5683175732760575E-3</v>
      </c>
      <c r="M1199" s="60" t="str">
        <f t="shared" si="176"/>
        <v/>
      </c>
      <c r="N1199" s="76">
        <f t="shared" si="179"/>
        <v>351.17458307552846</v>
      </c>
    </row>
    <row r="1200" spans="2:14" x14ac:dyDescent="0.55000000000000004">
      <c r="B1200" s="35">
        <f t="shared" si="180"/>
        <v>4</v>
      </c>
      <c r="C1200" s="72" t="s">
        <v>144</v>
      </c>
      <c r="D1200" s="44">
        <f t="shared" si="173"/>
        <v>44047</v>
      </c>
      <c r="E1200" s="38">
        <v>6.9459</v>
      </c>
      <c r="F1200" s="39">
        <f t="shared" si="183"/>
        <v>342.5</v>
      </c>
      <c r="G1200" s="33">
        <f t="shared" si="178"/>
        <v>2380.27225</v>
      </c>
      <c r="H1200" s="33">
        <f t="shared" si="177"/>
        <v>2432.8125799999998</v>
      </c>
      <c r="I1200" s="33">
        <f t="shared" si="182"/>
        <v>2376.6623</v>
      </c>
      <c r="J1200" s="33">
        <f t="shared" si="174"/>
        <v>2440.558</v>
      </c>
      <c r="K1200" s="33">
        <f t="shared" si="181"/>
        <v>2440.558</v>
      </c>
      <c r="L1200" s="59">
        <f t="shared" si="175"/>
        <v>-3.1736266870118204E-3</v>
      </c>
      <c r="M1200" s="60" t="str">
        <f t="shared" si="176"/>
        <v/>
      </c>
      <c r="N1200" s="76">
        <f t="shared" si="179"/>
        <v>351.17458307552846</v>
      </c>
    </row>
    <row r="1201" spans="2:14" x14ac:dyDescent="0.55000000000000004">
      <c r="B1201" s="35">
        <f t="shared" si="180"/>
        <v>5</v>
      </c>
      <c r="C1201" s="72" t="s">
        <v>144</v>
      </c>
      <c r="D1201" s="44">
        <f t="shared" si="173"/>
        <v>44048</v>
      </c>
      <c r="E1201" s="38">
        <v>6.9997999999999996</v>
      </c>
      <c r="F1201" s="39">
        <f t="shared" si="183"/>
        <v>342.5</v>
      </c>
      <c r="G1201" s="33">
        <f t="shared" si="178"/>
        <v>2378.97075</v>
      </c>
      <c r="H1201" s="33">
        <f t="shared" si="177"/>
        <v>2417.5403299999998</v>
      </c>
      <c r="I1201" s="33">
        <f t="shared" si="182"/>
        <v>2380.0119500000001</v>
      </c>
      <c r="J1201" s="33">
        <f t="shared" si="174"/>
        <v>2440.558</v>
      </c>
      <c r="K1201" s="33">
        <f t="shared" si="181"/>
        <v>2440.558</v>
      </c>
      <c r="L1201" s="59">
        <f t="shared" si="175"/>
        <v>-9.4313144780825454E-3</v>
      </c>
      <c r="M1201" s="60" t="str">
        <f t="shared" si="176"/>
        <v/>
      </c>
      <c r="N1201" s="76">
        <f t="shared" si="179"/>
        <v>351.36670553851911</v>
      </c>
    </row>
    <row r="1202" spans="2:14" x14ac:dyDescent="0.55000000000000004">
      <c r="B1202" s="35">
        <f t="shared" si="180"/>
        <v>6</v>
      </c>
      <c r="C1202" s="72" t="s">
        <v>144</v>
      </c>
      <c r="D1202" s="44">
        <f t="shared" si="173"/>
        <v>44049</v>
      </c>
      <c r="E1202" s="38">
        <v>7.1722000000000001</v>
      </c>
      <c r="F1202" s="39">
        <f t="shared" si="183"/>
        <v>342.5</v>
      </c>
      <c r="G1202" s="33">
        <f t="shared" si="178"/>
        <v>2397.4314999999997</v>
      </c>
      <c r="H1202" s="33">
        <f t="shared" si="177"/>
        <v>2402.2079899999999</v>
      </c>
      <c r="I1202" s="33">
        <f t="shared" si="182"/>
        <v>2383.4438</v>
      </c>
      <c r="J1202" s="33">
        <f t="shared" si="174"/>
        <v>2440.558</v>
      </c>
      <c r="K1202" s="33">
        <f t="shared" si="181"/>
        <v>2440.558</v>
      </c>
      <c r="L1202" s="59">
        <f t="shared" si="175"/>
        <v>-1.5713623687697693E-2</v>
      </c>
      <c r="M1202" s="60" t="str">
        <f t="shared" si="176"/>
        <v/>
      </c>
      <c r="N1202" s="76">
        <f t="shared" si="179"/>
        <v>348.6611046029887</v>
      </c>
    </row>
    <row r="1203" spans="2:14" x14ac:dyDescent="0.55000000000000004">
      <c r="B1203" s="35">
        <f t="shared" si="180"/>
        <v>7</v>
      </c>
      <c r="C1203" s="72" t="s">
        <v>144</v>
      </c>
      <c r="D1203" s="44">
        <f t="shared" si="173"/>
        <v>44050</v>
      </c>
      <c r="E1203" s="38">
        <v>7.2792000000000003</v>
      </c>
      <c r="F1203" s="39">
        <f t="shared" si="183"/>
        <v>342.5</v>
      </c>
      <c r="G1203" s="33">
        <f t="shared" si="178"/>
        <v>2456.4785000000002</v>
      </c>
      <c r="H1203" s="33">
        <f t="shared" si="177"/>
        <v>2398.68505</v>
      </c>
      <c r="I1203" s="33">
        <f t="shared" si="182"/>
        <v>2398.6850500000005</v>
      </c>
      <c r="J1203" s="33">
        <f t="shared" si="174"/>
        <v>2440.558</v>
      </c>
      <c r="K1203" s="33">
        <f t="shared" si="181"/>
        <v>2440.558</v>
      </c>
      <c r="L1203" s="59">
        <f t="shared" si="175"/>
        <v>-1.715712144517768E-2</v>
      </c>
      <c r="M1203" s="60" t="str">
        <f t="shared" si="176"/>
        <v/>
      </c>
      <c r="N1203" s="76">
        <f t="shared" si="179"/>
        <v>340.28024873818356</v>
      </c>
    </row>
    <row r="1204" spans="2:14" x14ac:dyDescent="0.55000000000000004">
      <c r="B1204" s="35">
        <f t="shared" si="180"/>
        <v>10</v>
      </c>
      <c r="C1204" s="72" t="s">
        <v>144</v>
      </c>
      <c r="D1204" s="44">
        <f t="shared" si="173"/>
        <v>44053</v>
      </c>
      <c r="E1204" s="38">
        <v>7.3128000000000002</v>
      </c>
      <c r="F1204" s="39">
        <f t="shared" si="183"/>
        <v>342.5</v>
      </c>
      <c r="G1204" s="33">
        <f t="shared" si="178"/>
        <v>2493.1260000000002</v>
      </c>
      <c r="H1204" s="33">
        <f t="shared" si="177"/>
        <v>2421.2557999999999</v>
      </c>
      <c r="I1204" s="33">
        <f t="shared" si="182"/>
        <v>2421.2558000000004</v>
      </c>
      <c r="J1204" s="33">
        <f t="shared" si="174"/>
        <v>2440.558</v>
      </c>
      <c r="K1204" s="33">
        <f t="shared" si="181"/>
        <v>2440.558</v>
      </c>
      <c r="L1204" s="59">
        <f t="shared" si="175"/>
        <v>-7.9089290236085703E-3</v>
      </c>
      <c r="M1204" s="60" t="str">
        <f t="shared" si="176"/>
        <v/>
      </c>
      <c r="N1204" s="76">
        <f t="shared" si="179"/>
        <v>335.278327288713</v>
      </c>
    </row>
    <row r="1205" spans="2:14" x14ac:dyDescent="0.55000000000000004">
      <c r="B1205" s="35">
        <f t="shared" si="180"/>
        <v>11</v>
      </c>
      <c r="C1205" s="72" t="s">
        <v>144</v>
      </c>
      <c r="D1205" s="44">
        <f t="shared" si="173"/>
        <v>44054</v>
      </c>
      <c r="E1205" s="38">
        <v>7.2613000000000003</v>
      </c>
      <c r="F1205" s="39">
        <f t="shared" si="183"/>
        <v>342.5</v>
      </c>
      <c r="G1205" s="33">
        <f t="shared" si="178"/>
        <v>2504.634</v>
      </c>
      <c r="H1205" s="33">
        <f t="shared" si="177"/>
        <v>2446.12815</v>
      </c>
      <c r="I1205" s="33">
        <f t="shared" si="182"/>
        <v>2446.1281499999996</v>
      </c>
      <c r="J1205" s="33">
        <f t="shared" si="174"/>
        <v>2440.558</v>
      </c>
      <c r="K1205" s="33">
        <f t="shared" si="181"/>
        <v>2440.558</v>
      </c>
      <c r="L1205" s="59">
        <f t="shared" si="175"/>
        <v>2.2823264187943957E-3</v>
      </c>
      <c r="M1205" s="60" t="str">
        <f t="shared" si="176"/>
        <v/>
      </c>
      <c r="N1205" s="76">
        <f t="shared" si="179"/>
        <v>333.73782955912918</v>
      </c>
    </row>
    <row r="1206" spans="2:14" x14ac:dyDescent="0.55000000000000004">
      <c r="B1206" s="35">
        <f t="shared" si="180"/>
        <v>12</v>
      </c>
      <c r="C1206" s="72" t="s">
        <v>144</v>
      </c>
      <c r="D1206" s="44">
        <f t="shared" si="173"/>
        <v>44055</v>
      </c>
      <c r="E1206" s="38">
        <v>7.2995999999999999</v>
      </c>
      <c r="F1206" s="39">
        <f t="shared" si="183"/>
        <v>342.5</v>
      </c>
      <c r="G1206" s="33">
        <f t="shared" si="178"/>
        <v>2486.9952499999999</v>
      </c>
      <c r="H1206" s="33">
        <f t="shared" si="177"/>
        <v>2467.7330499999998</v>
      </c>
      <c r="I1206" s="33">
        <f t="shared" si="182"/>
        <v>2467.7330500000003</v>
      </c>
      <c r="J1206" s="33">
        <f t="shared" si="174"/>
        <v>2440.558</v>
      </c>
      <c r="K1206" s="33">
        <f t="shared" si="181"/>
        <v>2440.558</v>
      </c>
      <c r="L1206" s="59">
        <f t="shared" si="175"/>
        <v>1.1134769179835033E-2</v>
      </c>
      <c r="M1206" s="60" t="str">
        <f t="shared" si="176"/>
        <v/>
      </c>
      <c r="N1206" s="76">
        <f t="shared" si="179"/>
        <v>336.10482971368759</v>
      </c>
    </row>
    <row r="1207" spans="2:14" x14ac:dyDescent="0.55000000000000004">
      <c r="B1207" s="35">
        <f t="shared" si="180"/>
        <v>13</v>
      </c>
      <c r="C1207" s="72" t="s">
        <v>144</v>
      </c>
      <c r="D1207" s="44">
        <f t="shared" si="173"/>
        <v>44056</v>
      </c>
      <c r="E1207" s="38">
        <v>7.3277999999999999</v>
      </c>
      <c r="F1207" s="39">
        <f t="shared" si="183"/>
        <v>342.5</v>
      </c>
      <c r="G1207" s="33">
        <f t="shared" si="178"/>
        <v>2500.1129999999998</v>
      </c>
      <c r="H1207" s="33">
        <f t="shared" si="177"/>
        <v>2488.2693499999996</v>
      </c>
      <c r="I1207" s="33">
        <f t="shared" si="182"/>
        <v>2488.26935</v>
      </c>
      <c r="J1207" s="33">
        <f t="shared" si="174"/>
        <v>2440.558</v>
      </c>
      <c r="K1207" s="33">
        <f t="shared" si="181"/>
        <v>2440.558</v>
      </c>
      <c r="L1207" s="59">
        <f t="shared" si="175"/>
        <v>1.95493612526314E-2</v>
      </c>
      <c r="M1207" s="60" t="str">
        <f t="shared" si="176"/>
        <v/>
      </c>
      <c r="N1207" s="76">
        <f t="shared" si="179"/>
        <v>334.34133377171355</v>
      </c>
    </row>
    <row r="1208" spans="2:14" x14ac:dyDescent="0.55000000000000004">
      <c r="B1208" s="35">
        <f t="shared" si="180"/>
        <v>14</v>
      </c>
      <c r="C1208" s="72" t="s">
        <v>144</v>
      </c>
      <c r="D1208" s="44">
        <f t="shared" si="173"/>
        <v>44057</v>
      </c>
      <c r="E1208" s="38">
        <v>7.3577000000000004</v>
      </c>
      <c r="F1208" s="39">
        <f t="shared" si="183"/>
        <v>342.5</v>
      </c>
      <c r="G1208" s="33">
        <f t="shared" si="178"/>
        <v>2509.7714999999998</v>
      </c>
      <c r="H1208" s="33">
        <f t="shared" si="177"/>
        <v>2498.9279499999998</v>
      </c>
      <c r="I1208" s="33">
        <f t="shared" si="182"/>
        <v>2498.9279499999998</v>
      </c>
      <c r="J1208" s="33">
        <f t="shared" si="174"/>
        <v>2440.558</v>
      </c>
      <c r="K1208" s="33">
        <f t="shared" si="181"/>
        <v>2440.558</v>
      </c>
      <c r="L1208" s="59">
        <f t="shared" si="175"/>
        <v>2.391664119434973E-2</v>
      </c>
      <c r="M1208" s="60" t="str">
        <f t="shared" si="176"/>
        <v/>
      </c>
      <c r="N1208" s="76">
        <f t="shared" si="179"/>
        <v>333.05466852261253</v>
      </c>
    </row>
    <row r="1209" spans="2:14" x14ac:dyDescent="0.55000000000000004">
      <c r="B1209" s="35">
        <f t="shared" si="180"/>
        <v>17</v>
      </c>
      <c r="C1209" s="72" t="s">
        <v>144</v>
      </c>
      <c r="D1209" s="44">
        <f t="shared" si="173"/>
        <v>44060</v>
      </c>
      <c r="E1209" s="38">
        <v>7.3810000000000002</v>
      </c>
      <c r="F1209" s="39">
        <f t="shared" si="183"/>
        <v>342.5</v>
      </c>
      <c r="G1209" s="33">
        <f t="shared" si="178"/>
        <v>2520.0122500000002</v>
      </c>
      <c r="H1209" s="33">
        <f t="shared" si="177"/>
        <v>2504.3051999999998</v>
      </c>
      <c r="I1209" s="33">
        <f t="shared" si="182"/>
        <v>2504.3051999999998</v>
      </c>
      <c r="J1209" s="33">
        <f t="shared" si="174"/>
        <v>2440.558</v>
      </c>
      <c r="K1209" s="33">
        <f t="shared" si="181"/>
        <v>2440.558</v>
      </c>
      <c r="L1209" s="59">
        <f t="shared" si="175"/>
        <v>2.6119928311476224E-2</v>
      </c>
      <c r="M1209" s="60" t="str">
        <f t="shared" si="176"/>
        <v/>
      </c>
      <c r="N1209" s="76">
        <f t="shared" si="179"/>
        <v>331.70121097625616</v>
      </c>
    </row>
    <row r="1210" spans="2:14" x14ac:dyDescent="0.55000000000000004">
      <c r="B1210" s="35">
        <f t="shared" si="180"/>
        <v>18</v>
      </c>
      <c r="C1210" s="72" t="s">
        <v>144</v>
      </c>
      <c r="D1210" s="44">
        <f t="shared" ref="D1210:D1273" si="184">WORKDAY(D1209,1)</f>
        <v>44061</v>
      </c>
      <c r="E1210" s="38">
        <v>7.3811999999999998</v>
      </c>
      <c r="F1210" s="39">
        <f t="shared" si="183"/>
        <v>342.5</v>
      </c>
      <c r="G1210" s="33">
        <f t="shared" si="178"/>
        <v>2527.9925000000003</v>
      </c>
      <c r="H1210" s="33">
        <f t="shared" si="177"/>
        <v>2508.9769000000001</v>
      </c>
      <c r="I1210" s="33">
        <f t="shared" si="182"/>
        <v>2508.9769000000001</v>
      </c>
      <c r="J1210" s="33">
        <f t="shared" si="174"/>
        <v>2440.558</v>
      </c>
      <c r="K1210" s="33">
        <f t="shared" si="181"/>
        <v>2440.558</v>
      </c>
      <c r="L1210" s="59">
        <f t="shared" si="175"/>
        <v>2.8034121704954409E-2</v>
      </c>
      <c r="M1210" s="60" t="str">
        <f t="shared" si="176"/>
        <v/>
      </c>
      <c r="N1210" s="76">
        <f t="shared" si="179"/>
        <v>330.65411190895543</v>
      </c>
    </row>
    <row r="1211" spans="2:14" x14ac:dyDescent="0.55000000000000004">
      <c r="B1211" s="35">
        <f t="shared" si="180"/>
        <v>19</v>
      </c>
      <c r="C1211" s="72" t="s">
        <v>144</v>
      </c>
      <c r="D1211" s="44">
        <f t="shared" si="184"/>
        <v>44062</v>
      </c>
      <c r="E1211" s="38">
        <v>7.3609</v>
      </c>
      <c r="F1211" s="39">
        <f t="shared" si="183"/>
        <v>342.5</v>
      </c>
      <c r="G1211" s="33">
        <f t="shared" si="178"/>
        <v>2528.0609999999997</v>
      </c>
      <c r="H1211" s="33">
        <f t="shared" si="177"/>
        <v>2517.1900500000002</v>
      </c>
      <c r="I1211" s="33">
        <f t="shared" si="182"/>
        <v>2517.1900499999997</v>
      </c>
      <c r="J1211" s="33">
        <f t="shared" si="174"/>
        <v>2528.0609999999997</v>
      </c>
      <c r="K1211" s="33">
        <f t="shared" si="181"/>
        <v>2440.558</v>
      </c>
      <c r="L1211" s="59">
        <f t="shared" si="175"/>
        <v>3.1399397187036805E-2</v>
      </c>
      <c r="M1211" s="60">
        <f t="shared" si="176"/>
        <v>87.502999999999702</v>
      </c>
      <c r="N1211" s="76">
        <f t="shared" si="179"/>
        <v>330.64515254972093</v>
      </c>
    </row>
    <row r="1212" spans="2:14" x14ac:dyDescent="0.55000000000000004">
      <c r="B1212" s="35">
        <f t="shared" si="180"/>
        <v>20</v>
      </c>
      <c r="C1212" s="72" t="s">
        <v>144</v>
      </c>
      <c r="D1212" s="44">
        <f t="shared" si="184"/>
        <v>44063</v>
      </c>
      <c r="E1212" s="38">
        <v>7.3083</v>
      </c>
      <c r="F1212" s="39">
        <f t="shared" si="183"/>
        <v>342.5</v>
      </c>
      <c r="G1212" s="33">
        <f t="shared" si="178"/>
        <v>2521.1082500000002</v>
      </c>
      <c r="H1212" s="33">
        <f t="shared" si="177"/>
        <v>2521.1082500000002</v>
      </c>
      <c r="I1212" s="33">
        <f t="shared" si="182"/>
        <v>2521.3890999999999</v>
      </c>
      <c r="J1212" s="33">
        <f t="shared" si="174"/>
        <v>2528.0609999999997</v>
      </c>
      <c r="K1212" s="33">
        <f t="shared" si="181"/>
        <v>2528.0609999999997</v>
      </c>
      <c r="L1212" s="59">
        <f t="shared" si="175"/>
        <v>-2.7502303148537435E-3</v>
      </c>
      <c r="M1212" s="60" t="str">
        <f t="shared" si="176"/>
        <v/>
      </c>
      <c r="N1212" s="76">
        <f t="shared" si="179"/>
        <v>343.44455161732935</v>
      </c>
    </row>
    <row r="1213" spans="2:14" x14ac:dyDescent="0.55000000000000004">
      <c r="B1213" s="35">
        <f t="shared" si="180"/>
        <v>21</v>
      </c>
      <c r="C1213" s="72" t="s">
        <v>144</v>
      </c>
      <c r="D1213" s="44">
        <f t="shared" si="184"/>
        <v>44064</v>
      </c>
      <c r="E1213" s="38">
        <v>7.2286000000000001</v>
      </c>
      <c r="F1213" s="39">
        <f t="shared" si="183"/>
        <v>342.5</v>
      </c>
      <c r="G1213" s="33">
        <f t="shared" si="178"/>
        <v>2503.0927499999998</v>
      </c>
      <c r="H1213" s="33">
        <f t="shared" si="177"/>
        <v>2512.1005</v>
      </c>
      <c r="I1213" s="33">
        <f t="shared" si="182"/>
        <v>2520.0533500000006</v>
      </c>
      <c r="J1213" s="33">
        <f t="shared" ref="J1213:J1276" si="185">IF(L1213&gt;3%,G1213,IF(L1213&lt;-3%,G1213,J1212))</f>
        <v>2528.0609999999997</v>
      </c>
      <c r="K1213" s="33">
        <f t="shared" si="181"/>
        <v>2528.0609999999997</v>
      </c>
      <c r="L1213" s="59">
        <f t="shared" si="175"/>
        <v>-6.3133365848370296E-3</v>
      </c>
      <c r="M1213" s="60" t="str">
        <f t="shared" si="176"/>
        <v/>
      </c>
      <c r="N1213" s="76">
        <f t="shared" si="179"/>
        <v>345.91642379212669</v>
      </c>
    </row>
    <row r="1214" spans="2:14" x14ac:dyDescent="0.55000000000000004">
      <c r="B1214" s="35">
        <f t="shared" si="180"/>
        <v>24</v>
      </c>
      <c r="C1214" s="72" t="s">
        <v>144</v>
      </c>
      <c r="D1214" s="44">
        <f t="shared" si="184"/>
        <v>44067</v>
      </c>
      <c r="E1214" s="38">
        <v>7.3503999999999996</v>
      </c>
      <c r="F1214" s="39">
        <f t="shared" si="183"/>
        <v>342.5</v>
      </c>
      <c r="G1214" s="33">
        <f t="shared" si="178"/>
        <v>2475.7955000000002</v>
      </c>
      <c r="H1214" s="33">
        <f t="shared" si="177"/>
        <v>2499.9988333333336</v>
      </c>
      <c r="I1214" s="33">
        <f t="shared" si="182"/>
        <v>2511.2099999999996</v>
      </c>
      <c r="J1214" s="33">
        <f t="shared" si="185"/>
        <v>2528.0609999999997</v>
      </c>
      <c r="K1214" s="33">
        <f t="shared" si="181"/>
        <v>2528.0609999999997</v>
      </c>
      <c r="L1214" s="59">
        <f t="shared" ref="L1214:L1277" si="186">(H1214-K1214)/K1214</f>
        <v>-1.1100272765042515E-2</v>
      </c>
      <c r="M1214" s="60" t="str">
        <f t="shared" ref="M1214:M1277" si="187">IF(OR(L1214&lt;-3%,L1214&gt;3%),K1215-K1214,"")</f>
        <v/>
      </c>
      <c r="N1214" s="76">
        <f t="shared" si="179"/>
        <v>349.7303765597764</v>
      </c>
    </row>
    <row r="1215" spans="2:14" x14ac:dyDescent="0.55000000000000004">
      <c r="B1215" s="35">
        <f t="shared" si="180"/>
        <v>25</v>
      </c>
      <c r="C1215" s="72" t="s">
        <v>144</v>
      </c>
      <c r="D1215" s="44">
        <f t="shared" si="184"/>
        <v>44068</v>
      </c>
      <c r="E1215" s="38">
        <v>7.3807</v>
      </c>
      <c r="F1215" s="39">
        <f t="shared" si="183"/>
        <v>342.5</v>
      </c>
      <c r="G1215" s="33">
        <f t="shared" si="178"/>
        <v>2517.5119999999997</v>
      </c>
      <c r="H1215" s="33">
        <f t="shared" si="177"/>
        <v>2504.377125</v>
      </c>
      <c r="I1215" s="33">
        <f t="shared" si="182"/>
        <v>2509.1138999999998</v>
      </c>
      <c r="J1215" s="33">
        <f t="shared" si="185"/>
        <v>2528.0609999999997</v>
      </c>
      <c r="K1215" s="33">
        <f t="shared" si="181"/>
        <v>2528.0609999999997</v>
      </c>
      <c r="L1215" s="59">
        <f t="shared" si="186"/>
        <v>-9.3683953828644639E-3</v>
      </c>
      <c r="M1215" s="60" t="str">
        <f t="shared" si="187"/>
        <v/>
      </c>
      <c r="N1215" s="76">
        <f t="shared" si="179"/>
        <v>343.93515999129295</v>
      </c>
    </row>
    <row r="1216" spans="2:14" x14ac:dyDescent="0.55000000000000004">
      <c r="B1216" s="35">
        <f t="shared" si="180"/>
        <v>26</v>
      </c>
      <c r="C1216" s="72" t="s">
        <v>144</v>
      </c>
      <c r="D1216" s="44">
        <f t="shared" si="184"/>
        <v>44069</v>
      </c>
      <c r="E1216" s="38">
        <v>7.3590999999999998</v>
      </c>
      <c r="F1216" s="39">
        <f t="shared" si="183"/>
        <v>342.5</v>
      </c>
      <c r="G1216" s="33">
        <f t="shared" si="178"/>
        <v>2527.8897499999998</v>
      </c>
      <c r="H1216" s="33">
        <f t="shared" si="177"/>
        <v>2509.0796500000001</v>
      </c>
      <c r="I1216" s="33">
        <f t="shared" si="182"/>
        <v>2509.0796500000001</v>
      </c>
      <c r="J1216" s="33">
        <f t="shared" si="185"/>
        <v>2528.0609999999997</v>
      </c>
      <c r="K1216" s="33">
        <f t="shared" si="181"/>
        <v>2528.0609999999997</v>
      </c>
      <c r="L1216" s="59">
        <f t="shared" si="186"/>
        <v>-7.5082642388769761E-3</v>
      </c>
      <c r="M1216" s="60" t="str">
        <f t="shared" si="187"/>
        <v/>
      </c>
      <c r="N1216" s="76">
        <f t="shared" si="179"/>
        <v>342.5232024062758</v>
      </c>
    </row>
    <row r="1217" spans="2:14" x14ac:dyDescent="0.55000000000000004">
      <c r="B1217" s="35">
        <f t="shared" si="180"/>
        <v>27</v>
      </c>
      <c r="C1217" s="72" t="s">
        <v>144</v>
      </c>
      <c r="D1217" s="44">
        <f t="shared" si="184"/>
        <v>44070</v>
      </c>
      <c r="E1217" s="38">
        <v>7.3305999999999996</v>
      </c>
      <c r="F1217" s="39">
        <f t="shared" si="183"/>
        <v>342.5</v>
      </c>
      <c r="G1217" s="33">
        <f t="shared" si="178"/>
        <v>2520.4917500000001</v>
      </c>
      <c r="H1217" s="33">
        <f t="shared" si="177"/>
        <v>2508.9563499999995</v>
      </c>
      <c r="I1217" s="33">
        <f t="shared" si="182"/>
        <v>2508.9563499999999</v>
      </c>
      <c r="J1217" s="33">
        <f t="shared" si="185"/>
        <v>2528.0609999999997</v>
      </c>
      <c r="K1217" s="33">
        <f t="shared" si="181"/>
        <v>2528.0609999999997</v>
      </c>
      <c r="L1217" s="59">
        <f t="shared" si="186"/>
        <v>-7.5570367961849899E-3</v>
      </c>
      <c r="M1217" s="60" t="str">
        <f t="shared" si="187"/>
        <v/>
      </c>
      <c r="N1217" s="76">
        <f t="shared" si="179"/>
        <v>343.52855648109141</v>
      </c>
    </row>
    <row r="1218" spans="2:14" x14ac:dyDescent="0.55000000000000004">
      <c r="B1218" s="35">
        <f t="shared" si="180"/>
        <v>28</v>
      </c>
      <c r="C1218" s="72"/>
      <c r="D1218" s="44">
        <f t="shared" si="184"/>
        <v>44071</v>
      </c>
      <c r="E1218" s="38">
        <v>7.3182</v>
      </c>
      <c r="F1218" s="39">
        <f t="shared" si="183"/>
        <v>342.5</v>
      </c>
      <c r="G1218" s="33">
        <f t="shared" si="178"/>
        <v>2510.7304999999997</v>
      </c>
      <c r="H1218" s="33">
        <f t="shared" si="177"/>
        <v>2510.4838999999997</v>
      </c>
      <c r="I1218" s="33">
        <f t="shared" si="182"/>
        <v>2510.4839000000002</v>
      </c>
      <c r="J1218" s="33">
        <f t="shared" si="185"/>
        <v>2528.0609999999997</v>
      </c>
      <c r="K1218" s="33">
        <f t="shared" si="181"/>
        <v>2528.0609999999997</v>
      </c>
      <c r="L1218" s="59">
        <f t="shared" si="186"/>
        <v>-6.9527990028721521E-3</v>
      </c>
      <c r="M1218" s="60" t="str">
        <f t="shared" si="187"/>
        <v/>
      </c>
      <c r="N1218" s="76">
        <f t="shared" si="179"/>
        <v>344.86413117616564</v>
      </c>
    </row>
    <row r="1219" spans="2:14" x14ac:dyDescent="0.55000000000000004">
      <c r="B1219" s="35">
        <f t="shared" si="180"/>
        <v>31</v>
      </c>
      <c r="C1219" s="72" t="s">
        <v>120</v>
      </c>
      <c r="D1219" s="44">
        <f t="shared" si="184"/>
        <v>44074</v>
      </c>
      <c r="E1219" s="38">
        <v>7.3392999999999997</v>
      </c>
      <c r="F1219" s="39">
        <f t="shared" si="183"/>
        <v>342.5</v>
      </c>
      <c r="G1219" s="33">
        <f t="shared" si="178"/>
        <v>2506.4834999999998</v>
      </c>
      <c r="H1219" s="33">
        <f t="shared" si="177"/>
        <v>2516.6215000000002</v>
      </c>
      <c r="I1219" s="33">
        <f t="shared" si="182"/>
        <v>2516.6214999999997</v>
      </c>
      <c r="J1219" s="33">
        <f t="shared" si="185"/>
        <v>2528.0609999999997</v>
      </c>
      <c r="K1219" s="33">
        <f t="shared" si="181"/>
        <v>2528.0609999999997</v>
      </c>
      <c r="L1219" s="59">
        <f t="shared" si="186"/>
        <v>-4.525009483552612E-3</v>
      </c>
      <c r="M1219" s="60" t="str">
        <f t="shared" si="187"/>
        <v/>
      </c>
      <c r="N1219" s="76">
        <f t="shared" si="179"/>
        <v>345.44847093547588</v>
      </c>
    </row>
    <row r="1220" spans="2:14" x14ac:dyDescent="0.55000000000000004">
      <c r="B1220" s="35">
        <f t="shared" si="180"/>
        <v>1</v>
      </c>
      <c r="C1220" s="72" t="s">
        <v>145</v>
      </c>
      <c r="D1220" s="44">
        <f t="shared" si="184"/>
        <v>44075</v>
      </c>
      <c r="E1220" s="38">
        <v>7.3552999999999997</v>
      </c>
      <c r="F1220" s="39">
        <f>330.4+40</f>
        <v>370.4</v>
      </c>
      <c r="G1220" s="33">
        <f t="shared" si="178"/>
        <v>2718.4767199999997</v>
      </c>
      <c r="H1220" s="33">
        <f t="shared" si="177"/>
        <v>2556.8144439999996</v>
      </c>
      <c r="I1220" s="33">
        <f t="shared" si="182"/>
        <v>2720.8028319999999</v>
      </c>
      <c r="J1220" s="33">
        <f t="shared" si="185"/>
        <v>2528.0609999999997</v>
      </c>
      <c r="K1220" s="33">
        <f t="shared" si="181"/>
        <v>2528.0609999999997</v>
      </c>
      <c r="L1220" s="59">
        <f t="shared" si="186"/>
        <v>1.137371447919965E-2</v>
      </c>
      <c r="M1220" s="60" t="str">
        <f t="shared" si="187"/>
        <v/>
      </c>
      <c r="N1220" s="76">
        <f t="shared" si="179"/>
        <v>344.45532952733907</v>
      </c>
    </row>
    <row r="1221" spans="2:14" x14ac:dyDescent="0.55000000000000004">
      <c r="B1221" s="35">
        <f t="shared" si="180"/>
        <v>2</v>
      </c>
      <c r="C1221" s="72" t="s">
        <v>145</v>
      </c>
      <c r="D1221" s="44">
        <f t="shared" si="184"/>
        <v>44076</v>
      </c>
      <c r="E1221" s="38">
        <v>7.3696000000000002</v>
      </c>
      <c r="F1221" s="39">
        <f t="shared" si="183"/>
        <v>370.4</v>
      </c>
      <c r="G1221" s="33">
        <f t="shared" si="178"/>
        <v>2724.4031199999999</v>
      </c>
      <c r="H1221" s="33">
        <f t="shared" si="177"/>
        <v>2596.1171179999997</v>
      </c>
      <c r="I1221" s="33">
        <f t="shared" si="182"/>
        <v>2718.9212000000002</v>
      </c>
      <c r="J1221" s="33">
        <f t="shared" si="185"/>
        <v>2528.0609999999997</v>
      </c>
      <c r="K1221" s="33">
        <f t="shared" si="181"/>
        <v>2528.0609999999997</v>
      </c>
      <c r="L1221" s="59">
        <f t="shared" si="186"/>
        <v>2.6920283173546833E-2</v>
      </c>
      <c r="M1221" s="60" t="str">
        <f t="shared" si="187"/>
        <v/>
      </c>
      <c r="N1221" s="76">
        <f t="shared" si="179"/>
        <v>343.70603510393863</v>
      </c>
    </row>
    <row r="1222" spans="2:14" x14ac:dyDescent="0.55000000000000004">
      <c r="B1222" s="35">
        <f t="shared" si="180"/>
        <v>3</v>
      </c>
      <c r="C1222" s="72" t="s">
        <v>145</v>
      </c>
      <c r="D1222" s="44">
        <f t="shared" si="184"/>
        <v>44077</v>
      </c>
      <c r="E1222" s="38">
        <v>7.4127000000000001</v>
      </c>
      <c r="F1222" s="39">
        <f t="shared" si="183"/>
        <v>370.4</v>
      </c>
      <c r="G1222" s="33">
        <f t="shared" si="178"/>
        <v>2729.6998399999998</v>
      </c>
      <c r="H1222" s="33">
        <f t="shared" si="177"/>
        <v>2637.9587359999996</v>
      </c>
      <c r="I1222" s="33">
        <f t="shared" si="182"/>
        <v>2719.69904</v>
      </c>
      <c r="J1222" s="33">
        <f t="shared" si="185"/>
        <v>2729.6998399999998</v>
      </c>
      <c r="K1222" s="33">
        <f t="shared" si="181"/>
        <v>2528.0609999999997</v>
      </c>
      <c r="L1222" s="59">
        <f t="shared" si="186"/>
        <v>4.3471156748195516E-2</v>
      </c>
      <c r="M1222" s="60">
        <f t="shared" si="187"/>
        <v>201.59900000000016</v>
      </c>
      <c r="N1222" s="76">
        <f t="shared" si="179"/>
        <v>343.03910660008677</v>
      </c>
    </row>
    <row r="1223" spans="2:14" x14ac:dyDescent="0.55000000000000004">
      <c r="B1223" s="35">
        <f t="shared" si="180"/>
        <v>4</v>
      </c>
      <c r="C1223" s="72" t="s">
        <v>145</v>
      </c>
      <c r="D1223" s="44">
        <f t="shared" si="184"/>
        <v>44078</v>
      </c>
      <c r="E1223" s="38">
        <v>7.4267000000000003</v>
      </c>
      <c r="F1223" s="39">
        <f t="shared" si="183"/>
        <v>370.4</v>
      </c>
      <c r="G1223" s="33">
        <f t="shared" si="178"/>
        <v>2745.66408</v>
      </c>
      <c r="H1223" s="33">
        <f t="shared" si="177"/>
        <v>2745.66408</v>
      </c>
      <c r="I1223" s="33">
        <f t="shared" si="182"/>
        <v>2725.7810079999995</v>
      </c>
      <c r="J1223" s="33">
        <f t="shared" si="185"/>
        <v>2729.6998399999998</v>
      </c>
      <c r="K1223" s="33">
        <v>2729.66</v>
      </c>
      <c r="L1223" s="59">
        <f t="shared" si="186"/>
        <v>5.8630305605826948E-3</v>
      </c>
      <c r="M1223" s="60" t="str">
        <f t="shared" si="187"/>
        <v/>
      </c>
      <c r="N1223" s="76">
        <f t="shared" si="179"/>
        <v>368.24099181135074</v>
      </c>
    </row>
    <row r="1224" spans="2:14" x14ac:dyDescent="0.55000000000000004">
      <c r="B1224" s="35">
        <f t="shared" si="180"/>
        <v>7</v>
      </c>
      <c r="C1224" s="72" t="s">
        <v>145</v>
      </c>
      <c r="D1224" s="44">
        <f t="shared" si="184"/>
        <v>44081</v>
      </c>
      <c r="E1224" s="38">
        <v>7.4482999999999997</v>
      </c>
      <c r="F1224" s="39">
        <f t="shared" si="183"/>
        <v>370.4</v>
      </c>
      <c r="G1224" s="33">
        <f t="shared" si="178"/>
        <v>2750.8496799999998</v>
      </c>
      <c r="H1224" s="33">
        <f t="shared" si="177"/>
        <v>2748.2568799999999</v>
      </c>
      <c r="I1224" s="33">
        <f t="shared" si="182"/>
        <v>2733.8186879999994</v>
      </c>
      <c r="J1224" s="33">
        <f t="shared" si="185"/>
        <v>2729.6998399999998</v>
      </c>
      <c r="K1224" s="33">
        <f t="shared" si="181"/>
        <v>2729.66</v>
      </c>
      <c r="L1224" s="59">
        <f t="shared" si="186"/>
        <v>6.8128924481437453E-3</v>
      </c>
      <c r="M1224" s="60" t="str">
        <f t="shared" si="187"/>
        <v/>
      </c>
      <c r="N1224" s="76">
        <f t="shared" si="179"/>
        <v>367.54682429612075</v>
      </c>
    </row>
    <row r="1225" spans="2:14" x14ac:dyDescent="0.55000000000000004">
      <c r="B1225" s="35">
        <f t="shared" si="180"/>
        <v>8</v>
      </c>
      <c r="C1225" s="72" t="s">
        <v>145</v>
      </c>
      <c r="D1225" s="44">
        <f t="shared" si="184"/>
        <v>44082</v>
      </c>
      <c r="E1225" s="38">
        <v>7.4672000000000001</v>
      </c>
      <c r="F1225" s="39">
        <f t="shared" si="183"/>
        <v>370.4</v>
      </c>
      <c r="G1225" s="33">
        <f t="shared" si="178"/>
        <v>2758.8503199999996</v>
      </c>
      <c r="H1225" s="33">
        <f t="shared" si="177"/>
        <v>2751.7880266666666</v>
      </c>
      <c r="I1225" s="33">
        <f t="shared" si="182"/>
        <v>2741.8934079999999</v>
      </c>
      <c r="J1225" s="33">
        <f t="shared" si="185"/>
        <v>2729.6998399999998</v>
      </c>
      <c r="K1225" s="33">
        <f t="shared" si="181"/>
        <v>2729.66</v>
      </c>
      <c r="L1225" s="59">
        <f t="shared" si="186"/>
        <v>8.1065138759650497E-3</v>
      </c>
      <c r="M1225" s="60" t="str">
        <f t="shared" si="187"/>
        <v/>
      </c>
      <c r="N1225" s="76">
        <f t="shared" si="179"/>
        <v>366.4809419599103</v>
      </c>
    </row>
    <row r="1226" spans="2:14" x14ac:dyDescent="0.55000000000000004">
      <c r="B1226" s="35">
        <f t="shared" si="180"/>
        <v>9</v>
      </c>
      <c r="C1226" s="72" t="s">
        <v>145</v>
      </c>
      <c r="D1226" s="44">
        <f t="shared" si="184"/>
        <v>44083</v>
      </c>
      <c r="E1226" s="38">
        <v>7.4805000000000001</v>
      </c>
      <c r="F1226" s="39">
        <f t="shared" si="183"/>
        <v>370.4</v>
      </c>
      <c r="G1226" s="33">
        <f t="shared" si="178"/>
        <v>2765.85088</v>
      </c>
      <c r="H1226" s="33">
        <f t="shared" si="177"/>
        <v>2755.3037399999998</v>
      </c>
      <c r="I1226" s="33">
        <f t="shared" si="182"/>
        <v>2750.1829599999996</v>
      </c>
      <c r="J1226" s="33">
        <f t="shared" si="185"/>
        <v>2729.6998399999998</v>
      </c>
      <c r="K1226" s="33">
        <f t="shared" si="181"/>
        <v>2729.66</v>
      </c>
      <c r="L1226" s="59">
        <f t="shared" si="186"/>
        <v>9.3944813639793897E-3</v>
      </c>
      <c r="M1226" s="60" t="str">
        <f t="shared" si="187"/>
        <v/>
      </c>
      <c r="N1226" s="76">
        <f t="shared" si="179"/>
        <v>365.55335333190482</v>
      </c>
    </row>
    <row r="1227" spans="2:14" x14ac:dyDescent="0.55000000000000004">
      <c r="B1227" s="35">
        <f t="shared" si="180"/>
        <v>10</v>
      </c>
      <c r="C1227" s="72" t="s">
        <v>145</v>
      </c>
      <c r="D1227" s="44">
        <f t="shared" si="184"/>
        <v>44084</v>
      </c>
      <c r="E1227" s="38">
        <v>7.4687999999999999</v>
      </c>
      <c r="F1227" s="39">
        <f t="shared" si="183"/>
        <v>370.4</v>
      </c>
      <c r="G1227" s="33">
        <f t="shared" si="178"/>
        <v>2770.7772</v>
      </c>
      <c r="H1227" s="33">
        <f t="shared" si="177"/>
        <v>2758.398432</v>
      </c>
      <c r="I1227" s="33">
        <f t="shared" si="182"/>
        <v>2758.3984319999995</v>
      </c>
      <c r="J1227" s="33">
        <f t="shared" si="185"/>
        <v>2729.6998399999998</v>
      </c>
      <c r="K1227" s="33">
        <f t="shared" si="181"/>
        <v>2729.66</v>
      </c>
      <c r="L1227" s="59">
        <f t="shared" si="186"/>
        <v>1.0528209374061277E-2</v>
      </c>
      <c r="M1227" s="60" t="str">
        <f t="shared" si="187"/>
        <v/>
      </c>
      <c r="N1227" s="76">
        <f t="shared" si="179"/>
        <v>364.90341554708908</v>
      </c>
    </row>
    <row r="1228" spans="2:14" x14ac:dyDescent="0.55000000000000004">
      <c r="B1228" s="35">
        <f t="shared" si="180"/>
        <v>11</v>
      </c>
      <c r="C1228" s="72" t="s">
        <v>145</v>
      </c>
      <c r="D1228" s="44">
        <f t="shared" si="184"/>
        <v>44085</v>
      </c>
      <c r="E1228" s="38">
        <v>7.4530000000000003</v>
      </c>
      <c r="F1228" s="39">
        <f t="shared" si="183"/>
        <v>370.4</v>
      </c>
      <c r="G1228" s="33">
        <f t="shared" si="178"/>
        <v>2766.4435199999998</v>
      </c>
      <c r="H1228" s="33">
        <f t="shared" si="177"/>
        <v>2762.5543200000002</v>
      </c>
      <c r="I1228" s="33">
        <f t="shared" si="182"/>
        <v>2762.5543199999997</v>
      </c>
      <c r="J1228" s="33">
        <f t="shared" si="185"/>
        <v>2729.6998399999998</v>
      </c>
      <c r="K1228" s="33">
        <f t="shared" si="181"/>
        <v>2729.66</v>
      </c>
      <c r="L1228" s="59">
        <f t="shared" si="186"/>
        <v>1.205070228526642E-2</v>
      </c>
      <c r="M1228" s="60" t="str">
        <f t="shared" si="187"/>
        <v/>
      </c>
      <c r="N1228" s="76">
        <f t="shared" si="179"/>
        <v>365.47504284490145</v>
      </c>
    </row>
    <row r="1229" spans="2:14" x14ac:dyDescent="0.55000000000000004">
      <c r="B1229" s="35">
        <f t="shared" si="180"/>
        <v>14</v>
      </c>
      <c r="C1229" s="72" t="s">
        <v>145</v>
      </c>
      <c r="D1229" s="44">
        <f t="shared" si="184"/>
        <v>44088</v>
      </c>
      <c r="E1229" s="38">
        <v>7.4823000000000004</v>
      </c>
      <c r="F1229" s="39">
        <f t="shared" si="183"/>
        <v>370.4</v>
      </c>
      <c r="G1229" s="33">
        <f t="shared" si="178"/>
        <v>2760.5911999999998</v>
      </c>
      <c r="H1229" s="33">
        <f t="shared" si="177"/>
        <v>2764.5026239999997</v>
      </c>
      <c r="I1229" s="33">
        <f t="shared" si="182"/>
        <v>2764.5026240000002</v>
      </c>
      <c r="J1229" s="33">
        <f t="shared" si="185"/>
        <v>2729.6998399999998</v>
      </c>
      <c r="K1229" s="33">
        <f t="shared" si="181"/>
        <v>2729.66</v>
      </c>
      <c r="L1229" s="59">
        <f t="shared" si="186"/>
        <v>1.2764455646490732E-2</v>
      </c>
      <c r="M1229" s="60" t="str">
        <f t="shared" si="187"/>
        <v/>
      </c>
      <c r="N1229" s="76">
        <f t="shared" si="179"/>
        <v>366.24983228230241</v>
      </c>
    </row>
    <row r="1230" spans="2:14" x14ac:dyDescent="0.55000000000000004">
      <c r="B1230" s="35">
        <f t="shared" si="180"/>
        <v>15</v>
      </c>
      <c r="C1230" s="72" t="s">
        <v>145</v>
      </c>
      <c r="D1230" s="44">
        <f t="shared" si="184"/>
        <v>44089</v>
      </c>
      <c r="E1230" s="38">
        <v>7.4802999999999997</v>
      </c>
      <c r="F1230" s="39">
        <f t="shared" si="183"/>
        <v>370.4</v>
      </c>
      <c r="G1230" s="33">
        <f t="shared" si="178"/>
        <v>2771.4439200000002</v>
      </c>
      <c r="H1230" s="33">
        <f t="shared" si="177"/>
        <v>2767.0213439999998</v>
      </c>
      <c r="I1230" s="33">
        <f t="shared" si="182"/>
        <v>2767.0213439999998</v>
      </c>
      <c r="J1230" s="33">
        <f t="shared" si="185"/>
        <v>2729.6998399999998</v>
      </c>
      <c r="K1230" s="33">
        <f t="shared" si="181"/>
        <v>2729.66</v>
      </c>
      <c r="L1230" s="59">
        <f t="shared" si="186"/>
        <v>1.3687178622978656E-2</v>
      </c>
      <c r="M1230" s="60" t="str">
        <f t="shared" si="187"/>
        <v/>
      </c>
      <c r="N1230" s="76">
        <f t="shared" si="179"/>
        <v>364.8156315571415</v>
      </c>
    </row>
    <row r="1231" spans="2:14" x14ac:dyDescent="0.55000000000000004">
      <c r="B1231" s="35">
        <f t="shared" si="180"/>
        <v>16</v>
      </c>
      <c r="C1231" s="72" t="s">
        <v>145</v>
      </c>
      <c r="D1231" s="44">
        <f t="shared" si="184"/>
        <v>44090</v>
      </c>
      <c r="E1231" s="38">
        <v>7.4812000000000003</v>
      </c>
      <c r="F1231" s="39">
        <f t="shared" si="183"/>
        <v>370.4</v>
      </c>
      <c r="G1231" s="33">
        <f t="shared" si="178"/>
        <v>2770.7031199999997</v>
      </c>
      <c r="H1231" s="33">
        <f t="shared" si="177"/>
        <v>2767.9917919999998</v>
      </c>
      <c r="I1231" s="33">
        <f t="shared" si="182"/>
        <v>2767.9917919999998</v>
      </c>
      <c r="J1231" s="33">
        <f t="shared" si="185"/>
        <v>2729.6998399999998</v>
      </c>
      <c r="K1231" s="33">
        <f t="shared" si="181"/>
        <v>2729.66</v>
      </c>
      <c r="L1231" s="59">
        <f t="shared" si="186"/>
        <v>1.4042698358037247E-2</v>
      </c>
      <c r="M1231" s="60" t="str">
        <f t="shared" si="187"/>
        <v/>
      </c>
      <c r="N1231" s="76">
        <f t="shared" si="179"/>
        <v>364.913171931607</v>
      </c>
    </row>
    <row r="1232" spans="2:14" x14ac:dyDescent="0.55000000000000004">
      <c r="B1232" s="35">
        <f t="shared" si="180"/>
        <v>17</v>
      </c>
      <c r="C1232" s="72" t="s">
        <v>145</v>
      </c>
      <c r="D1232" s="44">
        <f t="shared" si="184"/>
        <v>44091</v>
      </c>
      <c r="E1232" s="38">
        <v>7.5286999999999997</v>
      </c>
      <c r="F1232" s="39">
        <f t="shared" si="183"/>
        <v>370.4</v>
      </c>
      <c r="G1232" s="33">
        <f t="shared" si="178"/>
        <v>2771.0364799999998</v>
      </c>
      <c r="H1232" s="33">
        <f t="shared" si="177"/>
        <v>2768.0436479999998</v>
      </c>
      <c r="I1232" s="33">
        <f t="shared" si="182"/>
        <v>2768.0436479999998</v>
      </c>
      <c r="J1232" s="33">
        <f t="shared" si="185"/>
        <v>2729.6998399999998</v>
      </c>
      <c r="K1232" s="33">
        <f t="shared" si="181"/>
        <v>2729.66</v>
      </c>
      <c r="L1232" s="59">
        <f t="shared" si="186"/>
        <v>1.4061695595788485E-2</v>
      </c>
      <c r="M1232" s="60" t="str">
        <f t="shared" si="187"/>
        <v/>
      </c>
      <c r="N1232" s="76">
        <f t="shared" si="179"/>
        <v>364.86927230925517</v>
      </c>
    </row>
    <row r="1233" spans="2:16" x14ac:dyDescent="0.55000000000000004">
      <c r="B1233" s="35">
        <f t="shared" si="180"/>
        <v>18</v>
      </c>
      <c r="C1233" s="72" t="s">
        <v>145</v>
      </c>
      <c r="D1233" s="44">
        <f t="shared" si="184"/>
        <v>44092</v>
      </c>
      <c r="E1233" s="38">
        <v>7.548</v>
      </c>
      <c r="F1233" s="39">
        <f t="shared" si="183"/>
        <v>370.4</v>
      </c>
      <c r="G1233" s="33">
        <f t="shared" si="178"/>
        <v>2788.6304799999998</v>
      </c>
      <c r="H1233" s="33">
        <f t="shared" ref="H1233:H1296" si="188">IF(M1232&lt;&gt;"",AVERAGE(G1233),IF(M1231&lt;&gt;"",AVERAGE(G1232:G1233),IF(M1230&lt;&gt;"",AVERAGE(G1231:G1233),IF(M1229&lt;&gt;"",AVERAGE(G1230:G1233),AVERAGE(G1229:G1233)))))</f>
        <v>2772.4810400000001</v>
      </c>
      <c r="I1233" s="33">
        <f t="shared" si="182"/>
        <v>2772.4810399999997</v>
      </c>
      <c r="J1233" s="33">
        <f t="shared" si="185"/>
        <v>2729.6998399999998</v>
      </c>
      <c r="K1233" s="33">
        <f t="shared" si="181"/>
        <v>2729.66</v>
      </c>
      <c r="L1233" s="59">
        <f t="shared" si="186"/>
        <v>1.5687316369071704E-2</v>
      </c>
      <c r="M1233" s="60" t="str">
        <f t="shared" si="187"/>
        <v/>
      </c>
      <c r="N1233" s="76">
        <f t="shared" si="179"/>
        <v>362.56724268466002</v>
      </c>
    </row>
    <row r="1234" spans="2:16" x14ac:dyDescent="0.55000000000000004">
      <c r="B1234" s="35">
        <f t="shared" si="180"/>
        <v>21</v>
      </c>
      <c r="C1234" s="72" t="s">
        <v>145</v>
      </c>
      <c r="D1234" s="44">
        <f t="shared" si="184"/>
        <v>44095</v>
      </c>
      <c r="E1234" s="38">
        <v>7.5857000000000001</v>
      </c>
      <c r="F1234" s="39">
        <f t="shared" si="183"/>
        <v>370.4</v>
      </c>
      <c r="G1234" s="33">
        <f t="shared" ref="G1234:G1242" si="189">E1233*F1234</f>
        <v>2795.7791999999999</v>
      </c>
      <c r="H1234" s="33">
        <f t="shared" si="188"/>
        <v>2779.5186399999998</v>
      </c>
      <c r="I1234" s="33">
        <f t="shared" si="182"/>
        <v>2779.5186399999998</v>
      </c>
      <c r="J1234" s="33">
        <f t="shared" si="185"/>
        <v>2729.6998399999998</v>
      </c>
      <c r="K1234" s="33">
        <f t="shared" si="181"/>
        <v>2729.66</v>
      </c>
      <c r="L1234" s="59">
        <f t="shared" si="186"/>
        <v>1.8265512921023103E-2</v>
      </c>
      <c r="M1234" s="60" t="str">
        <f t="shared" si="187"/>
        <v/>
      </c>
      <c r="N1234" s="76">
        <f t="shared" si="179"/>
        <v>361.64016958134602</v>
      </c>
      <c r="O1234" s="95">
        <v>0.03</v>
      </c>
      <c r="P1234" s="95">
        <v>-0.03</v>
      </c>
    </row>
    <row r="1235" spans="2:16" x14ac:dyDescent="0.55000000000000004">
      <c r="B1235" s="35">
        <f t="shared" si="180"/>
        <v>22</v>
      </c>
      <c r="C1235" s="72" t="s">
        <v>145</v>
      </c>
      <c r="D1235" s="44">
        <f t="shared" si="184"/>
        <v>44096</v>
      </c>
      <c r="E1235" s="38">
        <v>7.6388999999999996</v>
      </c>
      <c r="F1235" s="39">
        <f t="shared" si="183"/>
        <v>370.4</v>
      </c>
      <c r="G1235" s="33">
        <f t="shared" si="189"/>
        <v>2809.7432799999997</v>
      </c>
      <c r="H1235" s="33">
        <f t="shared" si="188"/>
        <v>2787.1785119999995</v>
      </c>
      <c r="I1235" s="33">
        <f t="shared" si="182"/>
        <v>2787.1785120000004</v>
      </c>
      <c r="J1235" s="33">
        <f t="shared" si="185"/>
        <v>2729.6998399999998</v>
      </c>
      <c r="K1235" s="33">
        <f t="shared" si="181"/>
        <v>2729.66</v>
      </c>
      <c r="L1235" s="59">
        <f t="shared" si="186"/>
        <v>2.1071676325989188E-2</v>
      </c>
      <c r="M1235" s="60" t="str">
        <f t="shared" si="187"/>
        <v/>
      </c>
      <c r="N1235" s="76">
        <f t="shared" si="179"/>
        <v>359.84286222761244</v>
      </c>
      <c r="O1235" s="95">
        <v>0.03</v>
      </c>
      <c r="P1235" s="95">
        <v>-0.03</v>
      </c>
    </row>
    <row r="1236" spans="2:16" x14ac:dyDescent="0.55000000000000004">
      <c r="B1236" s="35">
        <f t="shared" si="180"/>
        <v>23</v>
      </c>
      <c r="C1236" s="72" t="s">
        <v>145</v>
      </c>
      <c r="D1236" s="44">
        <f t="shared" si="184"/>
        <v>44097</v>
      </c>
      <c r="E1236" s="38">
        <v>7.6707999999999998</v>
      </c>
      <c r="F1236" s="39">
        <f t="shared" si="183"/>
        <v>370.4</v>
      </c>
      <c r="G1236" s="33">
        <f t="shared" si="189"/>
        <v>2829.4485599999998</v>
      </c>
      <c r="H1236" s="33">
        <f t="shared" si="188"/>
        <v>2798.9276</v>
      </c>
      <c r="I1236" s="33">
        <f t="shared" si="182"/>
        <v>2798.9275999999995</v>
      </c>
      <c r="J1236" s="33">
        <f t="shared" si="185"/>
        <v>2729.6998399999998</v>
      </c>
      <c r="K1236" s="33">
        <f t="shared" si="181"/>
        <v>2729.66</v>
      </c>
      <c r="L1236" s="59">
        <f t="shared" si="186"/>
        <v>2.5375907622194754E-2</v>
      </c>
      <c r="M1236" s="60" t="str">
        <f t="shared" si="187"/>
        <v/>
      </c>
      <c r="N1236" s="76">
        <f t="shared" ref="N1236:N1262" si="190">K1236/E1235</f>
        <v>357.33678932830645</v>
      </c>
      <c r="O1236" s="95">
        <v>0.03</v>
      </c>
      <c r="P1236" s="95">
        <v>-0.03</v>
      </c>
    </row>
    <row r="1237" spans="2:16" x14ac:dyDescent="0.55000000000000004">
      <c r="B1237" s="35">
        <f t="shared" si="180"/>
        <v>24</v>
      </c>
      <c r="C1237" s="72" t="s">
        <v>145</v>
      </c>
      <c r="D1237" s="44">
        <f t="shared" si="184"/>
        <v>44098</v>
      </c>
      <c r="E1237" s="38">
        <v>7.6768000000000001</v>
      </c>
      <c r="F1237" s="39">
        <f t="shared" si="183"/>
        <v>370.4</v>
      </c>
      <c r="G1237" s="33">
        <f t="shared" si="189"/>
        <v>2841.2643199999998</v>
      </c>
      <c r="H1237" s="33">
        <f t="shared" si="188"/>
        <v>2812.973168</v>
      </c>
      <c r="I1237" s="33">
        <f t="shared" si="182"/>
        <v>2812.9731679999995</v>
      </c>
      <c r="J1237" s="33">
        <f t="shared" si="185"/>
        <v>2841.2643199999998</v>
      </c>
      <c r="K1237" s="33">
        <f t="shared" si="181"/>
        <v>2729.66</v>
      </c>
      <c r="L1237" s="59">
        <f t="shared" si="186"/>
        <v>3.0521445161668537E-2</v>
      </c>
      <c r="M1237" s="60">
        <f t="shared" si="187"/>
        <v>111.60431999999992</v>
      </c>
      <c r="N1237" s="76">
        <f t="shared" si="190"/>
        <v>355.85075872138498</v>
      </c>
      <c r="O1237" s="95">
        <v>0.03</v>
      </c>
      <c r="P1237" s="95">
        <v>-0.03</v>
      </c>
    </row>
    <row r="1238" spans="2:16" x14ac:dyDescent="0.55000000000000004">
      <c r="B1238" s="35">
        <f t="shared" si="180"/>
        <v>25</v>
      </c>
      <c r="C1238" s="72" t="s">
        <v>145</v>
      </c>
      <c r="D1238" s="44">
        <f t="shared" si="184"/>
        <v>44099</v>
      </c>
      <c r="E1238" s="38">
        <v>7.5682</v>
      </c>
      <c r="F1238" s="39">
        <f t="shared" si="183"/>
        <v>370.4</v>
      </c>
      <c r="G1238" s="33">
        <f t="shared" si="189"/>
        <v>2843.4867199999999</v>
      </c>
      <c r="H1238" s="33">
        <f t="shared" si="188"/>
        <v>2843.4867199999999</v>
      </c>
      <c r="I1238" s="33">
        <f t="shared" si="182"/>
        <v>2823.9444159999994</v>
      </c>
      <c r="J1238" s="33">
        <f t="shared" si="185"/>
        <v>2841.2643199999998</v>
      </c>
      <c r="K1238" s="33">
        <f t="shared" si="181"/>
        <v>2841.2643199999998</v>
      </c>
      <c r="L1238" s="59">
        <f t="shared" si="186"/>
        <v>7.821869948376035E-4</v>
      </c>
      <c r="M1238" s="60" t="str">
        <f t="shared" si="187"/>
        <v/>
      </c>
      <c r="N1238" s="76">
        <f t="shared" si="190"/>
        <v>370.11050437682366</v>
      </c>
      <c r="O1238" s="95">
        <v>0.03</v>
      </c>
      <c r="P1238" s="95">
        <v>-0.03</v>
      </c>
    </row>
    <row r="1239" spans="2:16" x14ac:dyDescent="0.55000000000000004">
      <c r="B1239" s="35">
        <f t="shared" ref="B1239:B1302" si="191">DAY(D1239)</f>
        <v>28</v>
      </c>
      <c r="C1239" s="72" t="s">
        <v>145</v>
      </c>
      <c r="D1239" s="44">
        <f t="shared" si="184"/>
        <v>44102</v>
      </c>
      <c r="E1239" s="38">
        <v>7.7647000000000004</v>
      </c>
      <c r="F1239" s="39">
        <f t="shared" si="183"/>
        <v>370.4</v>
      </c>
      <c r="G1239" s="33">
        <f t="shared" si="189"/>
        <v>2803.2612799999997</v>
      </c>
      <c r="H1239" s="33">
        <f t="shared" si="188"/>
        <v>2823.3739999999998</v>
      </c>
      <c r="I1239" s="33">
        <f t="shared" si="182"/>
        <v>2825.4408319999998</v>
      </c>
      <c r="J1239" s="33">
        <f t="shared" si="185"/>
        <v>2841.2643199999998</v>
      </c>
      <c r="K1239" s="33">
        <f t="shared" si="181"/>
        <v>2841.2643199999998</v>
      </c>
      <c r="L1239" s="59">
        <f t="shared" si="186"/>
        <v>-6.296605308442396E-3</v>
      </c>
      <c r="M1239" s="60" t="str">
        <f t="shared" si="187"/>
        <v/>
      </c>
      <c r="N1239" s="76">
        <f t="shared" si="190"/>
        <v>375.42141063925368</v>
      </c>
      <c r="O1239" s="95">
        <v>0.03</v>
      </c>
      <c r="P1239" s="95">
        <v>-0.03</v>
      </c>
    </row>
    <row r="1240" spans="2:16" x14ac:dyDescent="0.55000000000000004">
      <c r="B1240" s="35">
        <f t="shared" si="191"/>
        <v>29</v>
      </c>
      <c r="C1240" s="72" t="s">
        <v>145</v>
      </c>
      <c r="D1240" s="44">
        <f t="shared" si="184"/>
        <v>44103</v>
      </c>
      <c r="E1240" s="38">
        <v>7.8220999999999998</v>
      </c>
      <c r="F1240" s="39">
        <f t="shared" si="183"/>
        <v>370.4</v>
      </c>
      <c r="G1240" s="33">
        <f t="shared" si="189"/>
        <v>2876.0448799999999</v>
      </c>
      <c r="H1240" s="33">
        <f t="shared" si="188"/>
        <v>2840.9309599999997</v>
      </c>
      <c r="I1240" s="33">
        <f t="shared" si="182"/>
        <v>2838.7011520000001</v>
      </c>
      <c r="J1240" s="33">
        <f t="shared" si="185"/>
        <v>2841.2643199999998</v>
      </c>
      <c r="K1240" s="33">
        <f t="shared" si="181"/>
        <v>2841.2643199999998</v>
      </c>
      <c r="L1240" s="59">
        <f t="shared" si="186"/>
        <v>-1.1732804922566455E-4</v>
      </c>
      <c r="M1240" s="60" t="str">
        <f t="shared" si="187"/>
        <v/>
      </c>
      <c r="N1240" s="76">
        <f t="shared" si="190"/>
        <v>365.9206820611227</v>
      </c>
      <c r="O1240" s="95">
        <v>0.03</v>
      </c>
      <c r="P1240" s="95">
        <v>-0.03</v>
      </c>
    </row>
    <row r="1241" spans="2:16" x14ac:dyDescent="0.55000000000000004">
      <c r="B1241" s="35">
        <f t="shared" si="191"/>
        <v>30</v>
      </c>
      <c r="C1241" s="72" t="s">
        <v>145</v>
      </c>
      <c r="D1241" s="44">
        <f t="shared" si="184"/>
        <v>44104</v>
      </c>
      <c r="E1241" s="38">
        <v>7.7662000000000004</v>
      </c>
      <c r="F1241" s="39">
        <f t="shared" si="183"/>
        <v>370.4</v>
      </c>
      <c r="G1241" s="33">
        <f t="shared" si="189"/>
        <v>2897.3058399999995</v>
      </c>
      <c r="H1241" s="33">
        <f t="shared" si="188"/>
        <v>2855.0246799999995</v>
      </c>
      <c r="I1241" s="33">
        <f t="shared" si="182"/>
        <v>2852.2726079999998</v>
      </c>
      <c r="J1241" s="33">
        <f t="shared" si="185"/>
        <v>2841.2643199999998</v>
      </c>
      <c r="K1241" s="33">
        <f t="shared" si="181"/>
        <v>2841.2643199999998</v>
      </c>
      <c r="L1241" s="59">
        <f t="shared" si="186"/>
        <v>4.8430411430358455E-3</v>
      </c>
      <c r="M1241" s="60" t="str">
        <f t="shared" si="187"/>
        <v/>
      </c>
      <c r="N1241" s="76">
        <f t="shared" si="190"/>
        <v>363.23548919088222</v>
      </c>
      <c r="O1241" s="95">
        <v>0.03</v>
      </c>
      <c r="P1241" s="95">
        <v>-0.03</v>
      </c>
    </row>
    <row r="1242" spans="2:16" x14ac:dyDescent="0.55000000000000004">
      <c r="B1242" s="35">
        <f t="shared" si="191"/>
        <v>1</v>
      </c>
      <c r="C1242" s="72" t="s">
        <v>146</v>
      </c>
      <c r="D1242" s="44">
        <f t="shared" si="184"/>
        <v>44105</v>
      </c>
      <c r="E1242" s="38">
        <v>7.7084999999999999</v>
      </c>
      <c r="F1242" s="39">
        <f>366.5+40</f>
        <v>406.5</v>
      </c>
      <c r="G1242" s="33">
        <f t="shared" si="189"/>
        <v>3156.9603000000002</v>
      </c>
      <c r="H1242" s="33">
        <f t="shared" si="188"/>
        <v>2915.4118039999998</v>
      </c>
      <c r="I1242" s="33">
        <f t="shared" si="182"/>
        <v>3138.0173999999997</v>
      </c>
      <c r="J1242" s="33">
        <f t="shared" si="185"/>
        <v>2841.2643199999998</v>
      </c>
      <c r="K1242" s="33">
        <f t="shared" si="181"/>
        <v>2841.2643199999998</v>
      </c>
      <c r="L1242" s="59">
        <f t="shared" si="186"/>
        <v>2.6096651226028871E-2</v>
      </c>
      <c r="M1242" s="60" t="str">
        <f t="shared" si="187"/>
        <v/>
      </c>
      <c r="N1242" s="76">
        <f t="shared" si="190"/>
        <v>365.85000643815505</v>
      </c>
      <c r="O1242" s="95">
        <v>0.03</v>
      </c>
      <c r="P1242" s="95">
        <v>-0.03</v>
      </c>
    </row>
    <row r="1243" spans="2:16" x14ac:dyDescent="0.55000000000000004">
      <c r="B1243" s="35">
        <f t="shared" si="191"/>
        <v>2</v>
      </c>
      <c r="C1243" s="72" t="s">
        <v>146</v>
      </c>
      <c r="D1243" s="44">
        <f t="shared" si="184"/>
        <v>44106</v>
      </c>
      <c r="E1243" s="38">
        <v>7.7427000000000001</v>
      </c>
      <c r="F1243" s="39">
        <f t="shared" si="183"/>
        <v>406.5</v>
      </c>
      <c r="G1243" s="33">
        <v>3133.46</v>
      </c>
      <c r="H1243" s="33">
        <f t="shared" si="188"/>
        <v>2973.4064599999997</v>
      </c>
      <c r="I1243" s="33">
        <f t="shared" si="182"/>
        <v>3140.5946099999996</v>
      </c>
      <c r="J1243" s="33">
        <f t="shared" si="185"/>
        <v>3133.46</v>
      </c>
      <c r="K1243" s="33">
        <f t="shared" si="181"/>
        <v>2841.2643199999998</v>
      </c>
      <c r="L1243" s="59">
        <f t="shared" si="186"/>
        <v>4.6508217862673167E-2</v>
      </c>
      <c r="M1243" s="60">
        <f t="shared" si="187"/>
        <v>292.19568000000027</v>
      </c>
      <c r="N1243" s="76">
        <f t="shared" si="190"/>
        <v>368.58848284361414</v>
      </c>
      <c r="O1243" s="95">
        <v>0.03</v>
      </c>
      <c r="P1243" s="95">
        <v>-0.03</v>
      </c>
    </row>
    <row r="1244" spans="2:16" x14ac:dyDescent="0.55000000000000004">
      <c r="B1244" s="35">
        <f t="shared" si="191"/>
        <v>5</v>
      </c>
      <c r="C1244" s="72" t="s">
        <v>146</v>
      </c>
      <c r="D1244" s="44">
        <f t="shared" si="184"/>
        <v>44109</v>
      </c>
      <c r="E1244" s="38">
        <f>7.7446</f>
        <v>7.7446000000000002</v>
      </c>
      <c r="F1244" s="39">
        <f t="shared" si="183"/>
        <v>406.5</v>
      </c>
      <c r="G1244" s="33">
        <f t="shared" ref="G1244:G1273" si="192">E1243*F1244</f>
        <v>3147.4075499999999</v>
      </c>
      <c r="H1244" s="33">
        <f t="shared" si="188"/>
        <v>3147.4075499999999</v>
      </c>
      <c r="I1244" s="33">
        <f t="shared" si="182"/>
        <v>3154.7814600000002</v>
      </c>
      <c r="J1244" s="33">
        <f t="shared" si="185"/>
        <v>3133.46</v>
      </c>
      <c r="K1244" s="33">
        <f t="shared" si="181"/>
        <v>3133.46</v>
      </c>
      <c r="L1244" s="59">
        <f t="shared" si="186"/>
        <v>4.4511658039355423E-3</v>
      </c>
      <c r="M1244" s="60" t="str">
        <f t="shared" si="187"/>
        <v/>
      </c>
      <c r="N1244" s="76">
        <f t="shared" si="190"/>
        <v>404.69861934467303</v>
      </c>
      <c r="O1244" s="95">
        <v>0.03</v>
      </c>
      <c r="P1244" s="95">
        <v>-0.03</v>
      </c>
    </row>
    <row r="1245" spans="2:16" x14ac:dyDescent="0.55000000000000004">
      <c r="B1245" s="35">
        <f t="shared" si="191"/>
        <v>6</v>
      </c>
      <c r="C1245" s="72" t="s">
        <v>146</v>
      </c>
      <c r="D1245" s="44">
        <f t="shared" si="184"/>
        <v>44110</v>
      </c>
      <c r="E1245" s="38">
        <f>7.7591</f>
        <v>7.7591000000000001</v>
      </c>
      <c r="F1245" s="39">
        <f t="shared" si="183"/>
        <v>406.5</v>
      </c>
      <c r="G1245" s="33">
        <f t="shared" si="192"/>
        <v>3148.1799000000001</v>
      </c>
      <c r="H1245" s="33">
        <f t="shared" si="188"/>
        <v>3147.793725</v>
      </c>
      <c r="I1245" s="33">
        <f t="shared" si="182"/>
        <v>3153.1473300000002</v>
      </c>
      <c r="J1245" s="33">
        <f t="shared" si="185"/>
        <v>3133.46</v>
      </c>
      <c r="K1245" s="33">
        <f t="shared" ref="K1245:K1306" si="193">IF(L1244&gt;3%,G1244,IF(L1244&lt;-3%,G1244,K1244))</f>
        <v>3133.46</v>
      </c>
      <c r="L1245" s="59">
        <f t="shared" si="186"/>
        <v>4.5744081622232161E-3</v>
      </c>
      <c r="M1245" s="60" t="str">
        <f t="shared" si="187"/>
        <v/>
      </c>
      <c r="N1245" s="76">
        <f t="shared" si="190"/>
        <v>404.59933372930817</v>
      </c>
      <c r="O1245" s="95">
        <v>0.03</v>
      </c>
      <c r="P1245" s="95">
        <v>-0.03</v>
      </c>
    </row>
    <row r="1246" spans="2:16" x14ac:dyDescent="0.55000000000000004">
      <c r="B1246" s="35">
        <f t="shared" si="191"/>
        <v>7</v>
      </c>
      <c r="C1246" s="72" t="s">
        <v>146</v>
      </c>
      <c r="D1246" s="44">
        <f t="shared" si="184"/>
        <v>44111</v>
      </c>
      <c r="E1246" s="38">
        <f>7.8408</f>
        <v>7.8407999999999998</v>
      </c>
      <c r="F1246" s="39">
        <f t="shared" si="183"/>
        <v>406.5</v>
      </c>
      <c r="G1246" s="33">
        <f t="shared" si="192"/>
        <v>3154.0741499999999</v>
      </c>
      <c r="H1246" s="33">
        <f t="shared" si="188"/>
        <v>3149.8871999999997</v>
      </c>
      <c r="I1246" s="33">
        <f t="shared" si="182"/>
        <v>3148.0254300000006</v>
      </c>
      <c r="J1246" s="33">
        <f t="shared" si="185"/>
        <v>3133.46</v>
      </c>
      <c r="K1246" s="33">
        <f t="shared" si="193"/>
        <v>3133.46</v>
      </c>
      <c r="L1246" s="59">
        <f t="shared" si="186"/>
        <v>5.2425114729403371E-3</v>
      </c>
      <c r="M1246" s="60" t="str">
        <f t="shared" si="187"/>
        <v/>
      </c>
      <c r="N1246" s="76">
        <f t="shared" si="190"/>
        <v>403.84322924050468</v>
      </c>
      <c r="O1246" s="95">
        <v>0.03</v>
      </c>
      <c r="P1246" s="95">
        <v>-0.03</v>
      </c>
    </row>
    <row r="1247" spans="2:16" x14ac:dyDescent="0.55000000000000004">
      <c r="B1247" s="35">
        <f t="shared" si="191"/>
        <v>8</v>
      </c>
      <c r="C1247" s="72" t="s">
        <v>146</v>
      </c>
      <c r="D1247" s="44">
        <f t="shared" si="184"/>
        <v>44112</v>
      </c>
      <c r="E1247" s="38">
        <f>7.9073</f>
        <v>7.9073000000000002</v>
      </c>
      <c r="F1247" s="39">
        <f t="shared" si="183"/>
        <v>406.5</v>
      </c>
      <c r="G1247" s="33">
        <f t="shared" si="192"/>
        <v>3187.2851999999998</v>
      </c>
      <c r="H1247" s="33">
        <f t="shared" si="188"/>
        <v>3159.2366999999999</v>
      </c>
      <c r="I1247" s="33">
        <f t="shared" si="182"/>
        <v>3154.0904099999998</v>
      </c>
      <c r="J1247" s="33">
        <f t="shared" si="185"/>
        <v>3133.46</v>
      </c>
      <c r="K1247" s="33">
        <f t="shared" si="193"/>
        <v>3133.46</v>
      </c>
      <c r="L1247" s="59">
        <f t="shared" si="186"/>
        <v>8.2262738314833727E-3</v>
      </c>
      <c r="M1247" s="60" t="str">
        <f t="shared" si="187"/>
        <v/>
      </c>
      <c r="N1247" s="76">
        <f t="shared" si="190"/>
        <v>399.63524130190797</v>
      </c>
      <c r="O1247" s="95">
        <v>0.03</v>
      </c>
      <c r="P1247" s="95">
        <v>-0.03</v>
      </c>
    </row>
    <row r="1248" spans="2:16" x14ac:dyDescent="0.55000000000000004">
      <c r="B1248" s="35">
        <f t="shared" si="191"/>
        <v>9</v>
      </c>
      <c r="C1248" s="72" t="s">
        <v>146</v>
      </c>
      <c r="D1248" s="44">
        <f t="shared" si="184"/>
        <v>44113</v>
      </c>
      <c r="E1248" s="38">
        <f>7.9215</f>
        <v>7.9215</v>
      </c>
      <c r="F1248" s="39">
        <f t="shared" si="183"/>
        <v>406.5</v>
      </c>
      <c r="G1248" s="33">
        <f t="shared" si="192"/>
        <v>3214.31745</v>
      </c>
      <c r="H1248" s="33">
        <f t="shared" si="188"/>
        <v>3170.2528499999999</v>
      </c>
      <c r="I1248" s="33">
        <f t="shared" si="182"/>
        <v>3170.2528500000003</v>
      </c>
      <c r="J1248" s="33">
        <f t="shared" si="185"/>
        <v>3133.46</v>
      </c>
      <c r="K1248" s="33">
        <f t="shared" si="193"/>
        <v>3133.46</v>
      </c>
      <c r="L1248" s="59">
        <f t="shared" si="186"/>
        <v>1.1741924262636132E-2</v>
      </c>
      <c r="M1248" s="60" t="str">
        <f t="shared" si="187"/>
        <v/>
      </c>
      <c r="N1248" s="76">
        <f t="shared" si="190"/>
        <v>396.27432878479379</v>
      </c>
      <c r="O1248" s="95">
        <v>0.03</v>
      </c>
      <c r="P1248" s="95">
        <v>-0.03</v>
      </c>
    </row>
    <row r="1249" spans="2:21" x14ac:dyDescent="0.55000000000000004">
      <c r="B1249" s="35">
        <f t="shared" si="191"/>
        <v>12</v>
      </c>
      <c r="C1249" s="72" t="s">
        <v>146</v>
      </c>
      <c r="D1249" s="44">
        <f t="shared" si="184"/>
        <v>44116</v>
      </c>
      <c r="E1249" s="38">
        <f>7.8815</f>
        <v>7.8815</v>
      </c>
      <c r="F1249" s="39">
        <f t="shared" si="183"/>
        <v>406.5</v>
      </c>
      <c r="G1249" s="33">
        <f t="shared" si="192"/>
        <v>3220.0897500000001</v>
      </c>
      <c r="H1249" s="33">
        <f t="shared" si="188"/>
        <v>3184.7892899999997</v>
      </c>
      <c r="I1249" s="33">
        <f t="shared" si="182"/>
        <v>3184.7892899999997</v>
      </c>
      <c r="J1249" s="33">
        <f t="shared" si="185"/>
        <v>3133.46</v>
      </c>
      <c r="K1249" s="33">
        <f t="shared" si="193"/>
        <v>3133.46</v>
      </c>
      <c r="L1249" s="59">
        <f t="shared" si="186"/>
        <v>1.638102608617939E-2</v>
      </c>
      <c r="M1249" s="60" t="str">
        <f t="shared" si="187"/>
        <v/>
      </c>
      <c r="N1249" s="76">
        <f t="shared" si="190"/>
        <v>395.56397147004986</v>
      </c>
      <c r="O1249" s="95">
        <v>0.03</v>
      </c>
      <c r="P1249" s="95">
        <v>-0.03</v>
      </c>
    </row>
    <row r="1250" spans="2:21" x14ac:dyDescent="0.55000000000000004">
      <c r="B1250" s="35">
        <f t="shared" si="191"/>
        <v>13</v>
      </c>
      <c r="C1250" s="72" t="s">
        <v>146</v>
      </c>
      <c r="D1250" s="44">
        <f t="shared" si="184"/>
        <v>44117</v>
      </c>
      <c r="E1250" s="38">
        <f>7.892</f>
        <v>7.8920000000000003</v>
      </c>
      <c r="F1250" s="39">
        <f t="shared" si="183"/>
        <v>406.5</v>
      </c>
      <c r="G1250" s="33">
        <f t="shared" si="192"/>
        <v>3203.8297499999999</v>
      </c>
      <c r="H1250" s="33">
        <f t="shared" si="188"/>
        <v>3195.9192600000001</v>
      </c>
      <c r="I1250" s="33">
        <f t="shared" ref="I1250:I1313" si="194">F1250*AVERAGE(E1245:E1249)</f>
        <v>3195.9192600000001</v>
      </c>
      <c r="J1250" s="33">
        <f t="shared" si="185"/>
        <v>3133.46</v>
      </c>
      <c r="K1250" s="33">
        <f t="shared" si="193"/>
        <v>3133.46</v>
      </c>
      <c r="L1250" s="59">
        <f t="shared" si="186"/>
        <v>1.9933000580827611E-2</v>
      </c>
      <c r="M1250" s="60" t="str">
        <f t="shared" si="187"/>
        <v/>
      </c>
      <c r="N1250" s="76">
        <f t="shared" si="190"/>
        <v>397.57152826238661</v>
      </c>
      <c r="O1250" s="95">
        <v>0.03</v>
      </c>
      <c r="P1250" s="95">
        <v>-0.03</v>
      </c>
    </row>
    <row r="1251" spans="2:21" x14ac:dyDescent="0.55000000000000004">
      <c r="B1251" s="35">
        <f t="shared" si="191"/>
        <v>14</v>
      </c>
      <c r="C1251" s="72" t="s">
        <v>146</v>
      </c>
      <c r="D1251" s="44">
        <f t="shared" si="184"/>
        <v>44118</v>
      </c>
      <c r="E1251" s="38">
        <v>7.9348000000000001</v>
      </c>
      <c r="F1251" s="39">
        <f t="shared" si="183"/>
        <v>406.5</v>
      </c>
      <c r="G1251" s="33">
        <f t="shared" si="192"/>
        <v>3208.098</v>
      </c>
      <c r="H1251" s="33">
        <f t="shared" si="188"/>
        <v>3206.7240300000003</v>
      </c>
      <c r="I1251" s="33">
        <f t="shared" si="194"/>
        <v>3206.7240300000003</v>
      </c>
      <c r="J1251" s="33">
        <f t="shared" si="185"/>
        <v>3133.46</v>
      </c>
      <c r="K1251" s="33">
        <f t="shared" si="193"/>
        <v>3133.46</v>
      </c>
      <c r="L1251" s="59">
        <f t="shared" si="186"/>
        <v>2.3381192036917745E-2</v>
      </c>
      <c r="M1251" s="60" t="str">
        <f t="shared" si="187"/>
        <v/>
      </c>
      <c r="N1251" s="76">
        <f t="shared" si="190"/>
        <v>397.04257475924987</v>
      </c>
      <c r="O1251" s="95">
        <v>0.03</v>
      </c>
      <c r="P1251" s="95">
        <v>-0.03</v>
      </c>
      <c r="Q1251">
        <v>3102.6712499999999</v>
      </c>
      <c r="R1251">
        <v>3211.6099999999997</v>
      </c>
      <c r="S1251">
        <v>3207.4700000000003</v>
      </c>
      <c r="T1251">
        <v>3330.84</v>
      </c>
      <c r="U1251">
        <v>3277.3599999999997</v>
      </c>
    </row>
    <row r="1252" spans="2:21" x14ac:dyDescent="0.55000000000000004">
      <c r="B1252" s="35">
        <f t="shared" si="191"/>
        <v>15</v>
      </c>
      <c r="C1252" s="72" t="s">
        <v>146</v>
      </c>
      <c r="D1252" s="44">
        <f t="shared" si="184"/>
        <v>44119</v>
      </c>
      <c r="E1252" s="38">
        <v>7.9259000000000004</v>
      </c>
      <c r="F1252" s="39">
        <f t="shared" si="183"/>
        <v>406.5</v>
      </c>
      <c r="G1252" s="33">
        <f t="shared" si="192"/>
        <v>3225.4962</v>
      </c>
      <c r="H1252" s="33">
        <f t="shared" si="188"/>
        <v>3214.3662299999996</v>
      </c>
      <c r="I1252" s="33">
        <f t="shared" si="194"/>
        <v>3214.3662300000001</v>
      </c>
      <c r="J1252" s="33">
        <f t="shared" si="185"/>
        <v>3133.46</v>
      </c>
      <c r="K1252" s="33">
        <f t="shared" si="193"/>
        <v>3133.46</v>
      </c>
      <c r="L1252" s="59">
        <f t="shared" si="186"/>
        <v>2.5820093443030896E-2</v>
      </c>
      <c r="M1252" s="60" t="str">
        <f t="shared" si="187"/>
        <v/>
      </c>
      <c r="N1252" s="76">
        <f t="shared" si="190"/>
        <v>394.90094268286538</v>
      </c>
      <c r="O1252" s="95">
        <v>0.03</v>
      </c>
      <c r="P1252" s="95">
        <v>-0.03</v>
      </c>
    </row>
    <row r="1253" spans="2:21" x14ac:dyDescent="0.55000000000000004">
      <c r="B1253" s="35">
        <f t="shared" si="191"/>
        <v>16</v>
      </c>
      <c r="C1253" s="72" t="s">
        <v>146</v>
      </c>
      <c r="D1253" s="44">
        <f t="shared" si="184"/>
        <v>44120</v>
      </c>
      <c r="E1253" s="38">
        <f>7.9272</f>
        <v>7.9272</v>
      </c>
      <c r="F1253" s="39">
        <f t="shared" si="183"/>
        <v>406.5</v>
      </c>
      <c r="G1253" s="33">
        <f t="shared" si="192"/>
        <v>3221.87835</v>
      </c>
      <c r="H1253" s="33">
        <f t="shared" si="188"/>
        <v>3215.8784099999998</v>
      </c>
      <c r="I1253" s="33">
        <f t="shared" si="194"/>
        <v>3215.8784100000003</v>
      </c>
      <c r="J1253" s="33">
        <f t="shared" si="185"/>
        <v>3133.46</v>
      </c>
      <c r="K1253" s="33">
        <f t="shared" si="193"/>
        <v>3133.46</v>
      </c>
      <c r="L1253" s="59">
        <f t="shared" si="186"/>
        <v>2.6302684572325725E-2</v>
      </c>
      <c r="M1253" s="60" t="str">
        <f t="shared" si="187"/>
        <v/>
      </c>
      <c r="N1253" s="76">
        <f t="shared" si="190"/>
        <v>395.34437729469209</v>
      </c>
      <c r="O1253" s="95">
        <v>0.03</v>
      </c>
      <c r="P1253" s="95">
        <v>-0.03</v>
      </c>
    </row>
    <row r="1254" spans="2:21" x14ac:dyDescent="0.55000000000000004">
      <c r="B1254" s="35">
        <f t="shared" si="191"/>
        <v>19</v>
      </c>
      <c r="C1254" s="72" t="s">
        <v>146</v>
      </c>
      <c r="D1254" s="44">
        <f t="shared" si="184"/>
        <v>44123</v>
      </c>
      <c r="E1254" s="38">
        <f>7.892</f>
        <v>7.8920000000000003</v>
      </c>
      <c r="F1254" s="39">
        <f t="shared" si="183"/>
        <v>406.5</v>
      </c>
      <c r="G1254" s="33">
        <f t="shared" si="192"/>
        <v>3222.4068000000002</v>
      </c>
      <c r="H1254" s="33">
        <f t="shared" si="188"/>
        <v>3216.3418200000001</v>
      </c>
      <c r="I1254" s="33">
        <f t="shared" si="194"/>
        <v>3216.3418200000001</v>
      </c>
      <c r="J1254" s="33">
        <f t="shared" si="185"/>
        <v>3133.46</v>
      </c>
      <c r="K1254" s="33">
        <f t="shared" si="193"/>
        <v>3133.46</v>
      </c>
      <c r="L1254" s="59">
        <f t="shared" si="186"/>
        <v>2.6450575402270991E-2</v>
      </c>
      <c r="M1254" s="60" t="str">
        <f t="shared" si="187"/>
        <v/>
      </c>
      <c r="N1254" s="76">
        <f t="shared" si="190"/>
        <v>395.27954384902614</v>
      </c>
      <c r="O1254" s="95">
        <v>0.03</v>
      </c>
      <c r="P1254" s="95">
        <v>-0.03</v>
      </c>
    </row>
    <row r="1255" spans="2:21" x14ac:dyDescent="0.55000000000000004">
      <c r="B1255" s="35">
        <f t="shared" si="191"/>
        <v>20</v>
      </c>
      <c r="C1255" s="72" t="s">
        <v>146</v>
      </c>
      <c r="D1255" s="44">
        <f t="shared" si="184"/>
        <v>44124</v>
      </c>
      <c r="E1255" s="38">
        <f>7.8903</f>
        <v>7.8902999999999999</v>
      </c>
      <c r="F1255" s="39">
        <f t="shared" si="183"/>
        <v>406.5</v>
      </c>
      <c r="G1255" s="33">
        <f t="shared" si="192"/>
        <v>3208.098</v>
      </c>
      <c r="H1255" s="33">
        <f t="shared" si="188"/>
        <v>3217.1954699999997</v>
      </c>
      <c r="I1255" s="33">
        <f t="shared" si="194"/>
        <v>3217.1954699999997</v>
      </c>
      <c r="J1255" s="33">
        <f t="shared" si="185"/>
        <v>3133.46</v>
      </c>
      <c r="K1255" s="33">
        <f t="shared" si="193"/>
        <v>3133.46</v>
      </c>
      <c r="L1255" s="59">
        <f t="shared" si="186"/>
        <v>2.6723005878485643E-2</v>
      </c>
      <c r="M1255" s="60" t="str">
        <f t="shared" si="187"/>
        <v/>
      </c>
      <c r="N1255" s="76">
        <f t="shared" si="190"/>
        <v>397.04257475924987</v>
      </c>
      <c r="O1255" s="95">
        <v>0.03</v>
      </c>
      <c r="P1255" s="95">
        <v>-0.03</v>
      </c>
    </row>
    <row r="1256" spans="2:21" x14ac:dyDescent="0.55000000000000004">
      <c r="B1256" s="35">
        <f t="shared" si="191"/>
        <v>21</v>
      </c>
      <c r="C1256" s="72" t="s">
        <v>146</v>
      </c>
      <c r="D1256" s="44">
        <f t="shared" si="184"/>
        <v>44125</v>
      </c>
      <c r="E1256" s="38">
        <v>7.8319999999999999</v>
      </c>
      <c r="F1256" s="39">
        <f t="shared" si="183"/>
        <v>406.5</v>
      </c>
      <c r="G1256" s="33">
        <f t="shared" si="192"/>
        <v>3207.4069500000001</v>
      </c>
      <c r="H1256" s="33">
        <f t="shared" si="188"/>
        <v>3217.0572600000005</v>
      </c>
      <c r="I1256" s="33">
        <f t="shared" si="194"/>
        <v>3217.05726</v>
      </c>
      <c r="J1256" s="33">
        <f t="shared" si="185"/>
        <v>3133.46</v>
      </c>
      <c r="K1256" s="33">
        <f t="shared" si="193"/>
        <v>3133.46</v>
      </c>
      <c r="L1256" s="59">
        <f t="shared" si="186"/>
        <v>2.6678898087098755E-2</v>
      </c>
      <c r="M1256" s="60" t="str">
        <f t="shared" si="187"/>
        <v/>
      </c>
      <c r="N1256" s="76">
        <f t="shared" si="190"/>
        <v>397.1281193364004</v>
      </c>
      <c r="O1256" s="95">
        <v>0.03</v>
      </c>
      <c r="P1256" s="95">
        <v>-0.03</v>
      </c>
    </row>
    <row r="1257" spans="2:21" x14ac:dyDescent="0.55000000000000004">
      <c r="B1257" s="35">
        <f t="shared" si="191"/>
        <v>22</v>
      </c>
      <c r="C1257" s="72" t="s">
        <v>146</v>
      </c>
      <c r="D1257" s="44">
        <f t="shared" si="184"/>
        <v>44126</v>
      </c>
      <c r="E1257" s="38">
        <f>7.8166</f>
        <v>7.8166000000000002</v>
      </c>
      <c r="F1257" s="39">
        <f t="shared" si="183"/>
        <v>406.5</v>
      </c>
      <c r="G1257" s="33">
        <f t="shared" si="192"/>
        <v>3183.7080000000001</v>
      </c>
      <c r="H1257" s="33">
        <f t="shared" si="188"/>
        <v>3208.6996200000003</v>
      </c>
      <c r="I1257" s="33">
        <f t="shared" si="194"/>
        <v>3208.6996199999999</v>
      </c>
      <c r="J1257" s="33">
        <f t="shared" si="185"/>
        <v>3133.46</v>
      </c>
      <c r="K1257" s="33">
        <f t="shared" si="193"/>
        <v>3133.46</v>
      </c>
      <c r="L1257" s="59">
        <f t="shared" si="186"/>
        <v>2.4011673996157692E-2</v>
      </c>
      <c r="M1257" s="60" t="str">
        <f t="shared" si="187"/>
        <v/>
      </c>
      <c r="N1257" s="76">
        <f t="shared" si="190"/>
        <v>400.08426966292137</v>
      </c>
      <c r="O1257" s="95">
        <v>0.03</v>
      </c>
      <c r="P1257" s="95">
        <v>-0.03</v>
      </c>
    </row>
    <row r="1258" spans="2:21" x14ac:dyDescent="0.55000000000000004">
      <c r="B1258" s="35">
        <f t="shared" si="191"/>
        <v>23</v>
      </c>
      <c r="C1258" s="72" t="s">
        <v>146</v>
      </c>
      <c r="D1258" s="44">
        <f t="shared" si="184"/>
        <v>44127</v>
      </c>
      <c r="E1258" s="38">
        <f>7.9522</f>
        <v>7.9522000000000004</v>
      </c>
      <c r="F1258" s="39">
        <f t="shared" ref="F1258:F1321" si="195">F1257</f>
        <v>406.5</v>
      </c>
      <c r="G1258" s="33">
        <f t="shared" si="192"/>
        <v>3177.4479000000001</v>
      </c>
      <c r="H1258" s="33">
        <f t="shared" si="188"/>
        <v>3199.8135300000004</v>
      </c>
      <c r="I1258" s="33">
        <f t="shared" si="194"/>
        <v>3199.8135299999999</v>
      </c>
      <c r="J1258" s="33">
        <f t="shared" si="185"/>
        <v>3133.46</v>
      </c>
      <c r="K1258" s="33">
        <f t="shared" si="193"/>
        <v>3133.46</v>
      </c>
      <c r="L1258" s="59">
        <f t="shared" si="186"/>
        <v>2.1175802467559925E-2</v>
      </c>
      <c r="M1258" s="60" t="str">
        <f t="shared" si="187"/>
        <v/>
      </c>
      <c r="N1258" s="76">
        <f t="shared" si="190"/>
        <v>400.87250211089219</v>
      </c>
      <c r="O1258" s="95">
        <v>0.03</v>
      </c>
      <c r="P1258" s="95">
        <v>-0.03</v>
      </c>
    </row>
    <row r="1259" spans="2:21" x14ac:dyDescent="0.55000000000000004">
      <c r="B1259" s="35">
        <f t="shared" si="191"/>
        <v>26</v>
      </c>
      <c r="C1259" s="72" t="s">
        <v>146</v>
      </c>
      <c r="D1259" s="44">
        <f t="shared" si="184"/>
        <v>44130</v>
      </c>
      <c r="E1259" s="38">
        <f>8.0429</f>
        <v>8.0428999999999995</v>
      </c>
      <c r="F1259" s="39">
        <f t="shared" si="195"/>
        <v>406.5</v>
      </c>
      <c r="G1259" s="33">
        <f t="shared" si="192"/>
        <v>3232.5693000000001</v>
      </c>
      <c r="H1259" s="33">
        <f t="shared" si="188"/>
        <v>3201.8460299999997</v>
      </c>
      <c r="I1259" s="33">
        <f t="shared" si="194"/>
        <v>3201.8460300000002</v>
      </c>
      <c r="J1259" s="33">
        <f t="shared" si="185"/>
        <v>3133.46</v>
      </c>
      <c r="K1259" s="33">
        <f t="shared" si="193"/>
        <v>3133.46</v>
      </c>
      <c r="L1259" s="59">
        <f t="shared" si="186"/>
        <v>2.1824446458547312E-2</v>
      </c>
      <c r="M1259" s="60" t="str">
        <f t="shared" si="187"/>
        <v/>
      </c>
      <c r="N1259" s="76">
        <f t="shared" si="190"/>
        <v>394.03687030004272</v>
      </c>
      <c r="O1259" s="95">
        <v>0.03</v>
      </c>
      <c r="P1259" s="95">
        <v>-0.03</v>
      </c>
    </row>
    <row r="1260" spans="2:21" x14ac:dyDescent="0.55000000000000004">
      <c r="B1260" s="35">
        <f t="shared" si="191"/>
        <v>27</v>
      </c>
      <c r="C1260" s="72" t="s">
        <v>146</v>
      </c>
      <c r="D1260" s="44">
        <f t="shared" si="184"/>
        <v>44131</v>
      </c>
      <c r="E1260" s="38">
        <f>8.1357</f>
        <v>8.1356999999999999</v>
      </c>
      <c r="F1260" s="39">
        <f t="shared" si="195"/>
        <v>406.5</v>
      </c>
      <c r="G1260" s="33">
        <f t="shared" si="192"/>
        <v>3269.43885</v>
      </c>
      <c r="H1260" s="33">
        <f t="shared" si="188"/>
        <v>3214.1142000000004</v>
      </c>
      <c r="I1260" s="33">
        <f t="shared" si="194"/>
        <v>3214.1142000000004</v>
      </c>
      <c r="J1260" s="33">
        <f t="shared" si="185"/>
        <v>3133.46</v>
      </c>
      <c r="K1260" s="33">
        <f t="shared" si="193"/>
        <v>3133.46</v>
      </c>
      <c r="L1260" s="59">
        <f t="shared" si="186"/>
        <v>2.5739661588148693E-2</v>
      </c>
      <c r="M1260" s="60" t="str">
        <f t="shared" si="187"/>
        <v/>
      </c>
      <c r="N1260" s="76">
        <f t="shared" si="190"/>
        <v>389.5933058971267</v>
      </c>
      <c r="O1260" s="95">
        <v>0.03</v>
      </c>
      <c r="P1260" s="95">
        <v>-0.03</v>
      </c>
    </row>
    <row r="1261" spans="2:21" x14ac:dyDescent="0.55000000000000004">
      <c r="B1261" s="35">
        <f t="shared" si="191"/>
        <v>28</v>
      </c>
      <c r="C1261" s="72" t="s">
        <v>146</v>
      </c>
      <c r="D1261" s="44">
        <f t="shared" si="184"/>
        <v>44132</v>
      </c>
      <c r="E1261" s="38">
        <f>8.1357</f>
        <v>8.1356999999999999</v>
      </c>
      <c r="F1261" s="39">
        <f t="shared" si="195"/>
        <v>406.5</v>
      </c>
      <c r="G1261" s="33">
        <f t="shared" si="192"/>
        <v>3307.1620499999999</v>
      </c>
      <c r="H1261" s="33">
        <f t="shared" si="188"/>
        <v>3234.0652200000004</v>
      </c>
      <c r="I1261" s="33">
        <f t="shared" si="194"/>
        <v>3234.0652199999995</v>
      </c>
      <c r="J1261" s="33">
        <f t="shared" si="185"/>
        <v>3307.1620499999999</v>
      </c>
      <c r="K1261" s="33">
        <f t="shared" si="193"/>
        <v>3133.46</v>
      </c>
      <c r="L1261" s="59">
        <f t="shared" si="186"/>
        <v>3.2106751003682946E-2</v>
      </c>
      <c r="M1261" s="60">
        <f t="shared" si="187"/>
        <v>173.70204999999987</v>
      </c>
      <c r="N1261" s="76">
        <f t="shared" si="190"/>
        <v>385.14940324741571</v>
      </c>
    </row>
    <row r="1262" spans="2:21" x14ac:dyDescent="0.55000000000000004">
      <c r="B1262" s="35">
        <f t="shared" si="191"/>
        <v>29</v>
      </c>
      <c r="C1262" s="72" t="s">
        <v>146</v>
      </c>
      <c r="D1262" s="44">
        <f t="shared" si="184"/>
        <v>44133</v>
      </c>
      <c r="E1262" s="38">
        <f>E1261</f>
        <v>8.1356999999999999</v>
      </c>
      <c r="F1262" s="39">
        <f t="shared" si="195"/>
        <v>406.5</v>
      </c>
      <c r="G1262" s="33">
        <f t="shared" si="192"/>
        <v>3307.1620499999999</v>
      </c>
      <c r="H1262" s="33">
        <f t="shared" si="188"/>
        <v>3307.1620499999999</v>
      </c>
      <c r="I1262" s="33">
        <f t="shared" si="194"/>
        <v>3258.75603</v>
      </c>
      <c r="J1262" s="33">
        <f t="shared" si="185"/>
        <v>3307.1620499999999</v>
      </c>
      <c r="K1262" s="33">
        <f t="shared" si="193"/>
        <v>3307.1620499999999</v>
      </c>
      <c r="L1262" s="59">
        <f t="shared" si="186"/>
        <v>0</v>
      </c>
      <c r="M1262" s="60" t="str">
        <f t="shared" si="187"/>
        <v/>
      </c>
      <c r="N1262" s="76">
        <f t="shared" si="190"/>
        <v>406.5</v>
      </c>
    </row>
    <row r="1263" spans="2:21" x14ac:dyDescent="0.55000000000000004">
      <c r="B1263" s="35">
        <f t="shared" si="191"/>
        <v>30</v>
      </c>
      <c r="C1263" s="72" t="s">
        <v>146</v>
      </c>
      <c r="D1263" s="44">
        <f t="shared" si="184"/>
        <v>44134</v>
      </c>
      <c r="E1263" s="38">
        <v>8.3231999999999999</v>
      </c>
      <c r="F1263" s="39">
        <f t="shared" si="195"/>
        <v>406.5</v>
      </c>
      <c r="G1263" s="33">
        <f t="shared" si="192"/>
        <v>3307.1620499999999</v>
      </c>
      <c r="H1263" s="33">
        <f t="shared" si="188"/>
        <v>3307.1620499999999</v>
      </c>
      <c r="I1263" s="33">
        <f t="shared" si="194"/>
        <v>3284.69886</v>
      </c>
      <c r="J1263" s="33">
        <f t="shared" si="185"/>
        <v>3307.1620499999999</v>
      </c>
      <c r="K1263" s="33">
        <f t="shared" si="193"/>
        <v>3307.1620499999999</v>
      </c>
      <c r="L1263" s="59">
        <f t="shared" si="186"/>
        <v>0</v>
      </c>
      <c r="M1263" s="60" t="str">
        <f t="shared" si="187"/>
        <v/>
      </c>
    </row>
    <row r="1264" spans="2:21" x14ac:dyDescent="0.55000000000000004">
      <c r="B1264" s="35">
        <f t="shared" si="191"/>
        <v>2</v>
      </c>
      <c r="C1264" s="72" t="s">
        <v>147</v>
      </c>
      <c r="D1264" s="44">
        <f t="shared" si="184"/>
        <v>44137</v>
      </c>
      <c r="E1264" s="38">
        <f>8.3911</f>
        <v>8.3910999999999998</v>
      </c>
      <c r="F1264" s="39">
        <v>428</v>
      </c>
      <c r="G1264" s="33">
        <f t="shared" si="192"/>
        <v>3562.3296</v>
      </c>
      <c r="H1264" s="33">
        <f t="shared" si="188"/>
        <v>3392.2178999999996</v>
      </c>
      <c r="I1264" s="33">
        <f t="shared" si="194"/>
        <v>3490.1859200000004</v>
      </c>
      <c r="J1264" s="33">
        <f t="shared" si="185"/>
        <v>3307.1620499999999</v>
      </c>
      <c r="K1264" s="33">
        <f t="shared" si="193"/>
        <v>3307.1620499999999</v>
      </c>
      <c r="L1264" s="59">
        <f t="shared" si="186"/>
        <v>2.5718682276243385E-2</v>
      </c>
      <c r="M1264" s="60" t="str">
        <f t="shared" si="187"/>
        <v/>
      </c>
    </row>
    <row r="1265" spans="2:13" x14ac:dyDescent="0.55000000000000004">
      <c r="B1265" s="35">
        <f t="shared" si="191"/>
        <v>3</v>
      </c>
      <c r="C1265" s="72" t="s">
        <v>147</v>
      </c>
      <c r="D1265" s="44">
        <f t="shared" si="184"/>
        <v>44138</v>
      </c>
      <c r="E1265" s="38">
        <f>8.4698</f>
        <v>8.4697999999999993</v>
      </c>
      <c r="F1265" s="39">
        <f t="shared" si="195"/>
        <v>428</v>
      </c>
      <c r="G1265" s="33">
        <f t="shared" si="192"/>
        <v>3591.3908000000001</v>
      </c>
      <c r="H1265" s="33">
        <f t="shared" si="188"/>
        <v>3442.011125</v>
      </c>
      <c r="I1265" s="33">
        <f t="shared" si="194"/>
        <v>3519.9918400000001</v>
      </c>
      <c r="J1265" s="33">
        <f t="shared" si="185"/>
        <v>3591.3908000000001</v>
      </c>
      <c r="K1265" s="33">
        <f t="shared" si="193"/>
        <v>3307.1620499999999</v>
      </c>
      <c r="L1265" s="59">
        <f t="shared" si="186"/>
        <v>4.0774861637034109E-2</v>
      </c>
      <c r="M1265" s="60">
        <f t="shared" si="187"/>
        <v>284.19795000000022</v>
      </c>
    </row>
    <row r="1266" spans="2:13" x14ac:dyDescent="0.55000000000000004">
      <c r="B1266" s="35">
        <f t="shared" si="191"/>
        <v>4</v>
      </c>
      <c r="C1266" s="72" t="s">
        <v>147</v>
      </c>
      <c r="D1266" s="44">
        <f t="shared" si="184"/>
        <v>44139</v>
      </c>
      <c r="E1266" s="38">
        <f>8.4705</f>
        <v>8.4704999999999995</v>
      </c>
      <c r="F1266" s="39">
        <f t="shared" si="195"/>
        <v>428</v>
      </c>
      <c r="G1266" s="33">
        <f t="shared" si="192"/>
        <v>3625.0743999999995</v>
      </c>
      <c r="H1266" s="33">
        <f t="shared" si="188"/>
        <v>3625.0743999999995</v>
      </c>
      <c r="I1266" s="33">
        <f t="shared" si="194"/>
        <v>3548.5907999999999</v>
      </c>
      <c r="J1266" s="33">
        <v>3591.36</v>
      </c>
      <c r="K1266" s="33">
        <v>3591.36</v>
      </c>
      <c r="L1266" s="59">
        <f t="shared" si="186"/>
        <v>9.3876414505923624E-3</v>
      </c>
      <c r="M1266" s="60" t="str">
        <f t="shared" si="187"/>
        <v/>
      </c>
    </row>
    <row r="1267" spans="2:13" x14ac:dyDescent="0.55000000000000004">
      <c r="B1267" s="35">
        <f t="shared" si="191"/>
        <v>5</v>
      </c>
      <c r="C1267" s="72" t="s">
        <v>147</v>
      </c>
      <c r="D1267" s="44">
        <f t="shared" si="184"/>
        <v>44140</v>
      </c>
      <c r="E1267" s="38">
        <f>8.4569</f>
        <v>8.4568999999999992</v>
      </c>
      <c r="F1267" s="39">
        <f t="shared" si="195"/>
        <v>428</v>
      </c>
      <c r="G1267" s="33">
        <f t="shared" si="192"/>
        <v>3625.3739999999998</v>
      </c>
      <c r="H1267" s="33">
        <f t="shared" si="188"/>
        <v>3625.2241999999997</v>
      </c>
      <c r="I1267" s="33">
        <f t="shared" si="194"/>
        <v>3577.2496799999999</v>
      </c>
      <c r="J1267" s="33">
        <f t="shared" si="185"/>
        <v>3591.36</v>
      </c>
      <c r="K1267" s="33">
        <f t="shared" si="193"/>
        <v>3591.36</v>
      </c>
      <c r="L1267" s="59">
        <f t="shared" si="186"/>
        <v>9.4293526686267948E-3</v>
      </c>
      <c r="M1267" s="60" t="str">
        <f t="shared" si="187"/>
        <v/>
      </c>
    </row>
    <row r="1268" spans="2:13" x14ac:dyDescent="0.55000000000000004">
      <c r="B1268" s="35">
        <f t="shared" si="191"/>
        <v>6</v>
      </c>
      <c r="C1268" s="72" t="s">
        <v>147</v>
      </c>
      <c r="D1268" s="44">
        <f t="shared" si="184"/>
        <v>44141</v>
      </c>
      <c r="E1268" s="38">
        <f>8.4765</f>
        <v>8.4764999999999997</v>
      </c>
      <c r="F1268" s="39">
        <f t="shared" si="195"/>
        <v>428</v>
      </c>
      <c r="G1268" s="33">
        <f t="shared" si="192"/>
        <v>3619.5531999999998</v>
      </c>
      <c r="H1268" s="33">
        <f t="shared" si="188"/>
        <v>3623.3338666666664</v>
      </c>
      <c r="I1268" s="33">
        <f t="shared" si="194"/>
        <v>3604.7444</v>
      </c>
      <c r="J1268" s="33">
        <f t="shared" si="185"/>
        <v>3591.36</v>
      </c>
      <c r="K1268" s="33">
        <f t="shared" si="193"/>
        <v>3591.36</v>
      </c>
      <c r="L1268" s="59">
        <f t="shared" si="186"/>
        <v>8.9029968220023202E-3</v>
      </c>
      <c r="M1268" s="60" t="str">
        <f t="shared" si="187"/>
        <v/>
      </c>
    </row>
    <row r="1269" spans="2:13" x14ac:dyDescent="0.55000000000000004">
      <c r="B1269" s="35">
        <f t="shared" si="191"/>
        <v>9</v>
      </c>
      <c r="C1269" s="72" t="s">
        <v>147</v>
      </c>
      <c r="D1269" s="44">
        <f t="shared" si="184"/>
        <v>44144</v>
      </c>
      <c r="E1269" s="38">
        <f>8.1926</f>
        <v>8.1926000000000005</v>
      </c>
      <c r="F1269" s="39">
        <f t="shared" si="195"/>
        <v>428</v>
      </c>
      <c r="G1269" s="33">
        <f t="shared" si="192"/>
        <v>3627.942</v>
      </c>
      <c r="H1269" s="33">
        <f t="shared" si="188"/>
        <v>3624.4858999999997</v>
      </c>
      <c r="I1269" s="33">
        <f t="shared" si="194"/>
        <v>3617.8668800000005</v>
      </c>
      <c r="J1269" s="33">
        <f t="shared" si="185"/>
        <v>3591.36</v>
      </c>
      <c r="K1269" s="33">
        <f t="shared" si="193"/>
        <v>3591.36</v>
      </c>
      <c r="L1269" s="59">
        <f t="shared" si="186"/>
        <v>9.2237759511715738E-3</v>
      </c>
      <c r="M1269" s="60" t="str">
        <f t="shared" si="187"/>
        <v/>
      </c>
    </row>
    <row r="1270" spans="2:13" x14ac:dyDescent="0.55000000000000004">
      <c r="B1270" s="35">
        <f t="shared" si="191"/>
        <v>10</v>
      </c>
      <c r="C1270" s="72" t="s">
        <v>147</v>
      </c>
      <c r="D1270" s="44">
        <f t="shared" si="184"/>
        <v>44145</v>
      </c>
      <c r="E1270" s="38">
        <v>8.2507000000000001</v>
      </c>
      <c r="F1270" s="39">
        <f t="shared" si="195"/>
        <v>428</v>
      </c>
      <c r="G1270" s="33">
        <f t="shared" si="192"/>
        <v>3506.4328</v>
      </c>
      <c r="H1270" s="33">
        <f t="shared" si="188"/>
        <v>3600.8752799999993</v>
      </c>
      <c r="I1270" s="33">
        <f t="shared" si="194"/>
        <v>3600.8752799999997</v>
      </c>
      <c r="J1270" s="33">
        <f t="shared" si="185"/>
        <v>3591.36</v>
      </c>
      <c r="K1270" s="33">
        <f t="shared" si="193"/>
        <v>3591.36</v>
      </c>
      <c r="L1270" s="59">
        <f t="shared" si="186"/>
        <v>2.6494921144076798E-3</v>
      </c>
      <c r="M1270" s="60" t="str">
        <f t="shared" si="187"/>
        <v/>
      </c>
    </row>
    <row r="1271" spans="2:13" x14ac:dyDescent="0.55000000000000004">
      <c r="B1271" s="35">
        <f t="shared" si="191"/>
        <v>11</v>
      </c>
      <c r="C1271" s="72" t="s">
        <v>147</v>
      </c>
      <c r="D1271" s="44">
        <f t="shared" si="184"/>
        <v>44146</v>
      </c>
      <c r="E1271" s="38">
        <v>8.0622000000000007</v>
      </c>
      <c r="F1271" s="39">
        <f t="shared" si="195"/>
        <v>428</v>
      </c>
      <c r="G1271" s="33">
        <f t="shared" si="192"/>
        <v>3531.2996000000003</v>
      </c>
      <c r="H1271" s="33">
        <f t="shared" si="188"/>
        <v>3582.1203200000004</v>
      </c>
      <c r="I1271" s="33">
        <f t="shared" si="194"/>
        <v>3582.1203200000004</v>
      </c>
      <c r="J1271" s="33">
        <f t="shared" si="185"/>
        <v>3591.36</v>
      </c>
      <c r="K1271" s="33">
        <f t="shared" si="193"/>
        <v>3591.36</v>
      </c>
      <c r="L1271" s="59">
        <f t="shared" si="186"/>
        <v>-2.5727523834980842E-3</v>
      </c>
      <c r="M1271" s="60" t="str">
        <f t="shared" si="187"/>
        <v/>
      </c>
    </row>
    <row r="1272" spans="2:13" x14ac:dyDescent="0.55000000000000004">
      <c r="B1272" s="35">
        <f t="shared" si="191"/>
        <v>12</v>
      </c>
      <c r="C1272" s="72" t="s">
        <v>147</v>
      </c>
      <c r="D1272" s="44">
        <f t="shared" si="184"/>
        <v>44147</v>
      </c>
      <c r="E1272" s="38">
        <f>7.8037</f>
        <v>7.8037000000000001</v>
      </c>
      <c r="F1272" s="39">
        <f t="shared" si="195"/>
        <v>428</v>
      </c>
      <c r="G1272" s="33">
        <f t="shared" si="192"/>
        <v>3450.6216000000004</v>
      </c>
      <c r="H1272" s="33">
        <f t="shared" si="188"/>
        <v>3547.16984</v>
      </c>
      <c r="I1272" s="33">
        <f t="shared" si="194"/>
        <v>3547.1698400000005</v>
      </c>
      <c r="J1272" s="33">
        <f t="shared" si="185"/>
        <v>3591.36</v>
      </c>
      <c r="K1272" s="33">
        <f t="shared" si="193"/>
        <v>3591.36</v>
      </c>
      <c r="L1272" s="59">
        <f t="shared" si="186"/>
        <v>-1.2304575425465591E-2</v>
      </c>
      <c r="M1272" s="60" t="str">
        <f t="shared" si="187"/>
        <v/>
      </c>
    </row>
    <row r="1273" spans="2:13" x14ac:dyDescent="0.55000000000000004">
      <c r="B1273" s="35">
        <f t="shared" si="191"/>
        <v>13</v>
      </c>
      <c r="C1273" s="72" t="s">
        <v>147</v>
      </c>
      <c r="D1273" s="44">
        <f t="shared" si="184"/>
        <v>44148</v>
      </c>
      <c r="E1273" s="38">
        <f>7.6435</f>
        <v>7.6435000000000004</v>
      </c>
      <c r="F1273" s="39">
        <f t="shared" si="195"/>
        <v>428</v>
      </c>
      <c r="G1273" s="33">
        <f t="shared" si="192"/>
        <v>3339.9836</v>
      </c>
      <c r="H1273" s="33">
        <f t="shared" si="188"/>
        <v>3491.2559200000005</v>
      </c>
      <c r="I1273" s="33">
        <f t="shared" si="194"/>
        <v>3491.2559200000001</v>
      </c>
      <c r="J1273" s="33">
        <f t="shared" si="185"/>
        <v>3591.36</v>
      </c>
      <c r="K1273" s="33">
        <f t="shared" si="193"/>
        <v>3591.36</v>
      </c>
      <c r="L1273" s="59">
        <f t="shared" si="186"/>
        <v>-2.7873585494074558E-2</v>
      </c>
      <c r="M1273" s="60" t="str">
        <f t="shared" si="187"/>
        <v/>
      </c>
    </row>
    <row r="1274" spans="2:13" x14ac:dyDescent="0.55000000000000004">
      <c r="B1274" s="35">
        <f t="shared" si="191"/>
        <v>16</v>
      </c>
      <c r="C1274" s="72" t="s">
        <v>147</v>
      </c>
      <c r="D1274" s="44">
        <f t="shared" ref="D1274:D1337" si="196">WORKDAY(D1273,1)</f>
        <v>44151</v>
      </c>
      <c r="E1274" s="38">
        <f>7.6889</f>
        <v>7.6889000000000003</v>
      </c>
      <c r="F1274" s="39">
        <f t="shared" si="195"/>
        <v>428</v>
      </c>
      <c r="G1274" s="33">
        <v>3271.36</v>
      </c>
      <c r="H1274" s="33">
        <f t="shared" si="188"/>
        <v>3419.9395199999999</v>
      </c>
      <c r="I1274" s="33">
        <f t="shared" si="194"/>
        <v>3419.9511200000006</v>
      </c>
      <c r="J1274" s="33">
        <f t="shared" si="185"/>
        <v>3271.36</v>
      </c>
      <c r="K1274" s="33">
        <f t="shared" si="193"/>
        <v>3591.36</v>
      </c>
      <c r="L1274" s="59">
        <f t="shared" si="186"/>
        <v>-4.7731355252606314E-2</v>
      </c>
      <c r="M1274" s="60">
        <f t="shared" si="187"/>
        <v>-320</v>
      </c>
    </row>
    <row r="1275" spans="2:13" x14ac:dyDescent="0.55000000000000004">
      <c r="B1275" s="35">
        <f t="shared" si="191"/>
        <v>17</v>
      </c>
      <c r="C1275" s="72" t="s">
        <v>147</v>
      </c>
      <c r="D1275" s="44">
        <f t="shared" si="196"/>
        <v>44152</v>
      </c>
      <c r="E1275" s="38">
        <v>7.7533000000000003</v>
      </c>
      <c r="F1275" s="39">
        <f t="shared" si="195"/>
        <v>428</v>
      </c>
      <c r="G1275" s="33">
        <f t="shared" ref="G1275:G1338" si="197">E1274*F1275</f>
        <v>3290.8492000000001</v>
      </c>
      <c r="H1275" s="33">
        <f t="shared" si="188"/>
        <v>3290.8492000000001</v>
      </c>
      <c r="I1275" s="33">
        <f t="shared" si="194"/>
        <v>3376.8343999999997</v>
      </c>
      <c r="J1275" s="33">
        <f t="shared" si="185"/>
        <v>3271.36</v>
      </c>
      <c r="K1275" s="33">
        <v>3271.36</v>
      </c>
      <c r="L1275" s="59">
        <f t="shared" si="186"/>
        <v>5.957522253741558E-3</v>
      </c>
      <c r="M1275" s="60" t="str">
        <f t="shared" si="187"/>
        <v/>
      </c>
    </row>
    <row r="1276" spans="2:13" x14ac:dyDescent="0.55000000000000004">
      <c r="B1276" s="35">
        <f t="shared" si="191"/>
        <v>18</v>
      </c>
      <c r="C1276" s="72" t="s">
        <v>147</v>
      </c>
      <c r="D1276" s="44">
        <f t="shared" si="196"/>
        <v>44153</v>
      </c>
      <c r="E1276" s="38">
        <f>7.73</f>
        <v>7.73</v>
      </c>
      <c r="F1276" s="39">
        <f t="shared" si="195"/>
        <v>428</v>
      </c>
      <c r="G1276" s="33">
        <f t="shared" si="197"/>
        <v>3318.4124000000002</v>
      </c>
      <c r="H1276" s="33">
        <f t="shared" si="188"/>
        <v>3304.6307999999999</v>
      </c>
      <c r="I1276" s="33">
        <f t="shared" si="194"/>
        <v>3334.2569599999997</v>
      </c>
      <c r="J1276" s="33">
        <f t="shared" si="185"/>
        <v>3271.36</v>
      </c>
      <c r="K1276" s="33">
        <f t="shared" si="193"/>
        <v>3271.36</v>
      </c>
      <c r="L1276" s="59">
        <f t="shared" si="186"/>
        <v>1.0170326714271673E-2</v>
      </c>
      <c r="M1276" s="60" t="str">
        <f t="shared" si="187"/>
        <v/>
      </c>
    </row>
    <row r="1277" spans="2:13" x14ac:dyDescent="0.55000000000000004">
      <c r="B1277" s="35">
        <f t="shared" si="191"/>
        <v>19</v>
      </c>
      <c r="C1277" s="72" t="s">
        <v>147</v>
      </c>
      <c r="D1277" s="44">
        <f t="shared" si="196"/>
        <v>44154</v>
      </c>
      <c r="E1277" s="38">
        <f>7.6837</f>
        <v>7.6837</v>
      </c>
      <c r="F1277" s="39">
        <f t="shared" si="195"/>
        <v>428</v>
      </c>
      <c r="G1277" s="33">
        <f t="shared" si="197"/>
        <v>3308.44</v>
      </c>
      <c r="H1277" s="33">
        <f t="shared" si="188"/>
        <v>3305.9005333333334</v>
      </c>
      <c r="I1277" s="33">
        <f t="shared" si="194"/>
        <v>3305.8206399999999</v>
      </c>
      <c r="J1277" s="33">
        <f t="shared" ref="J1277:J1340" si="198">IF(L1277&gt;3%,G1277,IF(L1277&lt;-3%,G1277,J1276))</f>
        <v>3271.36</v>
      </c>
      <c r="K1277" s="33">
        <f t="shared" si="193"/>
        <v>3271.36</v>
      </c>
      <c r="L1277" s="59">
        <f t="shared" si="186"/>
        <v>1.0558462943036936E-2</v>
      </c>
      <c r="M1277" s="60" t="str">
        <f t="shared" si="187"/>
        <v/>
      </c>
    </row>
    <row r="1278" spans="2:13" x14ac:dyDescent="0.55000000000000004">
      <c r="B1278" s="35">
        <f t="shared" si="191"/>
        <v>20</v>
      </c>
      <c r="C1278" s="72" t="s">
        <v>147</v>
      </c>
      <c r="D1278" s="44">
        <f t="shared" si="196"/>
        <v>44155</v>
      </c>
      <c r="E1278" s="38">
        <f>7.5922</f>
        <v>7.5922000000000001</v>
      </c>
      <c r="F1278" s="39">
        <f t="shared" si="195"/>
        <v>428</v>
      </c>
      <c r="G1278" s="33">
        <f t="shared" si="197"/>
        <v>3288.6235999999999</v>
      </c>
      <c r="H1278" s="33">
        <f t="shared" si="188"/>
        <v>3301.5812999999998</v>
      </c>
      <c r="I1278" s="33">
        <f t="shared" si="194"/>
        <v>3295.54864</v>
      </c>
      <c r="J1278" s="33">
        <f t="shared" si="198"/>
        <v>3271.36</v>
      </c>
      <c r="K1278" s="33">
        <f t="shared" si="193"/>
        <v>3271.36</v>
      </c>
      <c r="L1278" s="59">
        <f t="shared" ref="L1278:L1341" si="199">(H1278-K1278)/K1278</f>
        <v>9.2381456030518495E-3</v>
      </c>
      <c r="M1278" s="60" t="str">
        <f t="shared" ref="M1278:M1341" si="200">IF(OR(L1278&lt;-3%,L1278&gt;3%),K1279-K1278,"")</f>
        <v/>
      </c>
    </row>
    <row r="1279" spans="2:13" x14ac:dyDescent="0.55000000000000004">
      <c r="B1279" s="35">
        <f t="shared" si="191"/>
        <v>23</v>
      </c>
      <c r="C1279" s="72" t="s">
        <v>147</v>
      </c>
      <c r="D1279" s="44">
        <f t="shared" si="196"/>
        <v>44158</v>
      </c>
      <c r="E1279" s="38">
        <f>7.7733</f>
        <v>7.7732999999999999</v>
      </c>
      <c r="F1279" s="39">
        <f t="shared" si="195"/>
        <v>428</v>
      </c>
      <c r="G1279" s="33">
        <f t="shared" si="197"/>
        <v>3249.4616000000001</v>
      </c>
      <c r="H1279" s="33">
        <f t="shared" si="188"/>
        <v>3291.1573599999997</v>
      </c>
      <c r="I1279" s="33">
        <f t="shared" si="194"/>
        <v>3291.1573599999997</v>
      </c>
      <c r="J1279" s="33">
        <f t="shared" si="198"/>
        <v>3271.36</v>
      </c>
      <c r="K1279" s="33">
        <f t="shared" si="193"/>
        <v>3271.36</v>
      </c>
      <c r="L1279" s="59">
        <f t="shared" si="199"/>
        <v>6.0517216081383803E-3</v>
      </c>
      <c r="M1279" s="60" t="str">
        <f t="shared" si="200"/>
        <v/>
      </c>
    </row>
    <row r="1280" spans="2:13" x14ac:dyDescent="0.55000000000000004">
      <c r="B1280" s="35">
        <f t="shared" si="191"/>
        <v>24</v>
      </c>
      <c r="C1280" s="72" t="s">
        <v>147</v>
      </c>
      <c r="D1280" s="44">
        <f t="shared" si="196"/>
        <v>44159</v>
      </c>
      <c r="E1280" s="38">
        <f>7.9313</f>
        <v>7.9313000000000002</v>
      </c>
      <c r="F1280" s="39">
        <f t="shared" si="195"/>
        <v>428</v>
      </c>
      <c r="G1280" s="33">
        <f t="shared" si="197"/>
        <v>3326.9724000000001</v>
      </c>
      <c r="H1280" s="33">
        <f t="shared" si="188"/>
        <v>3298.3820000000001</v>
      </c>
      <c r="I1280" s="33">
        <f t="shared" si="194"/>
        <v>3298.3820000000001</v>
      </c>
      <c r="J1280" s="33">
        <f t="shared" si="198"/>
        <v>3271.36</v>
      </c>
      <c r="K1280" s="33">
        <f t="shared" si="193"/>
        <v>3271.36</v>
      </c>
      <c r="L1280" s="59">
        <f t="shared" si="199"/>
        <v>8.260173139000274E-3</v>
      </c>
      <c r="M1280" s="60" t="str">
        <f t="shared" si="200"/>
        <v/>
      </c>
    </row>
    <row r="1281" spans="2:13" x14ac:dyDescent="0.55000000000000004">
      <c r="B1281" s="35">
        <f t="shared" si="191"/>
        <v>25</v>
      </c>
      <c r="C1281" s="72" t="s">
        <v>147</v>
      </c>
      <c r="D1281" s="44">
        <f t="shared" si="196"/>
        <v>44160</v>
      </c>
      <c r="E1281" s="38">
        <v>7.9558</v>
      </c>
      <c r="F1281" s="39">
        <f t="shared" si="195"/>
        <v>428</v>
      </c>
      <c r="G1281" s="33">
        <f t="shared" si="197"/>
        <v>3394.5963999999999</v>
      </c>
      <c r="H1281" s="33">
        <f t="shared" si="188"/>
        <v>3313.6188000000002</v>
      </c>
      <c r="I1281" s="33">
        <f t="shared" si="194"/>
        <v>3313.6187999999997</v>
      </c>
      <c r="J1281" s="33">
        <f t="shared" si="198"/>
        <v>3271.36</v>
      </c>
      <c r="K1281" s="33">
        <f t="shared" si="193"/>
        <v>3271.36</v>
      </c>
      <c r="L1281" s="59">
        <f t="shared" si="199"/>
        <v>1.2917807884182744E-2</v>
      </c>
      <c r="M1281" s="60" t="str">
        <f t="shared" si="200"/>
        <v/>
      </c>
    </row>
    <row r="1282" spans="2:13" x14ac:dyDescent="0.55000000000000004">
      <c r="B1282" s="35">
        <f t="shared" si="191"/>
        <v>26</v>
      </c>
      <c r="C1282" s="72" t="s">
        <v>147</v>
      </c>
      <c r="D1282" s="44">
        <f t="shared" si="196"/>
        <v>44161</v>
      </c>
      <c r="E1282" s="38">
        <f>7.9088</f>
        <v>7.9088000000000003</v>
      </c>
      <c r="F1282" s="39">
        <f t="shared" si="195"/>
        <v>428</v>
      </c>
      <c r="G1282" s="33">
        <f t="shared" si="197"/>
        <v>3405.0823999999998</v>
      </c>
      <c r="H1282" s="33">
        <f t="shared" si="188"/>
        <v>3332.9472800000003</v>
      </c>
      <c r="I1282" s="33">
        <f t="shared" si="194"/>
        <v>3332.9472800000003</v>
      </c>
      <c r="J1282" s="33">
        <f t="shared" si="198"/>
        <v>3271.36</v>
      </c>
      <c r="K1282" s="33">
        <f t="shared" si="193"/>
        <v>3271.36</v>
      </c>
      <c r="L1282" s="59">
        <f t="shared" si="199"/>
        <v>1.8826200723858027E-2</v>
      </c>
      <c r="M1282" s="60" t="str">
        <f t="shared" si="200"/>
        <v/>
      </c>
    </row>
    <row r="1283" spans="2:13" x14ac:dyDescent="0.55000000000000004">
      <c r="B1283" s="35">
        <f t="shared" si="191"/>
        <v>27</v>
      </c>
      <c r="C1283" s="72" t="s">
        <v>147</v>
      </c>
      <c r="D1283" s="44">
        <f t="shared" si="196"/>
        <v>44162</v>
      </c>
      <c r="E1283" s="38">
        <v>7.8116000000000003</v>
      </c>
      <c r="F1283" s="39">
        <f t="shared" si="195"/>
        <v>428</v>
      </c>
      <c r="G1283" s="33">
        <f t="shared" si="197"/>
        <v>3384.9664000000002</v>
      </c>
      <c r="H1283" s="33">
        <f t="shared" si="188"/>
        <v>3352.2158399999998</v>
      </c>
      <c r="I1283" s="33">
        <f t="shared" si="194"/>
        <v>3352.2158399999998</v>
      </c>
      <c r="J1283" s="33">
        <f t="shared" si="198"/>
        <v>3271.36</v>
      </c>
      <c r="K1283" s="33">
        <f t="shared" si="193"/>
        <v>3271.36</v>
      </c>
      <c r="L1283" s="59">
        <f t="shared" si="199"/>
        <v>2.4716277022400382E-2</v>
      </c>
      <c r="M1283" s="60" t="str">
        <f t="shared" si="200"/>
        <v/>
      </c>
    </row>
    <row r="1284" spans="2:13" x14ac:dyDescent="0.55000000000000004">
      <c r="B1284" s="35">
        <f t="shared" si="191"/>
        <v>30</v>
      </c>
      <c r="C1284" s="72" t="s">
        <v>147</v>
      </c>
      <c r="D1284" s="44">
        <f t="shared" si="196"/>
        <v>44165</v>
      </c>
      <c r="E1284" s="38">
        <f>7.8032</f>
        <v>7.8032000000000004</v>
      </c>
      <c r="F1284" s="39">
        <f t="shared" si="195"/>
        <v>428</v>
      </c>
      <c r="G1284" s="33">
        <f t="shared" si="197"/>
        <v>3343.3648000000003</v>
      </c>
      <c r="H1284" s="33">
        <f t="shared" si="188"/>
        <v>3370.9964800000002</v>
      </c>
      <c r="I1284" s="33">
        <f t="shared" si="194"/>
        <v>3370.9964800000002</v>
      </c>
      <c r="J1284" s="33">
        <f t="shared" si="198"/>
        <v>3343.3648000000003</v>
      </c>
      <c r="K1284" s="33">
        <f t="shared" si="193"/>
        <v>3271.36</v>
      </c>
      <c r="L1284" s="59">
        <f t="shared" si="199"/>
        <v>3.0457204343147838E-2</v>
      </c>
      <c r="M1284" s="60">
        <f t="shared" si="200"/>
        <v>72.004800000000159</v>
      </c>
    </row>
    <row r="1285" spans="2:13" x14ac:dyDescent="0.55000000000000004">
      <c r="B1285" s="35">
        <f t="shared" si="191"/>
        <v>1</v>
      </c>
      <c r="C1285" s="72" t="s">
        <v>148</v>
      </c>
      <c r="D1285" s="44">
        <f t="shared" si="196"/>
        <v>44166</v>
      </c>
      <c r="E1285" s="38">
        <f>7.8553</f>
        <v>7.8552999999999997</v>
      </c>
      <c r="F1285" s="39">
        <f>(375*0.3+420*0.7)+40</f>
        <v>446.5</v>
      </c>
      <c r="G1285" s="33">
        <f t="shared" si="197"/>
        <v>3484.1288</v>
      </c>
      <c r="H1285" s="33">
        <f t="shared" si="188"/>
        <v>3484.1288</v>
      </c>
      <c r="I1285" s="33">
        <f t="shared" si="194"/>
        <v>3519.3755100000008</v>
      </c>
      <c r="J1285" s="33">
        <f t="shared" si="198"/>
        <v>3484.1288</v>
      </c>
      <c r="K1285" s="33">
        <f t="shared" si="193"/>
        <v>3343.3648000000003</v>
      </c>
      <c r="L1285" s="59">
        <f t="shared" si="199"/>
        <v>4.2102495067244727E-2</v>
      </c>
      <c r="M1285" s="60">
        <f t="shared" si="200"/>
        <v>139.69519999999966</v>
      </c>
    </row>
    <row r="1286" spans="2:13" x14ac:dyDescent="0.55000000000000004">
      <c r="B1286" s="35">
        <f t="shared" si="191"/>
        <v>2</v>
      </c>
      <c r="C1286" s="72" t="s">
        <v>148</v>
      </c>
      <c r="D1286" s="44">
        <f t="shared" si="196"/>
        <v>44167</v>
      </c>
      <c r="E1286" s="38">
        <v>7.8220999999999998</v>
      </c>
      <c r="F1286" s="39">
        <f t="shared" si="195"/>
        <v>446.5</v>
      </c>
      <c r="G1286" s="33">
        <f t="shared" si="197"/>
        <v>3507.3914500000001</v>
      </c>
      <c r="H1286" s="33">
        <f t="shared" si="188"/>
        <v>3507.3914500000001</v>
      </c>
      <c r="I1286" s="33">
        <f t="shared" si="194"/>
        <v>3512.58871</v>
      </c>
      <c r="J1286" s="33">
        <f t="shared" si="198"/>
        <v>3484.1288</v>
      </c>
      <c r="K1286" s="33">
        <f>3483.06</f>
        <v>3483.06</v>
      </c>
      <c r="L1286" s="59">
        <f t="shared" si="199"/>
        <v>6.9856534196942148E-3</v>
      </c>
      <c r="M1286" s="60" t="str">
        <f t="shared" si="200"/>
        <v/>
      </c>
    </row>
    <row r="1287" spans="2:13" x14ac:dyDescent="0.55000000000000004">
      <c r="B1287" s="35">
        <f t="shared" si="191"/>
        <v>3</v>
      </c>
      <c r="C1287" s="72" t="s">
        <v>148</v>
      </c>
      <c r="D1287" s="44">
        <f t="shared" si="196"/>
        <v>44168</v>
      </c>
      <c r="E1287" s="38">
        <f>7.8614</f>
        <v>7.8613999999999997</v>
      </c>
      <c r="F1287" s="39">
        <f t="shared" si="195"/>
        <v>446.5</v>
      </c>
      <c r="G1287" s="33">
        <f t="shared" si="197"/>
        <v>3492.56765</v>
      </c>
      <c r="H1287" s="33">
        <f t="shared" si="188"/>
        <v>3499.97955</v>
      </c>
      <c r="I1287" s="33">
        <f t="shared" si="194"/>
        <v>3500.6493</v>
      </c>
      <c r="J1287" s="33">
        <f t="shared" si="198"/>
        <v>3484.1288</v>
      </c>
      <c r="K1287" s="33">
        <f t="shared" si="193"/>
        <v>3483.06</v>
      </c>
      <c r="L1287" s="59">
        <f t="shared" si="199"/>
        <v>4.8576682572221185E-3</v>
      </c>
      <c r="M1287" s="60" t="str">
        <f t="shared" si="200"/>
        <v/>
      </c>
    </row>
    <row r="1288" spans="2:13" x14ac:dyDescent="0.55000000000000004">
      <c r="B1288" s="35">
        <f t="shared" si="191"/>
        <v>4</v>
      </c>
      <c r="C1288" s="72" t="s">
        <v>148</v>
      </c>
      <c r="D1288" s="44">
        <f t="shared" si="196"/>
        <v>44169</v>
      </c>
      <c r="E1288" s="38">
        <f>7.8116</f>
        <v>7.8116000000000003</v>
      </c>
      <c r="F1288" s="39">
        <f t="shared" si="195"/>
        <v>446.5</v>
      </c>
      <c r="G1288" s="33">
        <f t="shared" si="197"/>
        <v>3510.1151</v>
      </c>
      <c r="H1288" s="33">
        <f t="shared" si="188"/>
        <v>3503.3580666666662</v>
      </c>
      <c r="I1288" s="33">
        <f t="shared" si="194"/>
        <v>3496.4164799999999</v>
      </c>
      <c r="J1288" s="33">
        <f t="shared" si="198"/>
        <v>3484.1288</v>
      </c>
      <c r="K1288" s="33">
        <f t="shared" si="193"/>
        <v>3483.06</v>
      </c>
      <c r="L1288" s="59">
        <f t="shared" si="199"/>
        <v>5.8276534618026312E-3</v>
      </c>
      <c r="M1288" s="60" t="str">
        <f t="shared" si="200"/>
        <v/>
      </c>
    </row>
    <row r="1289" spans="2:13" x14ac:dyDescent="0.55000000000000004">
      <c r="B1289" s="35">
        <f t="shared" si="191"/>
        <v>7</v>
      </c>
      <c r="C1289" s="72" t="s">
        <v>148</v>
      </c>
      <c r="D1289" s="44">
        <f t="shared" si="196"/>
        <v>44172</v>
      </c>
      <c r="E1289" s="38">
        <f>7.8514</f>
        <v>7.8513999999999999</v>
      </c>
      <c r="F1289" s="39">
        <f t="shared" si="195"/>
        <v>446.5</v>
      </c>
      <c r="G1289" s="33">
        <f t="shared" si="197"/>
        <v>3487.8794000000003</v>
      </c>
      <c r="H1289" s="33">
        <f t="shared" si="188"/>
        <v>3499.4883999999997</v>
      </c>
      <c r="I1289" s="33">
        <f t="shared" si="194"/>
        <v>3496.4164799999999</v>
      </c>
      <c r="J1289" s="33">
        <f t="shared" si="198"/>
        <v>3484.1288</v>
      </c>
      <c r="K1289" s="33">
        <f t="shared" si="193"/>
        <v>3483.06</v>
      </c>
      <c r="L1289" s="59">
        <f t="shared" si="199"/>
        <v>4.7166571922389461E-3</v>
      </c>
      <c r="M1289" s="60" t="str">
        <f t="shared" si="200"/>
        <v/>
      </c>
    </row>
    <row r="1290" spans="2:13" x14ac:dyDescent="0.55000000000000004">
      <c r="B1290" s="35">
        <f t="shared" si="191"/>
        <v>8</v>
      </c>
      <c r="C1290" s="72" t="s">
        <v>148</v>
      </c>
      <c r="D1290" s="44">
        <f t="shared" si="196"/>
        <v>44173</v>
      </c>
      <c r="E1290" s="38">
        <f>7.8227</f>
        <v>7.8227000000000002</v>
      </c>
      <c r="F1290" s="39">
        <f t="shared" si="195"/>
        <v>446.5</v>
      </c>
      <c r="G1290" s="33">
        <f t="shared" si="197"/>
        <v>3505.6500999999998</v>
      </c>
      <c r="H1290" s="33">
        <f t="shared" si="188"/>
        <v>3500.7207399999998</v>
      </c>
      <c r="I1290" s="33">
        <f t="shared" si="194"/>
        <v>3500.7207399999998</v>
      </c>
      <c r="J1290" s="33">
        <f t="shared" si="198"/>
        <v>3484.1288</v>
      </c>
      <c r="K1290" s="33">
        <f t="shared" si="193"/>
        <v>3483.06</v>
      </c>
      <c r="L1290" s="59">
        <f t="shared" si="199"/>
        <v>5.0704667734692496E-3</v>
      </c>
      <c r="M1290" s="60" t="str">
        <f t="shared" si="200"/>
        <v/>
      </c>
    </row>
    <row r="1291" spans="2:13" x14ac:dyDescent="0.55000000000000004">
      <c r="B1291" s="35">
        <f t="shared" si="191"/>
        <v>9</v>
      </c>
      <c r="C1291" s="72" t="s">
        <v>148</v>
      </c>
      <c r="D1291" s="44">
        <f t="shared" si="196"/>
        <v>44174</v>
      </c>
      <c r="E1291" s="38">
        <v>7.8343999999999996</v>
      </c>
      <c r="F1291" s="39">
        <f t="shared" si="195"/>
        <v>446.5</v>
      </c>
      <c r="G1291" s="33">
        <f t="shared" si="197"/>
        <v>3492.8355500000002</v>
      </c>
      <c r="H1291" s="33">
        <f t="shared" si="188"/>
        <v>3497.8095600000001</v>
      </c>
      <c r="I1291" s="33">
        <f t="shared" si="194"/>
        <v>3497.8095599999997</v>
      </c>
      <c r="J1291" s="33">
        <f t="shared" si="198"/>
        <v>3484.1288</v>
      </c>
      <c r="K1291" s="33">
        <f t="shared" si="193"/>
        <v>3483.06</v>
      </c>
      <c r="L1291" s="59">
        <f t="shared" si="199"/>
        <v>4.2346557337514142E-3</v>
      </c>
      <c r="M1291" s="60" t="str">
        <f t="shared" si="200"/>
        <v/>
      </c>
    </row>
    <row r="1292" spans="2:13" x14ac:dyDescent="0.55000000000000004">
      <c r="B1292" s="35">
        <f t="shared" si="191"/>
        <v>10</v>
      </c>
      <c r="C1292" s="72" t="s">
        <v>148</v>
      </c>
      <c r="D1292" s="44">
        <f t="shared" si="196"/>
        <v>44175</v>
      </c>
      <c r="E1292" s="38">
        <f>7.864</f>
        <v>7.8639999999999999</v>
      </c>
      <c r="F1292" s="39">
        <f t="shared" si="195"/>
        <v>446.5</v>
      </c>
      <c r="G1292" s="33">
        <f t="shared" si="197"/>
        <v>3498.0595999999996</v>
      </c>
      <c r="H1292" s="33">
        <f t="shared" si="188"/>
        <v>3498.9079499999998</v>
      </c>
      <c r="I1292" s="33">
        <f t="shared" si="194"/>
        <v>3498.9079499999998</v>
      </c>
      <c r="J1292" s="33">
        <f t="shared" si="198"/>
        <v>3484.1288</v>
      </c>
      <c r="K1292" s="33">
        <f t="shared" si="193"/>
        <v>3483.06</v>
      </c>
      <c r="L1292" s="59">
        <f t="shared" si="199"/>
        <v>4.5500077518044061E-3</v>
      </c>
      <c r="M1292" s="60" t="str">
        <f t="shared" si="200"/>
        <v/>
      </c>
    </row>
    <row r="1293" spans="2:13" x14ac:dyDescent="0.55000000000000004">
      <c r="B1293" s="35">
        <f t="shared" si="191"/>
        <v>11</v>
      </c>
      <c r="C1293" s="72" t="s">
        <v>148</v>
      </c>
      <c r="D1293" s="44">
        <f t="shared" si="196"/>
        <v>44176</v>
      </c>
      <c r="E1293" s="38">
        <f>7.9492</f>
        <v>7.9492000000000003</v>
      </c>
      <c r="F1293" s="39">
        <f t="shared" si="195"/>
        <v>446.5</v>
      </c>
      <c r="G1293" s="33">
        <f t="shared" si="197"/>
        <v>3511.2759999999998</v>
      </c>
      <c r="H1293" s="33">
        <f t="shared" si="188"/>
        <v>3499.1401299999998</v>
      </c>
      <c r="I1293" s="33">
        <f t="shared" si="194"/>
        <v>3499.1401300000002</v>
      </c>
      <c r="J1293" s="33">
        <f t="shared" si="198"/>
        <v>3484.1288</v>
      </c>
      <c r="K1293" s="33">
        <f t="shared" si="193"/>
        <v>3483.06</v>
      </c>
      <c r="L1293" s="59">
        <f t="shared" si="199"/>
        <v>4.6166675279782224E-3</v>
      </c>
      <c r="M1293" s="60" t="str">
        <f t="shared" si="200"/>
        <v/>
      </c>
    </row>
    <row r="1294" spans="2:13" x14ac:dyDescent="0.55000000000000004">
      <c r="B1294" s="35">
        <f t="shared" si="191"/>
        <v>14</v>
      </c>
      <c r="C1294" s="72" t="s">
        <v>148</v>
      </c>
      <c r="D1294" s="44">
        <f t="shared" si="196"/>
        <v>44179</v>
      </c>
      <c r="E1294" s="38">
        <f>7.8841</f>
        <v>7.8841000000000001</v>
      </c>
      <c r="F1294" s="39">
        <f t="shared" si="195"/>
        <v>446.5</v>
      </c>
      <c r="G1294" s="33">
        <f t="shared" si="197"/>
        <v>3549.3178000000003</v>
      </c>
      <c r="H1294" s="33">
        <f t="shared" si="188"/>
        <v>3511.4278099999997</v>
      </c>
      <c r="I1294" s="33">
        <f t="shared" si="194"/>
        <v>3511.4278100000001</v>
      </c>
      <c r="J1294" s="33">
        <f t="shared" si="198"/>
        <v>3484.1288</v>
      </c>
      <c r="K1294" s="33">
        <f t="shared" si="193"/>
        <v>3483.06</v>
      </c>
      <c r="L1294" s="59">
        <f t="shared" si="199"/>
        <v>8.1445079901005836E-3</v>
      </c>
      <c r="M1294" s="60" t="str">
        <f t="shared" si="200"/>
        <v/>
      </c>
    </row>
    <row r="1295" spans="2:13" x14ac:dyDescent="0.55000000000000004">
      <c r="B1295" s="35">
        <f t="shared" si="191"/>
        <v>15</v>
      </c>
      <c r="C1295" s="72" t="s">
        <v>148</v>
      </c>
      <c r="D1295" s="44">
        <f t="shared" si="196"/>
        <v>44180</v>
      </c>
      <c r="E1295" s="38">
        <f>7.8473</f>
        <v>7.8472999999999997</v>
      </c>
      <c r="F1295" s="39">
        <f t="shared" si="195"/>
        <v>446.5</v>
      </c>
      <c r="G1295" s="33">
        <f t="shared" si="197"/>
        <v>3520.25065</v>
      </c>
      <c r="H1295" s="33">
        <f t="shared" si="188"/>
        <v>3514.3479200000002</v>
      </c>
      <c r="I1295" s="33">
        <f t="shared" si="194"/>
        <v>3514.3479199999997</v>
      </c>
      <c r="J1295" s="33">
        <f t="shared" si="198"/>
        <v>3484.1288</v>
      </c>
      <c r="K1295" s="33">
        <f t="shared" si="193"/>
        <v>3483.06</v>
      </c>
      <c r="L1295" s="59">
        <f t="shared" si="199"/>
        <v>8.9828828673638155E-3</v>
      </c>
      <c r="M1295" s="60" t="str">
        <f t="shared" si="200"/>
        <v/>
      </c>
    </row>
    <row r="1296" spans="2:13" x14ac:dyDescent="0.55000000000000004">
      <c r="B1296" s="35">
        <f t="shared" si="191"/>
        <v>16</v>
      </c>
      <c r="C1296" s="72" t="s">
        <v>148</v>
      </c>
      <c r="D1296" s="44">
        <f t="shared" si="196"/>
        <v>44181</v>
      </c>
      <c r="E1296" s="38">
        <f>7.8013</f>
        <v>7.8013000000000003</v>
      </c>
      <c r="F1296" s="39">
        <f t="shared" si="195"/>
        <v>446.5</v>
      </c>
      <c r="G1296" s="33">
        <f t="shared" si="197"/>
        <v>3503.81945</v>
      </c>
      <c r="H1296" s="33">
        <f t="shared" si="188"/>
        <v>3516.5446999999999</v>
      </c>
      <c r="I1296" s="33">
        <f t="shared" si="194"/>
        <v>3516.5446999999999</v>
      </c>
      <c r="J1296" s="33">
        <f t="shared" si="198"/>
        <v>3484.1288</v>
      </c>
      <c r="K1296" s="33">
        <f t="shared" si="193"/>
        <v>3483.06</v>
      </c>
      <c r="L1296" s="59">
        <f t="shared" si="199"/>
        <v>9.6135869034699312E-3</v>
      </c>
      <c r="M1296" s="60" t="str">
        <f t="shared" si="200"/>
        <v/>
      </c>
    </row>
    <row r="1297" spans="2:13" x14ac:dyDescent="0.55000000000000004">
      <c r="B1297" s="35">
        <f t="shared" si="191"/>
        <v>17</v>
      </c>
      <c r="C1297" s="72" t="s">
        <v>148</v>
      </c>
      <c r="D1297" s="44">
        <f t="shared" si="196"/>
        <v>44182</v>
      </c>
      <c r="E1297" s="38">
        <f>7.765</f>
        <v>7.7649999999999997</v>
      </c>
      <c r="F1297" s="39">
        <f t="shared" si="195"/>
        <v>446.5</v>
      </c>
      <c r="G1297" s="33">
        <f t="shared" si="197"/>
        <v>3483.2804500000002</v>
      </c>
      <c r="H1297" s="33">
        <f t="shared" ref="H1297:H1360" si="201">IF(M1296&lt;&gt;"",AVERAGE(G1297),IF(M1295&lt;&gt;"",AVERAGE(G1296:G1297),IF(M1294&lt;&gt;"",AVERAGE(G1295:G1297),IF(M1293&lt;&gt;"",AVERAGE(G1294:G1297),AVERAGE(G1293:G1297)))))</f>
        <v>3513.5888699999996</v>
      </c>
      <c r="I1297" s="33">
        <f t="shared" si="194"/>
        <v>3513.58887</v>
      </c>
      <c r="J1297" s="33">
        <f t="shared" si="198"/>
        <v>3484.1288</v>
      </c>
      <c r="K1297" s="33">
        <f t="shared" si="193"/>
        <v>3483.06</v>
      </c>
      <c r="L1297" s="59">
        <f t="shared" si="199"/>
        <v>8.7649566760261508E-3</v>
      </c>
      <c r="M1297" s="60" t="str">
        <f t="shared" si="200"/>
        <v/>
      </c>
    </row>
    <row r="1298" spans="2:13" x14ac:dyDescent="0.55000000000000004">
      <c r="B1298" s="35">
        <f t="shared" si="191"/>
        <v>18</v>
      </c>
      <c r="C1298" s="72" t="s">
        <v>148</v>
      </c>
      <c r="D1298" s="44">
        <f t="shared" si="196"/>
        <v>44183</v>
      </c>
      <c r="E1298" s="38">
        <f>7.7036</f>
        <v>7.7035999999999998</v>
      </c>
      <c r="F1298" s="39">
        <f t="shared" si="195"/>
        <v>446.5</v>
      </c>
      <c r="G1298" s="33">
        <f t="shared" si="197"/>
        <v>3467.0724999999998</v>
      </c>
      <c r="H1298" s="33">
        <f t="shared" si="201"/>
        <v>3504.7481700000003</v>
      </c>
      <c r="I1298" s="33">
        <f t="shared" si="194"/>
        <v>3504.7481700000003</v>
      </c>
      <c r="J1298" s="33">
        <f t="shared" si="198"/>
        <v>3484.1288</v>
      </c>
      <c r="K1298" s="33">
        <f t="shared" si="193"/>
        <v>3483.06</v>
      </c>
      <c r="L1298" s="59">
        <f t="shared" si="199"/>
        <v>6.2267575063307424E-3</v>
      </c>
      <c r="M1298" s="60" t="str">
        <f t="shared" si="200"/>
        <v/>
      </c>
    </row>
    <row r="1299" spans="2:13" x14ac:dyDescent="0.55000000000000004">
      <c r="B1299" s="35">
        <f t="shared" si="191"/>
        <v>21</v>
      </c>
      <c r="C1299" s="72" t="s">
        <v>148</v>
      </c>
      <c r="D1299" s="44">
        <f t="shared" si="196"/>
        <v>44186</v>
      </c>
      <c r="E1299" s="38">
        <f>7.6907</f>
        <v>7.6906999999999996</v>
      </c>
      <c r="F1299" s="39">
        <f t="shared" si="195"/>
        <v>446.5</v>
      </c>
      <c r="G1299" s="33">
        <f t="shared" si="197"/>
        <v>3439.6574000000001</v>
      </c>
      <c r="H1299" s="33">
        <f t="shared" si="201"/>
        <v>3482.8160900000003</v>
      </c>
      <c r="I1299" s="33">
        <f t="shared" si="194"/>
        <v>3482.8160899999998</v>
      </c>
      <c r="J1299" s="33">
        <f t="shared" si="198"/>
        <v>3484.1288</v>
      </c>
      <c r="K1299" s="33">
        <f t="shared" si="193"/>
        <v>3483.06</v>
      </c>
      <c r="L1299" s="59">
        <f t="shared" si="199"/>
        <v>-7.0027504550506449E-5</v>
      </c>
      <c r="M1299" s="60" t="str">
        <f t="shared" si="200"/>
        <v/>
      </c>
    </row>
    <row r="1300" spans="2:13" x14ac:dyDescent="0.55000000000000004">
      <c r="B1300" s="35">
        <f t="shared" si="191"/>
        <v>22</v>
      </c>
      <c r="C1300" s="72" t="s">
        <v>148</v>
      </c>
      <c r="D1300" s="44">
        <f t="shared" si="196"/>
        <v>44187</v>
      </c>
      <c r="E1300" s="38">
        <f>7.6505</f>
        <v>7.6505000000000001</v>
      </c>
      <c r="F1300" s="39">
        <f t="shared" si="195"/>
        <v>446.5</v>
      </c>
      <c r="G1300" s="33">
        <f t="shared" si="197"/>
        <v>3433.8975499999997</v>
      </c>
      <c r="H1300" s="33">
        <f t="shared" si="201"/>
        <v>3465.54547</v>
      </c>
      <c r="I1300" s="33">
        <f t="shared" si="194"/>
        <v>3465.5454699999996</v>
      </c>
      <c r="J1300" s="33">
        <f t="shared" si="198"/>
        <v>3484.1288</v>
      </c>
      <c r="K1300" s="33">
        <f t="shared" si="193"/>
        <v>3483.06</v>
      </c>
      <c r="L1300" s="59">
        <f t="shared" si="199"/>
        <v>-5.028489316865033E-3</v>
      </c>
      <c r="M1300" s="60" t="str">
        <f t="shared" si="200"/>
        <v/>
      </c>
    </row>
    <row r="1301" spans="2:13" x14ac:dyDescent="0.55000000000000004">
      <c r="B1301" s="35">
        <f t="shared" si="191"/>
        <v>23</v>
      </c>
      <c r="C1301" s="72" t="s">
        <v>148</v>
      </c>
      <c r="D1301" s="44">
        <f t="shared" si="196"/>
        <v>44188</v>
      </c>
      <c r="E1301" s="38">
        <v>7.6458000000000004</v>
      </c>
      <c r="F1301" s="39">
        <f t="shared" si="195"/>
        <v>446.5</v>
      </c>
      <c r="G1301" s="33">
        <f t="shared" si="197"/>
        <v>3415.9482499999999</v>
      </c>
      <c r="H1301" s="33">
        <f t="shared" si="201"/>
        <v>3447.9712300000001</v>
      </c>
      <c r="I1301" s="33">
        <f t="shared" si="194"/>
        <v>3447.9712300000001</v>
      </c>
      <c r="J1301" s="33">
        <f t="shared" si="198"/>
        <v>3484.1288</v>
      </c>
      <c r="K1301" s="33">
        <f t="shared" si="193"/>
        <v>3483.06</v>
      </c>
      <c r="L1301" s="59">
        <f t="shared" si="199"/>
        <v>-1.007412160571447E-2</v>
      </c>
      <c r="M1301" s="60" t="str">
        <f t="shared" si="200"/>
        <v/>
      </c>
    </row>
    <row r="1302" spans="2:13" x14ac:dyDescent="0.55000000000000004">
      <c r="B1302" s="35">
        <f t="shared" si="191"/>
        <v>24</v>
      </c>
      <c r="C1302" s="72"/>
      <c r="D1302" s="44">
        <f t="shared" si="196"/>
        <v>44189</v>
      </c>
      <c r="E1302" s="38">
        <f>7.6327</f>
        <v>7.6326999999999998</v>
      </c>
      <c r="F1302" s="39">
        <f t="shared" si="195"/>
        <v>446.5</v>
      </c>
      <c r="G1302" s="33">
        <f t="shared" si="197"/>
        <v>3413.8497000000002</v>
      </c>
      <c r="H1302" s="33">
        <f t="shared" si="201"/>
        <v>3434.0850799999998</v>
      </c>
      <c r="I1302" s="33">
        <f t="shared" si="194"/>
        <v>3434.0850799999998</v>
      </c>
      <c r="J1302" s="33">
        <f t="shared" si="198"/>
        <v>3484.1288</v>
      </c>
      <c r="K1302" s="33">
        <f t="shared" si="193"/>
        <v>3483.06</v>
      </c>
      <c r="L1302" s="59">
        <f t="shared" si="199"/>
        <v>-1.4060888988418263E-2</v>
      </c>
      <c r="M1302" s="60" t="str">
        <f t="shared" si="200"/>
        <v/>
      </c>
    </row>
    <row r="1303" spans="2:13" x14ac:dyDescent="0.55000000000000004">
      <c r="B1303" s="35">
        <f t="shared" ref="B1303:B1308" si="202">DAY(D1303)</f>
        <v>25</v>
      </c>
      <c r="C1303" s="72"/>
      <c r="D1303" s="44">
        <f t="shared" si="196"/>
        <v>44190</v>
      </c>
      <c r="E1303" s="38">
        <f>7.5563</f>
        <v>7.5563000000000002</v>
      </c>
      <c r="F1303" s="39">
        <f t="shared" si="195"/>
        <v>446.5</v>
      </c>
      <c r="G1303" s="33">
        <f t="shared" si="197"/>
        <v>3408.0005499999997</v>
      </c>
      <c r="H1303" s="33">
        <f t="shared" si="201"/>
        <v>3422.2706899999998</v>
      </c>
      <c r="I1303" s="33">
        <f t="shared" si="194"/>
        <v>3422.2706900000003</v>
      </c>
      <c r="J1303" s="33">
        <f t="shared" si="198"/>
        <v>3484.1288</v>
      </c>
      <c r="K1303" s="33">
        <f t="shared" si="193"/>
        <v>3483.06</v>
      </c>
      <c r="L1303" s="59">
        <f t="shared" si="199"/>
        <v>-1.7452846060647856E-2</v>
      </c>
      <c r="M1303" s="60" t="str">
        <f t="shared" si="200"/>
        <v/>
      </c>
    </row>
    <row r="1304" spans="2:13" x14ac:dyDescent="0.55000000000000004">
      <c r="B1304" s="35">
        <f t="shared" si="202"/>
        <v>28</v>
      </c>
      <c r="C1304" s="72" t="s">
        <v>120</v>
      </c>
      <c r="D1304" s="44">
        <f t="shared" si="196"/>
        <v>44193</v>
      </c>
      <c r="E1304" s="38">
        <f>7.4873</f>
        <v>7.4873000000000003</v>
      </c>
      <c r="F1304" s="39">
        <f t="shared" si="195"/>
        <v>446.5</v>
      </c>
      <c r="G1304" s="33">
        <f t="shared" si="197"/>
        <v>3373.8879500000003</v>
      </c>
      <c r="H1304" s="33">
        <f t="shared" si="201"/>
        <v>3409.1167999999998</v>
      </c>
      <c r="I1304" s="33">
        <f t="shared" si="194"/>
        <v>3409.1168000000002</v>
      </c>
      <c r="J1304" s="33">
        <f t="shared" si="198"/>
        <v>3484.1288</v>
      </c>
      <c r="K1304" s="33">
        <f t="shared" si="193"/>
        <v>3483.06</v>
      </c>
      <c r="L1304" s="59">
        <f t="shared" si="199"/>
        <v>-2.1229378764649521E-2</v>
      </c>
      <c r="M1304" s="60" t="str">
        <f t="shared" si="200"/>
        <v/>
      </c>
    </row>
    <row r="1305" spans="2:13" x14ac:dyDescent="0.55000000000000004">
      <c r="B1305" s="35">
        <f t="shared" si="202"/>
        <v>29</v>
      </c>
      <c r="C1305" s="72" t="s">
        <v>148</v>
      </c>
      <c r="D1305" s="44">
        <f t="shared" si="196"/>
        <v>44194</v>
      </c>
      <c r="E1305" s="38">
        <f>7.4197</f>
        <v>7.4196999999999997</v>
      </c>
      <c r="F1305" s="39">
        <f t="shared" si="195"/>
        <v>446.5</v>
      </c>
      <c r="G1305" s="33">
        <f t="shared" si="197"/>
        <v>3343.0794500000002</v>
      </c>
      <c r="H1305" s="33">
        <f t="shared" si="201"/>
        <v>3390.9531800000004</v>
      </c>
      <c r="I1305" s="33">
        <f t="shared" si="194"/>
        <v>3390.95318</v>
      </c>
      <c r="J1305" s="33">
        <f t="shared" si="198"/>
        <v>3484.1288</v>
      </c>
      <c r="K1305" s="33">
        <f t="shared" si="193"/>
        <v>3483.06</v>
      </c>
      <c r="L1305" s="59">
        <f t="shared" si="199"/>
        <v>-2.6444224331478503E-2</v>
      </c>
      <c r="M1305" s="60" t="str">
        <f t="shared" si="200"/>
        <v/>
      </c>
    </row>
    <row r="1306" spans="2:13" x14ac:dyDescent="0.55000000000000004">
      <c r="B1306" s="35">
        <f t="shared" si="202"/>
        <v>30</v>
      </c>
      <c r="C1306" s="72" t="s">
        <v>148</v>
      </c>
      <c r="D1306" s="44">
        <f t="shared" si="196"/>
        <v>44195</v>
      </c>
      <c r="E1306" s="38">
        <f>7.3537</f>
        <v>7.3536999999999999</v>
      </c>
      <c r="F1306" s="39">
        <f t="shared" si="195"/>
        <v>446.5</v>
      </c>
      <c r="G1306" s="33">
        <f t="shared" si="197"/>
        <v>3312.8960499999998</v>
      </c>
      <c r="H1306" s="33">
        <f t="shared" si="201"/>
        <v>3370.34274</v>
      </c>
      <c r="I1306" s="33">
        <f t="shared" si="194"/>
        <v>3370.3427400000005</v>
      </c>
      <c r="J1306" s="33">
        <f t="shared" si="198"/>
        <v>3312.8960499999998</v>
      </c>
      <c r="K1306" s="33">
        <f t="shared" si="193"/>
        <v>3483.06</v>
      </c>
      <c r="L1306" s="59">
        <f t="shared" si="199"/>
        <v>-3.2361561385678084E-2</v>
      </c>
      <c r="M1306" s="60">
        <f t="shared" si="200"/>
        <v>-170.19999999999982</v>
      </c>
    </row>
    <row r="1307" spans="2:13" x14ac:dyDescent="0.55000000000000004">
      <c r="B1307" s="35">
        <f t="shared" si="202"/>
        <v>31</v>
      </c>
      <c r="C1307" s="72"/>
      <c r="D1307" s="44">
        <f t="shared" si="196"/>
        <v>44196</v>
      </c>
      <c r="E1307" s="38">
        <v>7.4326999999999996</v>
      </c>
      <c r="F1307" s="39">
        <f t="shared" si="195"/>
        <v>446.5</v>
      </c>
      <c r="G1307" s="33">
        <f t="shared" si="197"/>
        <v>3283.4270499999998</v>
      </c>
      <c r="H1307" s="33">
        <f t="shared" si="201"/>
        <v>3283.4270499999998</v>
      </c>
      <c r="I1307" s="33">
        <f t="shared" si="194"/>
        <v>3344.25821</v>
      </c>
      <c r="J1307" s="33">
        <f t="shared" si="198"/>
        <v>3312.8960499999998</v>
      </c>
      <c r="K1307" s="33">
        <v>3312.86</v>
      </c>
      <c r="L1307" s="59">
        <f t="shared" si="199"/>
        <v>-8.8844533122439048E-3</v>
      </c>
      <c r="M1307" s="60" t="str">
        <f t="shared" si="200"/>
        <v/>
      </c>
    </row>
    <row r="1308" spans="2:13" x14ac:dyDescent="0.55000000000000004">
      <c r="B1308" s="35">
        <f t="shared" si="202"/>
        <v>1</v>
      </c>
      <c r="C1308" s="72" t="e">
        <v>#N/A</v>
      </c>
      <c r="D1308" s="44">
        <f t="shared" si="196"/>
        <v>44197</v>
      </c>
      <c r="E1308" s="38">
        <f>E1307</f>
        <v>7.4326999999999996</v>
      </c>
      <c r="F1308" s="39">
        <f t="shared" si="195"/>
        <v>446.5</v>
      </c>
      <c r="G1308" s="33">
        <f t="shared" si="197"/>
        <v>3318.70055</v>
      </c>
      <c r="H1308" s="33">
        <f t="shared" si="201"/>
        <v>3301.0637999999999</v>
      </c>
      <c r="I1308" s="33">
        <f t="shared" si="194"/>
        <v>3326.3982099999998</v>
      </c>
      <c r="J1308" s="33">
        <f t="shared" si="198"/>
        <v>3312.8960499999998</v>
      </c>
      <c r="K1308" s="33">
        <f t="shared" ref="K1308:K1371" si="203">IF(L1307&gt;3%,G1307,IF(L1307&lt;-3%,G1307,K1307))</f>
        <v>3312.86</v>
      </c>
      <c r="L1308" s="59">
        <f t="shared" si="199"/>
        <v>-3.5607300036826868E-3</v>
      </c>
      <c r="M1308" s="60" t="str">
        <f t="shared" si="200"/>
        <v/>
      </c>
    </row>
    <row r="1309" spans="2:13" x14ac:dyDescent="0.55000000000000004">
      <c r="B1309" s="35"/>
      <c r="C1309" s="72"/>
      <c r="D1309" s="44">
        <f t="shared" si="196"/>
        <v>44200</v>
      </c>
      <c r="E1309" s="38">
        <f>7.3734</f>
        <v>7.3734000000000002</v>
      </c>
      <c r="F1309" s="39">
        <f>488.5+40</f>
        <v>528.5</v>
      </c>
      <c r="G1309" s="33">
        <f t="shared" si="197"/>
        <v>3928.1819499999997</v>
      </c>
      <c r="H1309" s="33">
        <f t="shared" si="201"/>
        <v>3510.1031833333332</v>
      </c>
      <c r="I1309" s="33">
        <f t="shared" si="194"/>
        <v>3924.2287700000002</v>
      </c>
      <c r="J1309" s="33">
        <f t="shared" si="198"/>
        <v>3928.1819499999997</v>
      </c>
      <c r="K1309" s="33">
        <f t="shared" si="203"/>
        <v>3312.86</v>
      </c>
      <c r="L1309" s="59">
        <f t="shared" si="199"/>
        <v>5.9538641335079967E-2</v>
      </c>
      <c r="M1309" s="60">
        <f t="shared" si="200"/>
        <v>615.32194999999956</v>
      </c>
    </row>
    <row r="1310" spans="2:13" x14ac:dyDescent="0.55000000000000004">
      <c r="B1310" s="35"/>
      <c r="C1310" s="72"/>
      <c r="D1310" s="44">
        <f t="shared" si="196"/>
        <v>44201</v>
      </c>
      <c r="E1310" s="38">
        <v>7.3998999999999997</v>
      </c>
      <c r="F1310" s="39">
        <f t="shared" si="195"/>
        <v>528.5</v>
      </c>
      <c r="G1310" s="33">
        <f t="shared" si="197"/>
        <v>3896.8418999999999</v>
      </c>
      <c r="H1310" s="33">
        <f t="shared" si="201"/>
        <v>3896.8418999999999</v>
      </c>
      <c r="I1310" s="33">
        <f t="shared" si="194"/>
        <v>3912.1895400000003</v>
      </c>
      <c r="J1310" s="33">
        <f t="shared" si="198"/>
        <v>3928.1819499999997</v>
      </c>
      <c r="K1310" s="33">
        <f t="shared" si="203"/>
        <v>3928.1819499999997</v>
      </c>
      <c r="L1310" s="59">
        <f t="shared" si="199"/>
        <v>-7.9782582372488614E-3</v>
      </c>
      <c r="M1310" s="60" t="str">
        <f t="shared" si="200"/>
        <v/>
      </c>
    </row>
    <row r="1311" spans="2:13" x14ac:dyDescent="0.55000000000000004">
      <c r="B1311"/>
      <c r="D1311" s="44">
        <f t="shared" si="196"/>
        <v>44202</v>
      </c>
      <c r="E1311" s="38">
        <v>7.3432000000000004</v>
      </c>
      <c r="F1311" s="39">
        <f t="shared" si="195"/>
        <v>528.5</v>
      </c>
      <c r="G1311" s="33">
        <f t="shared" si="197"/>
        <v>3910.8471500000001</v>
      </c>
      <c r="H1311" s="33">
        <f t="shared" si="201"/>
        <v>3903.844525</v>
      </c>
      <c r="I1311" s="33">
        <f t="shared" si="194"/>
        <v>3910.0966800000006</v>
      </c>
      <c r="J1311" s="33">
        <f t="shared" si="198"/>
        <v>3928.1819499999997</v>
      </c>
      <c r="K1311" s="33">
        <f t="shared" si="203"/>
        <v>3928.1819499999997</v>
      </c>
      <c r="L1311" s="59">
        <f t="shared" si="199"/>
        <v>-6.1955951403930547E-3</v>
      </c>
      <c r="M1311" s="60" t="str">
        <f t="shared" si="200"/>
        <v/>
      </c>
    </row>
    <row r="1312" spans="2:13" x14ac:dyDescent="0.55000000000000004">
      <c r="B1312"/>
      <c r="D1312" s="44">
        <f t="shared" si="196"/>
        <v>44203</v>
      </c>
      <c r="E1312" s="38">
        <f>7.2864</f>
        <v>7.2864000000000004</v>
      </c>
      <c r="F1312" s="39">
        <f t="shared" si="195"/>
        <v>528.5</v>
      </c>
      <c r="G1312" s="33">
        <f t="shared" si="197"/>
        <v>3880.8812000000003</v>
      </c>
      <c r="H1312" s="33">
        <f t="shared" si="201"/>
        <v>3896.1900833333334</v>
      </c>
      <c r="I1312" s="33">
        <f t="shared" si="194"/>
        <v>3908.9868299999994</v>
      </c>
      <c r="J1312" s="33">
        <f t="shared" si="198"/>
        <v>3928.1819499999997</v>
      </c>
      <c r="K1312" s="33">
        <f t="shared" si="203"/>
        <v>3928.1819499999997</v>
      </c>
      <c r="L1312" s="59">
        <f t="shared" si="199"/>
        <v>-8.1441916575850787E-3</v>
      </c>
      <c r="M1312" s="60" t="str">
        <f t="shared" si="200"/>
        <v/>
      </c>
    </row>
    <row r="1313" spans="2:13" x14ac:dyDescent="0.55000000000000004">
      <c r="B1313"/>
      <c r="D1313" s="44">
        <f t="shared" si="196"/>
        <v>44204</v>
      </c>
      <c r="E1313" s="38">
        <v>7.3621999999999996</v>
      </c>
      <c r="F1313" s="39">
        <f t="shared" si="195"/>
        <v>528.5</v>
      </c>
      <c r="G1313" s="33">
        <f t="shared" si="197"/>
        <v>3850.8624000000004</v>
      </c>
      <c r="H1313" s="33">
        <f t="shared" si="201"/>
        <v>3884.8581625000002</v>
      </c>
      <c r="I1313" s="33">
        <f t="shared" si="194"/>
        <v>3893.5229199999999</v>
      </c>
      <c r="J1313" s="33">
        <f t="shared" si="198"/>
        <v>3928.1819499999997</v>
      </c>
      <c r="K1313" s="33">
        <f t="shared" si="203"/>
        <v>3928.1819499999997</v>
      </c>
      <c r="L1313" s="59">
        <f t="shared" si="199"/>
        <v>-1.1028966593566149E-2</v>
      </c>
      <c r="M1313" s="60" t="str">
        <f t="shared" si="200"/>
        <v/>
      </c>
    </row>
    <row r="1314" spans="2:13" x14ac:dyDescent="0.55000000000000004">
      <c r="B1314"/>
      <c r="D1314" s="44">
        <f t="shared" si="196"/>
        <v>44207</v>
      </c>
      <c r="E1314" s="38">
        <f>7.4565</f>
        <v>7.4565000000000001</v>
      </c>
      <c r="F1314" s="39">
        <f t="shared" si="195"/>
        <v>528.5</v>
      </c>
      <c r="G1314" s="33">
        <f t="shared" si="197"/>
        <v>3890.9226999999996</v>
      </c>
      <c r="H1314" s="33">
        <f t="shared" si="201"/>
        <v>3886.0710700000004</v>
      </c>
      <c r="I1314" s="33">
        <f t="shared" ref="I1314:I1377" si="204">F1314*AVERAGE(E1309:E1313)</f>
        <v>3886.0710699999995</v>
      </c>
      <c r="J1314" s="33">
        <f t="shared" si="198"/>
        <v>3928.1819499999997</v>
      </c>
      <c r="K1314" s="33">
        <f t="shared" si="203"/>
        <v>3928.1819499999997</v>
      </c>
      <c r="L1314" s="59">
        <f t="shared" si="199"/>
        <v>-1.0720195891129552E-2</v>
      </c>
      <c r="M1314" s="60" t="str">
        <f t="shared" si="200"/>
        <v/>
      </c>
    </row>
    <row r="1315" spans="2:13" x14ac:dyDescent="0.55000000000000004">
      <c r="B1315"/>
      <c r="D1315" s="44">
        <f t="shared" si="196"/>
        <v>44208</v>
      </c>
      <c r="E1315" s="38">
        <f>7.4743</f>
        <v>7.4743000000000004</v>
      </c>
      <c r="F1315" s="39">
        <f t="shared" si="195"/>
        <v>528.5</v>
      </c>
      <c r="G1315" s="33">
        <f t="shared" si="197"/>
        <v>3940.7602500000003</v>
      </c>
      <c r="H1315" s="33">
        <f t="shared" si="201"/>
        <v>3894.8547400000002</v>
      </c>
      <c r="I1315" s="33">
        <f t="shared" si="204"/>
        <v>3894.8547399999998</v>
      </c>
      <c r="J1315" s="33">
        <f t="shared" si="198"/>
        <v>3928.1819499999997</v>
      </c>
      <c r="K1315" s="33">
        <f t="shared" si="203"/>
        <v>3928.1819499999997</v>
      </c>
      <c r="L1315" s="59">
        <f t="shared" si="199"/>
        <v>-8.4841309349225711E-3</v>
      </c>
      <c r="M1315" s="60" t="str">
        <f t="shared" si="200"/>
        <v/>
      </c>
    </row>
    <row r="1316" spans="2:13" x14ac:dyDescent="0.55000000000000004">
      <c r="B1316"/>
      <c r="D1316" s="44">
        <f t="shared" si="196"/>
        <v>44209</v>
      </c>
      <c r="E1316" s="38">
        <f>7.4419</f>
        <v>7.4419000000000004</v>
      </c>
      <c r="F1316" s="39">
        <f t="shared" si="195"/>
        <v>528.5</v>
      </c>
      <c r="G1316" s="33">
        <f t="shared" si="197"/>
        <v>3950.1675500000001</v>
      </c>
      <c r="H1316" s="33">
        <f t="shared" si="201"/>
        <v>3902.7188200000005</v>
      </c>
      <c r="I1316" s="33">
        <f t="shared" si="204"/>
        <v>3902.7188199999996</v>
      </c>
      <c r="J1316" s="33">
        <f t="shared" si="198"/>
        <v>3928.1819499999997</v>
      </c>
      <c r="K1316" s="33">
        <f t="shared" si="203"/>
        <v>3928.1819499999997</v>
      </c>
      <c r="L1316" s="59">
        <f t="shared" si="199"/>
        <v>-6.4821666420006802E-3</v>
      </c>
      <c r="M1316" s="60" t="str">
        <f t="shared" si="200"/>
        <v/>
      </c>
    </row>
    <row r="1317" spans="2:13" x14ac:dyDescent="0.55000000000000004">
      <c r="B1317"/>
      <c r="D1317" s="44">
        <f t="shared" si="196"/>
        <v>44210</v>
      </c>
      <c r="E1317" s="38">
        <f>7.4018</f>
        <v>7.4017999999999997</v>
      </c>
      <c r="F1317" s="39">
        <f t="shared" si="195"/>
        <v>528.5</v>
      </c>
      <c r="G1317" s="33">
        <f t="shared" si="197"/>
        <v>3933.0441500000002</v>
      </c>
      <c r="H1317" s="33">
        <f t="shared" si="201"/>
        <v>3913.1514099999999</v>
      </c>
      <c r="I1317" s="33">
        <f t="shared" si="204"/>
        <v>3913.1514099999995</v>
      </c>
      <c r="J1317" s="33">
        <f t="shared" si="198"/>
        <v>3928.1819499999997</v>
      </c>
      <c r="K1317" s="33">
        <f t="shared" si="203"/>
        <v>3928.1819499999997</v>
      </c>
      <c r="L1317" s="59">
        <f t="shared" si="199"/>
        <v>-3.8263349792134111E-3</v>
      </c>
      <c r="M1317" s="60" t="str">
        <f t="shared" si="200"/>
        <v/>
      </c>
    </row>
    <row r="1318" spans="2:13" x14ac:dyDescent="0.55000000000000004">
      <c r="B1318"/>
      <c r="D1318" s="44">
        <f t="shared" si="196"/>
        <v>44211</v>
      </c>
      <c r="E1318" s="38">
        <f>7.401</f>
        <v>7.4009999999999998</v>
      </c>
      <c r="F1318" s="39">
        <f t="shared" si="195"/>
        <v>528.5</v>
      </c>
      <c r="G1318" s="33">
        <f t="shared" si="197"/>
        <v>3911.8512999999998</v>
      </c>
      <c r="H1318" s="33">
        <f t="shared" si="201"/>
        <v>3925.3491899999999</v>
      </c>
      <c r="I1318" s="33">
        <f t="shared" si="204"/>
        <v>3925.3491899999995</v>
      </c>
      <c r="J1318" s="33">
        <f t="shared" si="198"/>
        <v>3928.1819499999997</v>
      </c>
      <c r="K1318" s="33">
        <f t="shared" si="203"/>
        <v>3928.1819499999997</v>
      </c>
      <c r="L1318" s="59">
        <f t="shared" si="199"/>
        <v>-7.2113767540726576E-4</v>
      </c>
      <c r="M1318" s="60" t="str">
        <f t="shared" si="200"/>
        <v/>
      </c>
    </row>
    <row r="1319" spans="2:13" x14ac:dyDescent="0.55000000000000004">
      <c r="B1319"/>
      <c r="D1319" s="44">
        <f t="shared" si="196"/>
        <v>44214</v>
      </c>
      <c r="E1319" s="38">
        <v>7.5087000000000002</v>
      </c>
      <c r="F1319" s="39">
        <f t="shared" si="195"/>
        <v>528.5</v>
      </c>
      <c r="G1319" s="33">
        <f t="shared" si="197"/>
        <v>3911.4285</v>
      </c>
      <c r="H1319" s="33">
        <f t="shared" si="201"/>
        <v>3929.4503500000005</v>
      </c>
      <c r="I1319" s="33">
        <f t="shared" si="204"/>
        <v>3929.4503500000001</v>
      </c>
      <c r="J1319" s="33">
        <f t="shared" si="198"/>
        <v>3928.1819499999997</v>
      </c>
      <c r="K1319" s="33">
        <f t="shared" si="203"/>
        <v>3928.1819499999997</v>
      </c>
      <c r="L1319" s="59">
        <f t="shared" si="199"/>
        <v>3.2289746660050671E-4</v>
      </c>
      <c r="M1319" s="60" t="str">
        <f t="shared" si="200"/>
        <v/>
      </c>
    </row>
    <row r="1320" spans="2:13" x14ac:dyDescent="0.55000000000000004">
      <c r="B1320"/>
      <c r="D1320" s="44">
        <f t="shared" si="196"/>
        <v>44215</v>
      </c>
      <c r="E1320" s="38">
        <f>7.4619</f>
        <v>7.4619</v>
      </c>
      <c r="F1320" s="39">
        <f t="shared" si="195"/>
        <v>528.5</v>
      </c>
      <c r="G1320" s="33">
        <f t="shared" si="197"/>
        <v>3968.3479499999999</v>
      </c>
      <c r="H1320" s="33">
        <f t="shared" si="201"/>
        <v>3934.9678899999999</v>
      </c>
      <c r="I1320" s="33">
        <f t="shared" si="204"/>
        <v>3934.9678899999999</v>
      </c>
      <c r="J1320" s="33">
        <f t="shared" si="198"/>
        <v>3928.1819499999997</v>
      </c>
      <c r="K1320" s="33">
        <f t="shared" si="203"/>
        <v>3928.1819499999997</v>
      </c>
      <c r="L1320" s="59">
        <f t="shared" si="199"/>
        <v>1.7275014463116226E-3</v>
      </c>
      <c r="M1320" s="60" t="str">
        <f t="shared" si="200"/>
        <v/>
      </c>
    </row>
    <row r="1321" spans="2:13" x14ac:dyDescent="0.55000000000000004">
      <c r="B1321"/>
      <c r="D1321" s="44">
        <f t="shared" si="196"/>
        <v>44216</v>
      </c>
      <c r="E1321" s="38">
        <f>7.4501</f>
        <v>7.4500999999999999</v>
      </c>
      <c r="F1321" s="39">
        <f t="shared" si="195"/>
        <v>528.5</v>
      </c>
      <c r="G1321" s="33">
        <f t="shared" si="197"/>
        <v>3943.6141499999999</v>
      </c>
      <c r="H1321" s="33">
        <f t="shared" si="201"/>
        <v>3933.6572099999998</v>
      </c>
      <c r="I1321" s="33">
        <f t="shared" si="204"/>
        <v>3933.6572099999998</v>
      </c>
      <c r="J1321" s="33">
        <f t="shared" si="198"/>
        <v>3928.1819499999997</v>
      </c>
      <c r="K1321" s="33">
        <f t="shared" si="203"/>
        <v>3928.1819499999997</v>
      </c>
      <c r="L1321" s="59">
        <f t="shared" si="199"/>
        <v>1.3938407308246407E-3</v>
      </c>
      <c r="M1321" s="60" t="str">
        <f t="shared" si="200"/>
        <v/>
      </c>
    </row>
    <row r="1322" spans="2:13" x14ac:dyDescent="0.55000000000000004">
      <c r="B1322"/>
      <c r="D1322" s="44">
        <f t="shared" si="196"/>
        <v>44217</v>
      </c>
      <c r="E1322" s="38">
        <f>7.3969</f>
        <v>7.3968999999999996</v>
      </c>
      <c r="F1322" s="39">
        <f t="shared" ref="F1322:F1385" si="205">F1321</f>
        <v>528.5</v>
      </c>
      <c r="G1322" s="33">
        <f t="shared" si="197"/>
        <v>3937.3778499999999</v>
      </c>
      <c r="H1322" s="33">
        <f t="shared" si="201"/>
        <v>3934.5239499999998</v>
      </c>
      <c r="I1322" s="33">
        <f t="shared" si="204"/>
        <v>3934.5239500000002</v>
      </c>
      <c r="J1322" s="33">
        <f t="shared" si="198"/>
        <v>3928.1819499999997</v>
      </c>
      <c r="K1322" s="33">
        <f t="shared" si="203"/>
        <v>3928.1819499999997</v>
      </c>
      <c r="L1322" s="59">
        <f t="shared" si="199"/>
        <v>1.6144873330014916E-3</v>
      </c>
      <c r="M1322" s="60" t="str">
        <f t="shared" si="200"/>
        <v/>
      </c>
    </row>
    <row r="1323" spans="2:13" x14ac:dyDescent="0.55000000000000004">
      <c r="B1323"/>
      <c r="D1323" s="44">
        <f t="shared" si="196"/>
        <v>44218</v>
      </c>
      <c r="E1323" s="38">
        <f>7.4118</f>
        <v>7.4118000000000004</v>
      </c>
      <c r="F1323" s="39">
        <f t="shared" si="205"/>
        <v>528.5</v>
      </c>
      <c r="G1323" s="33">
        <f t="shared" si="197"/>
        <v>3909.2616499999999</v>
      </c>
      <c r="H1323" s="33">
        <f t="shared" si="201"/>
        <v>3934.0060199999998</v>
      </c>
      <c r="I1323" s="33">
        <f t="shared" si="204"/>
        <v>3934.0060200000003</v>
      </c>
      <c r="J1323" s="33">
        <f t="shared" si="198"/>
        <v>3928.1819499999997</v>
      </c>
      <c r="K1323" s="33">
        <f t="shared" si="203"/>
        <v>3928.1819499999997</v>
      </c>
      <c r="L1323" s="59">
        <f t="shared" si="199"/>
        <v>1.4826375341397107E-3</v>
      </c>
      <c r="M1323" s="60" t="str">
        <f t="shared" si="200"/>
        <v/>
      </c>
    </row>
    <row r="1324" spans="2:13" x14ac:dyDescent="0.55000000000000004">
      <c r="B1324"/>
      <c r="D1324" s="44">
        <f t="shared" si="196"/>
        <v>44221</v>
      </c>
      <c r="E1324" s="38">
        <f>7.393</f>
        <v>7.3929999999999998</v>
      </c>
      <c r="F1324" s="39">
        <f t="shared" si="205"/>
        <v>528.5</v>
      </c>
      <c r="G1324" s="33">
        <f t="shared" si="197"/>
        <v>3917.1363000000001</v>
      </c>
      <c r="H1324" s="33">
        <f t="shared" si="201"/>
        <v>3935.1475799999998</v>
      </c>
      <c r="I1324" s="33">
        <f t="shared" si="204"/>
        <v>3935.1475799999998</v>
      </c>
      <c r="J1324" s="33">
        <f t="shared" si="198"/>
        <v>3928.1819499999997</v>
      </c>
      <c r="K1324" s="33">
        <f t="shared" si="203"/>
        <v>3928.1819499999997</v>
      </c>
      <c r="L1324" s="59">
        <f t="shared" si="199"/>
        <v>1.7732452540799816E-3</v>
      </c>
      <c r="M1324" s="60" t="str">
        <f t="shared" si="200"/>
        <v/>
      </c>
    </row>
    <row r="1325" spans="2:13" x14ac:dyDescent="0.55000000000000004">
      <c r="B1325"/>
      <c r="D1325" s="44">
        <f t="shared" si="196"/>
        <v>44222</v>
      </c>
      <c r="E1325" s="38">
        <f>7.3968</f>
        <v>7.3967999999999998</v>
      </c>
      <c r="F1325" s="39">
        <f t="shared" si="205"/>
        <v>528.5</v>
      </c>
      <c r="G1325" s="33">
        <f t="shared" si="197"/>
        <v>3907.2004999999999</v>
      </c>
      <c r="H1325" s="33">
        <f t="shared" si="201"/>
        <v>3922.9180900000001</v>
      </c>
      <c r="I1325" s="33">
        <f t="shared" si="204"/>
        <v>3922.9180899999997</v>
      </c>
      <c r="J1325" s="33">
        <f t="shared" si="198"/>
        <v>3928.1819499999997</v>
      </c>
      <c r="K1325" s="33">
        <f t="shared" si="203"/>
        <v>3928.1819499999997</v>
      </c>
      <c r="L1325" s="59">
        <f t="shared" si="199"/>
        <v>-1.3400244863911073E-3</v>
      </c>
      <c r="M1325" s="60" t="str">
        <f t="shared" si="200"/>
        <v/>
      </c>
    </row>
    <row r="1326" spans="2:13" x14ac:dyDescent="0.55000000000000004">
      <c r="B1326"/>
      <c r="D1326" s="44">
        <f t="shared" si="196"/>
        <v>44223</v>
      </c>
      <c r="E1326" s="38">
        <f>7.3676</f>
        <v>7.3676000000000004</v>
      </c>
      <c r="F1326" s="39">
        <f t="shared" si="205"/>
        <v>528.5</v>
      </c>
      <c r="G1326" s="33">
        <f t="shared" si="197"/>
        <v>3909.2087999999999</v>
      </c>
      <c r="H1326" s="33">
        <f t="shared" si="201"/>
        <v>3916.0370199999998</v>
      </c>
      <c r="I1326" s="33">
        <f t="shared" si="204"/>
        <v>3916.0370200000002</v>
      </c>
      <c r="J1326" s="33">
        <f t="shared" si="198"/>
        <v>3928.1819499999997</v>
      </c>
      <c r="K1326" s="33">
        <f t="shared" si="203"/>
        <v>3928.1819499999997</v>
      </c>
      <c r="L1326" s="59">
        <f t="shared" si="199"/>
        <v>-3.0917432426977912E-3</v>
      </c>
      <c r="M1326" s="60" t="str">
        <f t="shared" si="200"/>
        <v/>
      </c>
    </row>
    <row r="1327" spans="2:13" x14ac:dyDescent="0.55000000000000004">
      <c r="B1327"/>
      <c r="D1327" s="44">
        <f t="shared" si="196"/>
        <v>44224</v>
      </c>
      <c r="E1327" s="38">
        <f>7.3856</f>
        <v>7.3856000000000002</v>
      </c>
      <c r="F1327" s="39">
        <f t="shared" si="205"/>
        <v>528.5</v>
      </c>
      <c r="G1327" s="33">
        <f t="shared" si="197"/>
        <v>3893.7766000000001</v>
      </c>
      <c r="H1327" s="33">
        <f t="shared" si="201"/>
        <v>3907.3167700000004</v>
      </c>
      <c r="I1327" s="33">
        <f t="shared" si="204"/>
        <v>3907.3167699999999</v>
      </c>
      <c r="J1327" s="33">
        <f t="shared" si="198"/>
        <v>3928.1819499999997</v>
      </c>
      <c r="K1327" s="33">
        <f t="shared" si="203"/>
        <v>3928.1819499999997</v>
      </c>
      <c r="L1327" s="59">
        <f t="shared" si="199"/>
        <v>-5.3116633255746535E-3</v>
      </c>
      <c r="M1327" s="60" t="str">
        <f t="shared" si="200"/>
        <v/>
      </c>
    </row>
    <row r="1328" spans="2:13" x14ac:dyDescent="0.55000000000000004">
      <c r="B1328"/>
      <c r="D1328" s="44">
        <f t="shared" si="196"/>
        <v>44225</v>
      </c>
      <c r="E1328" s="38">
        <f>7.3348</f>
        <v>7.3348000000000004</v>
      </c>
      <c r="F1328" s="39">
        <f>F1327</f>
        <v>528.5</v>
      </c>
      <c r="G1328" s="33">
        <f t="shared" si="197"/>
        <v>3903.2896000000001</v>
      </c>
      <c r="H1328" s="33">
        <f t="shared" si="201"/>
        <v>3906.1223599999998</v>
      </c>
      <c r="I1328" s="33">
        <f t="shared" si="204"/>
        <v>3906.1223599999998</v>
      </c>
      <c r="J1328" s="33">
        <f t="shared" si="198"/>
        <v>3928.1819499999997</v>
      </c>
      <c r="K1328" s="33">
        <f t="shared" si="203"/>
        <v>3928.1819499999997</v>
      </c>
      <c r="L1328" s="59">
        <f t="shared" si="199"/>
        <v>-5.6157251066233952E-3</v>
      </c>
      <c r="M1328" s="60" t="str">
        <f t="shared" si="200"/>
        <v/>
      </c>
    </row>
    <row r="1329" spans="2:13" x14ac:dyDescent="0.55000000000000004">
      <c r="B1329"/>
      <c r="D1329" s="44">
        <f t="shared" si="196"/>
        <v>44228</v>
      </c>
      <c r="E1329" s="38">
        <v>7.2314999999999996</v>
      </c>
      <c r="F1329" s="39">
        <f>505.5+40</f>
        <v>545.5</v>
      </c>
      <c r="G1329" s="33">
        <f t="shared" si="197"/>
        <v>4001.1334000000002</v>
      </c>
      <c r="H1329" s="33">
        <f t="shared" si="201"/>
        <v>3922.9217799999997</v>
      </c>
      <c r="I1329" s="33">
        <f t="shared" si="204"/>
        <v>4023.36798</v>
      </c>
      <c r="J1329" s="33">
        <f t="shared" si="198"/>
        <v>3928.1819499999997</v>
      </c>
      <c r="K1329" s="33">
        <f t="shared" si="203"/>
        <v>3928.1819499999997</v>
      </c>
      <c r="L1329" s="59">
        <f t="shared" si="199"/>
        <v>-1.3390851205352177E-3</v>
      </c>
      <c r="M1329" s="60" t="str">
        <f t="shared" si="200"/>
        <v/>
      </c>
    </row>
    <row r="1330" spans="2:13" x14ac:dyDescent="0.55000000000000004">
      <c r="B1330"/>
      <c r="D1330" s="44">
        <f t="shared" si="196"/>
        <v>44229</v>
      </c>
      <c r="E1330" s="96">
        <f>7.1501</f>
        <v>7.1501000000000001</v>
      </c>
      <c r="F1330" s="97">
        <f t="shared" si="205"/>
        <v>545.5</v>
      </c>
      <c r="G1330" s="33">
        <f t="shared" si="197"/>
        <v>3944.78325</v>
      </c>
      <c r="H1330" s="33">
        <f t="shared" si="201"/>
        <v>3930.43833</v>
      </c>
      <c r="I1330" s="33">
        <f t="shared" si="204"/>
        <v>4005.7483299999994</v>
      </c>
      <c r="J1330" s="33">
        <f t="shared" si="198"/>
        <v>3928.1819499999997</v>
      </c>
      <c r="K1330" s="33">
        <f t="shared" si="203"/>
        <v>3928.1819499999997</v>
      </c>
      <c r="L1330" s="59">
        <f t="shared" si="199"/>
        <v>5.7440821955822674E-4</v>
      </c>
      <c r="M1330" s="60" t="str">
        <f t="shared" si="200"/>
        <v/>
      </c>
    </row>
    <row r="1331" spans="2:13" x14ac:dyDescent="0.55000000000000004">
      <c r="B1331"/>
      <c r="D1331" s="44">
        <f t="shared" si="196"/>
        <v>44230</v>
      </c>
      <c r="E1331" s="96">
        <f>7.1627</f>
        <v>7.1627000000000001</v>
      </c>
      <c r="F1331" s="97">
        <f t="shared" si="205"/>
        <v>545.5</v>
      </c>
      <c r="G1331" s="33">
        <f t="shared" si="197"/>
        <v>3900.3795500000001</v>
      </c>
      <c r="H1331" s="33">
        <f t="shared" si="201"/>
        <v>3928.6724800000002</v>
      </c>
      <c r="I1331" s="33">
        <f t="shared" si="204"/>
        <v>3978.8333600000001</v>
      </c>
      <c r="J1331" s="33">
        <f t="shared" si="198"/>
        <v>3928.1819499999997</v>
      </c>
      <c r="K1331" s="33">
        <f t="shared" si="203"/>
        <v>3928.1819499999997</v>
      </c>
      <c r="L1331" s="59">
        <f t="shared" si="199"/>
        <v>1.2487456188237157E-4</v>
      </c>
      <c r="M1331" s="60" t="str">
        <f t="shared" si="200"/>
        <v/>
      </c>
    </row>
    <row r="1332" spans="2:13" x14ac:dyDescent="0.55000000000000004">
      <c r="B1332"/>
      <c r="D1332" s="44">
        <f t="shared" si="196"/>
        <v>44231</v>
      </c>
      <c r="E1332" s="96">
        <f>7.1324</f>
        <v>7.1323999999999996</v>
      </c>
      <c r="F1332" s="97">
        <f t="shared" si="205"/>
        <v>545.5</v>
      </c>
      <c r="G1332" s="33">
        <f t="shared" si="197"/>
        <v>3907.2528499999999</v>
      </c>
      <c r="H1332" s="33">
        <f t="shared" si="201"/>
        <v>3931.3677300000004</v>
      </c>
      <c r="I1332" s="33">
        <f t="shared" si="204"/>
        <v>3956.4787700000002</v>
      </c>
      <c r="J1332" s="33">
        <f t="shared" si="198"/>
        <v>3928.1819499999997</v>
      </c>
      <c r="K1332" s="33">
        <f t="shared" si="203"/>
        <v>3928.1819499999997</v>
      </c>
      <c r="L1332" s="59">
        <f t="shared" si="199"/>
        <v>8.1100622133878115E-4</v>
      </c>
      <c r="M1332" s="60" t="str">
        <f t="shared" si="200"/>
        <v/>
      </c>
    </row>
    <row r="1333" spans="2:13" x14ac:dyDescent="0.55000000000000004">
      <c r="B1333"/>
      <c r="D1333" s="44">
        <f t="shared" si="196"/>
        <v>44232</v>
      </c>
      <c r="E1333" s="96">
        <f>7.0917</f>
        <v>7.0917000000000003</v>
      </c>
      <c r="F1333" s="97">
        <f t="shared" si="205"/>
        <v>545.5</v>
      </c>
      <c r="G1333" s="33">
        <f t="shared" si="197"/>
        <v>3890.7241999999997</v>
      </c>
      <c r="H1333" s="33">
        <f t="shared" si="201"/>
        <v>3928.8546500000002</v>
      </c>
      <c r="I1333" s="33">
        <f t="shared" si="204"/>
        <v>3928.8546499999998</v>
      </c>
      <c r="J1333" s="33">
        <f t="shared" si="198"/>
        <v>3928.1819499999997</v>
      </c>
      <c r="K1333" s="33">
        <f t="shared" si="203"/>
        <v>3928.1819499999997</v>
      </c>
      <c r="L1333" s="59">
        <f t="shared" si="199"/>
        <v>1.7124970496861327E-4</v>
      </c>
      <c r="M1333" s="60" t="str">
        <f t="shared" si="200"/>
        <v/>
      </c>
    </row>
    <row r="1334" spans="2:13" x14ac:dyDescent="0.55000000000000004">
      <c r="B1334"/>
      <c r="D1334" s="44">
        <f t="shared" si="196"/>
        <v>44235</v>
      </c>
      <c r="E1334" s="96">
        <f>7.0791</f>
        <v>7.0791000000000004</v>
      </c>
      <c r="F1334" s="97">
        <f t="shared" si="205"/>
        <v>545.5</v>
      </c>
      <c r="G1334" s="33">
        <f t="shared" si="197"/>
        <v>3868.5223500000002</v>
      </c>
      <c r="H1334" s="33">
        <f t="shared" si="201"/>
        <v>3902.3324399999997</v>
      </c>
      <c r="I1334" s="33">
        <f t="shared" si="204"/>
        <v>3902.3324399999997</v>
      </c>
      <c r="J1334" s="33">
        <f t="shared" si="198"/>
        <v>3928.1819499999997</v>
      </c>
      <c r="K1334" s="33">
        <f t="shared" si="203"/>
        <v>3928.1819499999997</v>
      </c>
      <c r="L1334" s="59">
        <f t="shared" si="199"/>
        <v>-6.5805276662401066E-3</v>
      </c>
      <c r="M1334" s="60" t="str">
        <f t="shared" si="200"/>
        <v/>
      </c>
    </row>
    <row r="1335" spans="2:13" x14ac:dyDescent="0.55000000000000004">
      <c r="B1335"/>
      <c r="D1335" s="44">
        <f t="shared" si="196"/>
        <v>44236</v>
      </c>
      <c r="E1335" s="38">
        <v>7.0949</v>
      </c>
      <c r="F1335" s="39">
        <f t="shared" si="205"/>
        <v>545.5</v>
      </c>
      <c r="G1335" s="33">
        <f t="shared" si="197"/>
        <v>3861.64905</v>
      </c>
      <c r="H1335" s="33">
        <f t="shared" si="201"/>
        <v>3885.7055999999998</v>
      </c>
      <c r="I1335" s="33">
        <f t="shared" si="204"/>
        <v>3885.7055999999998</v>
      </c>
      <c r="J1335" s="33">
        <f t="shared" si="198"/>
        <v>3928.1819499999997</v>
      </c>
      <c r="K1335" s="33">
        <f t="shared" si="203"/>
        <v>3928.1819499999997</v>
      </c>
      <c r="L1335" s="59">
        <f t="shared" si="199"/>
        <v>-1.0813233842184911E-2</v>
      </c>
      <c r="M1335" s="60" t="str">
        <f t="shared" si="200"/>
        <v/>
      </c>
    </row>
    <row r="1336" spans="2:13" x14ac:dyDescent="0.55000000000000004">
      <c r="B1336"/>
      <c r="D1336" s="44">
        <f t="shared" si="196"/>
        <v>44237</v>
      </c>
      <c r="E1336" s="38">
        <v>7.0640000000000001</v>
      </c>
      <c r="F1336" s="39">
        <f t="shared" si="205"/>
        <v>545.5</v>
      </c>
      <c r="G1336" s="33">
        <f t="shared" si="197"/>
        <v>3870.2679499999999</v>
      </c>
      <c r="H1336" s="33">
        <f t="shared" si="201"/>
        <v>3879.6832800000002</v>
      </c>
      <c r="I1336" s="33">
        <f t="shared" si="204"/>
        <v>3879.6832800000002</v>
      </c>
      <c r="J1336" s="33">
        <f t="shared" si="198"/>
        <v>3928.1819499999997</v>
      </c>
      <c r="K1336" s="33">
        <f t="shared" si="203"/>
        <v>3928.1819499999997</v>
      </c>
      <c r="L1336" s="59">
        <f t="shared" si="199"/>
        <v>-1.2346340016149072E-2</v>
      </c>
      <c r="M1336" s="60" t="str">
        <f t="shared" si="200"/>
        <v/>
      </c>
    </row>
    <row r="1337" spans="2:13" x14ac:dyDescent="0.55000000000000004">
      <c r="B1337"/>
      <c r="D1337" s="44">
        <f t="shared" si="196"/>
        <v>44238</v>
      </c>
      <c r="E1337" s="38">
        <v>7.0530999999999997</v>
      </c>
      <c r="F1337" s="39">
        <f t="shared" si="205"/>
        <v>545.5</v>
      </c>
      <c r="G1337" s="33">
        <f t="shared" si="197"/>
        <v>3853.4119999999998</v>
      </c>
      <c r="H1337" s="33">
        <f t="shared" si="201"/>
        <v>3868.9151099999995</v>
      </c>
      <c r="I1337" s="33">
        <f t="shared" si="204"/>
        <v>3868.9151099999999</v>
      </c>
      <c r="J1337" s="33">
        <f t="shared" si="198"/>
        <v>3928.1819499999997</v>
      </c>
      <c r="K1337" s="33">
        <f t="shared" si="203"/>
        <v>3928.1819499999997</v>
      </c>
      <c r="L1337" s="59">
        <f t="shared" si="199"/>
        <v>-1.5087600511987546E-2</v>
      </c>
      <c r="M1337" s="60" t="str">
        <f t="shared" si="200"/>
        <v/>
      </c>
    </row>
    <row r="1338" spans="2:13" x14ac:dyDescent="0.55000000000000004">
      <c r="B1338"/>
      <c r="D1338" s="44">
        <f t="shared" ref="D1338:D1401" si="206">WORKDAY(D1337,1)</f>
        <v>44239</v>
      </c>
      <c r="E1338" s="38">
        <v>7.0288000000000004</v>
      </c>
      <c r="F1338" s="39">
        <f t="shared" si="205"/>
        <v>545.5</v>
      </c>
      <c r="G1338" s="33">
        <f t="shared" si="197"/>
        <v>3847.46605</v>
      </c>
      <c r="H1338" s="33">
        <f t="shared" si="201"/>
        <v>3860.2634800000001</v>
      </c>
      <c r="I1338" s="33">
        <f t="shared" si="204"/>
        <v>3860.2634799999992</v>
      </c>
      <c r="J1338" s="33">
        <f t="shared" si="198"/>
        <v>3928.1819499999997</v>
      </c>
      <c r="K1338" s="33">
        <f t="shared" si="203"/>
        <v>3928.1819499999997</v>
      </c>
      <c r="L1338" s="59">
        <f t="shared" si="199"/>
        <v>-1.7290051953932434E-2</v>
      </c>
      <c r="M1338" s="60" t="str">
        <f t="shared" si="200"/>
        <v/>
      </c>
    </row>
    <row r="1339" spans="2:13" x14ac:dyDescent="0.55000000000000004">
      <c r="B1339"/>
      <c r="D1339" s="44">
        <f t="shared" si="206"/>
        <v>44242</v>
      </c>
      <c r="E1339" s="38">
        <f>6.985</f>
        <v>6.9850000000000003</v>
      </c>
      <c r="F1339" s="39">
        <f t="shared" si="205"/>
        <v>545.5</v>
      </c>
      <c r="G1339" s="33">
        <f t="shared" ref="G1339:G1402" si="207">E1338*F1339</f>
        <v>3834.2104000000004</v>
      </c>
      <c r="H1339" s="33">
        <f t="shared" si="201"/>
        <v>3853.4010900000003</v>
      </c>
      <c r="I1339" s="33">
        <f t="shared" si="204"/>
        <v>3853.4010900000003</v>
      </c>
      <c r="J1339" s="33">
        <f t="shared" si="198"/>
        <v>3928.1819499999997</v>
      </c>
      <c r="K1339" s="33">
        <f t="shared" si="203"/>
        <v>3928.1819499999997</v>
      </c>
      <c r="L1339" s="59">
        <f t="shared" si="199"/>
        <v>-1.9037015329699633E-2</v>
      </c>
      <c r="M1339" s="60" t="str">
        <f t="shared" si="200"/>
        <v/>
      </c>
    </row>
    <row r="1340" spans="2:13" x14ac:dyDescent="0.55000000000000004">
      <c r="B1340"/>
      <c r="D1340" s="44">
        <f t="shared" si="206"/>
        <v>44243</v>
      </c>
      <c r="E1340" s="38">
        <f>6.9275</f>
        <v>6.9275000000000002</v>
      </c>
      <c r="F1340" s="39">
        <f t="shared" si="205"/>
        <v>545.5</v>
      </c>
      <c r="G1340" s="33">
        <f t="shared" si="207"/>
        <v>3810.3175000000001</v>
      </c>
      <c r="H1340" s="33">
        <f t="shared" si="201"/>
        <v>3843.1347800000003</v>
      </c>
      <c r="I1340" s="33">
        <f t="shared" si="204"/>
        <v>3843.1347799999999</v>
      </c>
      <c r="J1340" s="33">
        <f t="shared" si="198"/>
        <v>3928.1819499999997</v>
      </c>
      <c r="K1340" s="33">
        <f t="shared" si="203"/>
        <v>3928.1819499999997</v>
      </c>
      <c r="L1340" s="59">
        <f t="shared" si="199"/>
        <v>-2.1650516977707555E-2</v>
      </c>
      <c r="M1340" s="60" t="str">
        <f t="shared" si="200"/>
        <v/>
      </c>
    </row>
    <row r="1341" spans="2:13" x14ac:dyDescent="0.55000000000000004">
      <c r="B1341"/>
      <c r="D1341" s="44">
        <f t="shared" si="206"/>
        <v>44244</v>
      </c>
      <c r="E1341" s="38">
        <v>7.0167000000000002</v>
      </c>
      <c r="F1341" s="39">
        <f t="shared" si="205"/>
        <v>545.5</v>
      </c>
      <c r="G1341" s="33">
        <f t="shared" si="207"/>
        <v>3778.9512500000001</v>
      </c>
      <c r="H1341" s="33">
        <f t="shared" si="201"/>
        <v>3824.8714399999999</v>
      </c>
      <c r="I1341" s="33">
        <f t="shared" si="204"/>
        <v>3824.8714399999999</v>
      </c>
      <c r="J1341" s="33">
        <f t="shared" ref="J1341:J1404" si="208">IF(L1341&gt;3%,G1341,IF(L1341&lt;-3%,G1341,J1340))</f>
        <v>3928.1819499999997</v>
      </c>
      <c r="K1341" s="33">
        <f t="shared" si="203"/>
        <v>3928.1819499999997</v>
      </c>
      <c r="L1341" s="59">
        <f t="shared" si="199"/>
        <v>-2.6299828092229742E-2</v>
      </c>
      <c r="M1341" s="60" t="str">
        <f t="shared" si="200"/>
        <v/>
      </c>
    </row>
    <row r="1342" spans="2:13" x14ac:dyDescent="0.55000000000000004">
      <c r="B1342"/>
      <c r="D1342" s="44">
        <f t="shared" si="206"/>
        <v>44245</v>
      </c>
      <c r="E1342" s="38">
        <v>6.9652000000000003</v>
      </c>
      <c r="F1342" s="39">
        <f t="shared" si="205"/>
        <v>545.5</v>
      </c>
      <c r="G1342" s="33">
        <f t="shared" si="207"/>
        <v>3827.6098500000003</v>
      </c>
      <c r="H1342" s="33">
        <f t="shared" si="201"/>
        <v>3819.71101</v>
      </c>
      <c r="I1342" s="33">
        <f t="shared" si="204"/>
        <v>3819.7110099999995</v>
      </c>
      <c r="J1342" s="33">
        <f t="shared" si="208"/>
        <v>3928.1819499999997</v>
      </c>
      <c r="K1342" s="33">
        <f t="shared" si="203"/>
        <v>3928.1819499999997</v>
      </c>
      <c r="L1342" s="59">
        <f t="shared" ref="L1342:L1405" si="209">(H1342-K1342)/K1342</f>
        <v>-2.7613522331876635E-2</v>
      </c>
      <c r="M1342" s="60" t="str">
        <f t="shared" ref="M1342:M1405" si="210">IF(OR(L1342&lt;-3%,L1342&gt;3%),K1343-K1342,"")</f>
        <v/>
      </c>
    </row>
    <row r="1343" spans="2:13" x14ac:dyDescent="0.55000000000000004">
      <c r="B1343"/>
      <c r="D1343" s="44">
        <f t="shared" si="206"/>
        <v>44246</v>
      </c>
      <c r="E1343" s="38">
        <v>6.9736000000000002</v>
      </c>
      <c r="F1343" s="39">
        <f t="shared" si="205"/>
        <v>545.5</v>
      </c>
      <c r="G1343" s="33">
        <f t="shared" si="207"/>
        <v>3799.5165999999999</v>
      </c>
      <c r="H1343" s="33">
        <f t="shared" si="201"/>
        <v>3810.1211200000007</v>
      </c>
      <c r="I1343" s="33">
        <f t="shared" si="204"/>
        <v>3810.1211200000002</v>
      </c>
      <c r="J1343" s="33">
        <f t="shared" si="208"/>
        <v>3799.5165999999999</v>
      </c>
      <c r="K1343" s="33">
        <f t="shared" si="203"/>
        <v>3928.1819499999997</v>
      </c>
      <c r="L1343" s="98">
        <f t="shared" si="209"/>
        <v>-3.005482727193912E-2</v>
      </c>
      <c r="M1343" s="60">
        <f t="shared" si="210"/>
        <v>-128.66534999999976</v>
      </c>
    </row>
    <row r="1344" spans="2:13" x14ac:dyDescent="0.55000000000000004">
      <c r="B1344"/>
      <c r="D1344" s="44">
        <f t="shared" si="206"/>
        <v>44249</v>
      </c>
      <c r="E1344" s="38">
        <v>7.0065999999999997</v>
      </c>
      <c r="F1344" s="39">
        <f t="shared" si="205"/>
        <v>545.5</v>
      </c>
      <c r="G1344" s="33">
        <f t="shared" si="207"/>
        <v>3804.0988000000002</v>
      </c>
      <c r="H1344" s="33">
        <f t="shared" si="201"/>
        <v>3804.0988000000002</v>
      </c>
      <c r="I1344" s="33">
        <f t="shared" si="204"/>
        <v>3804.0988000000002</v>
      </c>
      <c r="J1344" s="33">
        <f t="shared" si="208"/>
        <v>3799.5165999999999</v>
      </c>
      <c r="K1344" s="33">
        <f t="shared" si="203"/>
        <v>3799.5165999999999</v>
      </c>
      <c r="L1344" s="59">
        <f t="shared" si="209"/>
        <v>1.2059955205881412E-3</v>
      </c>
      <c r="M1344" s="60" t="str">
        <f t="shared" si="210"/>
        <v/>
      </c>
    </row>
    <row r="1345" spans="2:13" x14ac:dyDescent="0.55000000000000004">
      <c r="B1345"/>
      <c r="D1345" s="44">
        <f t="shared" si="206"/>
        <v>44250</v>
      </c>
      <c r="E1345" s="38">
        <v>7.0380000000000003</v>
      </c>
      <c r="F1345" s="39">
        <f t="shared" si="205"/>
        <v>545.5</v>
      </c>
      <c r="G1345" s="33">
        <f t="shared" si="207"/>
        <v>3822.1003000000001</v>
      </c>
      <c r="H1345" s="33">
        <f t="shared" si="201"/>
        <v>3813.0995499999999</v>
      </c>
      <c r="I1345" s="33">
        <f t="shared" si="204"/>
        <v>3806.4553599999999</v>
      </c>
      <c r="J1345" s="33">
        <f t="shared" si="208"/>
        <v>3799.5165999999999</v>
      </c>
      <c r="K1345" s="33">
        <f t="shared" si="203"/>
        <v>3799.5165999999999</v>
      </c>
      <c r="L1345" s="59">
        <f t="shared" si="209"/>
        <v>3.5749152931717639E-3</v>
      </c>
      <c r="M1345" s="60" t="str">
        <f t="shared" si="210"/>
        <v/>
      </c>
    </row>
    <row r="1346" spans="2:13" x14ac:dyDescent="0.55000000000000004">
      <c r="B1346"/>
      <c r="D1346" s="44">
        <f t="shared" si="206"/>
        <v>44251</v>
      </c>
      <c r="E1346" s="38">
        <v>7.1485000000000003</v>
      </c>
      <c r="F1346" s="39">
        <f t="shared" si="205"/>
        <v>545.5</v>
      </c>
      <c r="G1346" s="33">
        <f t="shared" si="207"/>
        <v>3839.2290000000003</v>
      </c>
      <c r="H1346" s="33">
        <f t="shared" si="201"/>
        <v>3821.8093666666668</v>
      </c>
      <c r="I1346" s="33">
        <f t="shared" si="204"/>
        <v>3818.5109100000004</v>
      </c>
      <c r="J1346" s="33">
        <f t="shared" si="208"/>
        <v>3799.5165999999999</v>
      </c>
      <c r="K1346" s="33">
        <f t="shared" si="203"/>
        <v>3799.5165999999999</v>
      </c>
      <c r="L1346" s="59">
        <f t="shared" si="209"/>
        <v>5.8672639215912158E-3</v>
      </c>
      <c r="M1346" s="60" t="str">
        <f t="shared" si="210"/>
        <v/>
      </c>
    </row>
    <row r="1347" spans="2:13" x14ac:dyDescent="0.55000000000000004">
      <c r="B1347"/>
      <c r="D1347" s="44">
        <f t="shared" si="206"/>
        <v>44252</v>
      </c>
      <c r="E1347" s="38">
        <v>7.2054</v>
      </c>
      <c r="F1347" s="39">
        <f t="shared" si="205"/>
        <v>545.5</v>
      </c>
      <c r="G1347" s="33">
        <f t="shared" si="207"/>
        <v>3899.50675</v>
      </c>
      <c r="H1347" s="33">
        <f t="shared" si="201"/>
        <v>3841.2337125000004</v>
      </c>
      <c r="I1347" s="33">
        <f t="shared" si="204"/>
        <v>3832.8902900000003</v>
      </c>
      <c r="J1347" s="33">
        <f t="shared" si="208"/>
        <v>3799.5165999999999</v>
      </c>
      <c r="K1347" s="33">
        <f t="shared" si="203"/>
        <v>3799.5165999999999</v>
      </c>
      <c r="L1347" s="59">
        <f t="shared" si="209"/>
        <v>1.0979584218687303E-2</v>
      </c>
      <c r="M1347" s="60" t="str">
        <f t="shared" si="210"/>
        <v/>
      </c>
    </row>
    <row r="1348" spans="2:13" x14ac:dyDescent="0.55000000000000004">
      <c r="B1348"/>
      <c r="D1348" s="44">
        <f t="shared" si="206"/>
        <v>44253</v>
      </c>
      <c r="E1348" s="38">
        <v>7.3841000000000001</v>
      </c>
      <c r="F1348" s="39">
        <f t="shared" si="205"/>
        <v>545.5</v>
      </c>
      <c r="G1348" s="33">
        <f t="shared" si="207"/>
        <v>3930.5457000000001</v>
      </c>
      <c r="H1348" s="33">
        <f t="shared" si="201"/>
        <v>3859.09611</v>
      </c>
      <c r="I1348" s="33">
        <f t="shared" si="204"/>
        <v>3859.0961099999995</v>
      </c>
      <c r="J1348" s="33">
        <f t="shared" si="208"/>
        <v>3799.5165999999999</v>
      </c>
      <c r="K1348" s="33">
        <f t="shared" si="203"/>
        <v>3799.5165999999999</v>
      </c>
      <c r="L1348" s="59">
        <f t="shared" si="209"/>
        <v>1.5680813185551031E-2</v>
      </c>
      <c r="M1348" s="60" t="str">
        <f t="shared" si="210"/>
        <v/>
      </c>
    </row>
    <row r="1349" spans="2:13" x14ac:dyDescent="0.55000000000000004">
      <c r="B1349"/>
      <c r="D1349" s="44">
        <f t="shared" si="206"/>
        <v>44256</v>
      </c>
      <c r="E1349" s="38">
        <v>7.3159999999999998</v>
      </c>
      <c r="F1349" s="39">
        <f>538+40</f>
        <v>578</v>
      </c>
      <c r="G1349" s="33">
        <f t="shared" si="207"/>
        <v>4268.0097999999998</v>
      </c>
      <c r="H1349" s="33">
        <f t="shared" si="201"/>
        <v>3951.8783100000001</v>
      </c>
      <c r="I1349" s="33">
        <f t="shared" si="204"/>
        <v>4136.4685600000003</v>
      </c>
      <c r="J1349" s="33">
        <f t="shared" si="208"/>
        <v>4268.0097999999998</v>
      </c>
      <c r="K1349" s="33">
        <f t="shared" si="203"/>
        <v>3799.5165999999999</v>
      </c>
      <c r="L1349" s="59">
        <f t="shared" si="209"/>
        <v>4.0100288020849847E-2</v>
      </c>
      <c r="M1349" s="60">
        <f t="shared" si="210"/>
        <v>468.49319999999989</v>
      </c>
    </row>
    <row r="1350" spans="2:13" x14ac:dyDescent="0.55000000000000004">
      <c r="B1350"/>
      <c r="D1350" s="44">
        <f t="shared" si="206"/>
        <v>44257</v>
      </c>
      <c r="E1350" s="38">
        <f>7.3248</f>
        <v>7.3247999999999998</v>
      </c>
      <c r="F1350" s="39">
        <f t="shared" si="205"/>
        <v>578</v>
      </c>
      <c r="G1350" s="33">
        <f t="shared" si="207"/>
        <v>4228.6480000000001</v>
      </c>
      <c r="H1350" s="33">
        <f t="shared" si="201"/>
        <v>4228.6480000000001</v>
      </c>
      <c r="I1350" s="33">
        <f t="shared" si="204"/>
        <v>4172.2352000000001</v>
      </c>
      <c r="J1350" s="33">
        <f t="shared" si="208"/>
        <v>4268.0097999999998</v>
      </c>
      <c r="K1350" s="33">
        <f t="shared" si="203"/>
        <v>4268.0097999999998</v>
      </c>
      <c r="L1350" s="59">
        <f t="shared" si="209"/>
        <v>-9.2225186549477183E-3</v>
      </c>
      <c r="M1350" s="60" t="str">
        <f t="shared" si="210"/>
        <v/>
      </c>
    </row>
    <row r="1351" spans="2:13" x14ac:dyDescent="0.55000000000000004">
      <c r="B1351"/>
      <c r="D1351" s="44">
        <f t="shared" si="206"/>
        <v>44258</v>
      </c>
      <c r="E1351" s="38">
        <f>7.3524</f>
        <v>7.3524000000000003</v>
      </c>
      <c r="F1351" s="39">
        <f t="shared" si="205"/>
        <v>578</v>
      </c>
      <c r="G1351" s="33">
        <f t="shared" si="207"/>
        <v>4233.7344000000003</v>
      </c>
      <c r="H1351" s="33">
        <f t="shared" si="201"/>
        <v>4231.1912000000002</v>
      </c>
      <c r="I1351" s="33">
        <f t="shared" si="204"/>
        <v>4205.3892800000003</v>
      </c>
      <c r="J1351" s="33">
        <f t="shared" si="208"/>
        <v>4268.0097999999998</v>
      </c>
      <c r="K1351" s="33">
        <f t="shared" si="203"/>
        <v>4268.0097999999998</v>
      </c>
      <c r="L1351" s="59">
        <f t="shared" si="209"/>
        <v>-8.6266437345105459E-3</v>
      </c>
      <c r="M1351" s="60" t="str">
        <f t="shared" si="210"/>
        <v/>
      </c>
    </row>
    <row r="1352" spans="2:13" x14ac:dyDescent="0.55000000000000004">
      <c r="B1352"/>
      <c r="D1352" s="44">
        <f t="shared" si="206"/>
        <v>44259</v>
      </c>
      <c r="E1352" s="38">
        <f>7.4659</f>
        <v>7.4659000000000004</v>
      </c>
      <c r="F1352" s="39">
        <f t="shared" si="205"/>
        <v>578</v>
      </c>
      <c r="G1352" s="33">
        <f t="shared" si="207"/>
        <v>4249.6872000000003</v>
      </c>
      <c r="H1352" s="33">
        <f t="shared" si="201"/>
        <v>4237.3565333333336</v>
      </c>
      <c r="I1352" s="33">
        <f t="shared" si="204"/>
        <v>4228.9601200000006</v>
      </c>
      <c r="J1352" s="33">
        <f t="shared" si="208"/>
        <v>4268.0097999999998</v>
      </c>
      <c r="K1352" s="33">
        <f t="shared" si="203"/>
        <v>4268.0097999999998</v>
      </c>
      <c r="L1352" s="59">
        <f t="shared" si="209"/>
        <v>-7.1820984728447066E-3</v>
      </c>
      <c r="M1352" s="60" t="str">
        <f t="shared" si="210"/>
        <v/>
      </c>
    </row>
    <row r="1353" spans="2:13" x14ac:dyDescent="0.55000000000000004">
      <c r="B1353"/>
      <c r="D1353" s="44">
        <f t="shared" si="206"/>
        <v>44260</v>
      </c>
      <c r="E1353" s="38">
        <f>7.5231</f>
        <v>7.5231000000000003</v>
      </c>
      <c r="F1353" s="39">
        <f t="shared" si="205"/>
        <v>578</v>
      </c>
      <c r="G1353" s="33">
        <f t="shared" si="207"/>
        <v>4315.2902000000004</v>
      </c>
      <c r="H1353" s="33">
        <f t="shared" si="201"/>
        <v>4256.8399500000005</v>
      </c>
      <c r="I1353" s="33">
        <f t="shared" si="204"/>
        <v>4259.0739199999998</v>
      </c>
      <c r="J1353" s="33">
        <f t="shared" si="208"/>
        <v>4268.0097999999998</v>
      </c>
      <c r="K1353" s="33">
        <f t="shared" si="203"/>
        <v>4268.0097999999998</v>
      </c>
      <c r="L1353" s="59">
        <f t="shared" si="209"/>
        <v>-2.6171097357834826E-3</v>
      </c>
      <c r="M1353" s="60" t="str">
        <f t="shared" si="210"/>
        <v/>
      </c>
    </row>
    <row r="1354" spans="2:13" x14ac:dyDescent="0.55000000000000004">
      <c r="B1354"/>
      <c r="D1354" s="44">
        <f t="shared" si="206"/>
        <v>44263</v>
      </c>
      <c r="E1354" s="38">
        <f>7.6075</f>
        <v>7.6074999999999999</v>
      </c>
      <c r="F1354" s="39">
        <f t="shared" si="205"/>
        <v>578</v>
      </c>
      <c r="G1354" s="33">
        <f t="shared" si="207"/>
        <v>4348.3518000000004</v>
      </c>
      <c r="H1354" s="33">
        <f t="shared" si="201"/>
        <v>4275.1423200000008</v>
      </c>
      <c r="I1354" s="33">
        <f t="shared" si="204"/>
        <v>4275.1423199999999</v>
      </c>
      <c r="J1354" s="33">
        <f t="shared" si="208"/>
        <v>4268.0097999999998</v>
      </c>
      <c r="K1354" s="33">
        <f t="shared" si="203"/>
        <v>4268.0097999999998</v>
      </c>
      <c r="L1354" s="59">
        <f t="shared" si="209"/>
        <v>1.6711582995898985E-3</v>
      </c>
      <c r="M1354" s="60" t="str">
        <f t="shared" si="210"/>
        <v/>
      </c>
    </row>
    <row r="1355" spans="2:13" x14ac:dyDescent="0.55000000000000004">
      <c r="B1355"/>
      <c r="D1355" s="44">
        <f t="shared" si="206"/>
        <v>44264</v>
      </c>
      <c r="E1355" s="38">
        <f>7.654</f>
        <v>7.6539999999999999</v>
      </c>
      <c r="F1355" s="39">
        <f t="shared" si="205"/>
        <v>578</v>
      </c>
      <c r="G1355" s="33">
        <f t="shared" si="207"/>
        <v>4397.1350000000002</v>
      </c>
      <c r="H1355" s="33">
        <f t="shared" si="201"/>
        <v>4308.8397200000009</v>
      </c>
      <c r="I1355" s="33">
        <f t="shared" si="204"/>
        <v>4308.8397199999999</v>
      </c>
      <c r="J1355" s="33">
        <f t="shared" si="208"/>
        <v>4268.0097999999998</v>
      </c>
      <c r="K1355" s="33">
        <f t="shared" si="203"/>
        <v>4268.0097999999998</v>
      </c>
      <c r="L1355" s="59">
        <f t="shared" si="209"/>
        <v>9.5665009953822128E-3</v>
      </c>
      <c r="M1355" s="60" t="str">
        <f t="shared" si="210"/>
        <v/>
      </c>
    </row>
    <row r="1356" spans="2:13" x14ac:dyDescent="0.55000000000000004">
      <c r="B1356"/>
      <c r="D1356" s="44">
        <f t="shared" si="206"/>
        <v>44265</v>
      </c>
      <c r="E1356" s="38">
        <f>7.6088</f>
        <v>7.6087999999999996</v>
      </c>
      <c r="F1356" s="39">
        <f t="shared" si="205"/>
        <v>578</v>
      </c>
      <c r="G1356" s="33">
        <f t="shared" si="207"/>
        <v>4424.0119999999997</v>
      </c>
      <c r="H1356" s="33">
        <f t="shared" si="201"/>
        <v>4346.8952399999998</v>
      </c>
      <c r="I1356" s="33">
        <f t="shared" si="204"/>
        <v>4346.8952400000007</v>
      </c>
      <c r="J1356" s="33">
        <f t="shared" si="208"/>
        <v>4268.0097999999998</v>
      </c>
      <c r="K1356" s="33">
        <f t="shared" si="203"/>
        <v>4268.0097999999998</v>
      </c>
      <c r="L1356" s="59">
        <f t="shared" si="209"/>
        <v>1.8482956623014319E-2</v>
      </c>
      <c r="M1356" s="60" t="str">
        <f t="shared" si="210"/>
        <v/>
      </c>
    </row>
    <row r="1357" spans="2:13" x14ac:dyDescent="0.55000000000000004">
      <c r="B1357"/>
      <c r="D1357" s="44">
        <f t="shared" si="206"/>
        <v>44266</v>
      </c>
      <c r="E1357" s="38">
        <f>7.4581</f>
        <v>7.4581</v>
      </c>
      <c r="F1357" s="39">
        <f t="shared" si="205"/>
        <v>578</v>
      </c>
      <c r="G1357" s="33">
        <f t="shared" si="207"/>
        <v>4397.8863999999994</v>
      </c>
      <c r="H1357" s="33">
        <f t="shared" si="201"/>
        <v>4376.5350799999997</v>
      </c>
      <c r="I1357" s="33">
        <f t="shared" si="204"/>
        <v>4376.5350799999997</v>
      </c>
      <c r="J1357" s="33">
        <f t="shared" si="208"/>
        <v>4268.0097999999998</v>
      </c>
      <c r="K1357" s="33">
        <f t="shared" si="203"/>
        <v>4268.0097999999998</v>
      </c>
      <c r="L1357" s="59">
        <f t="shared" si="209"/>
        <v>2.5427607968472762E-2</v>
      </c>
      <c r="M1357" s="60" t="str">
        <f t="shared" si="210"/>
        <v/>
      </c>
    </row>
    <row r="1358" spans="2:13" x14ac:dyDescent="0.55000000000000004">
      <c r="B1358"/>
      <c r="D1358" s="44">
        <f t="shared" si="206"/>
        <v>44267</v>
      </c>
      <c r="E1358" s="38">
        <f>7.5846</f>
        <v>7.5846</v>
      </c>
      <c r="F1358" s="39">
        <f t="shared" si="205"/>
        <v>578</v>
      </c>
      <c r="G1358" s="33">
        <f t="shared" si="207"/>
        <v>4310.7817999999997</v>
      </c>
      <c r="H1358" s="33">
        <f t="shared" si="201"/>
        <v>4375.6334000000006</v>
      </c>
      <c r="I1358" s="33">
        <f t="shared" si="204"/>
        <v>4375.6334000000006</v>
      </c>
      <c r="J1358" s="33">
        <f t="shared" si="208"/>
        <v>4268.0097999999998</v>
      </c>
      <c r="K1358" s="33">
        <f t="shared" si="203"/>
        <v>4268.0097999999998</v>
      </c>
      <c r="L1358" s="59">
        <f t="shared" si="209"/>
        <v>2.5216343223954361E-2</v>
      </c>
      <c r="M1358" s="60" t="str">
        <f t="shared" si="210"/>
        <v/>
      </c>
    </row>
    <row r="1359" spans="2:13" x14ac:dyDescent="0.55000000000000004">
      <c r="B1359"/>
      <c r="D1359" s="44">
        <f t="shared" si="206"/>
        <v>44270</v>
      </c>
      <c r="E1359" s="38">
        <v>7.5510000000000002</v>
      </c>
      <c r="F1359" s="39">
        <f t="shared" si="205"/>
        <v>578</v>
      </c>
      <c r="G1359" s="33">
        <f t="shared" si="207"/>
        <v>4383.8987999999999</v>
      </c>
      <c r="H1359" s="33">
        <f t="shared" si="201"/>
        <v>4382.7428</v>
      </c>
      <c r="I1359" s="33">
        <f t="shared" si="204"/>
        <v>4382.7428000000009</v>
      </c>
      <c r="J1359" s="33">
        <f t="shared" si="208"/>
        <v>4268.0097999999998</v>
      </c>
      <c r="K1359" s="33">
        <f t="shared" si="203"/>
        <v>4268.0097999999998</v>
      </c>
      <c r="L1359" s="59">
        <f t="shared" si="209"/>
        <v>2.6882084478812625E-2</v>
      </c>
      <c r="M1359" s="60" t="str">
        <f t="shared" si="210"/>
        <v/>
      </c>
    </row>
    <row r="1360" spans="2:13" x14ac:dyDescent="0.55000000000000004">
      <c r="B1360"/>
      <c r="D1360" s="44">
        <f t="shared" si="206"/>
        <v>44271</v>
      </c>
      <c r="E1360" s="38">
        <v>7.5175999999999998</v>
      </c>
      <c r="F1360" s="39">
        <f t="shared" si="205"/>
        <v>578</v>
      </c>
      <c r="G1360" s="33">
        <f t="shared" si="207"/>
        <v>4364.4780000000001</v>
      </c>
      <c r="H1360" s="33">
        <f t="shared" si="201"/>
        <v>4376.2113999999992</v>
      </c>
      <c r="I1360" s="33">
        <f t="shared" si="204"/>
        <v>4376.2114000000001</v>
      </c>
      <c r="J1360" s="33">
        <f t="shared" si="208"/>
        <v>4268.0097999999998</v>
      </c>
      <c r="K1360" s="33">
        <f t="shared" si="203"/>
        <v>4268.0097999999998</v>
      </c>
      <c r="L1360" s="59">
        <f t="shared" si="209"/>
        <v>2.5351769342235209E-2</v>
      </c>
      <c r="M1360" s="60" t="str">
        <f t="shared" si="210"/>
        <v/>
      </c>
    </row>
    <row r="1361" spans="2:13" x14ac:dyDescent="0.55000000000000004">
      <c r="B1361"/>
      <c r="D1361" s="44">
        <f t="shared" si="206"/>
        <v>44272</v>
      </c>
      <c r="E1361" s="38">
        <f>7.5115</f>
        <v>7.5114999999999998</v>
      </c>
      <c r="F1361" s="39">
        <f t="shared" si="205"/>
        <v>578</v>
      </c>
      <c r="G1361" s="33">
        <f t="shared" si="207"/>
        <v>4345.1728000000003</v>
      </c>
      <c r="H1361" s="33">
        <f t="shared" ref="H1361:H1424" si="211">IF(M1360&lt;&gt;"",AVERAGE(G1361),IF(M1359&lt;&gt;"",AVERAGE(G1360:G1361),IF(M1358&lt;&gt;"",AVERAGE(G1359:G1361),IF(M1357&lt;&gt;"",AVERAGE(G1358:G1361),AVERAGE(G1357:G1361)))))</f>
        <v>4360.4435599999997</v>
      </c>
      <c r="I1361" s="33">
        <f t="shared" si="204"/>
        <v>4360.4435600000006</v>
      </c>
      <c r="J1361" s="33">
        <f t="shared" si="208"/>
        <v>4268.0097999999998</v>
      </c>
      <c r="K1361" s="33">
        <f t="shared" si="203"/>
        <v>4268.0097999999998</v>
      </c>
      <c r="L1361" s="59">
        <f t="shared" si="209"/>
        <v>2.1657344835524957E-2</v>
      </c>
      <c r="M1361" s="60" t="str">
        <f t="shared" si="210"/>
        <v/>
      </c>
    </row>
    <row r="1362" spans="2:13" x14ac:dyDescent="0.55000000000000004">
      <c r="B1362"/>
      <c r="D1362" s="44">
        <f t="shared" si="206"/>
        <v>44273</v>
      </c>
      <c r="E1362" s="38">
        <f>7.4708</f>
        <v>7.4707999999999997</v>
      </c>
      <c r="F1362" s="39">
        <f t="shared" si="205"/>
        <v>578</v>
      </c>
      <c r="G1362" s="33">
        <f t="shared" si="207"/>
        <v>4341.6469999999999</v>
      </c>
      <c r="H1362" s="33">
        <f t="shared" si="211"/>
        <v>4349.1956799999998</v>
      </c>
      <c r="I1362" s="33">
        <f t="shared" si="204"/>
        <v>4349.1956799999998</v>
      </c>
      <c r="J1362" s="33">
        <f t="shared" si="208"/>
        <v>4268.0097999999998</v>
      </c>
      <c r="K1362" s="33">
        <f t="shared" si="203"/>
        <v>4268.0097999999998</v>
      </c>
      <c r="L1362" s="59">
        <f t="shared" si="209"/>
        <v>1.9021952573773378E-2</v>
      </c>
      <c r="M1362" s="60" t="str">
        <f t="shared" si="210"/>
        <v/>
      </c>
    </row>
    <row r="1363" spans="2:13" x14ac:dyDescent="0.55000000000000004">
      <c r="B1363"/>
      <c r="D1363" s="44">
        <f t="shared" si="206"/>
        <v>44274</v>
      </c>
      <c r="E1363" s="38">
        <f>7.2801</f>
        <v>7.2801</v>
      </c>
      <c r="F1363" s="39">
        <f t="shared" si="205"/>
        <v>578</v>
      </c>
      <c r="G1363" s="33">
        <f t="shared" si="207"/>
        <v>4318.1224000000002</v>
      </c>
      <c r="H1363" s="33">
        <f t="shared" si="211"/>
        <v>4350.6638000000003</v>
      </c>
      <c r="I1363" s="33">
        <f t="shared" si="204"/>
        <v>4350.6637999999994</v>
      </c>
      <c r="J1363" s="33">
        <f t="shared" si="208"/>
        <v>4268.0097999999998</v>
      </c>
      <c r="K1363" s="33">
        <f t="shared" si="203"/>
        <v>4268.0097999999998</v>
      </c>
      <c r="L1363" s="59">
        <f t="shared" si="209"/>
        <v>1.9365934914207662E-2</v>
      </c>
      <c r="M1363" s="60" t="str">
        <f t="shared" si="210"/>
        <v/>
      </c>
    </row>
    <row r="1364" spans="2:13" x14ac:dyDescent="0.55000000000000004">
      <c r="B1364"/>
      <c r="D1364" s="44">
        <f t="shared" si="206"/>
        <v>44277</v>
      </c>
      <c r="E1364" s="38">
        <v>7.9181999999999997</v>
      </c>
      <c r="F1364" s="39">
        <f t="shared" si="205"/>
        <v>578</v>
      </c>
      <c r="G1364" s="33">
        <f t="shared" si="207"/>
        <v>4207.8977999999997</v>
      </c>
      <c r="H1364" s="33">
        <f t="shared" si="211"/>
        <v>4315.4636</v>
      </c>
      <c r="I1364" s="33">
        <f t="shared" si="204"/>
        <v>4315.4636</v>
      </c>
      <c r="J1364" s="33">
        <f t="shared" si="208"/>
        <v>4268.0097999999998</v>
      </c>
      <c r="K1364" s="33">
        <f t="shared" si="203"/>
        <v>4268.0097999999998</v>
      </c>
      <c r="L1364" s="59">
        <f t="shared" si="209"/>
        <v>1.111848431088425E-2</v>
      </c>
      <c r="M1364" s="60" t="str">
        <f t="shared" si="210"/>
        <v/>
      </c>
    </row>
    <row r="1365" spans="2:13" x14ac:dyDescent="0.55000000000000004">
      <c r="B1365"/>
      <c r="D1365" s="44">
        <f t="shared" si="206"/>
        <v>44278</v>
      </c>
      <c r="E1365" s="38">
        <v>7.8221999999999996</v>
      </c>
      <c r="F1365" s="39">
        <f t="shared" si="205"/>
        <v>578</v>
      </c>
      <c r="G1365" s="33">
        <f t="shared" si="207"/>
        <v>4576.7195999999994</v>
      </c>
      <c r="H1365" s="33">
        <f t="shared" si="211"/>
        <v>4357.9119200000005</v>
      </c>
      <c r="I1365" s="33">
        <f t="shared" si="204"/>
        <v>4357.9119200000005</v>
      </c>
      <c r="J1365" s="33">
        <f t="shared" si="208"/>
        <v>4268.0097999999998</v>
      </c>
      <c r="K1365" s="33">
        <f t="shared" si="203"/>
        <v>4268.0097999999998</v>
      </c>
      <c r="L1365" s="59">
        <f t="shared" si="209"/>
        <v>2.10641784374536E-2</v>
      </c>
      <c r="M1365" s="60" t="str">
        <f t="shared" si="210"/>
        <v/>
      </c>
    </row>
    <row r="1366" spans="2:13" x14ac:dyDescent="0.55000000000000004">
      <c r="B1366"/>
      <c r="D1366" s="44">
        <f t="shared" si="206"/>
        <v>44279</v>
      </c>
      <c r="E1366" s="38">
        <f>7.9809</f>
        <v>7.9809000000000001</v>
      </c>
      <c r="F1366" s="39">
        <f t="shared" si="205"/>
        <v>578</v>
      </c>
      <c r="G1366" s="33">
        <f t="shared" si="207"/>
        <v>4521.2316000000001</v>
      </c>
      <c r="H1366" s="33">
        <f t="shared" si="211"/>
        <v>4393.1236799999997</v>
      </c>
      <c r="I1366" s="33">
        <f t="shared" si="204"/>
        <v>4393.1236799999997</v>
      </c>
      <c r="J1366" s="33">
        <f t="shared" si="208"/>
        <v>4268.0097999999998</v>
      </c>
      <c r="K1366" s="33">
        <f t="shared" si="203"/>
        <v>4268.0097999999998</v>
      </c>
      <c r="L1366" s="59">
        <f t="shared" si="209"/>
        <v>2.93143375631424E-2</v>
      </c>
      <c r="M1366" s="60" t="str">
        <f t="shared" si="210"/>
        <v/>
      </c>
    </row>
    <row r="1367" spans="2:13" x14ac:dyDescent="0.55000000000000004">
      <c r="B1367"/>
      <c r="D1367" s="44">
        <f t="shared" si="206"/>
        <v>44280</v>
      </c>
      <c r="E1367" s="38">
        <f>7.9552</f>
        <v>7.9551999999999996</v>
      </c>
      <c r="F1367" s="39">
        <f t="shared" si="205"/>
        <v>578</v>
      </c>
      <c r="G1367" s="33">
        <f t="shared" si="207"/>
        <v>4612.9602000000004</v>
      </c>
      <c r="H1367" s="33">
        <f t="shared" si="211"/>
        <v>4447.3863199999996</v>
      </c>
      <c r="I1367" s="33">
        <f t="shared" si="204"/>
        <v>4447.3863200000005</v>
      </c>
      <c r="J1367" s="33">
        <f t="shared" si="208"/>
        <v>4612.9602000000004</v>
      </c>
      <c r="K1367" s="33">
        <f t="shared" si="203"/>
        <v>4268.0097999999998</v>
      </c>
      <c r="L1367" s="59">
        <f t="shared" si="209"/>
        <v>4.2028141547378779E-2</v>
      </c>
      <c r="M1367" s="60">
        <f t="shared" si="210"/>
        <v>344.95040000000063</v>
      </c>
    </row>
    <row r="1368" spans="2:13" x14ac:dyDescent="0.55000000000000004">
      <c r="B1368"/>
      <c r="D1368" s="44">
        <f t="shared" si="206"/>
        <v>44281</v>
      </c>
      <c r="E1368" s="38">
        <v>8.0037000000000003</v>
      </c>
      <c r="F1368" s="39">
        <f>F1367</f>
        <v>578</v>
      </c>
      <c r="G1368" s="33">
        <f t="shared" si="207"/>
        <v>4598.1055999999999</v>
      </c>
      <c r="H1368" s="33">
        <f t="shared" si="211"/>
        <v>4598.1055999999999</v>
      </c>
      <c r="I1368" s="33">
        <f t="shared" si="204"/>
        <v>4503.382959999999</v>
      </c>
      <c r="J1368" s="33">
        <f t="shared" si="208"/>
        <v>4612.9602000000004</v>
      </c>
      <c r="K1368" s="33">
        <f t="shared" si="203"/>
        <v>4612.9602000000004</v>
      </c>
      <c r="L1368" s="59">
        <f t="shared" si="209"/>
        <v>-3.2201881993260146E-3</v>
      </c>
      <c r="M1368" s="60" t="str">
        <f t="shared" si="210"/>
        <v/>
      </c>
    </row>
    <row r="1369" spans="2:13" x14ac:dyDescent="0.55000000000000004">
      <c r="B1369"/>
      <c r="D1369" s="44">
        <f t="shared" si="206"/>
        <v>44284</v>
      </c>
      <c r="E1369" s="38">
        <f>8.1338</f>
        <v>8.1338000000000008</v>
      </c>
      <c r="F1369" s="39">
        <f t="shared" si="205"/>
        <v>578</v>
      </c>
      <c r="G1369" s="33">
        <f t="shared" si="207"/>
        <v>4626.1386000000002</v>
      </c>
      <c r="H1369" s="33">
        <f t="shared" si="211"/>
        <v>4612.1221000000005</v>
      </c>
      <c r="I1369" s="33">
        <f t="shared" si="204"/>
        <v>4587.0311200000006</v>
      </c>
      <c r="J1369" s="33">
        <f t="shared" si="208"/>
        <v>4612.9602000000004</v>
      </c>
      <c r="K1369" s="33">
        <f t="shared" si="203"/>
        <v>4612.9602000000004</v>
      </c>
      <c r="L1369" s="59">
        <f t="shared" si="209"/>
        <v>-1.8168377000086415E-4</v>
      </c>
      <c r="M1369" s="60" t="str">
        <f t="shared" si="210"/>
        <v/>
      </c>
    </row>
    <row r="1370" spans="2:13" x14ac:dyDescent="0.55000000000000004">
      <c r="B1370"/>
      <c r="D1370" s="44">
        <f t="shared" si="206"/>
        <v>44285</v>
      </c>
      <c r="E1370" s="38">
        <f>8.341</f>
        <v>8.3409999999999993</v>
      </c>
      <c r="F1370" s="39">
        <f t="shared" si="205"/>
        <v>578</v>
      </c>
      <c r="G1370" s="33">
        <f t="shared" si="207"/>
        <v>4701.3364000000001</v>
      </c>
      <c r="H1370" s="33">
        <f t="shared" si="211"/>
        <v>4641.8602000000001</v>
      </c>
      <c r="I1370" s="33">
        <f t="shared" si="204"/>
        <v>4611.9544800000003</v>
      </c>
      <c r="J1370" s="33">
        <f t="shared" si="208"/>
        <v>4612.9602000000004</v>
      </c>
      <c r="K1370" s="33">
        <f t="shared" si="203"/>
        <v>4612.9602000000004</v>
      </c>
      <c r="L1370" s="59">
        <f t="shared" si="209"/>
        <v>6.2649575862370613E-3</v>
      </c>
      <c r="M1370" s="60" t="str">
        <f t="shared" si="210"/>
        <v/>
      </c>
    </row>
    <row r="1371" spans="2:13" x14ac:dyDescent="0.55000000000000004">
      <c r="B1371"/>
      <c r="D1371" s="44">
        <f t="shared" si="206"/>
        <v>44286</v>
      </c>
      <c r="E1371" s="38">
        <f>8.3408</f>
        <v>8.3407999999999998</v>
      </c>
      <c r="F1371" s="39">
        <f t="shared" si="205"/>
        <v>578</v>
      </c>
      <c r="G1371" s="33">
        <f t="shared" si="207"/>
        <v>4821.098</v>
      </c>
      <c r="H1371" s="33">
        <f t="shared" si="211"/>
        <v>4686.6696499999998</v>
      </c>
      <c r="I1371" s="33">
        <f t="shared" si="204"/>
        <v>4671.9277599999996</v>
      </c>
      <c r="J1371" s="33">
        <f t="shared" si="208"/>
        <v>4612.9602000000004</v>
      </c>
      <c r="K1371" s="33">
        <f t="shared" si="203"/>
        <v>4612.9602000000004</v>
      </c>
      <c r="L1371" s="59">
        <f t="shared" si="209"/>
        <v>1.5978774323697691E-2</v>
      </c>
      <c r="M1371" s="60" t="str">
        <f t="shared" si="210"/>
        <v/>
      </c>
    </row>
    <row r="1372" spans="2:13" x14ac:dyDescent="0.55000000000000004">
      <c r="B1372"/>
      <c r="D1372" s="44">
        <f t="shared" si="206"/>
        <v>44287</v>
      </c>
      <c r="E1372" s="38">
        <f>8.1854</f>
        <v>8.1853999999999996</v>
      </c>
      <c r="F1372" s="39">
        <f>500*0.3+510*0.7+40</f>
        <v>547</v>
      </c>
      <c r="G1372" s="33">
        <f t="shared" si="207"/>
        <v>4562.4175999999998</v>
      </c>
      <c r="H1372" s="33">
        <f t="shared" si="211"/>
        <v>4661.8192399999998</v>
      </c>
      <c r="I1372" s="33">
        <f t="shared" si="204"/>
        <v>4460.7303000000011</v>
      </c>
      <c r="J1372" s="33">
        <f t="shared" si="208"/>
        <v>4612.9602000000004</v>
      </c>
      <c r="K1372" s="33">
        <f t="shared" ref="K1372:K1435" si="212">IF(L1371&gt;3%,G1371,IF(L1371&lt;-3%,G1371,K1371))</f>
        <v>4612.9602000000004</v>
      </c>
      <c r="L1372" s="59">
        <f t="shared" si="209"/>
        <v>1.0591689041669895E-2</v>
      </c>
      <c r="M1372" s="60" t="str">
        <f t="shared" si="210"/>
        <v/>
      </c>
    </row>
    <row r="1373" spans="2:13" x14ac:dyDescent="0.55000000000000004">
      <c r="B1373"/>
      <c r="D1373" s="44">
        <f t="shared" si="206"/>
        <v>44288</v>
      </c>
      <c r="E1373" s="38">
        <f>8.0506</f>
        <v>8.0505999999999993</v>
      </c>
      <c r="F1373" s="39">
        <f t="shared" si="205"/>
        <v>547</v>
      </c>
      <c r="G1373" s="33">
        <f t="shared" si="207"/>
        <v>4477.4137999999994</v>
      </c>
      <c r="H1373" s="33">
        <f t="shared" si="211"/>
        <v>4637.6808799999999</v>
      </c>
      <c r="I1373" s="33">
        <f t="shared" si="204"/>
        <v>4485.9141800000007</v>
      </c>
      <c r="J1373" s="33">
        <f t="shared" si="208"/>
        <v>4612.9602000000004</v>
      </c>
      <c r="K1373" s="33">
        <f t="shared" si="212"/>
        <v>4612.9602000000004</v>
      </c>
      <c r="L1373" s="59">
        <f t="shared" si="209"/>
        <v>5.3589623426621904E-3</v>
      </c>
      <c r="M1373" s="60" t="str">
        <f t="shared" si="210"/>
        <v/>
      </c>
    </row>
    <row r="1374" spans="2:13" x14ac:dyDescent="0.55000000000000004">
      <c r="B1374"/>
      <c r="D1374" s="44">
        <f t="shared" si="206"/>
        <v>44291</v>
      </c>
      <c r="E1374" s="38">
        <f>8.154</f>
        <v>8.1539999999999999</v>
      </c>
      <c r="F1374" s="39">
        <f t="shared" si="205"/>
        <v>547</v>
      </c>
      <c r="G1374" s="33">
        <f t="shared" si="207"/>
        <v>4403.6781999999994</v>
      </c>
      <c r="H1374" s="33">
        <f t="shared" si="211"/>
        <v>4593.188799999999</v>
      </c>
      <c r="I1374" s="33">
        <f t="shared" si="204"/>
        <v>4491.0450400000009</v>
      </c>
      <c r="J1374" s="33">
        <f t="shared" si="208"/>
        <v>4612.9602000000004</v>
      </c>
      <c r="K1374" s="33">
        <f t="shared" si="212"/>
        <v>4612.9602000000004</v>
      </c>
      <c r="L1374" s="59">
        <f t="shared" si="209"/>
        <v>-4.2860547550359201E-3</v>
      </c>
      <c r="M1374" s="60" t="str">
        <f t="shared" si="210"/>
        <v/>
      </c>
    </row>
    <row r="1375" spans="2:13" x14ac:dyDescent="0.55000000000000004">
      <c r="B1375"/>
      <c r="D1375" s="44">
        <f t="shared" si="206"/>
        <v>44292</v>
      </c>
      <c r="E1375" s="38">
        <f>8.1588</f>
        <v>8.1587999999999994</v>
      </c>
      <c r="F1375" s="39">
        <f t="shared" si="205"/>
        <v>547</v>
      </c>
      <c r="G1375" s="33">
        <f t="shared" si="207"/>
        <v>4460.2380000000003</v>
      </c>
      <c r="H1375" s="33">
        <f t="shared" si="211"/>
        <v>4544.9691199999997</v>
      </c>
      <c r="I1375" s="33">
        <f t="shared" si="204"/>
        <v>4493.2549199999994</v>
      </c>
      <c r="J1375" s="33">
        <f t="shared" si="208"/>
        <v>4612.9602000000004</v>
      </c>
      <c r="K1375" s="33">
        <f t="shared" si="212"/>
        <v>4612.9602000000004</v>
      </c>
      <c r="L1375" s="59">
        <f t="shared" si="209"/>
        <v>-1.4739142991088604E-2</v>
      </c>
      <c r="M1375" s="60" t="str">
        <f t="shared" si="210"/>
        <v/>
      </c>
    </row>
    <row r="1376" spans="2:13" x14ac:dyDescent="0.55000000000000004">
      <c r="B1376"/>
      <c r="D1376" s="44">
        <f t="shared" si="206"/>
        <v>44293</v>
      </c>
      <c r="E1376" s="38">
        <f>8.1836</f>
        <v>8.1836000000000002</v>
      </c>
      <c r="F1376" s="39">
        <f t="shared" si="205"/>
        <v>547</v>
      </c>
      <c r="G1376" s="33">
        <f t="shared" si="207"/>
        <v>4462.8635999999997</v>
      </c>
      <c r="H1376" s="33">
        <f t="shared" si="211"/>
        <v>4473.3222399999995</v>
      </c>
      <c r="I1376" s="33">
        <f t="shared" si="204"/>
        <v>4473.3222400000004</v>
      </c>
      <c r="J1376" s="33">
        <f t="shared" si="208"/>
        <v>4462.8635999999997</v>
      </c>
      <c r="K1376" s="33">
        <f t="shared" si="212"/>
        <v>4612.9602000000004</v>
      </c>
      <c r="L1376" s="59">
        <f t="shared" si="209"/>
        <v>-3.0270792277809142E-2</v>
      </c>
      <c r="M1376" s="60">
        <f t="shared" si="210"/>
        <v>-150.09660000000076</v>
      </c>
    </row>
    <row r="1377" spans="2:13" x14ac:dyDescent="0.55000000000000004">
      <c r="B1377"/>
      <c r="D1377" s="44">
        <f t="shared" si="206"/>
        <v>44294</v>
      </c>
      <c r="E1377" s="38">
        <v>8.1664999999999992</v>
      </c>
      <c r="F1377" s="39">
        <f t="shared" si="205"/>
        <v>547</v>
      </c>
      <c r="G1377" s="33">
        <f t="shared" si="207"/>
        <v>4476.4292000000005</v>
      </c>
      <c r="H1377" s="33">
        <f t="shared" si="211"/>
        <v>4476.4292000000005</v>
      </c>
      <c r="I1377" s="33">
        <f t="shared" si="204"/>
        <v>4456.1245600000002</v>
      </c>
      <c r="J1377" s="33">
        <f t="shared" si="208"/>
        <v>4462.8635999999997</v>
      </c>
      <c r="K1377" s="33">
        <f t="shared" si="212"/>
        <v>4462.8635999999997</v>
      </c>
      <c r="L1377" s="59">
        <f t="shared" si="209"/>
        <v>3.0396626954946179E-3</v>
      </c>
      <c r="M1377" s="60" t="str">
        <f t="shared" si="210"/>
        <v/>
      </c>
    </row>
    <row r="1378" spans="2:13" x14ac:dyDescent="0.55000000000000004">
      <c r="B1378"/>
      <c r="D1378" s="44">
        <f t="shared" si="206"/>
        <v>44295</v>
      </c>
      <c r="E1378" s="38">
        <f>8.153</f>
        <v>8.1530000000000005</v>
      </c>
      <c r="F1378" s="39">
        <f t="shared" si="205"/>
        <v>547</v>
      </c>
      <c r="G1378" s="33">
        <f t="shared" si="207"/>
        <v>4467.0754999999999</v>
      </c>
      <c r="H1378" s="33">
        <f t="shared" si="211"/>
        <v>4471.7523500000007</v>
      </c>
      <c r="I1378" s="33">
        <f t="shared" ref="I1378:I1441" si="213">F1378*AVERAGE(E1373:E1377)</f>
        <v>4454.0568999999996</v>
      </c>
      <c r="J1378" s="33">
        <f t="shared" si="208"/>
        <v>4462.8635999999997</v>
      </c>
      <c r="K1378" s="33">
        <f t="shared" si="212"/>
        <v>4462.8635999999997</v>
      </c>
      <c r="L1378" s="59">
        <f t="shared" si="209"/>
        <v>1.9917144678141146E-3</v>
      </c>
      <c r="M1378" s="60" t="str">
        <f t="shared" si="210"/>
        <v/>
      </c>
    </row>
    <row r="1379" spans="2:13" x14ac:dyDescent="0.55000000000000004">
      <c r="B1379"/>
      <c r="D1379" s="44">
        <f t="shared" si="206"/>
        <v>44298</v>
      </c>
      <c r="E1379" s="38">
        <f>8.1828</f>
        <v>8.1828000000000003</v>
      </c>
      <c r="F1379" s="39">
        <f t="shared" si="205"/>
        <v>547</v>
      </c>
      <c r="G1379" s="33">
        <f t="shared" si="207"/>
        <v>4459.6909999999998</v>
      </c>
      <c r="H1379" s="33">
        <f t="shared" si="211"/>
        <v>4467.7318999999998</v>
      </c>
      <c r="I1379" s="33">
        <f t="shared" si="213"/>
        <v>4465.2594600000002</v>
      </c>
      <c r="J1379" s="33">
        <f t="shared" si="208"/>
        <v>4462.8635999999997</v>
      </c>
      <c r="K1379" s="33">
        <f t="shared" si="212"/>
        <v>4462.8635999999997</v>
      </c>
      <c r="L1379" s="59">
        <f t="shared" si="209"/>
        <v>1.0908466931411685E-3</v>
      </c>
      <c r="M1379" s="60" t="str">
        <f t="shared" si="210"/>
        <v/>
      </c>
    </row>
    <row r="1380" spans="2:13" x14ac:dyDescent="0.55000000000000004">
      <c r="B1380"/>
      <c r="D1380" s="44">
        <f t="shared" si="206"/>
        <v>44299</v>
      </c>
      <c r="E1380" s="38">
        <v>8.1382999999999992</v>
      </c>
      <c r="F1380" s="39">
        <f t="shared" si="205"/>
        <v>547</v>
      </c>
      <c r="G1380" s="33">
        <f t="shared" si="207"/>
        <v>4475.9916000000003</v>
      </c>
      <c r="H1380" s="33">
        <f t="shared" si="211"/>
        <v>4469.7968250000004</v>
      </c>
      <c r="I1380" s="33">
        <f t="shared" si="213"/>
        <v>4468.4101799999999</v>
      </c>
      <c r="J1380" s="33">
        <f t="shared" si="208"/>
        <v>4462.8635999999997</v>
      </c>
      <c r="K1380" s="33">
        <f t="shared" si="212"/>
        <v>4462.8635999999997</v>
      </c>
      <c r="L1380" s="59">
        <f t="shared" si="209"/>
        <v>1.5535372848949889E-3</v>
      </c>
      <c r="M1380" s="60" t="str">
        <f t="shared" si="210"/>
        <v/>
      </c>
    </row>
    <row r="1381" spans="2:13" x14ac:dyDescent="0.55000000000000004">
      <c r="B1381"/>
      <c r="D1381" s="44">
        <f t="shared" si="206"/>
        <v>44300</v>
      </c>
      <c r="E1381" s="38">
        <f>8.0875</f>
        <v>8.0875000000000004</v>
      </c>
      <c r="F1381" s="39">
        <f t="shared" si="205"/>
        <v>547</v>
      </c>
      <c r="G1381" s="33">
        <f t="shared" si="207"/>
        <v>4451.6500999999998</v>
      </c>
      <c r="H1381" s="33">
        <f t="shared" si="211"/>
        <v>4466.1674800000001</v>
      </c>
      <c r="I1381" s="33">
        <f t="shared" si="213"/>
        <v>4466.1674800000001</v>
      </c>
      <c r="J1381" s="33">
        <f t="shared" si="208"/>
        <v>4462.8635999999997</v>
      </c>
      <c r="K1381" s="33">
        <f t="shared" si="212"/>
        <v>4462.8635999999997</v>
      </c>
      <c r="L1381" s="59">
        <f t="shared" si="209"/>
        <v>7.4030494680599039E-4</v>
      </c>
      <c r="M1381" s="60" t="str">
        <f t="shared" si="210"/>
        <v/>
      </c>
    </row>
    <row r="1382" spans="2:13" x14ac:dyDescent="0.55000000000000004">
      <c r="B1382"/>
      <c r="D1382" s="44">
        <f t="shared" si="206"/>
        <v>44301</v>
      </c>
      <c r="E1382" s="38">
        <f>8.0712</f>
        <v>8.0711999999999993</v>
      </c>
      <c r="F1382" s="39">
        <f t="shared" si="205"/>
        <v>547</v>
      </c>
      <c r="G1382" s="33">
        <f t="shared" si="207"/>
        <v>4423.8625000000002</v>
      </c>
      <c r="H1382" s="33">
        <f t="shared" si="211"/>
        <v>4455.6541399999996</v>
      </c>
      <c r="I1382" s="33">
        <f t="shared" si="213"/>
        <v>4455.6541399999996</v>
      </c>
      <c r="J1382" s="33">
        <f t="shared" si="208"/>
        <v>4462.8635999999997</v>
      </c>
      <c r="K1382" s="33">
        <f t="shared" si="212"/>
        <v>4462.8635999999997</v>
      </c>
      <c r="L1382" s="59">
        <f t="shared" si="209"/>
        <v>-1.6154336422022927E-3</v>
      </c>
      <c r="M1382" s="60" t="str">
        <f t="shared" si="210"/>
        <v/>
      </c>
    </row>
    <row r="1383" spans="2:13" x14ac:dyDescent="0.55000000000000004">
      <c r="B1383"/>
      <c r="D1383" s="44">
        <f t="shared" si="206"/>
        <v>44302</v>
      </c>
      <c r="E1383" s="38">
        <f>8.0719</f>
        <v>8.0718999999999994</v>
      </c>
      <c r="F1383" s="39">
        <f t="shared" si="205"/>
        <v>547</v>
      </c>
      <c r="G1383" s="33">
        <f t="shared" si="207"/>
        <v>4414.9463999999998</v>
      </c>
      <c r="H1383" s="33">
        <f t="shared" si="211"/>
        <v>4445.2283200000002</v>
      </c>
      <c r="I1383" s="33">
        <f t="shared" si="213"/>
        <v>4445.2283200000002</v>
      </c>
      <c r="J1383" s="33">
        <f t="shared" si="208"/>
        <v>4462.8635999999997</v>
      </c>
      <c r="K1383" s="33">
        <f t="shared" si="212"/>
        <v>4462.8635999999997</v>
      </c>
      <c r="L1383" s="59">
        <f t="shared" si="209"/>
        <v>-3.9515615041426566E-3</v>
      </c>
      <c r="M1383" s="60" t="str">
        <f t="shared" si="210"/>
        <v/>
      </c>
    </row>
    <row r="1384" spans="2:13" x14ac:dyDescent="0.55000000000000004">
      <c r="B1384"/>
      <c r="D1384" s="44">
        <f t="shared" si="206"/>
        <v>44305</v>
      </c>
      <c r="E1384" s="38">
        <f>8.0659</f>
        <v>8.0658999999999992</v>
      </c>
      <c r="F1384" s="39">
        <f t="shared" si="205"/>
        <v>547</v>
      </c>
      <c r="G1384" s="33">
        <f t="shared" si="207"/>
        <v>4415.3292999999994</v>
      </c>
      <c r="H1384" s="33">
        <f t="shared" si="211"/>
        <v>4436.3559800000003</v>
      </c>
      <c r="I1384" s="33">
        <f t="shared" si="213"/>
        <v>4436.3559799999994</v>
      </c>
      <c r="J1384" s="33">
        <f t="shared" si="208"/>
        <v>4462.8635999999997</v>
      </c>
      <c r="K1384" s="33">
        <f t="shared" si="212"/>
        <v>4462.8635999999997</v>
      </c>
      <c r="L1384" s="59">
        <f t="shared" si="209"/>
        <v>-5.9395989606313331E-3</v>
      </c>
      <c r="M1384" s="60" t="str">
        <f t="shared" si="210"/>
        <v/>
      </c>
    </row>
    <row r="1385" spans="2:13" x14ac:dyDescent="0.55000000000000004">
      <c r="B1385"/>
      <c r="D1385" s="44">
        <f t="shared" si="206"/>
        <v>44306</v>
      </c>
      <c r="E1385" s="38">
        <f>8.1157</f>
        <v>8.1157000000000004</v>
      </c>
      <c r="F1385" s="39">
        <f t="shared" si="205"/>
        <v>547</v>
      </c>
      <c r="G1385" s="33">
        <f t="shared" si="207"/>
        <v>4412.0472999999993</v>
      </c>
      <c r="H1385" s="33">
        <f t="shared" si="211"/>
        <v>4423.5671199999997</v>
      </c>
      <c r="I1385" s="33">
        <f t="shared" si="213"/>
        <v>4423.5671199999997</v>
      </c>
      <c r="J1385" s="33">
        <f t="shared" si="208"/>
        <v>4462.8635999999997</v>
      </c>
      <c r="K1385" s="33">
        <f t="shared" si="212"/>
        <v>4462.8635999999997</v>
      </c>
      <c r="L1385" s="59">
        <f t="shared" si="209"/>
        <v>-8.8052164534000044E-3</v>
      </c>
      <c r="M1385" s="60" t="str">
        <f t="shared" si="210"/>
        <v/>
      </c>
    </row>
    <row r="1386" spans="2:13" x14ac:dyDescent="0.55000000000000004">
      <c r="B1386"/>
      <c r="D1386" s="44">
        <f t="shared" si="206"/>
        <v>44307</v>
      </c>
      <c r="E1386" s="38">
        <v>8.1579999999999995</v>
      </c>
      <c r="F1386" s="39">
        <f t="shared" ref="F1386:F1449" si="214">F1385</f>
        <v>547</v>
      </c>
      <c r="G1386" s="33">
        <f t="shared" si="207"/>
        <v>4439.2879000000003</v>
      </c>
      <c r="H1386" s="33">
        <f t="shared" si="211"/>
        <v>4421.0946800000002</v>
      </c>
      <c r="I1386" s="33">
        <f t="shared" si="213"/>
        <v>4421.0946800000002</v>
      </c>
      <c r="J1386" s="33">
        <f t="shared" si="208"/>
        <v>4462.8635999999997</v>
      </c>
      <c r="K1386" s="33">
        <f t="shared" si="212"/>
        <v>4462.8635999999997</v>
      </c>
      <c r="L1386" s="59">
        <f t="shared" si="209"/>
        <v>-9.3592194930625996E-3</v>
      </c>
      <c r="M1386" s="60" t="str">
        <f t="shared" si="210"/>
        <v/>
      </c>
    </row>
    <row r="1387" spans="2:13" x14ac:dyDescent="0.55000000000000004">
      <c r="B1387"/>
      <c r="D1387" s="44">
        <f t="shared" si="206"/>
        <v>44308</v>
      </c>
      <c r="E1387" s="38">
        <f>8.2843</f>
        <v>8.2843</v>
      </c>
      <c r="F1387" s="39">
        <f t="shared" si="214"/>
        <v>547</v>
      </c>
      <c r="G1387" s="33">
        <f t="shared" si="207"/>
        <v>4462.4259999999995</v>
      </c>
      <c r="H1387" s="33">
        <f t="shared" si="211"/>
        <v>4428.8073799999993</v>
      </c>
      <c r="I1387" s="33">
        <f t="shared" si="213"/>
        <v>4428.8073799999993</v>
      </c>
      <c r="J1387" s="33">
        <f t="shared" si="208"/>
        <v>4462.8635999999997</v>
      </c>
      <c r="K1387" s="33">
        <f t="shared" si="212"/>
        <v>4462.8635999999997</v>
      </c>
      <c r="L1387" s="59">
        <f t="shared" si="209"/>
        <v>-7.6310241702212001E-3</v>
      </c>
      <c r="M1387" s="60" t="str">
        <f t="shared" si="210"/>
        <v/>
      </c>
    </row>
    <row r="1388" spans="2:13" x14ac:dyDescent="0.55000000000000004">
      <c r="B1388"/>
      <c r="D1388" s="44">
        <f t="shared" si="206"/>
        <v>44309</v>
      </c>
      <c r="E1388" s="38">
        <f>8.2843</f>
        <v>8.2843</v>
      </c>
      <c r="F1388" s="39">
        <f t="shared" si="214"/>
        <v>547</v>
      </c>
      <c r="G1388" s="33">
        <f t="shared" si="207"/>
        <v>4531.5120999999999</v>
      </c>
      <c r="H1388" s="33">
        <f t="shared" si="211"/>
        <v>4452.1205199999995</v>
      </c>
      <c r="I1388" s="33">
        <f t="shared" si="213"/>
        <v>4452.1205200000004</v>
      </c>
      <c r="J1388" s="33">
        <f t="shared" si="208"/>
        <v>4462.8635999999997</v>
      </c>
      <c r="K1388" s="33">
        <f t="shared" si="212"/>
        <v>4462.8635999999997</v>
      </c>
      <c r="L1388" s="59">
        <f t="shared" si="209"/>
        <v>-2.4072167475609587E-3</v>
      </c>
      <c r="M1388" s="60" t="str">
        <f t="shared" si="210"/>
        <v/>
      </c>
    </row>
    <row r="1389" spans="2:13" x14ac:dyDescent="0.55000000000000004">
      <c r="D1389" s="44">
        <f t="shared" si="206"/>
        <v>44312</v>
      </c>
      <c r="E1389" s="38">
        <f>8.3445</f>
        <v>8.3445</v>
      </c>
      <c r="F1389" s="39">
        <f t="shared" si="214"/>
        <v>547</v>
      </c>
      <c r="G1389" s="33">
        <f t="shared" si="207"/>
        <v>4531.5120999999999</v>
      </c>
      <c r="H1389" s="33">
        <f t="shared" si="211"/>
        <v>4475.3570799999998</v>
      </c>
      <c r="I1389" s="33">
        <f t="shared" si="213"/>
        <v>4475.3570799999998</v>
      </c>
      <c r="J1389" s="33">
        <f t="shared" si="208"/>
        <v>4462.8635999999997</v>
      </c>
      <c r="K1389" s="33">
        <f t="shared" si="212"/>
        <v>4462.8635999999997</v>
      </c>
      <c r="L1389" s="59">
        <f t="shared" si="209"/>
        <v>2.799431288915057E-3</v>
      </c>
      <c r="M1389" s="60" t="str">
        <f t="shared" si="210"/>
        <v/>
      </c>
    </row>
    <row r="1390" spans="2:13" x14ac:dyDescent="0.55000000000000004">
      <c r="D1390" s="44">
        <f t="shared" si="206"/>
        <v>44313</v>
      </c>
      <c r="E1390" s="38">
        <f>8.2458</f>
        <v>8.2457999999999991</v>
      </c>
      <c r="F1390" s="39">
        <f t="shared" si="214"/>
        <v>547</v>
      </c>
      <c r="G1390" s="33">
        <f t="shared" si="207"/>
        <v>4564.4414999999999</v>
      </c>
      <c r="H1390" s="33">
        <f t="shared" si="211"/>
        <v>4505.8359199999995</v>
      </c>
      <c r="I1390" s="33">
        <f t="shared" si="213"/>
        <v>4505.8359200000004</v>
      </c>
      <c r="J1390" s="33">
        <f t="shared" si="208"/>
        <v>4462.8635999999997</v>
      </c>
      <c r="K1390" s="33">
        <f t="shared" si="212"/>
        <v>4462.8635999999997</v>
      </c>
      <c r="L1390" s="59">
        <f t="shared" si="209"/>
        <v>9.6288669902436317E-3</v>
      </c>
      <c r="M1390" s="60" t="str">
        <f t="shared" si="210"/>
        <v/>
      </c>
    </row>
    <row r="1391" spans="2:13" x14ac:dyDescent="0.55000000000000004">
      <c r="D1391" s="44">
        <f t="shared" si="206"/>
        <v>44314</v>
      </c>
      <c r="E1391" s="38">
        <v>8.2007999999999992</v>
      </c>
      <c r="F1391" s="39">
        <f t="shared" si="214"/>
        <v>547</v>
      </c>
      <c r="G1391" s="33">
        <f t="shared" si="207"/>
        <v>4510.4525999999996</v>
      </c>
      <c r="H1391" s="33">
        <f t="shared" si="211"/>
        <v>4520.0688600000003</v>
      </c>
      <c r="I1391" s="33">
        <f t="shared" si="213"/>
        <v>4520.0688600000012</v>
      </c>
      <c r="J1391" s="33">
        <f t="shared" si="208"/>
        <v>4462.8635999999997</v>
      </c>
      <c r="K1391" s="33">
        <f t="shared" si="212"/>
        <v>4462.8635999999997</v>
      </c>
      <c r="L1391" s="59">
        <f t="shared" si="209"/>
        <v>1.28180614796295E-2</v>
      </c>
      <c r="M1391" s="60" t="str">
        <f t="shared" si="210"/>
        <v/>
      </c>
    </row>
    <row r="1392" spans="2:13" x14ac:dyDescent="0.55000000000000004">
      <c r="D1392" s="44">
        <f t="shared" si="206"/>
        <v>44315</v>
      </c>
      <c r="E1392" s="38">
        <f>8.19</f>
        <v>8.19</v>
      </c>
      <c r="F1392" s="39">
        <f t="shared" si="214"/>
        <v>547</v>
      </c>
      <c r="G1392" s="33">
        <f t="shared" si="207"/>
        <v>4485.8375999999998</v>
      </c>
      <c r="H1392" s="33">
        <f t="shared" si="211"/>
        <v>4524.7511800000002</v>
      </c>
      <c r="I1392" s="33">
        <f t="shared" si="213"/>
        <v>4524.7511800000002</v>
      </c>
      <c r="J1392" s="33">
        <f t="shared" si="208"/>
        <v>4462.8635999999997</v>
      </c>
      <c r="K1392" s="33">
        <f t="shared" si="212"/>
        <v>4462.8635999999997</v>
      </c>
      <c r="L1392" s="59">
        <f t="shared" si="209"/>
        <v>1.3867235377751749E-2</v>
      </c>
      <c r="M1392" s="60" t="str">
        <f t="shared" si="210"/>
        <v/>
      </c>
    </row>
    <row r="1393" spans="4:13" x14ac:dyDescent="0.55000000000000004">
      <c r="D1393" s="44">
        <f t="shared" si="206"/>
        <v>44316</v>
      </c>
      <c r="E1393" s="38">
        <f>8.2459</f>
        <v>8.2459000000000007</v>
      </c>
      <c r="F1393" s="39">
        <f t="shared" si="214"/>
        <v>547</v>
      </c>
      <c r="G1393" s="33">
        <f t="shared" si="207"/>
        <v>4479.9299999999994</v>
      </c>
      <c r="H1393" s="33">
        <f t="shared" si="211"/>
        <v>4514.4347600000001</v>
      </c>
      <c r="I1393" s="33">
        <f t="shared" si="213"/>
        <v>4514.4347599999992</v>
      </c>
      <c r="J1393" s="33">
        <f t="shared" si="208"/>
        <v>4462.8635999999997</v>
      </c>
      <c r="K1393" s="33">
        <f t="shared" si="212"/>
        <v>4462.8635999999997</v>
      </c>
      <c r="L1393" s="59">
        <f t="shared" si="209"/>
        <v>1.1555620924645876E-2</v>
      </c>
      <c r="M1393" s="60" t="str">
        <f t="shared" si="210"/>
        <v/>
      </c>
    </row>
    <row r="1394" spans="4:13" x14ac:dyDescent="0.55000000000000004">
      <c r="D1394" s="44">
        <f t="shared" si="206"/>
        <v>44319</v>
      </c>
      <c r="E1394" s="38">
        <f>8.3069</f>
        <v>8.3069000000000006</v>
      </c>
      <c r="F1394" s="39">
        <f>461.5+40</f>
        <v>501.5</v>
      </c>
      <c r="G1394" s="33">
        <f t="shared" si="207"/>
        <v>4135.3188500000006</v>
      </c>
      <c r="H1394" s="33">
        <f t="shared" si="211"/>
        <v>4435.1961099999999</v>
      </c>
      <c r="I1394" s="33">
        <f t="shared" si="213"/>
        <v>4135.0681000000004</v>
      </c>
      <c r="J1394" s="33">
        <f t="shared" si="208"/>
        <v>4462.8635999999997</v>
      </c>
      <c r="K1394" s="33">
        <f t="shared" si="212"/>
        <v>4462.8635999999997</v>
      </c>
      <c r="L1394" s="59">
        <f t="shared" si="209"/>
        <v>-6.1994926306956407E-3</v>
      </c>
      <c r="M1394" s="60" t="str">
        <f t="shared" si="210"/>
        <v/>
      </c>
    </row>
    <row r="1395" spans="4:13" x14ac:dyDescent="0.55000000000000004">
      <c r="D1395" s="44">
        <f t="shared" si="206"/>
        <v>44320</v>
      </c>
      <c r="E1395" s="38">
        <f>8.3241</f>
        <v>8.3240999999999996</v>
      </c>
      <c r="F1395" s="39">
        <f t="shared" si="214"/>
        <v>501.5</v>
      </c>
      <c r="G1395" s="33">
        <f t="shared" si="207"/>
        <v>4165.9103500000001</v>
      </c>
      <c r="H1395" s="33">
        <f t="shared" si="211"/>
        <v>4355.4898799999992</v>
      </c>
      <c r="I1395" s="33">
        <f t="shared" si="213"/>
        <v>4131.2968199999996</v>
      </c>
      <c r="J1395" s="33">
        <f t="shared" si="208"/>
        <v>4462.8635999999997</v>
      </c>
      <c r="K1395" s="33">
        <f t="shared" si="212"/>
        <v>4462.8635999999997</v>
      </c>
      <c r="L1395" s="59">
        <f t="shared" si="209"/>
        <v>-2.4059377481310543E-2</v>
      </c>
      <c r="M1395" s="60" t="str">
        <f t="shared" si="210"/>
        <v/>
      </c>
    </row>
    <row r="1396" spans="4:13" x14ac:dyDescent="0.55000000000000004">
      <c r="D1396" s="44">
        <f t="shared" si="206"/>
        <v>44321</v>
      </c>
      <c r="E1396" s="38">
        <f>8.355</f>
        <v>8.3550000000000004</v>
      </c>
      <c r="F1396" s="39">
        <f t="shared" si="214"/>
        <v>501.5</v>
      </c>
      <c r="G1396" s="33">
        <f t="shared" si="207"/>
        <v>4174.5361499999999</v>
      </c>
      <c r="H1396" s="33">
        <f t="shared" si="211"/>
        <v>4288.3065900000001</v>
      </c>
      <c r="I1396" s="33">
        <f t="shared" si="213"/>
        <v>4139.15031</v>
      </c>
      <c r="J1396" s="33">
        <f t="shared" si="208"/>
        <v>4174.5361499999999</v>
      </c>
      <c r="K1396" s="33">
        <f t="shared" si="212"/>
        <v>4462.8635999999997</v>
      </c>
      <c r="L1396" s="59">
        <f t="shared" si="209"/>
        <v>-3.9113229900192233E-2</v>
      </c>
      <c r="M1396" s="60">
        <f t="shared" si="210"/>
        <v>-288.32744999999977</v>
      </c>
    </row>
    <row r="1397" spans="4:13" x14ac:dyDescent="0.55000000000000004">
      <c r="D1397" s="44">
        <f t="shared" si="206"/>
        <v>44322</v>
      </c>
      <c r="E1397" s="38">
        <f>8.3211</f>
        <v>8.3210999999999995</v>
      </c>
      <c r="F1397" s="39">
        <f t="shared" si="214"/>
        <v>501.5</v>
      </c>
      <c r="G1397" s="33">
        <f t="shared" si="207"/>
        <v>4190.0325000000003</v>
      </c>
      <c r="H1397" s="33">
        <f t="shared" si="211"/>
        <v>4190.0325000000003</v>
      </c>
      <c r="I1397" s="33">
        <f t="shared" si="213"/>
        <v>4154.616570000001</v>
      </c>
      <c r="J1397" s="33">
        <f t="shared" si="208"/>
        <v>4174.5361499999999</v>
      </c>
      <c r="K1397" s="33">
        <f t="shared" si="212"/>
        <v>4174.5361499999999</v>
      </c>
      <c r="L1397" s="59">
        <f t="shared" si="209"/>
        <v>3.7121130212276034E-3</v>
      </c>
      <c r="M1397" s="60" t="str">
        <f t="shared" si="210"/>
        <v/>
      </c>
    </row>
    <row r="1398" spans="4:13" x14ac:dyDescent="0.55000000000000004">
      <c r="D1398" s="44">
        <f t="shared" si="206"/>
        <v>44323</v>
      </c>
      <c r="E1398" s="38">
        <f>8.2879</f>
        <v>8.2879000000000005</v>
      </c>
      <c r="F1398" s="39">
        <f t="shared" si="214"/>
        <v>501.5</v>
      </c>
      <c r="G1398" s="33">
        <f t="shared" si="207"/>
        <v>4173.0316499999999</v>
      </c>
      <c r="H1398" s="33">
        <f t="shared" si="211"/>
        <v>4181.5320750000001</v>
      </c>
      <c r="I1398" s="33">
        <f t="shared" si="213"/>
        <v>4167.7658999999994</v>
      </c>
      <c r="J1398" s="33">
        <f t="shared" si="208"/>
        <v>4174.5361499999999</v>
      </c>
      <c r="K1398" s="33">
        <f t="shared" si="212"/>
        <v>4174.5361499999999</v>
      </c>
      <c r="L1398" s="59">
        <f t="shared" si="209"/>
        <v>1.6758568493891639E-3</v>
      </c>
      <c r="M1398" s="60" t="str">
        <f t="shared" si="210"/>
        <v/>
      </c>
    </row>
    <row r="1399" spans="4:13" x14ac:dyDescent="0.55000000000000004">
      <c r="D1399" s="44">
        <f t="shared" si="206"/>
        <v>44326</v>
      </c>
      <c r="E1399" s="38">
        <f>8.2605</f>
        <v>8.2605000000000004</v>
      </c>
      <c r="F1399" s="39">
        <f t="shared" si="214"/>
        <v>501.5</v>
      </c>
      <c r="G1399" s="33">
        <f t="shared" si="207"/>
        <v>4156.3818500000007</v>
      </c>
      <c r="H1399" s="33">
        <f t="shared" si="211"/>
        <v>4173.1486666666669</v>
      </c>
      <c r="I1399" s="33">
        <f t="shared" si="213"/>
        <v>4171.9784999999993</v>
      </c>
      <c r="J1399" s="33">
        <f t="shared" si="208"/>
        <v>4174.5361499999999</v>
      </c>
      <c r="K1399" s="33">
        <f t="shared" si="212"/>
        <v>4174.5361499999999</v>
      </c>
      <c r="L1399" s="59">
        <f t="shared" si="209"/>
        <v>-3.3236826403646455E-4</v>
      </c>
      <c r="M1399" s="60" t="str">
        <f t="shared" si="210"/>
        <v/>
      </c>
    </row>
    <row r="1400" spans="4:13" x14ac:dyDescent="0.55000000000000004">
      <c r="D1400" s="44">
        <f t="shared" si="206"/>
        <v>44327</v>
      </c>
      <c r="E1400" s="38">
        <f>8.3016</f>
        <v>8.3016000000000005</v>
      </c>
      <c r="F1400" s="39">
        <f t="shared" si="214"/>
        <v>501.5</v>
      </c>
      <c r="G1400" s="33">
        <f t="shared" si="207"/>
        <v>4142.6407500000005</v>
      </c>
      <c r="H1400" s="33">
        <f t="shared" si="211"/>
        <v>4165.5216875000006</v>
      </c>
      <c r="I1400" s="33">
        <f t="shared" si="213"/>
        <v>4167.3245800000004</v>
      </c>
      <c r="J1400" s="33">
        <f t="shared" si="208"/>
        <v>4174.5361499999999</v>
      </c>
      <c r="K1400" s="33">
        <f t="shared" si="212"/>
        <v>4174.5361499999999</v>
      </c>
      <c r="L1400" s="59">
        <f t="shared" si="209"/>
        <v>-2.159392607008411E-3</v>
      </c>
      <c r="M1400" s="60" t="str">
        <f t="shared" si="210"/>
        <v/>
      </c>
    </row>
    <row r="1401" spans="4:13" x14ac:dyDescent="0.55000000000000004">
      <c r="D1401" s="44">
        <f t="shared" si="206"/>
        <v>44328</v>
      </c>
      <c r="E1401" s="38">
        <f>8.3016</f>
        <v>8.3016000000000005</v>
      </c>
      <c r="F1401" s="39">
        <f t="shared" si="214"/>
        <v>501.5</v>
      </c>
      <c r="G1401" s="33">
        <f t="shared" si="207"/>
        <v>4163.2524000000003</v>
      </c>
      <c r="H1401" s="33">
        <f t="shared" si="211"/>
        <v>4165.0678300000009</v>
      </c>
      <c r="I1401" s="33">
        <f t="shared" si="213"/>
        <v>4165.06783</v>
      </c>
      <c r="J1401" s="33">
        <f t="shared" si="208"/>
        <v>4174.5361499999999</v>
      </c>
      <c r="K1401" s="33">
        <f t="shared" si="212"/>
        <v>4174.5361499999999</v>
      </c>
      <c r="L1401" s="59">
        <f t="shared" si="209"/>
        <v>-2.2681130692805331E-3</v>
      </c>
      <c r="M1401" s="60" t="str">
        <f t="shared" si="210"/>
        <v/>
      </c>
    </row>
    <row r="1402" spans="4:13" x14ac:dyDescent="0.55000000000000004">
      <c r="D1402" s="44">
        <f t="shared" ref="D1402:D1465" si="215">WORKDAY(D1401,1)</f>
        <v>44329</v>
      </c>
      <c r="E1402" s="38">
        <f>E1401</f>
        <v>8.3016000000000005</v>
      </c>
      <c r="F1402" s="39">
        <f t="shared" si="214"/>
        <v>501.5</v>
      </c>
      <c r="G1402" s="33">
        <f t="shared" si="207"/>
        <v>4163.2524000000003</v>
      </c>
      <c r="H1402" s="33">
        <f t="shared" si="211"/>
        <v>4159.7118100000007</v>
      </c>
      <c r="I1402" s="33">
        <f t="shared" si="213"/>
        <v>4159.7118100000007</v>
      </c>
      <c r="J1402" s="33">
        <f t="shared" si="208"/>
        <v>4174.5361499999999</v>
      </c>
      <c r="K1402" s="33">
        <f t="shared" si="212"/>
        <v>4174.5361499999999</v>
      </c>
      <c r="L1402" s="59">
        <f t="shared" si="209"/>
        <v>-3.5511346571999889E-3</v>
      </c>
      <c r="M1402" s="60" t="str">
        <f t="shared" si="210"/>
        <v/>
      </c>
    </row>
    <row r="1403" spans="4:13" x14ac:dyDescent="0.55000000000000004">
      <c r="D1403" s="44">
        <f t="shared" si="215"/>
        <v>44330</v>
      </c>
      <c r="E1403" s="38">
        <f>E1402</f>
        <v>8.3016000000000005</v>
      </c>
      <c r="F1403" s="39">
        <f t="shared" si="214"/>
        <v>501.5</v>
      </c>
      <c r="G1403" s="33">
        <f t="shared" ref="G1403:G1466" si="216">E1402*F1403</f>
        <v>4163.2524000000003</v>
      </c>
      <c r="H1403" s="33">
        <f t="shared" si="211"/>
        <v>4157.7559600000004</v>
      </c>
      <c r="I1403" s="33">
        <f t="shared" si="213"/>
        <v>4157.7559599999995</v>
      </c>
      <c r="J1403" s="33">
        <f t="shared" si="208"/>
        <v>4174.5361499999999</v>
      </c>
      <c r="K1403" s="33">
        <f t="shared" si="212"/>
        <v>4174.5361499999999</v>
      </c>
      <c r="L1403" s="59">
        <f t="shared" si="209"/>
        <v>-4.0196537763841121E-3</v>
      </c>
      <c r="M1403" s="60" t="str">
        <f t="shared" si="210"/>
        <v/>
      </c>
    </row>
    <row r="1404" spans="4:13" x14ac:dyDescent="0.55000000000000004">
      <c r="D1404" s="44">
        <f t="shared" si="215"/>
        <v>44333</v>
      </c>
      <c r="E1404" s="38">
        <f>8.3619</f>
        <v>8.3619000000000003</v>
      </c>
      <c r="F1404" s="39">
        <f t="shared" si="214"/>
        <v>501.5</v>
      </c>
      <c r="G1404" s="33">
        <f t="shared" si="216"/>
        <v>4163.2524000000003</v>
      </c>
      <c r="H1404" s="33">
        <f t="shared" si="211"/>
        <v>4159.1300700000011</v>
      </c>
      <c r="I1404" s="33">
        <f t="shared" si="213"/>
        <v>4159.1300700000002</v>
      </c>
      <c r="J1404" s="33">
        <f t="shared" si="208"/>
        <v>4174.5361499999999</v>
      </c>
      <c r="K1404" s="33">
        <f t="shared" si="212"/>
        <v>4174.5361499999999</v>
      </c>
      <c r="L1404" s="59">
        <f t="shared" si="209"/>
        <v>-3.6904890618802851E-3</v>
      </c>
      <c r="M1404" s="60" t="str">
        <f t="shared" si="210"/>
        <v/>
      </c>
    </row>
    <row r="1405" spans="4:13" x14ac:dyDescent="0.55000000000000004">
      <c r="D1405" s="44">
        <f t="shared" si="215"/>
        <v>44334</v>
      </c>
      <c r="E1405" s="38">
        <f>8.3431</f>
        <v>8.3430999999999997</v>
      </c>
      <c r="F1405" s="39">
        <f t="shared" si="214"/>
        <v>501.5</v>
      </c>
      <c r="G1405" s="33">
        <f t="shared" si="216"/>
        <v>4193.4928500000005</v>
      </c>
      <c r="H1405" s="33">
        <f t="shared" si="211"/>
        <v>4169.3004899999996</v>
      </c>
      <c r="I1405" s="33">
        <f t="shared" si="213"/>
        <v>4169.3004900000005</v>
      </c>
      <c r="J1405" s="33">
        <f t="shared" ref="J1405:J1468" si="217">IF(L1405&gt;3%,G1405,IF(L1405&lt;-3%,G1405,J1404))</f>
        <v>4174.5361499999999</v>
      </c>
      <c r="K1405" s="33">
        <f t="shared" si="212"/>
        <v>4174.5361499999999</v>
      </c>
      <c r="L1405" s="59">
        <f t="shared" si="209"/>
        <v>-1.2541896421235398E-3</v>
      </c>
      <c r="M1405" s="60" t="str">
        <f t="shared" si="210"/>
        <v/>
      </c>
    </row>
    <row r="1406" spans="4:13" x14ac:dyDescent="0.55000000000000004">
      <c r="D1406" s="44">
        <f t="shared" si="215"/>
        <v>44335</v>
      </c>
      <c r="E1406" s="38">
        <f>E1405</f>
        <v>8.3430999999999997</v>
      </c>
      <c r="F1406" s="39">
        <f t="shared" si="214"/>
        <v>501.5</v>
      </c>
      <c r="G1406" s="33">
        <f t="shared" si="216"/>
        <v>4184.0646500000003</v>
      </c>
      <c r="H1406" s="33">
        <f t="shared" si="211"/>
        <v>4173.4629400000003</v>
      </c>
      <c r="I1406" s="33">
        <f t="shared" si="213"/>
        <v>4173.4629400000003</v>
      </c>
      <c r="J1406" s="33">
        <f t="shared" si="217"/>
        <v>4174.5361499999999</v>
      </c>
      <c r="K1406" s="33">
        <f t="shared" si="212"/>
        <v>4174.5361499999999</v>
      </c>
      <c r="L1406" s="59">
        <f t="shared" ref="L1406:L1469" si="218">(H1406-K1406)/K1406</f>
        <v>-2.5708485001371055E-4</v>
      </c>
      <c r="M1406" s="60" t="str">
        <f t="shared" ref="M1406:M1469" si="219">IF(OR(L1406&lt;-3%,L1406&gt;3%),K1407-K1406,"")</f>
        <v/>
      </c>
    </row>
    <row r="1407" spans="4:13" x14ac:dyDescent="0.55000000000000004">
      <c r="D1407" s="44">
        <f t="shared" si="215"/>
        <v>44336</v>
      </c>
      <c r="E1407" s="38">
        <v>8.3840000000000003</v>
      </c>
      <c r="F1407" s="39">
        <f t="shared" si="214"/>
        <v>501.5</v>
      </c>
      <c r="G1407" s="33">
        <f t="shared" si="216"/>
        <v>4184.0646500000003</v>
      </c>
      <c r="H1407" s="33">
        <f t="shared" si="211"/>
        <v>4177.6253900000002</v>
      </c>
      <c r="I1407" s="33">
        <f t="shared" si="213"/>
        <v>4177.6253899999992</v>
      </c>
      <c r="J1407" s="33">
        <f t="shared" si="217"/>
        <v>4174.5361499999999</v>
      </c>
      <c r="K1407" s="33">
        <f t="shared" si="212"/>
        <v>4174.5361499999999</v>
      </c>
      <c r="L1407" s="59">
        <f t="shared" si="218"/>
        <v>7.4001994209590093E-4</v>
      </c>
      <c r="M1407" s="60" t="str">
        <f t="shared" si="219"/>
        <v/>
      </c>
    </row>
    <row r="1408" spans="4:13" x14ac:dyDescent="0.55000000000000004">
      <c r="D1408" s="44">
        <f t="shared" si="215"/>
        <v>44337</v>
      </c>
      <c r="E1408" s="38">
        <f>8.3705</f>
        <v>8.3704999999999998</v>
      </c>
      <c r="F1408" s="39">
        <f t="shared" si="214"/>
        <v>501.5</v>
      </c>
      <c r="G1408" s="33">
        <f t="shared" si="216"/>
        <v>4204.576</v>
      </c>
      <c r="H1408" s="33">
        <f t="shared" si="211"/>
        <v>4185.8901100000003</v>
      </c>
      <c r="I1408" s="33">
        <f t="shared" si="213"/>
        <v>4185.8901100000003</v>
      </c>
      <c r="J1408" s="33">
        <f t="shared" si="217"/>
        <v>4174.5361499999999</v>
      </c>
      <c r="K1408" s="33">
        <f t="shared" si="212"/>
        <v>4174.5361499999999</v>
      </c>
      <c r="L1408" s="59">
        <f t="shared" si="218"/>
        <v>2.7198135534172749E-3</v>
      </c>
      <c r="M1408" s="60" t="str">
        <f t="shared" si="219"/>
        <v/>
      </c>
    </row>
    <row r="1409" spans="4:13" x14ac:dyDescent="0.55000000000000004">
      <c r="D1409" s="44">
        <f t="shared" si="215"/>
        <v>44340</v>
      </c>
      <c r="E1409" s="38">
        <f>8.3962</f>
        <v>8.3962000000000003</v>
      </c>
      <c r="F1409" s="39">
        <f t="shared" si="214"/>
        <v>501.5</v>
      </c>
      <c r="G1409" s="33">
        <f t="shared" si="216"/>
        <v>4197.8057499999995</v>
      </c>
      <c r="H1409" s="33">
        <f t="shared" si="211"/>
        <v>4192.8007799999996</v>
      </c>
      <c r="I1409" s="33">
        <f t="shared" si="213"/>
        <v>4192.8007799999996</v>
      </c>
      <c r="J1409" s="33">
        <f t="shared" si="217"/>
        <v>4174.5361499999999</v>
      </c>
      <c r="K1409" s="33">
        <f t="shared" si="212"/>
        <v>4174.5361499999999</v>
      </c>
      <c r="L1409" s="59">
        <f t="shared" si="218"/>
        <v>4.3752477745341049E-3</v>
      </c>
      <c r="M1409" s="60" t="str">
        <f t="shared" si="219"/>
        <v/>
      </c>
    </row>
    <row r="1410" spans="4:13" x14ac:dyDescent="0.55000000000000004">
      <c r="D1410" s="44">
        <f t="shared" si="215"/>
        <v>44341</v>
      </c>
      <c r="E1410" s="38">
        <v>8.4098000000000006</v>
      </c>
      <c r="F1410" s="39">
        <f t="shared" si="214"/>
        <v>501.5</v>
      </c>
      <c r="G1410" s="33">
        <f t="shared" si="216"/>
        <v>4210.6943000000001</v>
      </c>
      <c r="H1410" s="33">
        <f t="shared" si="211"/>
        <v>4196.24107</v>
      </c>
      <c r="I1410" s="33">
        <f t="shared" si="213"/>
        <v>4196.24107</v>
      </c>
      <c r="J1410" s="33">
        <f t="shared" si="217"/>
        <v>4174.5361499999999</v>
      </c>
      <c r="K1410" s="33">
        <f t="shared" si="212"/>
        <v>4174.5361499999999</v>
      </c>
      <c r="L1410" s="59">
        <f t="shared" si="218"/>
        <v>5.1993608918682209E-3</v>
      </c>
      <c r="M1410" s="60" t="str">
        <f t="shared" si="219"/>
        <v/>
      </c>
    </row>
    <row r="1411" spans="4:13" x14ac:dyDescent="0.55000000000000004">
      <c r="D1411" s="44">
        <f t="shared" si="215"/>
        <v>44342</v>
      </c>
      <c r="E1411" s="38">
        <f>8.4482</f>
        <v>8.4481999999999999</v>
      </c>
      <c r="F1411" s="39">
        <f t="shared" si="214"/>
        <v>501.5</v>
      </c>
      <c r="G1411" s="33">
        <f t="shared" si="216"/>
        <v>4217.5147000000006</v>
      </c>
      <c r="H1411" s="33">
        <f t="shared" si="211"/>
        <v>4202.9310800000003</v>
      </c>
      <c r="I1411" s="33">
        <f t="shared" si="213"/>
        <v>4202.9310800000003</v>
      </c>
      <c r="J1411" s="33">
        <f t="shared" si="217"/>
        <v>4174.5361499999999</v>
      </c>
      <c r="K1411" s="33">
        <f t="shared" si="212"/>
        <v>4174.5361499999999</v>
      </c>
      <c r="L1411" s="59">
        <f t="shared" si="218"/>
        <v>6.8019365456927199E-3</v>
      </c>
      <c r="M1411" s="60" t="str">
        <f t="shared" si="219"/>
        <v/>
      </c>
    </row>
    <row r="1412" spans="4:13" x14ac:dyDescent="0.55000000000000004">
      <c r="D1412" s="44">
        <f t="shared" si="215"/>
        <v>44343</v>
      </c>
      <c r="E1412" s="38">
        <f>E1411</f>
        <v>8.4481999999999999</v>
      </c>
      <c r="F1412" s="39">
        <f t="shared" si="214"/>
        <v>501.5</v>
      </c>
      <c r="G1412" s="33">
        <f t="shared" si="216"/>
        <v>4236.7722999999996</v>
      </c>
      <c r="H1412" s="33">
        <f t="shared" si="211"/>
        <v>4213.4726099999998</v>
      </c>
      <c r="I1412" s="33">
        <f t="shared" si="213"/>
        <v>4213.4726099999998</v>
      </c>
      <c r="J1412" s="33">
        <f t="shared" si="217"/>
        <v>4174.5361499999999</v>
      </c>
      <c r="K1412" s="33">
        <f t="shared" si="212"/>
        <v>4174.5361499999999</v>
      </c>
      <c r="L1412" s="59">
        <f t="shared" si="218"/>
        <v>9.3271344649871815E-3</v>
      </c>
      <c r="M1412" s="60" t="str">
        <f t="shared" si="219"/>
        <v/>
      </c>
    </row>
    <row r="1413" spans="4:13" x14ac:dyDescent="0.55000000000000004">
      <c r="D1413" s="44">
        <f t="shared" si="215"/>
        <v>44344</v>
      </c>
      <c r="E1413" s="38">
        <f>8.5651</f>
        <v>8.5650999999999993</v>
      </c>
      <c r="F1413" s="39">
        <f t="shared" si="214"/>
        <v>501.5</v>
      </c>
      <c r="G1413" s="33">
        <f t="shared" si="216"/>
        <v>4236.7722999999996</v>
      </c>
      <c r="H1413" s="33">
        <f t="shared" si="211"/>
        <v>4219.9118699999999</v>
      </c>
      <c r="I1413" s="33">
        <f t="shared" si="213"/>
        <v>4219.9118700000008</v>
      </c>
      <c r="J1413" s="33">
        <f t="shared" si="217"/>
        <v>4174.5361499999999</v>
      </c>
      <c r="K1413" s="33">
        <f t="shared" si="212"/>
        <v>4174.5361499999999</v>
      </c>
      <c r="L1413" s="59">
        <f t="shared" si="218"/>
        <v>1.0869643565070098E-2</v>
      </c>
      <c r="M1413" s="60"/>
    </row>
    <row r="1414" spans="4:13" x14ac:dyDescent="0.55000000000000004">
      <c r="D1414" s="44">
        <f t="shared" si="215"/>
        <v>44347</v>
      </c>
      <c r="E1414" s="38">
        <f>8.5143</f>
        <v>8.5143000000000004</v>
      </c>
      <c r="F1414" s="39">
        <f t="shared" si="214"/>
        <v>501.5</v>
      </c>
      <c r="G1414" s="33">
        <f t="shared" si="216"/>
        <v>4295.3976499999999</v>
      </c>
      <c r="H1414" s="33">
        <f t="shared" si="211"/>
        <v>4239.4302499999994</v>
      </c>
      <c r="I1414" s="33">
        <f t="shared" si="213"/>
        <v>4239.4302500000003</v>
      </c>
      <c r="J1414" s="33">
        <f t="shared" si="217"/>
        <v>4174.5361499999999</v>
      </c>
      <c r="K1414" s="33">
        <f t="shared" si="212"/>
        <v>4174.5361499999999</v>
      </c>
      <c r="L1414" s="59">
        <f t="shared" si="218"/>
        <v>1.5545224108311896E-2</v>
      </c>
      <c r="M1414" s="60" t="str">
        <f t="shared" si="219"/>
        <v/>
      </c>
    </row>
    <row r="1415" spans="4:13" x14ac:dyDescent="0.55000000000000004">
      <c r="D1415" s="44">
        <f t="shared" si="215"/>
        <v>44348</v>
      </c>
      <c r="E1415" s="38">
        <f>8.5185</f>
        <v>8.5184999999999995</v>
      </c>
      <c r="F1415" s="39">
        <f>492.9+40</f>
        <v>532.9</v>
      </c>
      <c r="G1415" s="33">
        <f t="shared" si="216"/>
        <v>4537.2704700000004</v>
      </c>
      <c r="H1415" s="33">
        <f t="shared" si="211"/>
        <v>4304.745484</v>
      </c>
      <c r="I1415" s="33">
        <f t="shared" si="213"/>
        <v>4517.4572479999997</v>
      </c>
      <c r="J1415" s="33">
        <f t="shared" si="217"/>
        <v>4537.2704700000004</v>
      </c>
      <c r="K1415" s="33">
        <f t="shared" si="212"/>
        <v>4174.5361499999999</v>
      </c>
      <c r="L1415" s="59">
        <f t="shared" si="218"/>
        <v>3.1191329843915743E-2</v>
      </c>
      <c r="M1415" s="60">
        <f t="shared" si="219"/>
        <v>362.73432000000048</v>
      </c>
    </row>
    <row r="1416" spans="4:13" x14ac:dyDescent="0.55000000000000004">
      <c r="D1416" s="44">
        <f t="shared" si="215"/>
        <v>44349</v>
      </c>
      <c r="E1416" s="38">
        <v>8.6220999999999997</v>
      </c>
      <c r="F1416" s="39">
        <f t="shared" si="214"/>
        <v>532.9</v>
      </c>
      <c r="G1416" s="33">
        <f t="shared" si="216"/>
        <v>4539.5086499999998</v>
      </c>
      <c r="H1416" s="33">
        <f t="shared" si="211"/>
        <v>4539.5086499999998</v>
      </c>
      <c r="I1416" s="33">
        <f t="shared" si="213"/>
        <v>4529.0424939999994</v>
      </c>
      <c r="J1416" s="33">
        <f t="shared" si="217"/>
        <v>4537.2704700000004</v>
      </c>
      <c r="K1416" s="33">
        <f t="shared" si="212"/>
        <v>4537.2704700000004</v>
      </c>
      <c r="L1416" s="59">
        <f t="shared" si="218"/>
        <v>4.9328776293985715E-4</v>
      </c>
      <c r="M1416" s="60" t="str">
        <f t="shared" si="219"/>
        <v/>
      </c>
    </row>
    <row r="1417" spans="4:13" x14ac:dyDescent="0.55000000000000004">
      <c r="D1417" s="44">
        <f t="shared" si="215"/>
        <v>44350</v>
      </c>
      <c r="E1417" s="38">
        <f>8.6387</f>
        <v>8.6387</v>
      </c>
      <c r="F1417" s="39">
        <f t="shared" si="214"/>
        <v>532.9</v>
      </c>
      <c r="G1417" s="33">
        <f t="shared" si="216"/>
        <v>4594.7170899999992</v>
      </c>
      <c r="H1417" s="33">
        <f t="shared" si="211"/>
        <v>4567.112869999999</v>
      </c>
      <c r="I1417" s="33">
        <f t="shared" si="213"/>
        <v>4547.5767559999995</v>
      </c>
      <c r="J1417" s="33">
        <f t="shared" si="217"/>
        <v>4537.2704700000004</v>
      </c>
      <c r="K1417" s="33">
        <f t="shared" si="212"/>
        <v>4537.2704700000004</v>
      </c>
      <c r="L1417" s="59">
        <f t="shared" si="218"/>
        <v>6.5771701725329656E-3</v>
      </c>
      <c r="M1417" s="60" t="str">
        <f t="shared" si="219"/>
        <v/>
      </c>
    </row>
    <row r="1418" spans="4:13" x14ac:dyDescent="0.55000000000000004">
      <c r="D1418" s="44">
        <f t="shared" si="215"/>
        <v>44351</v>
      </c>
      <c r="E1418" s="38">
        <f>8.6976</f>
        <v>8.6975999999999996</v>
      </c>
      <c r="F1418" s="39">
        <f t="shared" si="214"/>
        <v>532.9</v>
      </c>
      <c r="G1418" s="33">
        <f t="shared" si="216"/>
        <v>4603.5632299999997</v>
      </c>
      <c r="H1418" s="33">
        <f t="shared" si="211"/>
        <v>4579.2629899999993</v>
      </c>
      <c r="I1418" s="33">
        <f t="shared" si="213"/>
        <v>4567.8802459999997</v>
      </c>
      <c r="J1418" s="33">
        <f t="shared" si="217"/>
        <v>4537.2704700000004</v>
      </c>
      <c r="K1418" s="33">
        <f t="shared" si="212"/>
        <v>4537.2704700000004</v>
      </c>
      <c r="L1418" s="59">
        <f t="shared" si="218"/>
        <v>9.255018028492993E-3</v>
      </c>
      <c r="M1418" s="60" t="str">
        <f t="shared" si="219"/>
        <v/>
      </c>
    </row>
    <row r="1419" spans="4:13" x14ac:dyDescent="0.55000000000000004">
      <c r="D1419" s="44">
        <f t="shared" si="215"/>
        <v>44354</v>
      </c>
      <c r="E1419" s="38">
        <f>8.6356</f>
        <v>8.6356000000000002</v>
      </c>
      <c r="F1419" s="39">
        <f t="shared" si="214"/>
        <v>532.9</v>
      </c>
      <c r="G1419" s="33">
        <f t="shared" si="216"/>
        <v>4634.9510399999999</v>
      </c>
      <c r="H1419" s="33">
        <f t="shared" si="211"/>
        <v>4593.1850024999994</v>
      </c>
      <c r="I1419" s="33">
        <f t="shared" si="213"/>
        <v>4582.0020960000002</v>
      </c>
      <c r="J1419" s="33">
        <f t="shared" si="217"/>
        <v>4537.2704700000004</v>
      </c>
      <c r="K1419" s="33">
        <f t="shared" si="212"/>
        <v>4537.2704700000004</v>
      </c>
      <c r="L1419" s="59">
        <f t="shared" si="218"/>
        <v>1.2323385363447164E-2</v>
      </c>
      <c r="M1419" s="60" t="str">
        <f t="shared" si="219"/>
        <v/>
      </c>
    </row>
    <row r="1420" spans="4:13" x14ac:dyDescent="0.55000000000000004">
      <c r="D1420" s="44">
        <f t="shared" si="215"/>
        <v>44355</v>
      </c>
      <c r="E1420" s="38">
        <f>8.6046</f>
        <v>8.6045999999999996</v>
      </c>
      <c r="F1420" s="39">
        <f t="shared" si="214"/>
        <v>532.9</v>
      </c>
      <c r="G1420" s="33">
        <f t="shared" si="216"/>
        <v>4601.9112399999995</v>
      </c>
      <c r="H1420" s="33">
        <f t="shared" si="211"/>
        <v>4594.9302499999994</v>
      </c>
      <c r="I1420" s="33">
        <f t="shared" si="213"/>
        <v>4594.9302499999994</v>
      </c>
      <c r="J1420" s="33">
        <f t="shared" si="217"/>
        <v>4537.2704700000004</v>
      </c>
      <c r="K1420" s="33">
        <f t="shared" si="212"/>
        <v>4537.2704700000004</v>
      </c>
      <c r="L1420" s="59">
        <f t="shared" si="218"/>
        <v>1.2708032369072995E-2</v>
      </c>
      <c r="M1420" s="60" t="str">
        <f t="shared" si="219"/>
        <v/>
      </c>
    </row>
    <row r="1421" spans="4:13" x14ac:dyDescent="0.55000000000000004">
      <c r="D1421" s="44">
        <f t="shared" si="215"/>
        <v>44356</v>
      </c>
      <c r="E1421" s="38">
        <f>8.5904</f>
        <v>8.5904000000000007</v>
      </c>
      <c r="F1421" s="39">
        <f t="shared" si="214"/>
        <v>532.9</v>
      </c>
      <c r="G1421" s="33">
        <f t="shared" si="216"/>
        <v>4585.3913399999992</v>
      </c>
      <c r="H1421" s="33">
        <f t="shared" si="211"/>
        <v>4604.1067879999991</v>
      </c>
      <c r="I1421" s="33">
        <f t="shared" si="213"/>
        <v>4604.1067879999991</v>
      </c>
      <c r="J1421" s="33">
        <f t="shared" si="217"/>
        <v>4537.2704700000004</v>
      </c>
      <c r="K1421" s="33">
        <f t="shared" si="212"/>
        <v>4537.2704700000004</v>
      </c>
      <c r="L1421" s="59">
        <f t="shared" si="218"/>
        <v>1.473051219712691E-2</v>
      </c>
      <c r="M1421" s="60" t="str">
        <f t="shared" si="219"/>
        <v/>
      </c>
    </row>
    <row r="1422" spans="4:13" x14ac:dyDescent="0.55000000000000004">
      <c r="D1422" s="44">
        <f t="shared" si="215"/>
        <v>44357</v>
      </c>
      <c r="E1422" s="38">
        <f>8.5467</f>
        <v>8.5466999999999995</v>
      </c>
      <c r="F1422" s="39">
        <f t="shared" si="214"/>
        <v>532.9</v>
      </c>
      <c r="G1422" s="33">
        <f t="shared" si="216"/>
        <v>4577.8241600000001</v>
      </c>
      <c r="H1422" s="33">
        <f t="shared" si="211"/>
        <v>4600.7282020000002</v>
      </c>
      <c r="I1422" s="33">
        <f t="shared" si="213"/>
        <v>4600.7282020000002</v>
      </c>
      <c r="J1422" s="33">
        <f t="shared" si="217"/>
        <v>4537.2704700000004</v>
      </c>
      <c r="K1422" s="33">
        <f t="shared" si="212"/>
        <v>4537.2704700000004</v>
      </c>
      <c r="L1422" s="59">
        <f t="shared" si="218"/>
        <v>1.3985882574022493E-2</v>
      </c>
      <c r="M1422" s="60" t="str">
        <f t="shared" si="219"/>
        <v/>
      </c>
    </row>
    <row r="1423" spans="4:13" x14ac:dyDescent="0.55000000000000004">
      <c r="D1423" s="44">
        <f t="shared" si="215"/>
        <v>44358</v>
      </c>
      <c r="E1423" s="38">
        <f>8.3697</f>
        <v>8.3696999999999999</v>
      </c>
      <c r="F1423" s="39">
        <f t="shared" si="214"/>
        <v>532.9</v>
      </c>
      <c r="G1423" s="33">
        <f t="shared" si="216"/>
        <v>4554.5364299999992</v>
      </c>
      <c r="H1423" s="33">
        <f t="shared" si="211"/>
        <v>4590.9228419999999</v>
      </c>
      <c r="I1423" s="33">
        <f t="shared" si="213"/>
        <v>4590.922841999999</v>
      </c>
      <c r="J1423" s="33">
        <f t="shared" si="217"/>
        <v>4537.2704700000004</v>
      </c>
      <c r="K1423" s="33">
        <f t="shared" si="212"/>
        <v>4537.2704700000004</v>
      </c>
      <c r="L1423" s="59">
        <f t="shared" si="218"/>
        <v>1.1824812374475784E-2</v>
      </c>
      <c r="M1423" s="60" t="str">
        <f t="shared" si="219"/>
        <v/>
      </c>
    </row>
    <row r="1424" spans="4:13" x14ac:dyDescent="0.55000000000000004">
      <c r="D1424" s="44">
        <f t="shared" si="215"/>
        <v>44361</v>
      </c>
      <c r="E1424" s="38">
        <f>8.3524</f>
        <v>8.3523999999999994</v>
      </c>
      <c r="F1424" s="39">
        <f t="shared" si="214"/>
        <v>532.9</v>
      </c>
      <c r="G1424" s="33">
        <f t="shared" si="216"/>
        <v>4460.2131300000001</v>
      </c>
      <c r="H1424" s="33">
        <f t="shared" si="211"/>
        <v>4555.9752600000002</v>
      </c>
      <c r="I1424" s="33">
        <f t="shared" si="213"/>
        <v>4555.9752600000011</v>
      </c>
      <c r="J1424" s="33">
        <f t="shared" si="217"/>
        <v>4537.2704700000004</v>
      </c>
      <c r="K1424" s="33">
        <f t="shared" si="212"/>
        <v>4537.2704700000004</v>
      </c>
      <c r="L1424" s="59">
        <f t="shared" si="218"/>
        <v>4.1224763045699091E-3</v>
      </c>
      <c r="M1424" s="60" t="str">
        <f t="shared" si="219"/>
        <v/>
      </c>
    </row>
    <row r="1425" spans="4:13" x14ac:dyDescent="0.55000000000000004">
      <c r="D1425" s="44">
        <f t="shared" si="215"/>
        <v>44362</v>
      </c>
      <c r="E1425" s="38">
        <f>8.5628</f>
        <v>8.5627999999999993</v>
      </c>
      <c r="F1425" s="39">
        <f t="shared" si="214"/>
        <v>532.9</v>
      </c>
      <c r="G1425" s="33">
        <f t="shared" si="216"/>
        <v>4450.9939599999998</v>
      </c>
      <c r="H1425" s="33">
        <f t="shared" ref="H1425:H1488" si="220">IF(M1424&lt;&gt;"",AVERAGE(G1425),IF(M1423&lt;&gt;"",AVERAGE(G1424:G1425),IF(M1422&lt;&gt;"",AVERAGE(G1423:G1425),IF(M1421&lt;&gt;"",AVERAGE(G1422:G1425),AVERAGE(G1421:G1425)))))</f>
        <v>4525.7918039999995</v>
      </c>
      <c r="I1425" s="33">
        <f t="shared" si="213"/>
        <v>4525.7918040000004</v>
      </c>
      <c r="J1425" s="33">
        <f t="shared" si="217"/>
        <v>4537.2704700000004</v>
      </c>
      <c r="K1425" s="33">
        <f t="shared" si="212"/>
        <v>4537.2704700000004</v>
      </c>
      <c r="L1425" s="59">
        <f t="shared" si="218"/>
        <v>-2.5298615270781697E-3</v>
      </c>
      <c r="M1425" s="60" t="str">
        <f t="shared" si="219"/>
        <v/>
      </c>
    </row>
    <row r="1426" spans="4:13" x14ac:dyDescent="0.55000000000000004">
      <c r="D1426" s="44">
        <f t="shared" si="215"/>
        <v>44363</v>
      </c>
      <c r="E1426" s="38">
        <f>8.5371</f>
        <v>8.5371000000000006</v>
      </c>
      <c r="F1426" s="39">
        <f t="shared" si="214"/>
        <v>532.9</v>
      </c>
      <c r="G1426" s="33">
        <f t="shared" si="216"/>
        <v>4563.1161199999997</v>
      </c>
      <c r="H1426" s="33">
        <f t="shared" si="220"/>
        <v>4521.3367600000001</v>
      </c>
      <c r="I1426" s="33">
        <f t="shared" si="213"/>
        <v>4521.3367599999992</v>
      </c>
      <c r="J1426" s="33">
        <f t="shared" si="217"/>
        <v>4537.2704700000004</v>
      </c>
      <c r="K1426" s="33">
        <f t="shared" si="212"/>
        <v>4537.2704700000004</v>
      </c>
      <c r="L1426" s="59">
        <f t="shared" si="218"/>
        <v>-3.5117390742633522E-3</v>
      </c>
      <c r="M1426" s="60" t="str">
        <f t="shared" si="219"/>
        <v/>
      </c>
    </row>
    <row r="1427" spans="4:13" x14ac:dyDescent="0.55000000000000004">
      <c r="D1427" s="44">
        <f t="shared" si="215"/>
        <v>44364</v>
      </c>
      <c r="E1427" s="38">
        <f>8.6398</f>
        <v>8.6397999999999993</v>
      </c>
      <c r="F1427" s="39">
        <f t="shared" si="214"/>
        <v>532.9</v>
      </c>
      <c r="G1427" s="33">
        <f t="shared" si="216"/>
        <v>4549.4205899999997</v>
      </c>
      <c r="H1427" s="33">
        <f t="shared" si="220"/>
        <v>4515.6560459999992</v>
      </c>
      <c r="I1427" s="33">
        <f t="shared" si="213"/>
        <v>4515.6560459999992</v>
      </c>
      <c r="J1427" s="33">
        <f t="shared" si="217"/>
        <v>4537.2704700000004</v>
      </c>
      <c r="K1427" s="33">
        <f t="shared" si="212"/>
        <v>4537.2704700000004</v>
      </c>
      <c r="L1427" s="59">
        <f t="shared" si="218"/>
        <v>-4.7637503963922244E-3</v>
      </c>
      <c r="M1427" s="60" t="str">
        <f t="shared" si="219"/>
        <v/>
      </c>
    </row>
    <row r="1428" spans="4:13" x14ac:dyDescent="0.55000000000000004">
      <c r="D1428" s="44">
        <f t="shared" si="215"/>
        <v>44365</v>
      </c>
      <c r="E1428" s="38">
        <f>8.6802</f>
        <v>8.6801999999999992</v>
      </c>
      <c r="F1428" s="39">
        <f t="shared" si="214"/>
        <v>532.9</v>
      </c>
      <c r="G1428" s="33">
        <f t="shared" si="216"/>
        <v>4604.1494199999997</v>
      </c>
      <c r="H1428" s="33">
        <f t="shared" si="220"/>
        <v>4525.5786439999993</v>
      </c>
      <c r="I1428" s="33">
        <f t="shared" si="213"/>
        <v>4525.5786439999993</v>
      </c>
      <c r="J1428" s="33">
        <f t="shared" si="217"/>
        <v>4537.2704700000004</v>
      </c>
      <c r="K1428" s="33">
        <f t="shared" si="212"/>
        <v>4537.2704700000004</v>
      </c>
      <c r="L1428" s="59">
        <f t="shared" si="218"/>
        <v>-2.5768413140248893E-3</v>
      </c>
      <c r="M1428" s="60" t="str">
        <f t="shared" si="219"/>
        <v/>
      </c>
    </row>
    <row r="1429" spans="4:13" x14ac:dyDescent="0.55000000000000004">
      <c r="D1429" s="44">
        <f t="shared" si="215"/>
        <v>44368</v>
      </c>
      <c r="E1429" s="38">
        <f>8.7655</f>
        <v>8.7654999999999994</v>
      </c>
      <c r="F1429" s="39">
        <f t="shared" si="214"/>
        <v>532.9</v>
      </c>
      <c r="G1429" s="33">
        <f t="shared" si="216"/>
        <v>4625.6785799999998</v>
      </c>
      <c r="H1429" s="33">
        <f t="shared" si="220"/>
        <v>4558.6717339999996</v>
      </c>
      <c r="I1429" s="33">
        <f t="shared" si="213"/>
        <v>4558.6717340000005</v>
      </c>
      <c r="J1429" s="33">
        <f t="shared" si="217"/>
        <v>4537.2704700000004</v>
      </c>
      <c r="K1429" s="33">
        <f t="shared" si="212"/>
        <v>4537.2704700000004</v>
      </c>
      <c r="L1429" s="59">
        <f t="shared" si="218"/>
        <v>4.7167706094451032E-3</v>
      </c>
      <c r="M1429" s="60" t="str">
        <f t="shared" si="219"/>
        <v/>
      </c>
    </row>
    <row r="1430" spans="4:13" x14ac:dyDescent="0.55000000000000004">
      <c r="D1430" s="44">
        <f t="shared" si="215"/>
        <v>44369</v>
      </c>
      <c r="E1430" s="38">
        <f>8.7359</f>
        <v>8.7359000000000009</v>
      </c>
      <c r="F1430" s="39">
        <f t="shared" si="214"/>
        <v>532.9</v>
      </c>
      <c r="G1430" s="33">
        <f t="shared" si="216"/>
        <v>4671.1349499999997</v>
      </c>
      <c r="H1430" s="33">
        <f t="shared" si="220"/>
        <v>4602.6999320000004</v>
      </c>
      <c r="I1430" s="33">
        <f t="shared" si="213"/>
        <v>4602.6999320000004</v>
      </c>
      <c r="J1430" s="33">
        <f t="shared" si="217"/>
        <v>4537.2704700000004</v>
      </c>
      <c r="K1430" s="33">
        <f t="shared" si="212"/>
        <v>4537.2704700000004</v>
      </c>
      <c r="L1430" s="59">
        <f t="shared" si="218"/>
        <v>1.4420445603279201E-2</v>
      </c>
      <c r="M1430" s="60" t="str">
        <f t="shared" si="219"/>
        <v/>
      </c>
    </row>
    <row r="1431" spans="4:13" x14ac:dyDescent="0.55000000000000004">
      <c r="D1431" s="44">
        <f t="shared" si="215"/>
        <v>44370</v>
      </c>
      <c r="E1431" s="38">
        <f>8.6294</f>
        <v>8.6294000000000004</v>
      </c>
      <c r="F1431" s="39">
        <f t="shared" si="214"/>
        <v>532.9</v>
      </c>
      <c r="G1431" s="33">
        <f t="shared" si="216"/>
        <v>4655.3611099999998</v>
      </c>
      <c r="H1431" s="33">
        <f t="shared" si="220"/>
        <v>4621.1489300000003</v>
      </c>
      <c r="I1431" s="33">
        <f t="shared" si="213"/>
        <v>4621.1489299999994</v>
      </c>
      <c r="J1431" s="33">
        <f t="shared" si="217"/>
        <v>4537.2704700000004</v>
      </c>
      <c r="K1431" s="33">
        <f t="shared" si="212"/>
        <v>4537.2704700000004</v>
      </c>
      <c r="L1431" s="59">
        <f t="shared" si="218"/>
        <v>1.8486546163513126E-2</v>
      </c>
      <c r="M1431" s="60" t="str">
        <f t="shared" si="219"/>
        <v/>
      </c>
    </row>
    <row r="1432" spans="4:13" x14ac:dyDescent="0.55000000000000004">
      <c r="D1432" s="44">
        <f t="shared" si="215"/>
        <v>44371</v>
      </c>
      <c r="E1432" s="38">
        <v>8.6748999999999992</v>
      </c>
      <c r="F1432" s="39">
        <f t="shared" si="214"/>
        <v>532.9</v>
      </c>
      <c r="G1432" s="33">
        <f t="shared" si="216"/>
        <v>4598.6072599999998</v>
      </c>
      <c r="H1432" s="33">
        <f t="shared" si="220"/>
        <v>4630.9862640000001</v>
      </c>
      <c r="I1432" s="33">
        <f t="shared" si="213"/>
        <v>4630.9862640000001</v>
      </c>
      <c r="J1432" s="33">
        <f t="shared" si="217"/>
        <v>4537.2704700000004</v>
      </c>
      <c r="K1432" s="33">
        <f t="shared" si="212"/>
        <v>4537.2704700000004</v>
      </c>
      <c r="L1432" s="59">
        <f t="shared" si="218"/>
        <v>2.0654663331101733E-2</v>
      </c>
      <c r="M1432" s="60" t="str">
        <f t="shared" si="219"/>
        <v/>
      </c>
    </row>
    <row r="1433" spans="4:13" x14ac:dyDescent="0.55000000000000004">
      <c r="D1433" s="44">
        <f t="shared" si="215"/>
        <v>44372</v>
      </c>
      <c r="E1433" s="38">
        <v>8.6928000000000001</v>
      </c>
      <c r="F1433" s="39">
        <f t="shared" si="214"/>
        <v>532.9</v>
      </c>
      <c r="G1433" s="33">
        <f t="shared" si="216"/>
        <v>4622.8542099999995</v>
      </c>
      <c r="H1433" s="33">
        <f t="shared" si="220"/>
        <v>4634.7272219999995</v>
      </c>
      <c r="I1433" s="33">
        <f t="shared" si="213"/>
        <v>4634.7272219999995</v>
      </c>
      <c r="J1433" s="33">
        <f t="shared" si="217"/>
        <v>4537.2704700000004</v>
      </c>
      <c r="K1433" s="33">
        <f t="shared" si="212"/>
        <v>4537.2704700000004</v>
      </c>
      <c r="L1433" s="59">
        <f t="shared" si="218"/>
        <v>2.1479158592015594E-2</v>
      </c>
      <c r="M1433" s="60" t="str">
        <f t="shared" si="219"/>
        <v/>
      </c>
    </row>
    <row r="1434" spans="4:13" x14ac:dyDescent="0.55000000000000004">
      <c r="D1434" s="44">
        <f t="shared" si="215"/>
        <v>44375</v>
      </c>
      <c r="E1434" s="38">
        <v>8.7376000000000005</v>
      </c>
      <c r="F1434" s="39">
        <f t="shared" si="214"/>
        <v>532.9</v>
      </c>
      <c r="G1434" s="33">
        <f t="shared" si="216"/>
        <v>4632.3931199999997</v>
      </c>
      <c r="H1434" s="33">
        <f t="shared" si="220"/>
        <v>4636.0701300000001</v>
      </c>
      <c r="I1434" s="33">
        <f t="shared" si="213"/>
        <v>4636.0701300000001</v>
      </c>
      <c r="J1434" s="33">
        <f t="shared" si="217"/>
        <v>4537.2704700000004</v>
      </c>
      <c r="K1434" s="33">
        <f t="shared" si="212"/>
        <v>4537.2704700000004</v>
      </c>
      <c r="L1434" s="59">
        <f t="shared" si="218"/>
        <v>2.177513124977971E-2</v>
      </c>
      <c r="M1434" s="60" t="str">
        <f t="shared" si="219"/>
        <v/>
      </c>
    </row>
    <row r="1435" spans="4:13" x14ac:dyDescent="0.55000000000000004">
      <c r="D1435" s="44">
        <f t="shared" si="215"/>
        <v>44376</v>
      </c>
      <c r="E1435" s="38">
        <v>8.7208000000000006</v>
      </c>
      <c r="F1435" s="39">
        <f t="shared" si="214"/>
        <v>532.9</v>
      </c>
      <c r="G1435" s="33">
        <f t="shared" si="216"/>
        <v>4656.2670399999997</v>
      </c>
      <c r="H1435" s="33">
        <f t="shared" si="220"/>
        <v>4633.0965479999995</v>
      </c>
      <c r="I1435" s="33">
        <f t="shared" si="213"/>
        <v>4633.0965479999995</v>
      </c>
      <c r="J1435" s="33">
        <f t="shared" si="217"/>
        <v>4537.2704700000004</v>
      </c>
      <c r="K1435" s="33">
        <f t="shared" si="212"/>
        <v>4537.2704700000004</v>
      </c>
      <c r="L1435" s="59">
        <f t="shared" si="218"/>
        <v>2.1119763221873599E-2</v>
      </c>
      <c r="M1435" s="60" t="str">
        <f t="shared" si="219"/>
        <v/>
      </c>
    </row>
    <row r="1436" spans="4:13" x14ac:dyDescent="0.55000000000000004">
      <c r="D1436" s="44">
        <f t="shared" si="215"/>
        <v>44377</v>
      </c>
      <c r="E1436" s="38">
        <v>8.6959</v>
      </c>
      <c r="F1436" s="39">
        <f t="shared" si="214"/>
        <v>532.9</v>
      </c>
      <c r="G1436" s="33">
        <f t="shared" si="216"/>
        <v>4647.3143200000004</v>
      </c>
      <c r="H1436" s="33">
        <f t="shared" si="220"/>
        <v>4631.4871899999998</v>
      </c>
      <c r="I1436" s="33">
        <f t="shared" si="213"/>
        <v>4631.4871899999998</v>
      </c>
      <c r="J1436" s="33">
        <f t="shared" si="217"/>
        <v>4537.2704700000004</v>
      </c>
      <c r="K1436" s="33">
        <f t="shared" ref="K1436:K1499" si="221">IF(L1435&gt;3%,G1435,IF(L1435&lt;-3%,G1435,K1435))</f>
        <v>4537.2704700000004</v>
      </c>
      <c r="L1436" s="59">
        <f t="shared" si="218"/>
        <v>2.0765065830426335E-2</v>
      </c>
      <c r="M1436" s="60" t="str">
        <f t="shared" si="219"/>
        <v/>
      </c>
    </row>
    <row r="1437" spans="4:13" x14ac:dyDescent="0.55000000000000004">
      <c r="D1437" s="44">
        <f t="shared" si="215"/>
        <v>44378</v>
      </c>
      <c r="E1437" s="38">
        <f>8.6924</f>
        <v>8.6923999999999992</v>
      </c>
      <c r="F1437" s="39">
        <v>642</v>
      </c>
      <c r="G1437" s="33">
        <f t="shared" si="216"/>
        <v>5582.7677999999996</v>
      </c>
      <c r="H1437" s="33">
        <f t="shared" si="220"/>
        <v>4828.3192979999994</v>
      </c>
      <c r="I1437" s="33">
        <f t="shared" si="213"/>
        <v>5588.2248</v>
      </c>
      <c r="J1437" s="33">
        <f t="shared" si="217"/>
        <v>5582.7677999999996</v>
      </c>
      <c r="K1437" s="33">
        <f t="shared" si="221"/>
        <v>4537.2704700000004</v>
      </c>
      <c r="L1437" s="59">
        <f t="shared" si="218"/>
        <v>6.4146237242056897E-2</v>
      </c>
      <c r="M1437" s="60">
        <f t="shared" si="219"/>
        <v>1045.4973299999992</v>
      </c>
    </row>
    <row r="1438" spans="4:13" x14ac:dyDescent="0.55000000000000004">
      <c r="D1438" s="44">
        <f t="shared" si="215"/>
        <v>44379</v>
      </c>
      <c r="E1438" s="38">
        <f>8.6954</f>
        <v>8.6953999999999994</v>
      </c>
      <c r="F1438" s="39">
        <f t="shared" si="214"/>
        <v>642</v>
      </c>
      <c r="G1438" s="33">
        <f t="shared" si="216"/>
        <v>5580.5207999999993</v>
      </c>
      <c r="H1438" s="33">
        <f t="shared" si="220"/>
        <v>5580.5207999999993</v>
      </c>
      <c r="I1438" s="33">
        <f t="shared" si="213"/>
        <v>5590.4717999999993</v>
      </c>
      <c r="J1438" s="33">
        <f t="shared" si="217"/>
        <v>5582.7677999999996</v>
      </c>
      <c r="K1438" s="33">
        <f t="shared" si="221"/>
        <v>5582.7677999999996</v>
      </c>
      <c r="L1438" s="59">
        <f t="shared" si="218"/>
        <v>-4.0248852907697478E-4</v>
      </c>
      <c r="M1438" s="60" t="str">
        <f t="shared" si="219"/>
        <v/>
      </c>
    </row>
    <row r="1439" spans="4:13" x14ac:dyDescent="0.55000000000000004">
      <c r="D1439" s="44">
        <f t="shared" si="215"/>
        <v>44382</v>
      </c>
      <c r="E1439" s="38">
        <f>8.6806</f>
        <v>8.6806000000000001</v>
      </c>
      <c r="F1439" s="39">
        <f t="shared" si="214"/>
        <v>642</v>
      </c>
      <c r="G1439" s="33">
        <f t="shared" si="216"/>
        <v>5582.4467999999997</v>
      </c>
      <c r="H1439" s="33">
        <f t="shared" si="220"/>
        <v>5581.4838</v>
      </c>
      <c r="I1439" s="33">
        <f t="shared" si="213"/>
        <v>5590.8056400000005</v>
      </c>
      <c r="J1439" s="33">
        <f t="shared" si="217"/>
        <v>5582.7677999999996</v>
      </c>
      <c r="K1439" s="33">
        <f t="shared" si="221"/>
        <v>5582.7677999999996</v>
      </c>
      <c r="L1439" s="59">
        <f t="shared" si="218"/>
        <v>-2.2999344518674964E-4</v>
      </c>
      <c r="M1439" s="60" t="str">
        <f t="shared" si="219"/>
        <v/>
      </c>
    </row>
    <row r="1440" spans="4:13" x14ac:dyDescent="0.55000000000000004">
      <c r="D1440" s="44">
        <f t="shared" si="215"/>
        <v>44383</v>
      </c>
      <c r="E1440" s="38">
        <f>8.6671</f>
        <v>8.6670999999999996</v>
      </c>
      <c r="F1440" s="39">
        <f t="shared" si="214"/>
        <v>642</v>
      </c>
      <c r="G1440" s="33">
        <f t="shared" si="216"/>
        <v>5572.9452000000001</v>
      </c>
      <c r="H1440" s="33">
        <f t="shared" si="220"/>
        <v>5578.6375999999991</v>
      </c>
      <c r="I1440" s="33">
        <f t="shared" si="213"/>
        <v>5583.4868399999987</v>
      </c>
      <c r="J1440" s="33">
        <f t="shared" si="217"/>
        <v>5582.7677999999996</v>
      </c>
      <c r="K1440" s="33">
        <f t="shared" si="221"/>
        <v>5582.7677999999996</v>
      </c>
      <c r="L1440" s="59">
        <f t="shared" si="218"/>
        <v>-7.3981224868433794E-4</v>
      </c>
      <c r="M1440" s="60" t="str">
        <f t="shared" si="219"/>
        <v/>
      </c>
    </row>
    <row r="1441" spans="4:13" x14ac:dyDescent="0.55000000000000004">
      <c r="D1441" s="44">
        <f t="shared" si="215"/>
        <v>44384</v>
      </c>
      <c r="E1441" s="38">
        <f>8.6813</f>
        <v>8.6813000000000002</v>
      </c>
      <c r="F1441" s="39">
        <f t="shared" si="214"/>
        <v>642</v>
      </c>
      <c r="G1441" s="33">
        <f t="shared" si="216"/>
        <v>5564.2781999999997</v>
      </c>
      <c r="H1441" s="33">
        <f t="shared" si="220"/>
        <v>5575.0477499999997</v>
      </c>
      <c r="I1441" s="33">
        <f t="shared" si="213"/>
        <v>5576.5917600000002</v>
      </c>
      <c r="J1441" s="33">
        <f t="shared" si="217"/>
        <v>5582.7677999999996</v>
      </c>
      <c r="K1441" s="33">
        <f t="shared" si="221"/>
        <v>5582.7677999999996</v>
      </c>
      <c r="L1441" s="59">
        <f t="shared" si="218"/>
        <v>-1.3828355891856905E-3</v>
      </c>
      <c r="M1441" s="60" t="str">
        <f t="shared" si="219"/>
        <v/>
      </c>
    </row>
    <row r="1442" spans="4:13" x14ac:dyDescent="0.55000000000000004">
      <c r="D1442" s="44">
        <f t="shared" si="215"/>
        <v>44385</v>
      </c>
      <c r="E1442" s="38">
        <f>8.7024</f>
        <v>8.7024000000000008</v>
      </c>
      <c r="F1442" s="39">
        <f t="shared" si="214"/>
        <v>642</v>
      </c>
      <c r="G1442" s="33">
        <f t="shared" si="216"/>
        <v>5573.3946000000005</v>
      </c>
      <c r="H1442" s="33">
        <f t="shared" si="220"/>
        <v>5574.7171199999993</v>
      </c>
      <c r="I1442" s="33">
        <f t="shared" ref="I1442:I1505" si="222">F1442*AVERAGE(E1437:E1441)</f>
        <v>5574.7171199999993</v>
      </c>
      <c r="J1442" s="33">
        <f t="shared" si="217"/>
        <v>5582.7677999999996</v>
      </c>
      <c r="K1442" s="33">
        <f t="shared" si="221"/>
        <v>5582.7677999999996</v>
      </c>
      <c r="L1442" s="59">
        <f t="shared" si="218"/>
        <v>-1.4420589013213632E-3</v>
      </c>
      <c r="M1442" s="60" t="str">
        <f t="shared" si="219"/>
        <v/>
      </c>
    </row>
    <row r="1443" spans="4:13" x14ac:dyDescent="0.55000000000000004">
      <c r="D1443" s="44">
        <f t="shared" si="215"/>
        <v>44386</v>
      </c>
      <c r="E1443" s="38">
        <f>8.6872</f>
        <v>8.6872000000000007</v>
      </c>
      <c r="F1443" s="39">
        <f t="shared" si="214"/>
        <v>642</v>
      </c>
      <c r="G1443" s="33">
        <f t="shared" si="216"/>
        <v>5586.9408000000003</v>
      </c>
      <c r="H1443" s="33">
        <f t="shared" si="220"/>
        <v>5576.0011199999999</v>
      </c>
      <c r="I1443" s="33">
        <f t="shared" si="222"/>
        <v>5576.0011199999999</v>
      </c>
      <c r="J1443" s="33">
        <f t="shared" si="217"/>
        <v>5582.7677999999996</v>
      </c>
      <c r="K1443" s="33">
        <f t="shared" si="221"/>
        <v>5582.7677999999996</v>
      </c>
      <c r="L1443" s="59">
        <f t="shared" si="218"/>
        <v>-1.2120654561344508E-3</v>
      </c>
      <c r="M1443" s="60" t="str">
        <f t="shared" si="219"/>
        <v/>
      </c>
    </row>
    <row r="1444" spans="4:13" x14ac:dyDescent="0.55000000000000004">
      <c r="D1444" s="44">
        <f t="shared" si="215"/>
        <v>44389</v>
      </c>
      <c r="E1444" s="38">
        <f>8.6475</f>
        <v>8.6475000000000009</v>
      </c>
      <c r="F1444" s="39">
        <f t="shared" si="214"/>
        <v>642</v>
      </c>
      <c r="G1444" s="33">
        <f t="shared" si="216"/>
        <v>5577.1824000000006</v>
      </c>
      <c r="H1444" s="33">
        <f t="shared" si="220"/>
        <v>5574.9482399999997</v>
      </c>
      <c r="I1444" s="33">
        <f t="shared" si="222"/>
        <v>5574.9482399999997</v>
      </c>
      <c r="J1444" s="33">
        <f t="shared" si="217"/>
        <v>5582.7677999999996</v>
      </c>
      <c r="K1444" s="33">
        <f t="shared" si="221"/>
        <v>5582.7677999999996</v>
      </c>
      <c r="L1444" s="59">
        <f t="shared" si="218"/>
        <v>-1.4006600811876703E-3</v>
      </c>
      <c r="M1444" s="60" t="str">
        <f t="shared" si="219"/>
        <v/>
      </c>
    </row>
    <row r="1445" spans="4:13" x14ac:dyDescent="0.55000000000000004">
      <c r="D1445" s="44">
        <f t="shared" si="215"/>
        <v>44390</v>
      </c>
      <c r="E1445" s="38">
        <f>8.6188</f>
        <v>8.6188000000000002</v>
      </c>
      <c r="F1445" s="39">
        <f t="shared" si="214"/>
        <v>642</v>
      </c>
      <c r="G1445" s="33">
        <f t="shared" si="216"/>
        <v>5551.6950000000006</v>
      </c>
      <c r="H1445" s="33">
        <f t="shared" si="220"/>
        <v>5570.6982000000007</v>
      </c>
      <c r="I1445" s="33">
        <f t="shared" si="222"/>
        <v>5570.6981999999998</v>
      </c>
      <c r="J1445" s="33">
        <f t="shared" si="217"/>
        <v>5582.7677999999996</v>
      </c>
      <c r="K1445" s="33">
        <f t="shared" si="221"/>
        <v>5582.7677999999996</v>
      </c>
      <c r="L1445" s="59">
        <f t="shared" si="218"/>
        <v>-2.1619383847558374E-3</v>
      </c>
      <c r="M1445" s="60" t="str">
        <f t="shared" si="219"/>
        <v/>
      </c>
    </row>
    <row r="1446" spans="4:13" x14ac:dyDescent="0.55000000000000004">
      <c r="D1446" s="44">
        <f t="shared" si="215"/>
        <v>44391</v>
      </c>
      <c r="E1446" s="38">
        <f>8.6278</f>
        <v>8.6278000000000006</v>
      </c>
      <c r="F1446" s="39">
        <f t="shared" si="214"/>
        <v>642</v>
      </c>
      <c r="G1446" s="33">
        <f t="shared" si="216"/>
        <v>5533.2696000000005</v>
      </c>
      <c r="H1446" s="33">
        <f t="shared" si="220"/>
        <v>5564.4964799999998</v>
      </c>
      <c r="I1446" s="33">
        <f t="shared" si="222"/>
        <v>5564.4964800000007</v>
      </c>
      <c r="J1446" s="33">
        <f t="shared" si="217"/>
        <v>5582.7677999999996</v>
      </c>
      <c r="K1446" s="33">
        <f t="shared" si="221"/>
        <v>5582.7677999999996</v>
      </c>
      <c r="L1446" s="59">
        <f t="shared" si="218"/>
        <v>-3.2728067250083074E-3</v>
      </c>
      <c r="M1446" s="60" t="str">
        <f t="shared" si="219"/>
        <v/>
      </c>
    </row>
    <row r="1447" spans="4:13" x14ac:dyDescent="0.55000000000000004">
      <c r="D1447" s="44">
        <f t="shared" si="215"/>
        <v>44392</v>
      </c>
      <c r="E1447" s="38">
        <f>E1446</f>
        <v>8.6278000000000006</v>
      </c>
      <c r="F1447" s="39">
        <f t="shared" si="214"/>
        <v>642</v>
      </c>
      <c r="G1447" s="33">
        <f t="shared" si="216"/>
        <v>5539.0476000000008</v>
      </c>
      <c r="H1447" s="33">
        <f t="shared" si="220"/>
        <v>5557.6270800000002</v>
      </c>
      <c r="I1447" s="33">
        <f t="shared" si="222"/>
        <v>5557.6270800000002</v>
      </c>
      <c r="J1447" s="33">
        <f t="shared" si="217"/>
        <v>5582.7677999999996</v>
      </c>
      <c r="K1447" s="33">
        <f t="shared" si="221"/>
        <v>5582.7677999999996</v>
      </c>
      <c r="L1447" s="59">
        <f t="shared" si="218"/>
        <v>-4.5032716567576783E-3</v>
      </c>
      <c r="M1447" s="60" t="str">
        <f t="shared" si="219"/>
        <v/>
      </c>
    </row>
    <row r="1448" spans="4:13" x14ac:dyDescent="0.55000000000000004">
      <c r="D1448" s="44">
        <f t="shared" si="215"/>
        <v>44393</v>
      </c>
      <c r="E1448" s="38">
        <f>8.5252</f>
        <v>8.5251999999999999</v>
      </c>
      <c r="F1448" s="39">
        <f t="shared" si="214"/>
        <v>642</v>
      </c>
      <c r="G1448" s="33">
        <f t="shared" si="216"/>
        <v>5539.0476000000008</v>
      </c>
      <c r="H1448" s="33">
        <f t="shared" si="220"/>
        <v>5548.0484400000005</v>
      </c>
      <c r="I1448" s="33">
        <f t="shared" si="222"/>
        <v>5548.0484399999996</v>
      </c>
      <c r="J1448" s="33">
        <f t="shared" si="217"/>
        <v>5582.7677999999996</v>
      </c>
      <c r="K1448" s="33">
        <f t="shared" si="221"/>
        <v>5582.7677999999996</v>
      </c>
      <c r="L1448" s="59">
        <f t="shared" si="218"/>
        <v>-6.2190227578512482E-3</v>
      </c>
      <c r="M1448" s="60" t="str">
        <f t="shared" si="219"/>
        <v/>
      </c>
    </row>
    <row r="1449" spans="4:13" x14ac:dyDescent="0.55000000000000004">
      <c r="D1449" s="44">
        <f t="shared" si="215"/>
        <v>44396</v>
      </c>
      <c r="E1449" s="38">
        <f>E1448</f>
        <v>8.5251999999999999</v>
      </c>
      <c r="F1449" s="39">
        <f t="shared" si="214"/>
        <v>642</v>
      </c>
      <c r="G1449" s="33">
        <f t="shared" si="216"/>
        <v>5473.1783999999998</v>
      </c>
      <c r="H1449" s="33">
        <f t="shared" si="220"/>
        <v>5527.2476400000005</v>
      </c>
      <c r="I1449" s="33">
        <f t="shared" si="222"/>
        <v>5527.2476399999996</v>
      </c>
      <c r="J1449" s="33">
        <f t="shared" si="217"/>
        <v>5582.7677999999996</v>
      </c>
      <c r="K1449" s="33">
        <f t="shared" si="221"/>
        <v>5582.7677999999996</v>
      </c>
      <c r="L1449" s="59">
        <f t="shared" si="218"/>
        <v>-9.9449165698776015E-3</v>
      </c>
      <c r="M1449" s="60" t="str">
        <f t="shared" si="219"/>
        <v/>
      </c>
    </row>
    <row r="1450" spans="4:13" x14ac:dyDescent="0.55000000000000004">
      <c r="D1450" s="44">
        <f t="shared" si="215"/>
        <v>44397</v>
      </c>
      <c r="E1450" s="38">
        <f>E1449</f>
        <v>8.5251999999999999</v>
      </c>
      <c r="F1450" s="39">
        <f t="shared" ref="F1450:F1513" si="223">F1449</f>
        <v>642</v>
      </c>
      <c r="G1450" s="33">
        <f t="shared" si="216"/>
        <v>5473.1783999999998</v>
      </c>
      <c r="H1450" s="33">
        <f t="shared" si="220"/>
        <v>5511.5443200000009</v>
      </c>
      <c r="I1450" s="33">
        <f t="shared" si="222"/>
        <v>5511.5443199999991</v>
      </c>
      <c r="J1450" s="33">
        <f t="shared" si="217"/>
        <v>5582.7677999999996</v>
      </c>
      <c r="K1450" s="33">
        <f t="shared" si="221"/>
        <v>5582.7677999999996</v>
      </c>
      <c r="L1450" s="59">
        <f t="shared" si="218"/>
        <v>-1.2757736404512247E-2</v>
      </c>
      <c r="M1450" s="60" t="str">
        <f t="shared" si="219"/>
        <v/>
      </c>
    </row>
    <row r="1451" spans="4:13" x14ac:dyDescent="0.55000000000000004">
      <c r="D1451" s="44">
        <f t="shared" si="215"/>
        <v>44398</v>
      </c>
      <c r="E1451" s="38">
        <f>E1450</f>
        <v>8.5251999999999999</v>
      </c>
      <c r="F1451" s="39">
        <f t="shared" si="223"/>
        <v>642</v>
      </c>
      <c r="G1451" s="33">
        <f t="shared" si="216"/>
        <v>5473.1783999999998</v>
      </c>
      <c r="H1451" s="33">
        <f t="shared" si="220"/>
        <v>5499.5260800000005</v>
      </c>
      <c r="I1451" s="33">
        <f t="shared" si="222"/>
        <v>5499.5260799999996</v>
      </c>
      <c r="J1451" s="33">
        <f t="shared" si="217"/>
        <v>5582.7677999999996</v>
      </c>
      <c r="K1451" s="33">
        <f t="shared" si="221"/>
        <v>5582.7677999999996</v>
      </c>
      <c r="L1451" s="59">
        <f t="shared" si="218"/>
        <v>-1.491047505146087E-2</v>
      </c>
      <c r="M1451" s="60" t="str">
        <f t="shared" si="219"/>
        <v/>
      </c>
    </row>
    <row r="1452" spans="4:13" x14ac:dyDescent="0.55000000000000004">
      <c r="D1452" s="44">
        <f t="shared" si="215"/>
        <v>44399</v>
      </c>
      <c r="E1452" s="38">
        <f>E1451</f>
        <v>8.5251999999999999</v>
      </c>
      <c r="F1452" s="39">
        <f t="shared" si="223"/>
        <v>642</v>
      </c>
      <c r="G1452" s="33">
        <f t="shared" si="216"/>
        <v>5473.1783999999998</v>
      </c>
      <c r="H1452" s="33">
        <f t="shared" si="220"/>
        <v>5486.3522400000002</v>
      </c>
      <c r="I1452" s="33">
        <f t="shared" si="222"/>
        <v>5486.3522399999993</v>
      </c>
      <c r="J1452" s="33">
        <f t="shared" si="217"/>
        <v>5582.7677999999996</v>
      </c>
      <c r="K1452" s="33">
        <f t="shared" si="221"/>
        <v>5582.7677999999996</v>
      </c>
      <c r="L1452" s="59">
        <f t="shared" si="218"/>
        <v>-1.727020779907763E-2</v>
      </c>
      <c r="M1452" s="60" t="str">
        <f t="shared" si="219"/>
        <v/>
      </c>
    </row>
    <row r="1453" spans="4:13" x14ac:dyDescent="0.55000000000000004">
      <c r="D1453" s="44">
        <f t="shared" si="215"/>
        <v>44400</v>
      </c>
      <c r="E1453" s="38">
        <f>E1452</f>
        <v>8.5251999999999999</v>
      </c>
      <c r="F1453" s="39">
        <f t="shared" si="223"/>
        <v>642</v>
      </c>
      <c r="G1453" s="33">
        <f t="shared" si="216"/>
        <v>5473.1783999999998</v>
      </c>
      <c r="H1453" s="33">
        <f t="shared" si="220"/>
        <v>5473.1783999999998</v>
      </c>
      <c r="I1453" s="33">
        <f t="shared" si="222"/>
        <v>5473.1783999999998</v>
      </c>
      <c r="J1453" s="33">
        <f t="shared" si="217"/>
        <v>5582.7677999999996</v>
      </c>
      <c r="K1453" s="33">
        <f t="shared" si="221"/>
        <v>5582.7677999999996</v>
      </c>
      <c r="L1453" s="59">
        <f t="shared" si="218"/>
        <v>-1.9629940546694393E-2</v>
      </c>
      <c r="M1453" s="60" t="str">
        <f t="shared" si="219"/>
        <v/>
      </c>
    </row>
    <row r="1454" spans="4:13" x14ac:dyDescent="0.55000000000000004">
      <c r="D1454" s="44">
        <f t="shared" si="215"/>
        <v>44403</v>
      </c>
      <c r="E1454" s="38">
        <f>8.5885</f>
        <v>8.5884999999999998</v>
      </c>
      <c r="F1454" s="39">
        <f t="shared" si="223"/>
        <v>642</v>
      </c>
      <c r="G1454" s="33">
        <f t="shared" si="216"/>
        <v>5473.1783999999998</v>
      </c>
      <c r="H1454" s="33">
        <f t="shared" si="220"/>
        <v>5473.1783999999998</v>
      </c>
      <c r="I1454" s="33">
        <f t="shared" si="222"/>
        <v>5473.1783999999998</v>
      </c>
      <c r="J1454" s="33">
        <f t="shared" si="217"/>
        <v>5582.7677999999996</v>
      </c>
      <c r="K1454" s="33">
        <f t="shared" si="221"/>
        <v>5582.7677999999996</v>
      </c>
      <c r="L1454" s="59">
        <f t="shared" si="218"/>
        <v>-1.9629940546694393E-2</v>
      </c>
      <c r="M1454" s="60" t="str">
        <f t="shared" si="219"/>
        <v/>
      </c>
    </row>
    <row r="1455" spans="4:13" x14ac:dyDescent="0.55000000000000004">
      <c r="D1455" s="44">
        <f t="shared" si="215"/>
        <v>44404</v>
      </c>
      <c r="E1455" s="38">
        <f>8.5758</f>
        <v>8.5757999999999992</v>
      </c>
      <c r="F1455" s="39">
        <f t="shared" si="223"/>
        <v>642</v>
      </c>
      <c r="G1455" s="33">
        <f t="shared" si="216"/>
        <v>5513.817</v>
      </c>
      <c r="H1455" s="33">
        <f t="shared" si="220"/>
        <v>5481.3061199999993</v>
      </c>
      <c r="I1455" s="33">
        <f t="shared" si="222"/>
        <v>5481.3061200000002</v>
      </c>
      <c r="J1455" s="33">
        <f t="shared" si="217"/>
        <v>5582.7677999999996</v>
      </c>
      <c r="K1455" s="33">
        <f t="shared" si="221"/>
        <v>5582.7677999999996</v>
      </c>
      <c r="L1455" s="59">
        <f t="shared" si="218"/>
        <v>-1.817408203866196E-2</v>
      </c>
      <c r="M1455" s="60" t="str">
        <f t="shared" si="219"/>
        <v/>
      </c>
    </row>
    <row r="1456" spans="4:13" x14ac:dyDescent="0.55000000000000004">
      <c r="D1456" s="44">
        <f t="shared" si="215"/>
        <v>44405</v>
      </c>
      <c r="E1456" s="38">
        <f>8.56</f>
        <v>8.56</v>
      </c>
      <c r="F1456" s="39">
        <f t="shared" si="223"/>
        <v>642</v>
      </c>
      <c r="G1456" s="33">
        <f t="shared" si="216"/>
        <v>5505.6635999999999</v>
      </c>
      <c r="H1456" s="33">
        <f t="shared" si="220"/>
        <v>5487.8031599999995</v>
      </c>
      <c r="I1456" s="33">
        <f t="shared" si="222"/>
        <v>5487.8031600000004</v>
      </c>
      <c r="J1456" s="33">
        <f t="shared" si="217"/>
        <v>5582.7677999999996</v>
      </c>
      <c r="K1456" s="33">
        <f t="shared" si="221"/>
        <v>5582.7677999999996</v>
      </c>
      <c r="L1456" s="99">
        <f t="shared" si="218"/>
        <v>-1.7010315206016657E-2</v>
      </c>
      <c r="M1456" s="60" t="str">
        <f t="shared" si="219"/>
        <v/>
      </c>
    </row>
    <row r="1457" spans="4:17" x14ac:dyDescent="0.55000000000000004">
      <c r="D1457" s="44">
        <f t="shared" si="215"/>
        <v>44406</v>
      </c>
      <c r="E1457" s="38">
        <f>8.5128</f>
        <v>8.5128000000000004</v>
      </c>
      <c r="F1457" s="39">
        <f t="shared" si="223"/>
        <v>642</v>
      </c>
      <c r="G1457" s="33">
        <f t="shared" si="216"/>
        <v>5495.52</v>
      </c>
      <c r="H1457" s="33">
        <f t="shared" si="220"/>
        <v>5492.2714800000003</v>
      </c>
      <c r="I1457" s="33">
        <f t="shared" si="222"/>
        <v>5492.2714800000003</v>
      </c>
      <c r="J1457" s="33">
        <f t="shared" si="217"/>
        <v>5582.7677999999996</v>
      </c>
      <c r="K1457" s="33">
        <f t="shared" si="221"/>
        <v>5582.7677999999996</v>
      </c>
      <c r="L1457" s="59">
        <f t="shared" si="218"/>
        <v>-1.6209938016766394E-2</v>
      </c>
      <c r="M1457" s="60" t="str">
        <f t="shared" si="219"/>
        <v/>
      </c>
    </row>
    <row r="1458" spans="4:17" x14ac:dyDescent="0.55000000000000004">
      <c r="D1458" s="44">
        <f t="shared" si="215"/>
        <v>44407</v>
      </c>
      <c r="E1458" s="38">
        <f>8.429</f>
        <v>8.4290000000000003</v>
      </c>
      <c r="F1458" s="39">
        <f t="shared" si="223"/>
        <v>642</v>
      </c>
      <c r="G1458" s="33">
        <f t="shared" si="216"/>
        <v>5465.2175999999999</v>
      </c>
      <c r="H1458" s="33">
        <f t="shared" si="220"/>
        <v>5490.6793200000002</v>
      </c>
      <c r="I1458" s="33">
        <f t="shared" si="222"/>
        <v>5490.6793200000002</v>
      </c>
      <c r="J1458" s="33">
        <f t="shared" si="217"/>
        <v>5582.7677999999996</v>
      </c>
      <c r="K1458" s="33">
        <f t="shared" si="221"/>
        <v>5582.7677999999996</v>
      </c>
      <c r="L1458" s="59">
        <f t="shared" si="218"/>
        <v>-1.6495129888798071E-2</v>
      </c>
      <c r="M1458" s="60" t="str">
        <f t="shared" si="219"/>
        <v/>
      </c>
    </row>
    <row r="1459" spans="4:17" x14ac:dyDescent="0.55000000000000004">
      <c r="D1459" s="44">
        <f t="shared" si="215"/>
        <v>44410</v>
      </c>
      <c r="E1459" s="38">
        <f>8.4001</f>
        <v>8.4001000000000001</v>
      </c>
      <c r="F1459" s="39">
        <f>F1458+39</f>
        <v>681</v>
      </c>
      <c r="G1459" s="33">
        <f t="shared" si="216"/>
        <v>5740.1490000000003</v>
      </c>
      <c r="H1459" s="33">
        <f t="shared" si="220"/>
        <v>5544.0734400000001</v>
      </c>
      <c r="I1459" s="33">
        <f t="shared" si="222"/>
        <v>5811.1228199999996</v>
      </c>
      <c r="J1459" s="33">
        <f t="shared" si="217"/>
        <v>5582.7677999999996</v>
      </c>
      <c r="K1459" s="33">
        <f t="shared" si="221"/>
        <v>5582.7677999999996</v>
      </c>
      <c r="L1459" s="59">
        <f t="shared" si="218"/>
        <v>-6.9310351757777763E-3</v>
      </c>
      <c r="M1459" s="60" t="str">
        <f t="shared" si="219"/>
        <v/>
      </c>
    </row>
    <row r="1460" spans="4:17" x14ac:dyDescent="0.55000000000000004">
      <c r="D1460" s="44">
        <f t="shared" si="215"/>
        <v>44411</v>
      </c>
      <c r="E1460" s="38">
        <f>8.3379</f>
        <v>8.3378999999999994</v>
      </c>
      <c r="F1460" s="39">
        <f t="shared" si="223"/>
        <v>681</v>
      </c>
      <c r="G1460" s="33">
        <f t="shared" si="216"/>
        <v>5720.4681</v>
      </c>
      <c r="H1460" s="33">
        <f t="shared" si="220"/>
        <v>5585.4036600000009</v>
      </c>
      <c r="I1460" s="33">
        <f t="shared" si="222"/>
        <v>5785.4627400000008</v>
      </c>
      <c r="J1460" s="33">
        <f t="shared" si="217"/>
        <v>5582.7677999999996</v>
      </c>
      <c r="K1460" s="33">
        <f t="shared" si="221"/>
        <v>5582.7677999999996</v>
      </c>
      <c r="L1460" s="59">
        <f t="shared" si="218"/>
        <v>4.7214215142554029E-4</v>
      </c>
      <c r="M1460" s="60" t="str">
        <f t="shared" si="219"/>
        <v/>
      </c>
    </row>
    <row r="1461" spans="4:17" x14ac:dyDescent="0.55000000000000004">
      <c r="D1461" s="44">
        <f t="shared" si="215"/>
        <v>44412</v>
      </c>
      <c r="E1461" s="38">
        <f>8.4344</f>
        <v>8.4344000000000001</v>
      </c>
      <c r="F1461" s="39">
        <f t="shared" si="223"/>
        <v>681</v>
      </c>
      <c r="G1461" s="33">
        <f t="shared" si="216"/>
        <v>5678.1098999999995</v>
      </c>
      <c r="H1461" s="33">
        <f t="shared" si="220"/>
        <v>5619.8929200000002</v>
      </c>
      <c r="I1461" s="33">
        <f t="shared" si="222"/>
        <v>5753.0607600000003</v>
      </c>
      <c r="J1461" s="33">
        <f t="shared" si="217"/>
        <v>5582.7677999999996</v>
      </c>
      <c r="K1461" s="33">
        <f t="shared" si="221"/>
        <v>5582.7677999999996</v>
      </c>
      <c r="L1461" s="59">
        <f t="shared" si="218"/>
        <v>6.6499487942164835E-3</v>
      </c>
      <c r="M1461" s="60" t="str">
        <f t="shared" si="219"/>
        <v/>
      </c>
    </row>
    <row r="1462" spans="4:17" x14ac:dyDescent="0.55000000000000004">
      <c r="D1462" s="44">
        <f t="shared" si="215"/>
        <v>44413</v>
      </c>
      <c r="E1462" s="38">
        <v>8.5416000000000007</v>
      </c>
      <c r="F1462" s="39">
        <f t="shared" si="223"/>
        <v>681</v>
      </c>
      <c r="G1462" s="33">
        <f t="shared" si="216"/>
        <v>5743.8263999999999</v>
      </c>
      <c r="H1462" s="33">
        <f t="shared" si="220"/>
        <v>5669.5542000000005</v>
      </c>
      <c r="I1462" s="33">
        <f t="shared" si="222"/>
        <v>5735.9540399999996</v>
      </c>
      <c r="J1462" s="33">
        <f t="shared" si="217"/>
        <v>5582.7677999999996</v>
      </c>
      <c r="K1462" s="33">
        <f t="shared" si="221"/>
        <v>5582.7677999999996</v>
      </c>
      <c r="L1462" s="59">
        <f t="shared" si="218"/>
        <v>1.5545407423178316E-2</v>
      </c>
      <c r="M1462" s="60" t="str">
        <f t="shared" si="219"/>
        <v/>
      </c>
    </row>
    <row r="1463" spans="4:17" x14ac:dyDescent="0.55000000000000004">
      <c r="D1463" s="44">
        <f t="shared" si="215"/>
        <v>44414</v>
      </c>
      <c r="E1463" s="38">
        <v>8.5772999999999993</v>
      </c>
      <c r="F1463" s="39">
        <f t="shared" si="223"/>
        <v>681</v>
      </c>
      <c r="G1463" s="33">
        <f t="shared" si="216"/>
        <v>5816.8296000000009</v>
      </c>
      <c r="H1463" s="33">
        <f t="shared" si="220"/>
        <v>5739.8765999999996</v>
      </c>
      <c r="I1463" s="33">
        <f t="shared" si="222"/>
        <v>5739.8765999999996</v>
      </c>
      <c r="J1463" s="33">
        <f t="shared" si="217"/>
        <v>5582.7677999999996</v>
      </c>
      <c r="K1463" s="33">
        <f t="shared" si="221"/>
        <v>5582.7677999999996</v>
      </c>
      <c r="L1463" s="59">
        <f t="shared" si="218"/>
        <v>2.8141740016484295E-2</v>
      </c>
      <c r="M1463" s="60" t="str">
        <f t="shared" si="219"/>
        <v/>
      </c>
      <c r="O1463" s="100">
        <f>K1463/F1462</f>
        <v>8.197896916299559</v>
      </c>
      <c r="P1463" s="100">
        <f>O1463*1.03</f>
        <v>8.4438338237885464</v>
      </c>
      <c r="Q1463" s="100"/>
    </row>
    <row r="1464" spans="4:17" x14ac:dyDescent="0.55000000000000004">
      <c r="D1464" s="44">
        <f t="shared" si="215"/>
        <v>44417</v>
      </c>
      <c r="E1464" s="38">
        <v>8.6582000000000008</v>
      </c>
      <c r="F1464" s="39">
        <f t="shared" si="223"/>
        <v>681</v>
      </c>
      <c r="G1464" s="33">
        <f t="shared" si="216"/>
        <v>5841.1412999999993</v>
      </c>
      <c r="H1464" s="33">
        <f t="shared" si="220"/>
        <v>5760.0750600000001</v>
      </c>
      <c r="I1464" s="33">
        <f t="shared" si="222"/>
        <v>5760.0750599999992</v>
      </c>
      <c r="J1464" s="33">
        <f t="shared" si="217"/>
        <v>5841.1412999999993</v>
      </c>
      <c r="K1464" s="33">
        <f t="shared" si="221"/>
        <v>5582.7677999999996</v>
      </c>
      <c r="L1464" s="59">
        <f t="shared" si="218"/>
        <v>3.1759741109060727E-2</v>
      </c>
      <c r="M1464" s="60">
        <f t="shared" si="219"/>
        <v>258.37349999999969</v>
      </c>
      <c r="O1464" s="100">
        <f>O1463*0.97</f>
        <v>7.9519600088105724</v>
      </c>
    </row>
    <row r="1465" spans="4:17" x14ac:dyDescent="0.55000000000000004">
      <c r="D1465" s="44">
        <f t="shared" si="215"/>
        <v>44418</v>
      </c>
      <c r="E1465" s="38">
        <f>8.6361</f>
        <v>8.6361000000000008</v>
      </c>
      <c r="F1465" s="39">
        <f t="shared" si="223"/>
        <v>681</v>
      </c>
      <c r="G1465" s="33">
        <f t="shared" si="216"/>
        <v>5896.2342000000008</v>
      </c>
      <c r="H1465" s="33">
        <f t="shared" si="220"/>
        <v>5896.2342000000008</v>
      </c>
      <c r="I1465" s="33">
        <f t="shared" si="222"/>
        <v>5795.2282800000003</v>
      </c>
      <c r="J1465" s="33">
        <f t="shared" si="217"/>
        <v>5841.1412999999993</v>
      </c>
      <c r="K1465" s="33">
        <f t="shared" si="221"/>
        <v>5841.1412999999993</v>
      </c>
      <c r="L1465" s="59">
        <f t="shared" si="218"/>
        <v>9.4318725006706256E-3</v>
      </c>
      <c r="M1465" s="60" t="str">
        <f t="shared" si="219"/>
        <v/>
      </c>
    </row>
    <row r="1466" spans="4:17" x14ac:dyDescent="0.55000000000000004">
      <c r="D1466" s="44">
        <f t="shared" ref="D1466:D1521" si="224">WORKDAY(D1465,1)</f>
        <v>44419</v>
      </c>
      <c r="E1466" s="38">
        <f>8.6399</f>
        <v>8.6399000000000008</v>
      </c>
      <c r="F1466" s="39">
        <f t="shared" si="223"/>
        <v>681</v>
      </c>
      <c r="G1466" s="33">
        <f t="shared" si="216"/>
        <v>5881.1841000000004</v>
      </c>
      <c r="H1466" s="33">
        <f t="shared" si="220"/>
        <v>5888.7091500000006</v>
      </c>
      <c r="I1466" s="33">
        <f t="shared" si="222"/>
        <v>5835.8431200000005</v>
      </c>
      <c r="J1466" s="33">
        <f t="shared" si="217"/>
        <v>5841.1412999999993</v>
      </c>
      <c r="K1466" s="33">
        <f t="shared" si="221"/>
        <v>5841.1412999999993</v>
      </c>
      <c r="L1466" s="59">
        <f t="shared" si="218"/>
        <v>8.1435883086754431E-3</v>
      </c>
      <c r="M1466" s="60" t="str">
        <f t="shared" si="219"/>
        <v/>
      </c>
    </row>
    <row r="1467" spans="4:17" x14ac:dyDescent="0.55000000000000004">
      <c r="D1467" s="44">
        <f t="shared" si="224"/>
        <v>44420</v>
      </c>
      <c r="E1467" s="38">
        <f>8.5877</f>
        <v>8.5876999999999999</v>
      </c>
      <c r="F1467" s="39">
        <f t="shared" si="223"/>
        <v>681</v>
      </c>
      <c r="G1467" s="33">
        <f t="shared" ref="G1467:G1521" si="225">E1466*F1467</f>
        <v>5883.7719000000006</v>
      </c>
      <c r="H1467" s="33">
        <f t="shared" si="220"/>
        <v>5887.0634</v>
      </c>
      <c r="I1467" s="33">
        <f t="shared" si="222"/>
        <v>5863.8322200000002</v>
      </c>
      <c r="J1467" s="33">
        <f t="shared" si="217"/>
        <v>5841.1412999999993</v>
      </c>
      <c r="K1467" s="33">
        <f t="shared" si="221"/>
        <v>5841.1412999999993</v>
      </c>
      <c r="L1467" s="59">
        <f t="shared" si="218"/>
        <v>7.8618368639705206E-3</v>
      </c>
      <c r="M1467" s="60" t="str">
        <f t="shared" si="219"/>
        <v/>
      </c>
    </row>
    <row r="1468" spans="4:17" x14ac:dyDescent="0.55000000000000004">
      <c r="D1468" s="44">
        <f t="shared" si="224"/>
        <v>44421</v>
      </c>
      <c r="E1468" s="38">
        <f>8.5512</f>
        <v>8.5511999999999997</v>
      </c>
      <c r="F1468" s="39">
        <f t="shared" si="223"/>
        <v>681</v>
      </c>
      <c r="G1468" s="33">
        <f t="shared" si="225"/>
        <v>5848.2236999999996</v>
      </c>
      <c r="H1468" s="33">
        <f t="shared" si="220"/>
        <v>5877.3534749999999</v>
      </c>
      <c r="I1468" s="33">
        <f t="shared" si="222"/>
        <v>5870.1110399999998</v>
      </c>
      <c r="J1468" s="33">
        <f t="shared" si="217"/>
        <v>5841.1412999999993</v>
      </c>
      <c r="K1468" s="33">
        <f t="shared" si="221"/>
        <v>5841.1412999999993</v>
      </c>
      <c r="L1468" s="59">
        <f t="shared" si="218"/>
        <v>6.1995033402120533E-3</v>
      </c>
      <c r="M1468" s="60" t="str">
        <f t="shared" si="219"/>
        <v/>
      </c>
    </row>
    <row r="1469" spans="4:17" x14ac:dyDescent="0.55000000000000004">
      <c r="D1469" s="44">
        <f t="shared" si="224"/>
        <v>44424</v>
      </c>
      <c r="E1469" s="38">
        <v>8.4832999999999998</v>
      </c>
      <c r="F1469" s="39">
        <f t="shared" si="223"/>
        <v>681</v>
      </c>
      <c r="G1469" s="33">
        <f t="shared" si="225"/>
        <v>5823.3671999999997</v>
      </c>
      <c r="H1469" s="33">
        <f t="shared" si="220"/>
        <v>5866.5562200000004</v>
      </c>
      <c r="I1469" s="33">
        <f t="shared" si="222"/>
        <v>5866.5562200000004</v>
      </c>
      <c r="J1469" s="33">
        <f t="shared" ref="J1469:J1520" si="226">IF(L1469&gt;3%,G1469,IF(L1469&lt;-3%,G1469,J1468))</f>
        <v>5841.1412999999993</v>
      </c>
      <c r="K1469" s="33">
        <f t="shared" si="221"/>
        <v>5841.1412999999993</v>
      </c>
      <c r="L1469" s="59">
        <f t="shared" si="218"/>
        <v>4.3510195516073338E-3</v>
      </c>
      <c r="M1469" s="60" t="str">
        <f t="shared" si="219"/>
        <v/>
      </c>
    </row>
    <row r="1470" spans="4:17" x14ac:dyDescent="0.55000000000000004">
      <c r="D1470" s="44">
        <f t="shared" si="224"/>
        <v>44425</v>
      </c>
      <c r="E1470" s="38">
        <v>8.4292999999999996</v>
      </c>
      <c r="F1470" s="39">
        <f t="shared" si="223"/>
        <v>681</v>
      </c>
      <c r="G1470" s="33">
        <f t="shared" si="225"/>
        <v>5777.1273000000001</v>
      </c>
      <c r="H1470" s="33">
        <f t="shared" si="220"/>
        <v>5842.7348400000001</v>
      </c>
      <c r="I1470" s="33">
        <f t="shared" si="222"/>
        <v>5842.734840000001</v>
      </c>
      <c r="J1470" s="33">
        <f t="shared" si="226"/>
        <v>5841.1412999999993</v>
      </c>
      <c r="K1470" s="33">
        <f t="shared" si="221"/>
        <v>5841.1412999999993</v>
      </c>
      <c r="L1470" s="59">
        <f t="shared" ref="L1470:L1520" si="227">(H1470-K1470)/K1470</f>
        <v>2.7281312301086739E-4</v>
      </c>
      <c r="M1470" s="60" t="str">
        <f t="shared" ref="M1470:M1520" si="228">IF(OR(L1470&lt;-3%,L1470&gt;3%),K1471-K1470,"")</f>
        <v/>
      </c>
    </row>
    <row r="1471" spans="4:17" x14ac:dyDescent="0.55000000000000004">
      <c r="D1471" s="44">
        <f t="shared" si="224"/>
        <v>44426</v>
      </c>
      <c r="E1471" s="38">
        <f>8.4784</f>
        <v>8.4784000000000006</v>
      </c>
      <c r="F1471" s="39">
        <f t="shared" si="223"/>
        <v>681</v>
      </c>
      <c r="G1471" s="33">
        <f t="shared" si="225"/>
        <v>5740.3532999999998</v>
      </c>
      <c r="H1471" s="33">
        <f t="shared" si="220"/>
        <v>5814.5686799999994</v>
      </c>
      <c r="I1471" s="33">
        <f t="shared" si="222"/>
        <v>5814.5686800000003</v>
      </c>
      <c r="J1471" s="33">
        <f t="shared" si="226"/>
        <v>5841.1412999999993</v>
      </c>
      <c r="K1471" s="33">
        <f t="shared" si="221"/>
        <v>5841.1412999999993</v>
      </c>
      <c r="L1471" s="59">
        <f t="shared" si="227"/>
        <v>-4.5492171196063894E-3</v>
      </c>
      <c r="M1471" s="60" t="str">
        <f t="shared" si="228"/>
        <v/>
      </c>
    </row>
    <row r="1472" spans="4:17" x14ac:dyDescent="0.55000000000000004">
      <c r="D1472" s="44">
        <f t="shared" si="224"/>
        <v>44427</v>
      </c>
      <c r="E1472" s="38">
        <f>8.5264</f>
        <v>8.5264000000000006</v>
      </c>
      <c r="F1472" s="39">
        <f t="shared" si="223"/>
        <v>681</v>
      </c>
      <c r="G1472" s="33">
        <f t="shared" si="225"/>
        <v>5773.7904000000008</v>
      </c>
      <c r="H1472" s="33">
        <f t="shared" si="220"/>
        <v>5792.5723799999996</v>
      </c>
      <c r="I1472" s="33">
        <f t="shared" si="222"/>
        <v>5792.5723799999996</v>
      </c>
      <c r="J1472" s="33">
        <f t="shared" si="226"/>
        <v>5841.1412999999993</v>
      </c>
      <c r="K1472" s="33">
        <f t="shared" si="221"/>
        <v>5841.1412999999993</v>
      </c>
      <c r="L1472" s="59">
        <f t="shared" si="227"/>
        <v>-8.3149709115921764E-3</v>
      </c>
      <c r="M1472" s="60" t="str">
        <f t="shared" si="228"/>
        <v/>
      </c>
    </row>
    <row r="1473" spans="4:16" x14ac:dyDescent="0.55000000000000004">
      <c r="D1473" s="44">
        <f t="shared" si="224"/>
        <v>44428</v>
      </c>
      <c r="E1473" s="38">
        <f>8.5407</f>
        <v>8.5406999999999993</v>
      </c>
      <c r="F1473" s="39">
        <f t="shared" si="223"/>
        <v>681</v>
      </c>
      <c r="G1473" s="33">
        <f t="shared" si="225"/>
        <v>5806.4784000000009</v>
      </c>
      <c r="H1473" s="33">
        <f t="shared" si="220"/>
        <v>5784.2233200000001</v>
      </c>
      <c r="I1473" s="33">
        <f t="shared" si="222"/>
        <v>5784.2233200000001</v>
      </c>
      <c r="J1473" s="33">
        <f t="shared" si="226"/>
        <v>5841.1412999999993</v>
      </c>
      <c r="K1473" s="33">
        <f t="shared" si="221"/>
        <v>5841.1412999999993</v>
      </c>
      <c r="L1473" s="59">
        <f t="shared" si="227"/>
        <v>-9.7443251372808376E-3</v>
      </c>
      <c r="M1473" s="60" t="str">
        <f t="shared" si="228"/>
        <v/>
      </c>
    </row>
    <row r="1474" spans="4:16" x14ac:dyDescent="0.55000000000000004">
      <c r="D1474" s="44">
        <f t="shared" si="224"/>
        <v>44431</v>
      </c>
      <c r="E1474" s="38">
        <f>8.4724</f>
        <v>8.4724000000000004</v>
      </c>
      <c r="F1474" s="39">
        <f t="shared" si="223"/>
        <v>681</v>
      </c>
      <c r="G1474" s="33">
        <f t="shared" si="225"/>
        <v>5816.2166999999999</v>
      </c>
      <c r="H1474" s="33">
        <f t="shared" si="220"/>
        <v>5782.7932200000005</v>
      </c>
      <c r="I1474" s="33">
        <f t="shared" si="222"/>
        <v>5782.7932200000005</v>
      </c>
      <c r="J1474" s="33">
        <f t="shared" si="226"/>
        <v>5841.1412999999993</v>
      </c>
      <c r="K1474" s="33">
        <f t="shared" si="221"/>
        <v>5841.1412999999993</v>
      </c>
      <c r="L1474" s="59">
        <f t="shared" si="227"/>
        <v>-9.9891574271621965E-3</v>
      </c>
      <c r="M1474" s="60" t="str">
        <f t="shared" si="228"/>
        <v/>
      </c>
    </row>
    <row r="1475" spans="4:16" x14ac:dyDescent="0.55000000000000004">
      <c r="D1475" s="44">
        <f t="shared" si="224"/>
        <v>44432</v>
      </c>
      <c r="E1475" s="38">
        <f>8.4283</f>
        <v>8.4283000000000001</v>
      </c>
      <c r="F1475" s="39">
        <f t="shared" si="223"/>
        <v>681</v>
      </c>
      <c r="G1475" s="33">
        <f t="shared" si="225"/>
        <v>5769.7044000000005</v>
      </c>
      <c r="H1475" s="33">
        <f t="shared" si="220"/>
        <v>5781.3086400000002</v>
      </c>
      <c r="I1475" s="33">
        <f t="shared" si="222"/>
        <v>5781.3086400000002</v>
      </c>
      <c r="J1475" s="33">
        <f t="shared" si="226"/>
        <v>5841.1412999999993</v>
      </c>
      <c r="K1475" s="33">
        <f t="shared" si="221"/>
        <v>5841.1412999999993</v>
      </c>
      <c r="L1475" s="59">
        <f t="shared" si="227"/>
        <v>-1.0243316661420112E-2</v>
      </c>
      <c r="M1475" s="60" t="str">
        <f t="shared" si="228"/>
        <v/>
      </c>
    </row>
    <row r="1476" spans="4:16" x14ac:dyDescent="0.55000000000000004">
      <c r="D1476" s="44">
        <f t="shared" si="224"/>
        <v>44433</v>
      </c>
      <c r="E1476" s="38">
        <f>8.3948</f>
        <v>8.3948</v>
      </c>
      <c r="F1476" s="39">
        <f t="shared" si="223"/>
        <v>681</v>
      </c>
      <c r="G1476" s="33">
        <f t="shared" si="225"/>
        <v>5739.6723000000002</v>
      </c>
      <c r="H1476" s="33">
        <f t="shared" si="220"/>
        <v>5781.1724400000003</v>
      </c>
      <c r="I1476" s="33">
        <f t="shared" si="222"/>
        <v>5781.1724400000003</v>
      </c>
      <c r="J1476" s="33">
        <f t="shared" si="226"/>
        <v>5841.1412999999993</v>
      </c>
      <c r="K1476" s="33">
        <f t="shared" si="221"/>
        <v>5841.1412999999993</v>
      </c>
      <c r="L1476" s="59">
        <f t="shared" si="227"/>
        <v>-1.0266634022361186E-2</v>
      </c>
      <c r="M1476" s="60" t="str">
        <f t="shared" si="228"/>
        <v/>
      </c>
    </row>
    <row r="1477" spans="4:16" x14ac:dyDescent="0.55000000000000004">
      <c r="D1477" s="44">
        <f t="shared" si="224"/>
        <v>44434</v>
      </c>
      <c r="E1477" s="38">
        <f>8.3729</f>
        <v>8.3728999999999996</v>
      </c>
      <c r="F1477" s="39">
        <f t="shared" si="223"/>
        <v>681</v>
      </c>
      <c r="G1477" s="33">
        <f t="shared" si="225"/>
        <v>5716.8588</v>
      </c>
      <c r="H1477" s="33">
        <f t="shared" si="220"/>
        <v>5769.7861199999998</v>
      </c>
      <c r="I1477" s="33">
        <f t="shared" si="222"/>
        <v>5769.7861199999998</v>
      </c>
      <c r="J1477" s="33">
        <f t="shared" si="226"/>
        <v>5841.1412999999993</v>
      </c>
      <c r="K1477" s="33">
        <f t="shared" si="221"/>
        <v>5841.1412999999993</v>
      </c>
      <c r="L1477" s="59">
        <f t="shared" si="227"/>
        <v>-1.221596539703629E-2</v>
      </c>
      <c r="M1477" s="60" t="str">
        <f t="shared" si="228"/>
        <v/>
      </c>
    </row>
    <row r="1478" spans="4:16" x14ac:dyDescent="0.55000000000000004">
      <c r="D1478" s="44">
        <f t="shared" si="224"/>
        <v>44435</v>
      </c>
      <c r="E1478" s="38">
        <f>8.3903</f>
        <v>8.3902999999999999</v>
      </c>
      <c r="F1478" s="39">
        <f t="shared" si="223"/>
        <v>681</v>
      </c>
      <c r="G1478" s="33">
        <f t="shared" si="225"/>
        <v>5701.9448999999995</v>
      </c>
      <c r="H1478" s="33">
        <f t="shared" si="220"/>
        <v>5748.8794199999993</v>
      </c>
      <c r="I1478" s="33">
        <f t="shared" si="222"/>
        <v>5748.8794200000011</v>
      </c>
      <c r="J1478" s="33">
        <f t="shared" si="226"/>
        <v>5841.1412999999993</v>
      </c>
      <c r="K1478" s="33">
        <f t="shared" si="221"/>
        <v>5841.1412999999993</v>
      </c>
      <c r="L1478" s="59">
        <f t="shared" si="227"/>
        <v>-1.5795180301493482E-2</v>
      </c>
      <c r="M1478" s="60" t="str">
        <f t="shared" si="228"/>
        <v/>
      </c>
    </row>
    <row r="1479" spans="4:16" x14ac:dyDescent="0.55000000000000004">
      <c r="D1479" s="44">
        <f t="shared" si="224"/>
        <v>44438</v>
      </c>
      <c r="E1479" s="38">
        <f>E1478</f>
        <v>8.3902999999999999</v>
      </c>
      <c r="F1479" s="39">
        <f t="shared" si="223"/>
        <v>681</v>
      </c>
      <c r="G1479" s="33">
        <f t="shared" si="225"/>
        <v>5713.7942999999996</v>
      </c>
      <c r="H1479" s="33">
        <f t="shared" si="220"/>
        <v>5728.3949400000001</v>
      </c>
      <c r="I1479" s="33">
        <f t="shared" si="222"/>
        <v>5728.3949400000001</v>
      </c>
      <c r="J1479" s="33">
        <f t="shared" si="226"/>
        <v>5841.1412999999993</v>
      </c>
      <c r="K1479" s="33">
        <f t="shared" si="221"/>
        <v>5841.1412999999993</v>
      </c>
      <c r="L1479" s="59">
        <f t="shared" si="227"/>
        <v>-1.9302111387033079E-2</v>
      </c>
      <c r="M1479" s="60" t="str">
        <f t="shared" si="228"/>
        <v/>
      </c>
    </row>
    <row r="1480" spans="4:16" x14ac:dyDescent="0.55000000000000004">
      <c r="D1480" s="44">
        <f t="shared" si="224"/>
        <v>44439</v>
      </c>
      <c r="E1480" s="38">
        <f>8.3192</f>
        <v>8.3192000000000004</v>
      </c>
      <c r="F1480" s="39">
        <f t="shared" si="223"/>
        <v>681</v>
      </c>
      <c r="G1480" s="33">
        <f t="shared" si="225"/>
        <v>5713.7942999999996</v>
      </c>
      <c r="H1480" s="33">
        <f t="shared" si="220"/>
        <v>5717.2129199999999</v>
      </c>
      <c r="I1480" s="33">
        <f t="shared" si="222"/>
        <v>5717.212919999999</v>
      </c>
      <c r="J1480" s="33">
        <f t="shared" si="226"/>
        <v>5841.1412999999993</v>
      </c>
      <c r="K1480" s="33">
        <f t="shared" si="221"/>
        <v>5841.1412999999993</v>
      </c>
      <c r="L1480" s="59">
        <f t="shared" si="227"/>
        <v>-2.1216466720296492E-2</v>
      </c>
      <c r="M1480" s="60" t="str">
        <f t="shared" si="228"/>
        <v/>
      </c>
    </row>
    <row r="1481" spans="4:16" x14ac:dyDescent="0.55000000000000004">
      <c r="D1481" s="44">
        <f t="shared" si="224"/>
        <v>44440</v>
      </c>
      <c r="E1481" s="38">
        <v>8.3025000000000002</v>
      </c>
      <c r="F1481" s="39">
        <v>701</v>
      </c>
      <c r="G1481" s="33">
        <f t="shared" si="225"/>
        <v>5831.7592000000004</v>
      </c>
      <c r="H1481" s="33">
        <f t="shared" si="220"/>
        <v>5735.6302999999998</v>
      </c>
      <c r="I1481" s="33">
        <f t="shared" si="222"/>
        <v>5869.8234999999995</v>
      </c>
      <c r="J1481" s="33">
        <f t="shared" si="226"/>
        <v>5841.1412999999993</v>
      </c>
      <c r="K1481" s="33">
        <f t="shared" si="221"/>
        <v>5841.1412999999993</v>
      </c>
      <c r="L1481" s="59">
        <f t="shared" si="227"/>
        <v>-1.8063421954883974E-2</v>
      </c>
      <c r="M1481" s="60" t="str">
        <f t="shared" si="228"/>
        <v/>
      </c>
    </row>
    <row r="1482" spans="4:16" x14ac:dyDescent="0.55000000000000004">
      <c r="D1482" s="44">
        <f t="shared" si="224"/>
        <v>44441</v>
      </c>
      <c r="E1482" s="38">
        <f>8.2782</f>
        <v>8.2782</v>
      </c>
      <c r="F1482" s="39">
        <f t="shared" si="223"/>
        <v>701</v>
      </c>
      <c r="G1482" s="33">
        <f t="shared" si="225"/>
        <v>5820.0524999999998</v>
      </c>
      <c r="H1482" s="33">
        <f t="shared" si="220"/>
        <v>5756.2690399999992</v>
      </c>
      <c r="I1482" s="33">
        <f t="shared" si="222"/>
        <v>5856.8830399999988</v>
      </c>
      <c r="J1482" s="33">
        <f t="shared" si="226"/>
        <v>5841.1412999999993</v>
      </c>
      <c r="K1482" s="33">
        <f t="shared" si="221"/>
        <v>5841.1412999999993</v>
      </c>
      <c r="L1482" s="59">
        <f t="shared" si="227"/>
        <v>-1.453008164688639E-2</v>
      </c>
      <c r="M1482" s="60" t="str">
        <f t="shared" si="228"/>
        <v/>
      </c>
      <c r="P1482" s="101"/>
    </row>
    <row r="1483" spans="4:16" x14ac:dyDescent="0.55000000000000004">
      <c r="D1483" s="44">
        <f t="shared" si="224"/>
        <v>44442</v>
      </c>
      <c r="E1483" s="38">
        <f>8.3099</f>
        <v>8.3099000000000007</v>
      </c>
      <c r="F1483" s="39">
        <f t="shared" si="223"/>
        <v>701</v>
      </c>
      <c r="G1483" s="33">
        <f t="shared" si="225"/>
        <v>5803.0182000000004</v>
      </c>
      <c r="H1483" s="33">
        <f t="shared" si="220"/>
        <v>5776.4836999999998</v>
      </c>
      <c r="I1483" s="33">
        <f t="shared" si="222"/>
        <v>5843.6061</v>
      </c>
      <c r="J1483" s="33">
        <f t="shared" si="226"/>
        <v>5841.1412999999993</v>
      </c>
      <c r="K1483" s="33">
        <f t="shared" si="221"/>
        <v>5841.1412999999993</v>
      </c>
      <c r="L1483" s="59">
        <f t="shared" si="227"/>
        <v>-1.1069343588726325E-2</v>
      </c>
      <c r="M1483" s="60" t="str">
        <f t="shared" si="228"/>
        <v/>
      </c>
    </row>
    <row r="1484" spans="4:16" x14ac:dyDescent="0.55000000000000004">
      <c r="D1484" s="44">
        <f t="shared" si="224"/>
        <v>44445</v>
      </c>
      <c r="E1484" s="38">
        <f>8.2916</f>
        <v>8.2916000000000007</v>
      </c>
      <c r="F1484" s="39">
        <f t="shared" si="223"/>
        <v>701</v>
      </c>
      <c r="G1484" s="33">
        <f t="shared" si="225"/>
        <v>5825.2399000000005</v>
      </c>
      <c r="H1484" s="33">
        <f t="shared" si="220"/>
        <v>5798.7728200000001</v>
      </c>
      <c r="I1484" s="33">
        <f t="shared" si="222"/>
        <v>5832.3340199999993</v>
      </c>
      <c r="J1484" s="33">
        <f t="shared" si="226"/>
        <v>5841.1412999999993</v>
      </c>
      <c r="K1484" s="33">
        <f t="shared" si="221"/>
        <v>5841.1412999999993</v>
      </c>
      <c r="L1484" s="59">
        <f t="shared" si="227"/>
        <v>-7.2534591827112943E-3</v>
      </c>
      <c r="M1484" s="60" t="str">
        <f t="shared" si="228"/>
        <v/>
      </c>
    </row>
    <row r="1485" spans="4:16" x14ac:dyDescent="0.55000000000000004">
      <c r="D1485" s="44">
        <f t="shared" si="224"/>
        <v>44446</v>
      </c>
      <c r="E1485" s="38">
        <f>8.313</f>
        <v>8.3130000000000006</v>
      </c>
      <c r="F1485" s="39">
        <f t="shared" si="223"/>
        <v>701</v>
      </c>
      <c r="G1485" s="33">
        <f t="shared" si="225"/>
        <v>5812.4116000000004</v>
      </c>
      <c r="H1485" s="33">
        <f t="shared" si="220"/>
        <v>5818.4962800000003</v>
      </c>
      <c r="I1485" s="33">
        <f t="shared" si="222"/>
        <v>5818.4962800000003</v>
      </c>
      <c r="J1485" s="33">
        <f t="shared" si="226"/>
        <v>5841.1412999999993</v>
      </c>
      <c r="K1485" s="33">
        <f t="shared" si="221"/>
        <v>5841.1412999999993</v>
      </c>
      <c r="L1485" s="59">
        <f t="shared" si="227"/>
        <v>-3.8768142794284098E-3</v>
      </c>
      <c r="M1485" s="60" t="str">
        <f t="shared" si="228"/>
        <v/>
      </c>
      <c r="O1485" s="75"/>
    </row>
    <row r="1486" spans="4:16" x14ac:dyDescent="0.55000000000000004">
      <c r="D1486" s="44">
        <f t="shared" si="224"/>
        <v>44447</v>
      </c>
      <c r="E1486" s="38">
        <f>8.4214</f>
        <v>8.4214000000000002</v>
      </c>
      <c r="F1486" s="39">
        <f t="shared" si="223"/>
        <v>701</v>
      </c>
      <c r="G1486" s="33">
        <f t="shared" si="225"/>
        <v>5827.4130000000005</v>
      </c>
      <c r="H1486" s="33">
        <f t="shared" si="220"/>
        <v>5817.6270400000003</v>
      </c>
      <c r="I1486" s="33">
        <f t="shared" si="222"/>
        <v>5817.6270400000012</v>
      </c>
      <c r="J1486" s="33">
        <f t="shared" si="226"/>
        <v>5841.1412999999993</v>
      </c>
      <c r="K1486" s="33">
        <f t="shared" si="221"/>
        <v>5841.1412999999993</v>
      </c>
      <c r="L1486" s="59">
        <f t="shared" si="227"/>
        <v>-4.0256276628677029E-3</v>
      </c>
      <c r="M1486" s="60" t="str">
        <f t="shared" si="228"/>
        <v/>
      </c>
    </row>
    <row r="1487" spans="4:16" x14ac:dyDescent="0.55000000000000004">
      <c r="D1487" s="44">
        <f t="shared" si="224"/>
        <v>44448</v>
      </c>
      <c r="E1487" s="38">
        <v>8.4808000000000003</v>
      </c>
      <c r="F1487" s="39">
        <f t="shared" si="223"/>
        <v>701</v>
      </c>
      <c r="G1487" s="33">
        <f t="shared" si="225"/>
        <v>5903.4013999999997</v>
      </c>
      <c r="H1487" s="33">
        <f t="shared" si="220"/>
        <v>5834.2968200000005</v>
      </c>
      <c r="I1487" s="33">
        <f t="shared" si="222"/>
        <v>5834.2968200000005</v>
      </c>
      <c r="J1487" s="33">
        <f t="shared" si="226"/>
        <v>5841.1412999999993</v>
      </c>
      <c r="K1487" s="33">
        <f t="shared" si="221"/>
        <v>5841.1412999999993</v>
      </c>
      <c r="L1487" s="59">
        <f t="shared" si="227"/>
        <v>-1.1717710030399093E-3</v>
      </c>
      <c r="M1487" s="60" t="str">
        <f t="shared" si="228"/>
        <v/>
      </c>
    </row>
    <row r="1488" spans="4:16" x14ac:dyDescent="0.55000000000000004">
      <c r="D1488" s="44">
        <f t="shared" si="224"/>
        <v>44449</v>
      </c>
      <c r="E1488" s="38">
        <v>8.4194999999999993</v>
      </c>
      <c r="F1488" s="39">
        <f t="shared" si="223"/>
        <v>701</v>
      </c>
      <c r="G1488" s="33">
        <f t="shared" si="225"/>
        <v>5945.0408000000007</v>
      </c>
      <c r="H1488" s="33">
        <f t="shared" si="220"/>
        <v>5862.7013399999996</v>
      </c>
      <c r="I1488" s="33">
        <f t="shared" si="222"/>
        <v>5862.7013400000005</v>
      </c>
      <c r="J1488" s="33">
        <f t="shared" si="226"/>
        <v>5841.1412999999993</v>
      </c>
      <c r="K1488" s="33">
        <f t="shared" si="221"/>
        <v>5841.1412999999993</v>
      </c>
      <c r="L1488" s="59">
        <f t="shared" si="227"/>
        <v>3.691066333218185E-3</v>
      </c>
      <c r="M1488" s="60" t="str">
        <f t="shared" si="228"/>
        <v/>
      </c>
    </row>
    <row r="1489" spans="4:13" x14ac:dyDescent="0.55000000000000004">
      <c r="D1489" s="44">
        <f t="shared" si="224"/>
        <v>44452</v>
      </c>
      <c r="E1489" s="38">
        <f>8.4593</f>
        <v>8.4593000000000007</v>
      </c>
      <c r="F1489" s="39">
        <f t="shared" si="223"/>
        <v>701</v>
      </c>
      <c r="G1489" s="33">
        <f t="shared" si="225"/>
        <v>5902.0694999999996</v>
      </c>
      <c r="H1489" s="33">
        <f t="shared" ref="H1489:H1520" si="229">IF(M1488&lt;&gt;"",AVERAGE(G1489),IF(M1487&lt;&gt;"",AVERAGE(G1488:G1489),IF(M1486&lt;&gt;"",AVERAGE(G1487:G1489),IF(M1485&lt;&gt;"",AVERAGE(G1486:G1489),AVERAGE(G1485:G1489)))))</f>
        <v>5878.0672599999989</v>
      </c>
      <c r="I1489" s="33">
        <f t="shared" si="222"/>
        <v>5878.0672600000007</v>
      </c>
      <c r="J1489" s="33">
        <f t="shared" si="226"/>
        <v>5841.1412999999993</v>
      </c>
      <c r="K1489" s="33">
        <f t="shared" si="221"/>
        <v>5841.1412999999993</v>
      </c>
      <c r="L1489" s="59">
        <f t="shared" si="227"/>
        <v>6.321702917886883E-3</v>
      </c>
      <c r="M1489" s="60" t="str">
        <f t="shared" si="228"/>
        <v/>
      </c>
    </row>
    <row r="1490" spans="4:13" x14ac:dyDescent="0.55000000000000004">
      <c r="D1490" s="44">
        <f t="shared" si="224"/>
        <v>44453</v>
      </c>
      <c r="E1490" s="38">
        <f>8.4466</f>
        <v>8.4466000000000001</v>
      </c>
      <c r="F1490" s="39">
        <f t="shared" si="223"/>
        <v>701</v>
      </c>
      <c r="G1490" s="33">
        <f t="shared" si="225"/>
        <v>5929.9693000000007</v>
      </c>
      <c r="H1490" s="33">
        <f t="shared" si="229"/>
        <v>5901.5787999999993</v>
      </c>
      <c r="I1490" s="33">
        <f t="shared" si="222"/>
        <v>5901.5788000000002</v>
      </c>
      <c r="J1490" s="33">
        <f t="shared" si="226"/>
        <v>5841.1412999999993</v>
      </c>
      <c r="K1490" s="33">
        <f t="shared" si="221"/>
        <v>5841.1412999999993</v>
      </c>
      <c r="L1490" s="59">
        <f t="shared" si="227"/>
        <v>1.0346864918333684E-2</v>
      </c>
      <c r="M1490" s="60" t="str">
        <f t="shared" si="228"/>
        <v/>
      </c>
    </row>
    <row r="1491" spans="4:13" x14ac:dyDescent="0.55000000000000004">
      <c r="D1491" s="44">
        <f t="shared" si="224"/>
        <v>44454</v>
      </c>
      <c r="E1491" s="38">
        <f>8.4424</f>
        <v>8.4423999999999992</v>
      </c>
      <c r="F1491" s="39">
        <f t="shared" si="223"/>
        <v>701</v>
      </c>
      <c r="G1491" s="33">
        <f t="shared" si="225"/>
        <v>5921.0666000000001</v>
      </c>
      <c r="H1491" s="33">
        <f t="shared" si="229"/>
        <v>5920.3095200000007</v>
      </c>
      <c r="I1491" s="33">
        <f t="shared" si="222"/>
        <v>5920.3095199999989</v>
      </c>
      <c r="J1491" s="33">
        <f t="shared" si="226"/>
        <v>5841.1412999999993</v>
      </c>
      <c r="K1491" s="33">
        <f t="shared" si="221"/>
        <v>5841.1412999999993</v>
      </c>
      <c r="L1491" s="59">
        <f t="shared" si="227"/>
        <v>1.3553553309864528E-2</v>
      </c>
      <c r="M1491" s="60" t="str">
        <f t="shared" si="228"/>
        <v/>
      </c>
    </row>
    <row r="1492" spans="4:13" x14ac:dyDescent="0.55000000000000004">
      <c r="D1492" s="44">
        <f t="shared" si="224"/>
        <v>44455</v>
      </c>
      <c r="E1492" s="38">
        <v>8.4553999999999991</v>
      </c>
      <c r="F1492" s="39">
        <f t="shared" si="223"/>
        <v>701</v>
      </c>
      <c r="G1492" s="33">
        <f t="shared" si="225"/>
        <v>5918.1223999999993</v>
      </c>
      <c r="H1492" s="33">
        <f t="shared" si="229"/>
        <v>5923.2537200000006</v>
      </c>
      <c r="I1492" s="33">
        <f t="shared" si="222"/>
        <v>5923.2537200000006</v>
      </c>
      <c r="J1492" s="33">
        <f t="shared" si="226"/>
        <v>5841.1412999999993</v>
      </c>
      <c r="K1492" s="33">
        <f t="shared" si="221"/>
        <v>5841.1412999999993</v>
      </c>
      <c r="L1492" s="59">
        <f t="shared" si="227"/>
        <v>1.4057598640868574E-2</v>
      </c>
      <c r="M1492" s="60" t="str">
        <f t="shared" si="228"/>
        <v/>
      </c>
    </row>
    <row r="1493" spans="4:13" x14ac:dyDescent="0.55000000000000004">
      <c r="D1493" s="44">
        <f t="shared" si="224"/>
        <v>44456</v>
      </c>
      <c r="E1493" s="38">
        <f>8.5832</f>
        <v>8.5831999999999997</v>
      </c>
      <c r="F1493" s="39">
        <f t="shared" si="223"/>
        <v>701</v>
      </c>
      <c r="G1493" s="33">
        <f t="shared" si="225"/>
        <v>5927.2353999999996</v>
      </c>
      <c r="H1493" s="33">
        <f t="shared" si="229"/>
        <v>5919.6926399999993</v>
      </c>
      <c r="I1493" s="33">
        <f t="shared" si="222"/>
        <v>5919.6926399999984</v>
      </c>
      <c r="J1493" s="33">
        <f t="shared" si="226"/>
        <v>5841.1412999999993</v>
      </c>
      <c r="K1493" s="33">
        <f t="shared" si="221"/>
        <v>5841.1412999999993</v>
      </c>
      <c r="L1493" s="59">
        <f t="shared" si="227"/>
        <v>1.3447943811939627E-2</v>
      </c>
      <c r="M1493" s="60" t="str">
        <f t="shared" si="228"/>
        <v/>
      </c>
    </row>
    <row r="1494" spans="4:13" x14ac:dyDescent="0.55000000000000004">
      <c r="D1494" s="44">
        <f t="shared" si="224"/>
        <v>44459</v>
      </c>
      <c r="E1494" s="38">
        <v>8.6804000000000006</v>
      </c>
      <c r="F1494" s="39">
        <f t="shared" si="223"/>
        <v>701</v>
      </c>
      <c r="G1494" s="33">
        <f t="shared" si="225"/>
        <v>6016.8231999999998</v>
      </c>
      <c r="H1494" s="33">
        <f t="shared" si="229"/>
        <v>5942.6433799999995</v>
      </c>
      <c r="I1494" s="33">
        <f t="shared" si="222"/>
        <v>5942.6433800000004</v>
      </c>
      <c r="J1494" s="33">
        <f t="shared" si="226"/>
        <v>5841.1412999999993</v>
      </c>
      <c r="K1494" s="33">
        <f t="shared" si="221"/>
        <v>5841.1412999999993</v>
      </c>
      <c r="L1494" s="59">
        <f t="shared" si="227"/>
        <v>1.7377097177909431E-2</v>
      </c>
      <c r="M1494" s="60" t="str">
        <f t="shared" si="228"/>
        <v/>
      </c>
    </row>
    <row r="1495" spans="4:13" x14ac:dyDescent="0.55000000000000004">
      <c r="D1495" s="44">
        <f t="shared" si="224"/>
        <v>44460</v>
      </c>
      <c r="E1495" s="38">
        <f>8.6456</f>
        <v>8.6456</v>
      </c>
      <c r="F1495" s="39">
        <f t="shared" si="223"/>
        <v>701</v>
      </c>
      <c r="G1495" s="33">
        <f t="shared" si="225"/>
        <v>6084.9604000000008</v>
      </c>
      <c r="H1495" s="33">
        <f t="shared" si="229"/>
        <v>5973.641599999999</v>
      </c>
      <c r="I1495" s="33">
        <f t="shared" si="222"/>
        <v>5973.6415999999999</v>
      </c>
      <c r="J1495" s="33">
        <f t="shared" si="226"/>
        <v>5841.1412999999993</v>
      </c>
      <c r="K1495" s="33">
        <f t="shared" si="221"/>
        <v>5841.1412999999993</v>
      </c>
      <c r="L1495" s="59">
        <f t="shared" si="227"/>
        <v>2.2683974448623544E-2</v>
      </c>
      <c r="M1495" s="60" t="str">
        <f t="shared" si="228"/>
        <v/>
      </c>
    </row>
    <row r="1496" spans="4:13" x14ac:dyDescent="0.55000000000000004">
      <c r="D1496" s="44">
        <f t="shared" si="224"/>
        <v>44461</v>
      </c>
      <c r="E1496" s="96">
        <f>8.6505</f>
        <v>8.6504999999999992</v>
      </c>
      <c r="F1496" s="39">
        <f t="shared" si="223"/>
        <v>701</v>
      </c>
      <c r="G1496" s="33">
        <f t="shared" si="225"/>
        <v>6060.5655999999999</v>
      </c>
      <c r="H1496" s="33">
        <f t="shared" si="229"/>
        <v>6001.5413999999992</v>
      </c>
      <c r="I1496" s="33">
        <f t="shared" si="222"/>
        <v>6001.5413999999992</v>
      </c>
      <c r="J1496" s="33">
        <f t="shared" si="226"/>
        <v>5841.1412999999993</v>
      </c>
      <c r="K1496" s="33">
        <f t="shared" si="221"/>
        <v>5841.1412999999993</v>
      </c>
      <c r="L1496" s="59">
        <f t="shared" si="227"/>
        <v>2.7460404013852541E-2</v>
      </c>
      <c r="M1496" s="60" t="str">
        <f t="shared" si="228"/>
        <v/>
      </c>
    </row>
    <row r="1497" spans="4:13" x14ac:dyDescent="0.55000000000000004">
      <c r="D1497" s="44">
        <f t="shared" si="224"/>
        <v>44462</v>
      </c>
      <c r="E1497" s="38">
        <f>8.674</f>
        <v>8.6739999999999995</v>
      </c>
      <c r="F1497" s="39">
        <f t="shared" si="223"/>
        <v>701</v>
      </c>
      <c r="G1497" s="33">
        <f t="shared" si="225"/>
        <v>6064.0004999999992</v>
      </c>
      <c r="H1497" s="33">
        <f t="shared" si="229"/>
        <v>6030.71702</v>
      </c>
      <c r="I1497" s="33">
        <f t="shared" si="222"/>
        <v>6030.717020000001</v>
      </c>
      <c r="J1497" s="33">
        <f t="shared" si="226"/>
        <v>6064.0004999999992</v>
      </c>
      <c r="K1497" s="33">
        <f t="shared" si="221"/>
        <v>5841.1412999999993</v>
      </c>
      <c r="L1497" s="59">
        <f t="shared" si="227"/>
        <v>3.2455253222516765E-2</v>
      </c>
      <c r="M1497" s="60">
        <f t="shared" si="228"/>
        <v>222.85919999999987</v>
      </c>
    </row>
    <row r="1498" spans="4:13" x14ac:dyDescent="0.55000000000000004">
      <c r="D1498" s="44">
        <f t="shared" si="224"/>
        <v>44463</v>
      </c>
      <c r="E1498" s="38">
        <f>8.8399</f>
        <v>8.8399000000000001</v>
      </c>
      <c r="F1498" s="39">
        <f t="shared" si="223"/>
        <v>701</v>
      </c>
      <c r="G1498" s="33">
        <f t="shared" si="225"/>
        <v>6080.4739999999993</v>
      </c>
      <c r="H1498" s="33">
        <f t="shared" si="229"/>
        <v>6080.4739999999993</v>
      </c>
      <c r="I1498" s="33">
        <f t="shared" si="222"/>
        <v>6061.36474</v>
      </c>
      <c r="J1498" s="33">
        <f t="shared" si="226"/>
        <v>6064.0004999999992</v>
      </c>
      <c r="K1498" s="33">
        <f t="shared" si="221"/>
        <v>6064.0004999999992</v>
      </c>
      <c r="L1498" s="59">
        <f t="shared" si="227"/>
        <v>2.7166059765331581E-3</v>
      </c>
      <c r="M1498" s="60" t="str">
        <f t="shared" si="228"/>
        <v/>
      </c>
    </row>
    <row r="1499" spans="4:13" x14ac:dyDescent="0.55000000000000004">
      <c r="D1499" s="44">
        <f t="shared" si="224"/>
        <v>44466</v>
      </c>
      <c r="E1499" s="38">
        <f>8.8514</f>
        <v>8.8513999999999999</v>
      </c>
      <c r="F1499" s="39">
        <f t="shared" si="223"/>
        <v>701</v>
      </c>
      <c r="G1499" s="33">
        <f t="shared" si="225"/>
        <v>6196.7699000000002</v>
      </c>
      <c r="H1499" s="33">
        <f t="shared" si="229"/>
        <v>6138.6219499999997</v>
      </c>
      <c r="I1499" s="33">
        <f t="shared" si="222"/>
        <v>6097.354080000001</v>
      </c>
      <c r="J1499" s="33">
        <f t="shared" si="226"/>
        <v>6064.0004999999992</v>
      </c>
      <c r="K1499" s="33">
        <f t="shared" si="221"/>
        <v>6064.0004999999992</v>
      </c>
      <c r="L1499" s="59">
        <f t="shared" si="227"/>
        <v>1.2305647072423652E-2</v>
      </c>
      <c r="M1499" s="60" t="str">
        <f t="shared" si="228"/>
        <v/>
      </c>
    </row>
    <row r="1500" spans="4:13" x14ac:dyDescent="0.55000000000000004">
      <c r="D1500" s="44">
        <f t="shared" si="224"/>
        <v>44467</v>
      </c>
      <c r="E1500" s="38">
        <f>8.8745</f>
        <v>8.8744999999999994</v>
      </c>
      <c r="F1500" s="39">
        <f t="shared" si="223"/>
        <v>701</v>
      </c>
      <c r="G1500" s="33">
        <f t="shared" si="225"/>
        <v>6204.8314</v>
      </c>
      <c r="H1500" s="33">
        <f t="shared" si="229"/>
        <v>6160.6917666666668</v>
      </c>
      <c r="I1500" s="33">
        <f t="shared" si="222"/>
        <v>6121.3282799999997</v>
      </c>
      <c r="J1500" s="33">
        <f t="shared" si="226"/>
        <v>6064.0004999999992</v>
      </c>
      <c r="K1500" s="33">
        <f t="shared" ref="K1500:K1520" si="230">IF(L1499&gt;3%,G1499,IF(L1499&lt;-3%,G1499,K1499))</f>
        <v>6064.0004999999992</v>
      </c>
      <c r="L1500" s="59">
        <f t="shared" si="227"/>
        <v>1.5945128412616E-2</v>
      </c>
      <c r="M1500" s="60" t="str">
        <f t="shared" si="228"/>
        <v/>
      </c>
    </row>
    <row r="1501" spans="4:13" x14ac:dyDescent="0.55000000000000004">
      <c r="D1501" s="44">
        <f t="shared" si="224"/>
        <v>44468</v>
      </c>
      <c r="E1501" s="38">
        <v>8.8591999999999995</v>
      </c>
      <c r="F1501" s="39">
        <f t="shared" si="223"/>
        <v>701</v>
      </c>
      <c r="G1501" s="33">
        <f t="shared" si="225"/>
        <v>6221.0244999999995</v>
      </c>
      <c r="H1501" s="33">
        <f t="shared" si="229"/>
        <v>6175.77495</v>
      </c>
      <c r="I1501" s="33">
        <f t="shared" si="222"/>
        <v>6153.4200600000004</v>
      </c>
      <c r="J1501" s="33">
        <f t="shared" si="226"/>
        <v>6064.0004999999992</v>
      </c>
      <c r="K1501" s="33">
        <f t="shared" si="230"/>
        <v>6064.0004999999992</v>
      </c>
      <c r="L1501" s="59">
        <f t="shared" si="227"/>
        <v>1.8432460551413347E-2</v>
      </c>
      <c r="M1501" s="60" t="str">
        <f t="shared" si="228"/>
        <v/>
      </c>
    </row>
    <row r="1502" spans="4:13" x14ac:dyDescent="0.55000000000000004">
      <c r="D1502" s="44">
        <f t="shared" si="224"/>
        <v>44469</v>
      </c>
      <c r="E1502" s="38">
        <v>8.8945000000000007</v>
      </c>
      <c r="F1502" s="97">
        <f t="shared" si="223"/>
        <v>701</v>
      </c>
      <c r="G1502" s="33">
        <f t="shared" si="225"/>
        <v>6210.2991999999995</v>
      </c>
      <c r="H1502" s="33">
        <f t="shared" si="229"/>
        <v>6182.6797999999999</v>
      </c>
      <c r="I1502" s="33">
        <f t="shared" si="222"/>
        <v>6182.679799999999</v>
      </c>
      <c r="J1502" s="33">
        <f t="shared" si="226"/>
        <v>6064.0004999999992</v>
      </c>
      <c r="K1502" s="33">
        <f t="shared" si="230"/>
        <v>6064.0004999999992</v>
      </c>
      <c r="L1502" s="59">
        <f t="shared" si="227"/>
        <v>1.9571123056470841E-2</v>
      </c>
      <c r="M1502" s="60" t="str">
        <f t="shared" si="228"/>
        <v/>
      </c>
    </row>
    <row r="1503" spans="4:13" x14ac:dyDescent="0.55000000000000004">
      <c r="D1503" s="44">
        <f t="shared" si="224"/>
        <v>44470</v>
      </c>
      <c r="E1503" s="38">
        <v>8.8628</v>
      </c>
      <c r="F1503" s="97">
        <f>F1502+100.8</f>
        <v>801.8</v>
      </c>
      <c r="G1503" s="33">
        <f t="shared" si="225"/>
        <v>7131.6100999999999</v>
      </c>
      <c r="H1503" s="33">
        <f t="shared" si="229"/>
        <v>6392.9070200000006</v>
      </c>
      <c r="I1503" s="33">
        <f t="shared" si="222"/>
        <v>7107.0750199999993</v>
      </c>
      <c r="J1503" s="33">
        <f t="shared" si="226"/>
        <v>7131.6100999999999</v>
      </c>
      <c r="K1503" s="33">
        <f t="shared" si="230"/>
        <v>6064.0004999999992</v>
      </c>
      <c r="L1503" s="59">
        <f t="shared" si="227"/>
        <v>5.4239197374736599E-2</v>
      </c>
      <c r="M1503" s="60">
        <f t="shared" si="228"/>
        <v>1067.6096000000007</v>
      </c>
    </row>
    <row r="1504" spans="4:13" x14ac:dyDescent="0.55000000000000004">
      <c r="D1504" s="44">
        <f t="shared" si="224"/>
        <v>44473</v>
      </c>
      <c r="E1504" s="38">
        <v>8.8681999999999999</v>
      </c>
      <c r="F1504" s="97">
        <f t="shared" si="223"/>
        <v>801.8</v>
      </c>
      <c r="G1504" s="33">
        <f t="shared" si="225"/>
        <v>7106.1930399999992</v>
      </c>
      <c r="H1504" s="33">
        <f t="shared" si="229"/>
        <v>7106.1930399999992</v>
      </c>
      <c r="I1504" s="33">
        <f t="shared" si="222"/>
        <v>7110.7472639999996</v>
      </c>
      <c r="J1504" s="33">
        <f t="shared" si="226"/>
        <v>7131.6100999999999</v>
      </c>
      <c r="K1504" s="33">
        <f t="shared" si="230"/>
        <v>7131.6100999999999</v>
      </c>
      <c r="L1504" s="59">
        <f t="shared" si="227"/>
        <v>-3.5640002248581528E-3</v>
      </c>
      <c r="M1504" s="60" t="str">
        <f t="shared" si="228"/>
        <v/>
      </c>
    </row>
    <row r="1505" spans="4:15" x14ac:dyDescent="0.55000000000000004">
      <c r="D1505" s="44">
        <f t="shared" si="224"/>
        <v>44474</v>
      </c>
      <c r="E1505" s="38">
        <v>8.8603000000000005</v>
      </c>
      <c r="F1505" s="97">
        <f>F1504</f>
        <v>801.8</v>
      </c>
      <c r="G1505" s="33">
        <f t="shared" si="225"/>
        <v>7110.5227599999998</v>
      </c>
      <c r="H1505" s="33">
        <f t="shared" si="229"/>
        <v>7108.3578999999991</v>
      </c>
      <c r="I1505" s="33">
        <f t="shared" si="222"/>
        <v>7113.4413119999999</v>
      </c>
      <c r="J1505" s="33">
        <f t="shared" si="226"/>
        <v>7131.6100999999999</v>
      </c>
      <c r="K1505" s="33">
        <f t="shared" si="230"/>
        <v>7131.6100999999999</v>
      </c>
      <c r="L1505" s="59">
        <f t="shared" si="227"/>
        <v>-3.2604418460847728E-3</v>
      </c>
      <c r="M1505" s="60" t="str">
        <f t="shared" si="228"/>
        <v/>
      </c>
    </row>
    <row r="1506" spans="4:15" x14ac:dyDescent="0.55000000000000004">
      <c r="D1506" s="44">
        <f t="shared" si="224"/>
        <v>44475</v>
      </c>
      <c r="E1506" s="38">
        <v>8.9270999999999994</v>
      </c>
      <c r="F1506" s="97">
        <f t="shared" si="223"/>
        <v>801.8</v>
      </c>
      <c r="G1506" s="33">
        <f t="shared" si="225"/>
        <v>7104.1885400000001</v>
      </c>
      <c r="H1506" s="33">
        <f t="shared" si="229"/>
        <v>7106.9681133333324</v>
      </c>
      <c r="I1506" s="33">
        <f t="shared" ref="I1506:I1521" si="231">F1506*AVERAGE(E1501:E1505)</f>
        <v>7111.1642000000011</v>
      </c>
      <c r="J1506" s="33">
        <f t="shared" si="226"/>
        <v>7131.6100999999999</v>
      </c>
      <c r="K1506" s="33">
        <f t="shared" si="230"/>
        <v>7131.6100999999999</v>
      </c>
      <c r="L1506" s="59">
        <f t="shared" si="227"/>
        <v>-3.4553188299886774E-3</v>
      </c>
      <c r="M1506" s="60" t="str">
        <f t="shared" si="228"/>
        <v/>
      </c>
      <c r="O1506" s="75"/>
    </row>
    <row r="1507" spans="4:15" x14ac:dyDescent="0.55000000000000004">
      <c r="D1507" s="44">
        <f t="shared" si="224"/>
        <v>44476</v>
      </c>
      <c r="E1507" s="38">
        <v>8.8768999999999991</v>
      </c>
      <c r="F1507" s="97">
        <f t="shared" si="223"/>
        <v>801.8</v>
      </c>
      <c r="G1507" s="33">
        <f t="shared" si="225"/>
        <v>7157.748779999999</v>
      </c>
      <c r="H1507" s="33">
        <f t="shared" si="229"/>
        <v>7119.6632799999988</v>
      </c>
      <c r="I1507" s="33">
        <f t="shared" si="231"/>
        <v>7122.0526440000003</v>
      </c>
      <c r="J1507" s="33">
        <f t="shared" si="226"/>
        <v>7131.6100999999999</v>
      </c>
      <c r="K1507" s="33">
        <f t="shared" si="230"/>
        <v>7131.6100999999999</v>
      </c>
      <c r="L1507" s="59">
        <f t="shared" si="227"/>
        <v>-1.6751925347126067E-3</v>
      </c>
      <c r="M1507" s="60" t="str">
        <f t="shared" si="228"/>
        <v/>
      </c>
    </row>
    <row r="1508" spans="4:15" x14ac:dyDescent="0.55000000000000004">
      <c r="D1508" s="44">
        <f t="shared" si="224"/>
        <v>44477</v>
      </c>
      <c r="E1508" s="38">
        <v>8.9141999999999992</v>
      </c>
      <c r="F1508" s="97">
        <f t="shared" si="223"/>
        <v>801.8</v>
      </c>
      <c r="G1508" s="33">
        <f t="shared" si="225"/>
        <v>7117.498419999999</v>
      </c>
      <c r="H1508" s="33">
        <f t="shared" si="229"/>
        <v>7119.2303079999983</v>
      </c>
      <c r="I1508" s="33">
        <f t="shared" si="231"/>
        <v>7119.2303079999992</v>
      </c>
      <c r="J1508" s="33">
        <f t="shared" si="226"/>
        <v>7131.6100999999999</v>
      </c>
      <c r="K1508" s="33">
        <f t="shared" si="230"/>
        <v>7131.6100999999999</v>
      </c>
      <c r="L1508" s="59">
        <f t="shared" si="227"/>
        <v>-1.7359042104673592E-3</v>
      </c>
      <c r="M1508" s="60" t="str">
        <f t="shared" si="228"/>
        <v/>
      </c>
    </row>
    <row r="1509" spans="4:15" x14ac:dyDescent="0.55000000000000004">
      <c r="D1509" s="44">
        <f t="shared" si="224"/>
        <v>44480</v>
      </c>
      <c r="E1509" s="38">
        <v>8.9527999999999999</v>
      </c>
      <c r="F1509" s="97">
        <f t="shared" si="223"/>
        <v>801.8</v>
      </c>
      <c r="G1509" s="33">
        <f t="shared" si="225"/>
        <v>7147.4055599999992</v>
      </c>
      <c r="H1509" s="33">
        <f t="shared" si="229"/>
        <v>7127.4728119999982</v>
      </c>
      <c r="I1509" s="33">
        <f t="shared" si="231"/>
        <v>7127.472812</v>
      </c>
      <c r="J1509" s="33">
        <f t="shared" si="226"/>
        <v>7131.6100999999999</v>
      </c>
      <c r="K1509" s="33">
        <f t="shared" si="230"/>
        <v>7131.6100999999999</v>
      </c>
      <c r="L1509" s="59">
        <f t="shared" si="227"/>
        <v>-5.801337905449595E-4</v>
      </c>
      <c r="M1509" s="60" t="str">
        <f t="shared" si="228"/>
        <v/>
      </c>
    </row>
    <row r="1510" spans="4:15" x14ac:dyDescent="0.55000000000000004">
      <c r="D1510" s="44">
        <f t="shared" si="224"/>
        <v>44481</v>
      </c>
      <c r="E1510" s="38">
        <v>9.0017999999999994</v>
      </c>
      <c r="F1510" s="97">
        <f t="shared" si="223"/>
        <v>801.8</v>
      </c>
      <c r="G1510" s="33">
        <f t="shared" si="225"/>
        <v>7178.3550399999995</v>
      </c>
      <c r="H1510" s="33">
        <f t="shared" si="229"/>
        <v>7141.0392679999986</v>
      </c>
      <c r="I1510" s="33">
        <f t="shared" si="231"/>
        <v>7141.0392679999995</v>
      </c>
      <c r="J1510" s="33">
        <f t="shared" si="226"/>
        <v>7131.6100999999999</v>
      </c>
      <c r="K1510" s="33">
        <f t="shared" si="230"/>
        <v>7131.6100999999999</v>
      </c>
      <c r="L1510" s="59">
        <f t="shared" si="227"/>
        <v>1.3221653831017421E-3</v>
      </c>
      <c r="M1510" s="60" t="str">
        <f t="shared" si="228"/>
        <v/>
      </c>
    </row>
    <row r="1511" spans="4:15" x14ac:dyDescent="0.55000000000000004">
      <c r="D1511" s="44">
        <f t="shared" si="224"/>
        <v>44482</v>
      </c>
      <c r="E1511" s="38">
        <v>9.0383999999999993</v>
      </c>
      <c r="F1511" s="97">
        <f t="shared" si="223"/>
        <v>801.8</v>
      </c>
      <c r="G1511" s="33">
        <f t="shared" si="225"/>
        <v>7217.6432399999994</v>
      </c>
      <c r="H1511" s="33">
        <f t="shared" si="229"/>
        <v>7163.730207999999</v>
      </c>
      <c r="I1511" s="33">
        <f t="shared" si="231"/>
        <v>7163.730207999999</v>
      </c>
      <c r="J1511" s="33">
        <f t="shared" si="226"/>
        <v>7131.6100999999999</v>
      </c>
      <c r="K1511" s="33">
        <f t="shared" si="230"/>
        <v>7131.6100999999999</v>
      </c>
      <c r="L1511" s="59">
        <f t="shared" si="227"/>
        <v>4.503906908763726E-3</v>
      </c>
      <c r="M1511" s="60" t="str">
        <f t="shared" si="228"/>
        <v/>
      </c>
    </row>
    <row r="1512" spans="4:15" x14ac:dyDescent="0.55000000000000004">
      <c r="D1512" s="44">
        <f t="shared" si="224"/>
        <v>44483</v>
      </c>
      <c r="E1512" s="38">
        <v>9.1524000000000001</v>
      </c>
      <c r="F1512" s="97">
        <f t="shared" si="223"/>
        <v>801.8</v>
      </c>
      <c r="G1512" s="33">
        <f t="shared" si="225"/>
        <v>7246.9891199999993</v>
      </c>
      <c r="H1512" s="33">
        <f t="shared" si="229"/>
        <v>7181.5782759999984</v>
      </c>
      <c r="I1512" s="33">
        <f t="shared" si="231"/>
        <v>7181.5782759999984</v>
      </c>
      <c r="J1512" s="33">
        <f t="shared" si="226"/>
        <v>7131.6100999999999</v>
      </c>
      <c r="K1512" s="33">
        <f t="shared" si="230"/>
        <v>7131.6100999999999</v>
      </c>
      <c r="L1512" s="59">
        <f t="shared" si="227"/>
        <v>7.0065770982065461E-3</v>
      </c>
      <c r="M1512" s="60" t="str">
        <f t="shared" si="228"/>
        <v/>
      </c>
    </row>
    <row r="1513" spans="4:15" x14ac:dyDescent="0.55000000000000004">
      <c r="D1513" s="44">
        <f t="shared" si="224"/>
        <v>44484</v>
      </c>
      <c r="E1513" s="38">
        <v>9.2158999999999995</v>
      </c>
      <c r="F1513" s="97">
        <f t="shared" si="223"/>
        <v>801.8</v>
      </c>
      <c r="G1513" s="33">
        <f t="shared" si="225"/>
        <v>7338.3943199999994</v>
      </c>
      <c r="H1513" s="33">
        <f t="shared" si="229"/>
        <v>7225.7574559999994</v>
      </c>
      <c r="I1513" s="33">
        <f t="shared" si="231"/>
        <v>7225.7574559999994</v>
      </c>
      <c r="J1513" s="33">
        <f t="shared" si="226"/>
        <v>7131.6100999999999</v>
      </c>
      <c r="K1513" s="33">
        <f t="shared" si="230"/>
        <v>7131.6100999999999</v>
      </c>
      <c r="L1513" s="59">
        <f t="shared" si="227"/>
        <v>1.3201416605767537E-2</v>
      </c>
      <c r="M1513" s="60" t="str">
        <f t="shared" si="228"/>
        <v/>
      </c>
    </row>
    <row r="1514" spans="4:15" x14ac:dyDescent="0.55000000000000004">
      <c r="D1514" s="44">
        <f t="shared" si="224"/>
        <v>44487</v>
      </c>
      <c r="E1514" s="38">
        <v>9.2834000000000003</v>
      </c>
      <c r="F1514" s="97">
        <f t="shared" ref="F1514:F1521" si="232">F1513</f>
        <v>801.8</v>
      </c>
      <c r="G1514" s="33">
        <f t="shared" si="225"/>
        <v>7389.3086199999989</v>
      </c>
      <c r="H1514" s="33">
        <f t="shared" si="229"/>
        <v>7274.1380679999984</v>
      </c>
      <c r="I1514" s="33">
        <f t="shared" si="231"/>
        <v>7274.1380679999984</v>
      </c>
      <c r="J1514" s="33">
        <f t="shared" si="226"/>
        <v>7131.6100999999999</v>
      </c>
      <c r="K1514" s="33">
        <f t="shared" si="230"/>
        <v>7131.6100999999999</v>
      </c>
      <c r="L1514" s="59">
        <f t="shared" si="227"/>
        <v>1.9985384226206999E-2</v>
      </c>
      <c r="M1514" s="60" t="str">
        <f t="shared" si="228"/>
        <v/>
      </c>
    </row>
    <row r="1515" spans="4:15" x14ac:dyDescent="0.55000000000000004">
      <c r="D1515" s="44">
        <f t="shared" si="224"/>
        <v>44488</v>
      </c>
      <c r="E1515" s="38">
        <v>9.3011999999999997</v>
      </c>
      <c r="F1515" s="97">
        <f t="shared" si="232"/>
        <v>801.8</v>
      </c>
      <c r="G1515" s="33">
        <f t="shared" si="225"/>
        <v>7443.43012</v>
      </c>
      <c r="H1515" s="33">
        <f t="shared" si="229"/>
        <v>7327.1530839999996</v>
      </c>
      <c r="I1515" s="33">
        <f t="shared" si="231"/>
        <v>7327.1530839999996</v>
      </c>
      <c r="J1515" s="33">
        <f t="shared" si="226"/>
        <v>7131.6100999999999</v>
      </c>
      <c r="K1515" s="33">
        <f t="shared" si="230"/>
        <v>7131.6100999999999</v>
      </c>
      <c r="L1515" s="59">
        <f t="shared" si="227"/>
        <v>2.7419191635280189E-2</v>
      </c>
      <c r="M1515" s="60" t="str">
        <f t="shared" si="228"/>
        <v/>
      </c>
    </row>
    <row r="1516" spans="4:15" x14ac:dyDescent="0.55000000000000004">
      <c r="D1516" s="44">
        <f t="shared" si="224"/>
        <v>44489</v>
      </c>
      <c r="E1516" s="38">
        <v>9.3223000000000003</v>
      </c>
      <c r="F1516" s="97">
        <f t="shared" si="232"/>
        <v>801.8</v>
      </c>
      <c r="G1516" s="33">
        <f t="shared" si="225"/>
        <v>7457.7021599999989</v>
      </c>
      <c r="H1516" s="33">
        <f t="shared" si="229"/>
        <v>7375.1648679999998</v>
      </c>
      <c r="I1516" s="33">
        <f t="shared" si="231"/>
        <v>7375.1648680000008</v>
      </c>
      <c r="J1516" s="33">
        <f t="shared" si="226"/>
        <v>7457.7021599999989</v>
      </c>
      <c r="K1516" s="33">
        <f t="shared" si="230"/>
        <v>7131.6100999999999</v>
      </c>
      <c r="L1516" s="59">
        <f t="shared" si="227"/>
        <v>3.4151441902299171E-2</v>
      </c>
      <c r="M1516" s="60">
        <f t="shared" si="228"/>
        <v>326.09205999999904</v>
      </c>
    </row>
    <row r="1517" spans="4:15" x14ac:dyDescent="0.55000000000000004">
      <c r="D1517" s="44">
        <f t="shared" si="224"/>
        <v>44490</v>
      </c>
      <c r="E1517" s="38">
        <v>9.3024000000000004</v>
      </c>
      <c r="F1517" s="97">
        <f t="shared" si="232"/>
        <v>801.8</v>
      </c>
      <c r="G1517" s="33">
        <f t="shared" si="225"/>
        <v>7474.62014</v>
      </c>
      <c r="H1517" s="33">
        <f t="shared" si="229"/>
        <v>7474.62014</v>
      </c>
      <c r="I1517" s="33">
        <f t="shared" si="231"/>
        <v>7420.6910719999987</v>
      </c>
      <c r="J1517" s="33">
        <f t="shared" si="226"/>
        <v>7457.7021599999989</v>
      </c>
      <c r="K1517" s="33">
        <f t="shared" si="230"/>
        <v>7457.7021599999989</v>
      </c>
      <c r="L1517" s="59">
        <f t="shared" si="227"/>
        <v>2.2685244914636121E-3</v>
      </c>
      <c r="M1517" s="60" t="str">
        <f t="shared" si="228"/>
        <v/>
      </c>
    </row>
    <row r="1518" spans="4:15" x14ac:dyDescent="0.55000000000000004">
      <c r="D1518" s="44">
        <f t="shared" si="224"/>
        <v>44491</v>
      </c>
      <c r="E1518" s="38">
        <v>9.6033000000000008</v>
      </c>
      <c r="F1518" s="97">
        <f t="shared" si="232"/>
        <v>801.8</v>
      </c>
      <c r="G1518" s="33">
        <f t="shared" si="225"/>
        <v>7458.6643199999999</v>
      </c>
      <c r="H1518" s="33">
        <f t="shared" si="229"/>
        <v>7466.6422299999995</v>
      </c>
      <c r="I1518" s="33">
        <f t="shared" si="231"/>
        <v>7444.7450719999988</v>
      </c>
      <c r="J1518" s="33">
        <f t="shared" si="226"/>
        <v>7457.7021599999989</v>
      </c>
      <c r="K1518" s="33">
        <f t="shared" si="230"/>
        <v>7457.7021599999989</v>
      </c>
      <c r="L1518" s="59">
        <f t="shared" si="227"/>
        <v>1.1987700511762675E-3</v>
      </c>
      <c r="M1518" s="60" t="str">
        <f t="shared" si="228"/>
        <v/>
      </c>
    </row>
    <row r="1519" spans="4:15" x14ac:dyDescent="0.55000000000000004">
      <c r="D1519" s="44">
        <f t="shared" si="224"/>
        <v>44494</v>
      </c>
      <c r="E1519" s="38">
        <v>9.7537000000000003</v>
      </c>
      <c r="F1519" s="97">
        <f t="shared" si="232"/>
        <v>801.8</v>
      </c>
      <c r="G1519" s="33">
        <f t="shared" si="225"/>
        <v>7699.9259400000001</v>
      </c>
      <c r="H1519" s="33">
        <f t="shared" si="229"/>
        <v>7544.4034666666666</v>
      </c>
      <c r="I1519" s="33">
        <f t="shared" si="231"/>
        <v>7506.8685359999999</v>
      </c>
      <c r="J1519" s="33">
        <f t="shared" si="226"/>
        <v>7457.7021599999989</v>
      </c>
      <c r="K1519" s="33">
        <f t="shared" si="230"/>
        <v>7457.7021599999989</v>
      </c>
      <c r="L1519" s="59">
        <f t="shared" si="227"/>
        <v>1.1625740047879271E-2</v>
      </c>
      <c r="M1519" s="60" t="str">
        <f t="shared" si="228"/>
        <v/>
      </c>
    </row>
    <row r="1520" spans="4:15" x14ac:dyDescent="0.55000000000000004">
      <c r="D1520" s="44">
        <f t="shared" si="224"/>
        <v>44495</v>
      </c>
      <c r="E1520" s="38">
        <f>9.4745</f>
        <v>9.4745000000000008</v>
      </c>
      <c r="F1520" s="97">
        <f t="shared" si="232"/>
        <v>801.8</v>
      </c>
      <c r="G1520" s="33">
        <f t="shared" si="225"/>
        <v>7820.5166599999993</v>
      </c>
      <c r="H1520" s="33">
        <f t="shared" si="229"/>
        <v>7613.4317649999994</v>
      </c>
      <c r="I1520" s="33">
        <f t="shared" si="231"/>
        <v>7582.285844</v>
      </c>
      <c r="J1520" s="33">
        <f t="shared" si="226"/>
        <v>7457.7021599999989</v>
      </c>
      <c r="K1520" s="33">
        <f t="shared" si="230"/>
        <v>7457.7021599999989</v>
      </c>
      <c r="L1520" s="59">
        <f t="shared" si="227"/>
        <v>2.0881714187416741E-2</v>
      </c>
      <c r="M1520" s="60" t="str">
        <f t="shared" si="228"/>
        <v/>
      </c>
    </row>
    <row r="1521" spans="4:17" x14ac:dyDescent="0.55000000000000004">
      <c r="D1521" s="44">
        <f t="shared" si="224"/>
        <v>44496</v>
      </c>
      <c r="E1521" s="38">
        <v>9.4984000000000002</v>
      </c>
      <c r="F1521" s="97">
        <f t="shared" si="232"/>
        <v>801.8</v>
      </c>
      <c r="G1521" s="33">
        <f t="shared" si="225"/>
        <v>7596.6541000000007</v>
      </c>
      <c r="H1521" s="33">
        <f>IF(M1520&lt;&gt;"",AVERAGE(G1521),IF(M1519&lt;&gt;"",AVERAGE(G1520:G1521),IF(M1518&lt;&gt;"",AVERAGE(G1519:G1521),IF(M1517&lt;&gt;"",AVERAGE(G1518:G1521),AVERAGE(G1517:G1521)))))</f>
        <v>7610.0762319999994</v>
      </c>
      <c r="I1521" s="33">
        <f t="shared" si="231"/>
        <v>7610.0762320000003</v>
      </c>
      <c r="J1521" s="33">
        <f>IF(L1521&gt;3%,G1521,IF(L1521&lt;-3%,G1521,J1520))</f>
        <v>7457.7021599999989</v>
      </c>
      <c r="K1521" s="33">
        <f>IF(L1520&gt;3%,G1520,IF(L1520&lt;-3%,G1520,K1520))</f>
        <v>7457.7021599999989</v>
      </c>
      <c r="L1521" s="59">
        <f>(H1521-K1521)/K1521</f>
        <v>2.0431772244441652E-2</v>
      </c>
      <c r="M1521" s="60" t="str">
        <f>IF(OR(L1521&lt;-3%,L1521&gt;3%),K1522-K1521,"")</f>
        <v/>
      </c>
      <c r="O1521" s="75"/>
    </row>
    <row r="1522" spans="4:17" x14ac:dyDescent="0.55000000000000004">
      <c r="D1522" s="44">
        <f>WORKDAY(D1521,1)</f>
        <v>44497</v>
      </c>
      <c r="E1522" s="38">
        <v>9.4984000000000002</v>
      </c>
      <c r="F1522" s="97">
        <f>F1521</f>
        <v>801.8</v>
      </c>
      <c r="G1522" s="33">
        <f>E1521*F1522</f>
        <v>7615.8171199999997</v>
      </c>
      <c r="H1522" s="33">
        <f>IF(M1521&lt;&gt;"",AVERAGE(G1522),IF(M1520&lt;&gt;"",AVERAGE(G1521:G1522),IF(M1519&lt;&gt;"",AVERAGE(G1520:G1522),IF(M1518&lt;&gt;"",AVERAGE(G1519:G1522),AVERAGE(G1518:G1522)))))</f>
        <v>7638.3156279999994</v>
      </c>
      <c r="I1522" s="33">
        <f>F1522*AVERAGE(E1517:E1521)</f>
        <v>7638.3156279999994</v>
      </c>
      <c r="J1522" s="33">
        <f>IF(L1522&gt;3%,G1522,IF(L1522&lt;-3%,G1522,J1521))</f>
        <v>7457.7021599999989</v>
      </c>
      <c r="K1522" s="33">
        <f>IF(L1521&gt;3%,G1521,IF(L1521&lt;-3%,G1521,K1521))</f>
        <v>7457.7021599999989</v>
      </c>
      <c r="L1522" s="59">
        <f>(H1522-K1522)/K1522</f>
        <v>2.4218380424031374E-2</v>
      </c>
      <c r="M1522" s="60" t="str">
        <f>IF(OR(L1522&lt;-3%,L1522&gt;3%),K1524-K1522,"")</f>
        <v/>
      </c>
    </row>
    <row r="1523" spans="4:17" x14ac:dyDescent="0.55000000000000004">
      <c r="D1523" s="44">
        <f>WORKDAY(D1522,1)</f>
        <v>44498</v>
      </c>
      <c r="E1523" s="38">
        <v>9.4984000000000002</v>
      </c>
      <c r="F1523" s="97">
        <f>F1522</f>
        <v>801.8</v>
      </c>
      <c r="G1523" s="33">
        <f>E1522*F1523</f>
        <v>7615.8171199999997</v>
      </c>
      <c r="H1523" s="33">
        <f>IF(M1522&lt;&gt;"",AVERAGE(G1523),IF(M1521&lt;&gt;"",AVERAGE(G1522:G1523),IF(M1520&lt;&gt;"",AVERAGE(G1521:G1523),IF(M1519&lt;&gt;"",AVERAGE(G1520:G1523),AVERAGE(G1519:G1523)))))</f>
        <v>7669.7461879999992</v>
      </c>
      <c r="I1523" s="33">
        <f>F1523*AVERAGE(E1518:E1522)</f>
        <v>7669.7461879999992</v>
      </c>
      <c r="J1523" s="33">
        <f>IF(L1523&gt;3%,G1523,IF(L1523&lt;-3%,G1523,J1522))</f>
        <v>7457.7021599999989</v>
      </c>
      <c r="K1523" s="33">
        <f>IF(L1522&gt;3%,G1522,IF(L1522&lt;-3%,G1522,K1522))</f>
        <v>7457.7021599999989</v>
      </c>
      <c r="L1523" s="59">
        <f>(H1523-K1523)/K1523</f>
        <v>2.8432890379735985E-2</v>
      </c>
      <c r="M1523" s="60"/>
    </row>
    <row r="1524" spans="4:17" x14ac:dyDescent="0.55000000000000004">
      <c r="D1524" s="44">
        <f t="shared" ref="D1524:D1581" si="233">WORKDAY(D1523,1)</f>
        <v>44501</v>
      </c>
      <c r="E1524" s="38">
        <v>9.5457999999999998</v>
      </c>
      <c r="F1524" s="97">
        <f>823.5+40</f>
        <v>863.5</v>
      </c>
      <c r="G1524" s="33">
        <f>E1523*F1524</f>
        <v>8201.8683999999994</v>
      </c>
      <c r="H1524" s="33">
        <f t="shared" ref="H1524:H1581" si="234">IF(M1523&lt;&gt;"",AVERAGE(G1524),IF(M1522&lt;&gt;"",AVERAGE(G1523:G1524),IF(M1521&lt;&gt;"",AVERAGE(G1522:G1524),IF(M1520&lt;&gt;"",AVERAGE(G1521:G1524),AVERAGE(G1520:G1524)))))</f>
        <v>7770.1346800000001</v>
      </c>
      <c r="I1524" s="33">
        <f t="shared" ref="I1524:I1581" si="235">F1524*AVERAGE(E1519:E1523)</f>
        <v>8241.8311799999992</v>
      </c>
      <c r="J1524" s="33">
        <f t="shared" ref="J1524:J1581" si="236">IF(L1524&gt;3%,G1524,IF(L1524&lt;-3%,G1524,J1523))</f>
        <v>8201.8683999999994</v>
      </c>
      <c r="K1524" s="33">
        <f t="shared" ref="K1524:K1581" si="237">IF(L1523&gt;3%,G1523,IF(L1523&lt;-3%,G1523,K1523))</f>
        <v>7457.7021599999989</v>
      </c>
      <c r="L1524" s="59">
        <f t="shared" ref="L1524:L1581" si="238">(H1524-K1524)/K1524</f>
        <v>4.1893939084314581E-2</v>
      </c>
      <c r="M1524" s="60">
        <f t="shared" ref="M1524:M1581" si="239">IF(OR(L1524&lt;-3%,L1524&gt;3%),K1525-K1524,"")</f>
        <v>744.16624000000047</v>
      </c>
      <c r="O1524" s="102">
        <f>M1524*1.08*12/1000</f>
        <v>9.6443944704000053</v>
      </c>
      <c r="P1524">
        <v>10.5</v>
      </c>
      <c r="Q1524" s="102">
        <f t="shared" ref="Q1524:Q1539" si="240">P1524-O1524</f>
        <v>0.8556055295999947</v>
      </c>
    </row>
    <row r="1525" spans="4:17" x14ac:dyDescent="0.55000000000000004">
      <c r="D1525" s="44">
        <f t="shared" si="233"/>
        <v>44502</v>
      </c>
      <c r="E1525" s="38">
        <v>9.5342000000000002</v>
      </c>
      <c r="F1525" s="97">
        <f t="shared" ref="F1525:F1545" si="241">823.5+40</f>
        <v>863.5</v>
      </c>
      <c r="G1525" s="33">
        <f>E1524*F1525</f>
        <v>8242.7983000000004</v>
      </c>
      <c r="H1525" s="33">
        <f t="shared" si="234"/>
        <v>8242.7983000000004</v>
      </c>
      <c r="I1525" s="33">
        <f t="shared" si="235"/>
        <v>8205.9268499999998</v>
      </c>
      <c r="J1525" s="33">
        <f t="shared" si="236"/>
        <v>8201.8683999999994</v>
      </c>
      <c r="K1525" s="33">
        <f t="shared" si="237"/>
        <v>8201.8683999999994</v>
      </c>
      <c r="L1525" s="59">
        <f t="shared" si="238"/>
        <v>4.9903141581741301E-3</v>
      </c>
      <c r="M1525" s="60" t="str">
        <f t="shared" si="239"/>
        <v/>
      </c>
      <c r="Q1525" s="102">
        <f t="shared" si="240"/>
        <v>0</v>
      </c>
    </row>
    <row r="1526" spans="4:17" x14ac:dyDescent="0.55000000000000004">
      <c r="D1526" s="44">
        <f t="shared" si="233"/>
        <v>44503</v>
      </c>
      <c r="E1526" s="38">
        <v>9.6744000000000003</v>
      </c>
      <c r="F1526" s="97">
        <f t="shared" si="241"/>
        <v>863.5</v>
      </c>
      <c r="G1526" s="33">
        <f t="shared" ref="G1526:G1581" si="242">E1525*F1526</f>
        <v>8232.7816999999995</v>
      </c>
      <c r="H1526" s="33">
        <f t="shared" si="234"/>
        <v>8237.7900000000009</v>
      </c>
      <c r="I1526" s="33">
        <f t="shared" si="235"/>
        <v>8216.23704</v>
      </c>
      <c r="J1526" s="33">
        <f t="shared" si="236"/>
        <v>8201.8683999999994</v>
      </c>
      <c r="K1526" s="33">
        <f t="shared" si="237"/>
        <v>8201.8683999999994</v>
      </c>
      <c r="L1526" s="59">
        <f t="shared" si="238"/>
        <v>4.3796849995790584E-3</v>
      </c>
      <c r="M1526" s="60" t="str">
        <f t="shared" si="239"/>
        <v/>
      </c>
      <c r="Q1526" s="102">
        <f t="shared" si="240"/>
        <v>0</v>
      </c>
    </row>
    <row r="1527" spans="4:17" x14ac:dyDescent="0.55000000000000004">
      <c r="D1527" s="44">
        <f t="shared" si="233"/>
        <v>44504</v>
      </c>
      <c r="E1527" s="38">
        <v>9.7058999999999997</v>
      </c>
      <c r="F1527" s="97">
        <f t="shared" si="241"/>
        <v>863.5</v>
      </c>
      <c r="G1527" s="33">
        <f t="shared" si="242"/>
        <v>8353.8444</v>
      </c>
      <c r="H1527" s="33">
        <f t="shared" si="234"/>
        <v>8276.4748000000018</v>
      </c>
      <c r="I1527" s="33">
        <f t="shared" si="235"/>
        <v>8246.632239999999</v>
      </c>
      <c r="J1527" s="33">
        <f t="shared" si="236"/>
        <v>8201.8683999999994</v>
      </c>
      <c r="K1527" s="33">
        <f t="shared" si="237"/>
        <v>8201.8683999999994</v>
      </c>
      <c r="L1527" s="59">
        <f t="shared" si="238"/>
        <v>9.0962688452794968E-3</v>
      </c>
      <c r="M1527" s="60" t="str">
        <f t="shared" si="239"/>
        <v/>
      </c>
      <c r="Q1527" s="102">
        <f t="shared" si="240"/>
        <v>0</v>
      </c>
    </row>
    <row r="1528" spans="4:17" x14ac:dyDescent="0.55000000000000004">
      <c r="D1528" s="44">
        <f t="shared" si="233"/>
        <v>44505</v>
      </c>
      <c r="E1528" s="38">
        <v>9.7174999999999994</v>
      </c>
      <c r="F1528" s="97">
        <f t="shared" si="241"/>
        <v>863.5</v>
      </c>
      <c r="G1528" s="33">
        <f t="shared" si="242"/>
        <v>8381.0446499999998</v>
      </c>
      <c r="H1528" s="33">
        <f t="shared" si="234"/>
        <v>8302.6172624999999</v>
      </c>
      <c r="I1528" s="33">
        <f t="shared" si="235"/>
        <v>8282.4674899999991</v>
      </c>
      <c r="J1528" s="33">
        <f t="shared" si="236"/>
        <v>8201.8683999999994</v>
      </c>
      <c r="K1528" s="33">
        <f t="shared" si="237"/>
        <v>8201.8683999999994</v>
      </c>
      <c r="L1528" s="59">
        <f t="shared" si="238"/>
        <v>1.2283647772256446E-2</v>
      </c>
      <c r="M1528" s="60" t="str">
        <f t="shared" si="239"/>
        <v/>
      </c>
      <c r="Q1528" s="102">
        <f t="shared" si="240"/>
        <v>0</v>
      </c>
    </row>
    <row r="1529" spans="4:17" x14ac:dyDescent="0.55000000000000004">
      <c r="D1529" s="44">
        <f t="shared" si="233"/>
        <v>44508</v>
      </c>
      <c r="E1529" s="38">
        <v>9.7021999999999995</v>
      </c>
      <c r="F1529" s="97">
        <f t="shared" si="241"/>
        <v>863.5</v>
      </c>
      <c r="G1529" s="33">
        <f t="shared" si="242"/>
        <v>8391.0612499999988</v>
      </c>
      <c r="H1529" s="33">
        <f t="shared" si="234"/>
        <v>8320.306059999999</v>
      </c>
      <c r="I1529" s="33">
        <f t="shared" si="235"/>
        <v>8320.3060600000008</v>
      </c>
      <c r="J1529" s="33">
        <f t="shared" si="236"/>
        <v>8201.8683999999994</v>
      </c>
      <c r="K1529" s="33">
        <f t="shared" si="237"/>
        <v>8201.8683999999994</v>
      </c>
      <c r="L1529" s="59">
        <f t="shared" si="238"/>
        <v>1.4440326791880689E-2</v>
      </c>
      <c r="M1529" s="60" t="str">
        <f t="shared" si="239"/>
        <v/>
      </c>
      <c r="Q1529" s="102">
        <f t="shared" si="240"/>
        <v>0</v>
      </c>
    </row>
    <row r="1530" spans="4:17" x14ac:dyDescent="0.55000000000000004">
      <c r="D1530" s="44">
        <f t="shared" si="233"/>
        <v>44509</v>
      </c>
      <c r="E1530" s="38">
        <v>9.7225999999999999</v>
      </c>
      <c r="F1530" s="97">
        <f t="shared" si="241"/>
        <v>863.5</v>
      </c>
      <c r="G1530" s="33">
        <f t="shared" si="242"/>
        <v>8377.8496999999988</v>
      </c>
      <c r="H1530" s="33">
        <f t="shared" si="234"/>
        <v>8347.3163400000012</v>
      </c>
      <c r="I1530" s="33">
        <f t="shared" si="235"/>
        <v>8347.3163399999994</v>
      </c>
      <c r="J1530" s="33">
        <f t="shared" si="236"/>
        <v>8201.8683999999994</v>
      </c>
      <c r="K1530" s="33">
        <f t="shared" si="237"/>
        <v>8201.8683999999994</v>
      </c>
      <c r="L1530" s="59">
        <f t="shared" si="238"/>
        <v>1.7733513012718156E-2</v>
      </c>
      <c r="M1530" s="60" t="str">
        <f t="shared" si="239"/>
        <v/>
      </c>
      <c r="Q1530" s="102">
        <f t="shared" si="240"/>
        <v>0</v>
      </c>
    </row>
    <row r="1531" spans="4:17" x14ac:dyDescent="0.55000000000000004">
      <c r="D1531" s="44">
        <f t="shared" si="233"/>
        <v>44510</v>
      </c>
      <c r="E1531" s="38">
        <v>9.7988</v>
      </c>
      <c r="F1531" s="97">
        <f t="shared" si="241"/>
        <v>863.5</v>
      </c>
      <c r="G1531" s="33">
        <f t="shared" si="242"/>
        <v>8395.4650999999994</v>
      </c>
      <c r="H1531" s="33">
        <f t="shared" si="234"/>
        <v>8379.8530199999987</v>
      </c>
      <c r="I1531" s="33">
        <f t="shared" si="235"/>
        <v>8379.8530199999987</v>
      </c>
      <c r="J1531" s="33">
        <f t="shared" si="236"/>
        <v>8201.8683999999994</v>
      </c>
      <c r="K1531" s="33">
        <f t="shared" si="237"/>
        <v>8201.8683999999994</v>
      </c>
      <c r="L1531" s="59">
        <f t="shared" si="238"/>
        <v>2.1700496925797941E-2</v>
      </c>
      <c r="M1531" s="60" t="str">
        <f t="shared" si="239"/>
        <v/>
      </c>
      <c r="Q1531" s="102">
        <f t="shared" si="240"/>
        <v>0</v>
      </c>
    </row>
    <row r="1532" spans="4:17" x14ac:dyDescent="0.55000000000000004">
      <c r="D1532" s="44">
        <f t="shared" si="233"/>
        <v>44511</v>
      </c>
      <c r="E1532" s="38">
        <f>9.9349</f>
        <v>9.9349000000000007</v>
      </c>
      <c r="F1532" s="97">
        <f t="shared" si="241"/>
        <v>863.5</v>
      </c>
      <c r="G1532" s="33">
        <f t="shared" si="242"/>
        <v>8461.2638000000006</v>
      </c>
      <c r="H1532" s="33">
        <f t="shared" si="234"/>
        <v>8401.3368999999984</v>
      </c>
      <c r="I1532" s="33">
        <f t="shared" si="235"/>
        <v>8401.3369000000002</v>
      </c>
      <c r="J1532" s="33">
        <f t="shared" si="236"/>
        <v>8201.8683999999994</v>
      </c>
      <c r="K1532" s="33">
        <f t="shared" si="237"/>
        <v>8201.8683999999994</v>
      </c>
      <c r="L1532" s="59">
        <f t="shared" si="238"/>
        <v>2.4319885454392204E-2</v>
      </c>
      <c r="M1532" s="60" t="str">
        <f t="shared" si="239"/>
        <v/>
      </c>
      <c r="Q1532" s="102">
        <f t="shared" si="240"/>
        <v>0</v>
      </c>
    </row>
    <row r="1533" spans="4:17" x14ac:dyDescent="0.55000000000000004">
      <c r="D1533" s="44">
        <f t="shared" si="233"/>
        <v>44512</v>
      </c>
      <c r="E1533" s="38">
        <f>9.9283</f>
        <v>9.9283000000000001</v>
      </c>
      <c r="F1533" s="97">
        <f t="shared" si="241"/>
        <v>863.5</v>
      </c>
      <c r="G1533" s="33">
        <f t="shared" si="242"/>
        <v>8578.7861499999999</v>
      </c>
      <c r="H1533" s="33">
        <f t="shared" si="234"/>
        <v>8440.8852000000006</v>
      </c>
      <c r="I1533" s="33">
        <f t="shared" si="235"/>
        <v>8440.8852000000006</v>
      </c>
      <c r="J1533" s="33">
        <f t="shared" si="236"/>
        <v>8201.8683999999994</v>
      </c>
      <c r="K1533" s="33">
        <f t="shared" si="237"/>
        <v>8201.8683999999994</v>
      </c>
      <c r="L1533" s="59">
        <f t="shared" si="238"/>
        <v>2.9141750189505756E-2</v>
      </c>
      <c r="M1533" s="60" t="str">
        <f t="shared" si="239"/>
        <v/>
      </c>
      <c r="Q1533" s="102">
        <f t="shared" si="240"/>
        <v>0</v>
      </c>
    </row>
    <row r="1534" spans="4:17" x14ac:dyDescent="0.55000000000000004">
      <c r="D1534" s="44">
        <f t="shared" si="233"/>
        <v>44515</v>
      </c>
      <c r="E1534" s="38">
        <f>9.9984</f>
        <v>9.9984000000000002</v>
      </c>
      <c r="F1534" s="97">
        <f t="shared" si="241"/>
        <v>863.5</v>
      </c>
      <c r="G1534" s="33">
        <f t="shared" si="242"/>
        <v>8573.0870500000001</v>
      </c>
      <c r="H1534" s="33">
        <f t="shared" si="234"/>
        <v>8477.2903600000009</v>
      </c>
      <c r="I1534" s="33">
        <f t="shared" si="235"/>
        <v>8477.2903599999991</v>
      </c>
      <c r="J1534" s="33">
        <f t="shared" si="236"/>
        <v>8573.0870500000001</v>
      </c>
      <c r="K1534" s="33">
        <f t="shared" si="237"/>
        <v>8201.8683999999994</v>
      </c>
      <c r="L1534" s="59">
        <f t="shared" si="238"/>
        <v>3.3580392487155913E-2</v>
      </c>
      <c r="M1534" s="60">
        <f t="shared" si="239"/>
        <v>371.21865000000071</v>
      </c>
      <c r="O1534" s="102">
        <f>M1534*1.08*12/1000</f>
        <v>4.8109937040000093</v>
      </c>
      <c r="P1534">
        <v>5.5</v>
      </c>
      <c r="Q1534" s="102">
        <f t="shared" si="240"/>
        <v>0.68900629599999075</v>
      </c>
    </row>
    <row r="1535" spans="4:17" x14ac:dyDescent="0.55000000000000004">
      <c r="D1535" s="44">
        <f t="shared" si="233"/>
        <v>44516</v>
      </c>
      <c r="E1535" s="38">
        <f>10.1854</f>
        <v>10.1854</v>
      </c>
      <c r="F1535" s="97">
        <f t="shared" si="241"/>
        <v>863.5</v>
      </c>
      <c r="G1535" s="33">
        <f t="shared" si="242"/>
        <v>8633.6183999999994</v>
      </c>
      <c r="H1535" s="33">
        <f t="shared" si="234"/>
        <v>8633.6183999999994</v>
      </c>
      <c r="I1535" s="33">
        <f t="shared" si="235"/>
        <v>8528.4441000000006</v>
      </c>
      <c r="J1535" s="33">
        <f t="shared" si="236"/>
        <v>8573.0870500000001</v>
      </c>
      <c r="K1535" s="33">
        <f t="shared" si="237"/>
        <v>8573.0870500000001</v>
      </c>
      <c r="L1535" s="59">
        <f t="shared" si="238"/>
        <v>7.0606246789479748E-3</v>
      </c>
      <c r="M1535" s="60" t="str">
        <f t="shared" si="239"/>
        <v/>
      </c>
      <c r="Q1535" s="102">
        <f t="shared" si="240"/>
        <v>0</v>
      </c>
    </row>
    <row r="1536" spans="4:17" x14ac:dyDescent="0.55000000000000004">
      <c r="D1536" s="44">
        <f t="shared" si="233"/>
        <v>44517</v>
      </c>
      <c r="E1536" s="38">
        <f>10.418</f>
        <v>10.417999999999999</v>
      </c>
      <c r="F1536" s="97">
        <f t="shared" si="241"/>
        <v>863.5</v>
      </c>
      <c r="G1536" s="33">
        <f t="shared" si="242"/>
        <v>8795.0928999999996</v>
      </c>
      <c r="H1536" s="33">
        <f t="shared" si="234"/>
        <v>8714.3556499999995</v>
      </c>
      <c r="I1536" s="33">
        <f t="shared" si="235"/>
        <v>8608.3696599999985</v>
      </c>
      <c r="J1536" s="33">
        <f t="shared" si="236"/>
        <v>8573.0870500000001</v>
      </c>
      <c r="K1536" s="33">
        <f t="shared" si="237"/>
        <v>8573.0870500000001</v>
      </c>
      <c r="L1536" s="59">
        <f t="shared" si="238"/>
        <v>1.647814832347928E-2</v>
      </c>
      <c r="M1536" s="60" t="str">
        <f t="shared" si="239"/>
        <v/>
      </c>
      <c r="Q1536" s="102">
        <f t="shared" si="240"/>
        <v>0</v>
      </c>
    </row>
    <row r="1537" spans="4:17" x14ac:dyDescent="0.55000000000000004">
      <c r="D1537" s="44">
        <f t="shared" si="233"/>
        <v>44518</v>
      </c>
      <c r="E1537" s="38">
        <v>10.7155</v>
      </c>
      <c r="F1537" s="97">
        <f t="shared" si="241"/>
        <v>863.5</v>
      </c>
      <c r="G1537" s="33">
        <f t="shared" si="242"/>
        <v>8995.9429999999993</v>
      </c>
      <c r="H1537" s="33">
        <f t="shared" si="234"/>
        <v>8808.2181</v>
      </c>
      <c r="I1537" s="33">
        <f t="shared" si="235"/>
        <v>8715.3055000000004</v>
      </c>
      <c r="J1537" s="33">
        <f t="shared" si="236"/>
        <v>8573.0870500000001</v>
      </c>
      <c r="K1537" s="33">
        <f t="shared" si="237"/>
        <v>8573.0870500000001</v>
      </c>
      <c r="L1537" s="59">
        <f t="shared" si="238"/>
        <v>2.7426649073859569E-2</v>
      </c>
      <c r="M1537" s="60" t="str">
        <f t="shared" si="239"/>
        <v/>
      </c>
      <c r="Q1537" s="102">
        <f t="shared" si="240"/>
        <v>0</v>
      </c>
    </row>
    <row r="1538" spans="4:17" x14ac:dyDescent="0.55000000000000004">
      <c r="D1538" s="44">
        <f t="shared" si="233"/>
        <v>44519</v>
      </c>
      <c r="E1538" s="38">
        <v>11.0465</v>
      </c>
      <c r="F1538" s="97">
        <f t="shared" si="241"/>
        <v>863.5</v>
      </c>
      <c r="G1538" s="33">
        <f t="shared" si="242"/>
        <v>9252.8342499999999</v>
      </c>
      <c r="H1538" s="33">
        <f t="shared" si="234"/>
        <v>8919.3721374999986</v>
      </c>
      <c r="I1538" s="33">
        <f t="shared" si="235"/>
        <v>8850.1151200000004</v>
      </c>
      <c r="J1538" s="33">
        <f t="shared" si="236"/>
        <v>9252.8342499999999</v>
      </c>
      <c r="K1538" s="33">
        <f t="shared" si="237"/>
        <v>8573.0870500000001</v>
      </c>
      <c r="L1538" s="59">
        <f t="shared" si="238"/>
        <v>4.0392111439017588E-2</v>
      </c>
      <c r="M1538" s="60">
        <f t="shared" si="239"/>
        <v>679.74719999999979</v>
      </c>
      <c r="O1538" s="102">
        <f>M1538*1.08*12/1000</f>
        <v>8.809523711999999</v>
      </c>
      <c r="P1538">
        <v>10</v>
      </c>
      <c r="Q1538" s="102">
        <f t="shared" si="240"/>
        <v>1.190476288000001</v>
      </c>
    </row>
    <row r="1539" spans="4:17" x14ac:dyDescent="0.55000000000000004">
      <c r="D1539" s="44">
        <f t="shared" si="233"/>
        <v>44522</v>
      </c>
      <c r="E1539" s="38">
        <v>11.1913</v>
      </c>
      <c r="F1539" s="97">
        <f t="shared" si="241"/>
        <v>863.5</v>
      </c>
      <c r="G1539" s="33">
        <f t="shared" si="242"/>
        <v>9538.6527499999993</v>
      </c>
      <c r="H1539" s="33">
        <f t="shared" si="234"/>
        <v>9538.6527499999993</v>
      </c>
      <c r="I1539" s="33">
        <f t="shared" si="235"/>
        <v>9043.2282599999999</v>
      </c>
      <c r="J1539" s="33">
        <f t="shared" si="236"/>
        <v>9538.6527499999993</v>
      </c>
      <c r="K1539" s="33">
        <f t="shared" si="237"/>
        <v>9252.8342499999999</v>
      </c>
      <c r="L1539" s="59">
        <f t="shared" si="238"/>
        <v>3.0889832485651563E-2</v>
      </c>
      <c r="M1539" s="60">
        <f t="shared" si="239"/>
        <v>285.8184999999994</v>
      </c>
      <c r="O1539" s="102">
        <f>M1539*1.08*12/1000</f>
        <v>3.704207759999993</v>
      </c>
      <c r="P1539">
        <v>5.5</v>
      </c>
      <c r="Q1539" s="102">
        <f t="shared" si="240"/>
        <v>1.795792240000007</v>
      </c>
    </row>
    <row r="1540" spans="4:17" x14ac:dyDescent="0.55000000000000004">
      <c r="D1540" s="44">
        <f t="shared" si="233"/>
        <v>44523</v>
      </c>
      <c r="E1540" s="38">
        <v>12.1775</v>
      </c>
      <c r="F1540" s="97">
        <f t="shared" si="241"/>
        <v>863.5</v>
      </c>
      <c r="G1540" s="33">
        <f t="shared" si="242"/>
        <v>9663.6875500000006</v>
      </c>
      <c r="H1540" s="33">
        <f t="shared" si="234"/>
        <v>9663.6875500000006</v>
      </c>
      <c r="I1540" s="33">
        <f t="shared" si="235"/>
        <v>9249.2420899999997</v>
      </c>
      <c r="J1540" s="33">
        <f t="shared" si="236"/>
        <v>9538.6527499999993</v>
      </c>
      <c r="K1540" s="33">
        <f t="shared" si="237"/>
        <v>9538.6527499999993</v>
      </c>
      <c r="L1540" s="59">
        <f t="shared" si="238"/>
        <v>1.3108224324446791E-2</v>
      </c>
      <c r="M1540" s="60" t="str">
        <f t="shared" si="239"/>
        <v/>
      </c>
    </row>
    <row r="1541" spans="4:17" x14ac:dyDescent="0.55000000000000004">
      <c r="D1541" s="103">
        <f t="shared" si="233"/>
        <v>44524</v>
      </c>
      <c r="E1541" s="38">
        <v>12.6309</v>
      </c>
      <c r="F1541" s="97">
        <f t="shared" si="241"/>
        <v>863.5</v>
      </c>
      <c r="G1541" s="33">
        <f t="shared" si="242"/>
        <v>10515.27125</v>
      </c>
      <c r="H1541" s="33">
        <f t="shared" si="234"/>
        <v>10089.4794</v>
      </c>
      <c r="I1541" s="33">
        <f t="shared" si="235"/>
        <v>9593.277759999999</v>
      </c>
      <c r="J1541" s="33">
        <f t="shared" si="236"/>
        <v>10515.27125</v>
      </c>
      <c r="K1541" s="33">
        <f t="shared" si="237"/>
        <v>9538.6527499999993</v>
      </c>
      <c r="L1541" s="59">
        <f t="shared" si="238"/>
        <v>5.7746797628208127E-2</v>
      </c>
      <c r="M1541" s="60">
        <f t="shared" si="239"/>
        <v>976.61850000000049</v>
      </c>
      <c r="O1541" s="102">
        <f>M1541*1.08*12/1000</f>
        <v>12.656975760000007</v>
      </c>
      <c r="P1541">
        <v>13</v>
      </c>
      <c r="Q1541" s="102">
        <f>P1541-O1541</f>
        <v>0.34302423999999299</v>
      </c>
    </row>
    <row r="1542" spans="4:17" x14ac:dyDescent="0.55000000000000004">
      <c r="D1542" s="44">
        <f t="shared" si="233"/>
        <v>44525</v>
      </c>
      <c r="E1542" s="38">
        <v>12.021699999999999</v>
      </c>
      <c r="F1542" s="97">
        <f t="shared" si="241"/>
        <v>863.5</v>
      </c>
      <c r="G1542" s="33">
        <f t="shared" si="242"/>
        <v>10906.782150000001</v>
      </c>
      <c r="H1542" s="33">
        <f t="shared" si="234"/>
        <v>10906.782150000001</v>
      </c>
      <c r="I1542" s="33">
        <f t="shared" si="235"/>
        <v>9975.4455900000012</v>
      </c>
      <c r="J1542" s="33">
        <v>10515.27125</v>
      </c>
      <c r="K1542" s="33">
        <f t="shared" si="237"/>
        <v>10515.27125</v>
      </c>
      <c r="L1542" s="59">
        <f t="shared" si="238"/>
        <v>3.7232601108602041E-2</v>
      </c>
      <c r="M1542" s="60"/>
    </row>
    <row r="1543" spans="4:17" x14ac:dyDescent="0.55000000000000004">
      <c r="D1543" s="44">
        <f t="shared" si="233"/>
        <v>44526</v>
      </c>
      <c r="E1543" s="38">
        <v>12.1004</v>
      </c>
      <c r="F1543" s="97">
        <f t="shared" si="241"/>
        <v>863.5</v>
      </c>
      <c r="G1543" s="33">
        <f t="shared" si="242"/>
        <v>10380.737949999999</v>
      </c>
      <c r="H1543" s="33">
        <f t="shared" si="234"/>
        <v>10643.760050000001</v>
      </c>
      <c r="I1543" s="33">
        <f t="shared" si="235"/>
        <v>10201.026329999999</v>
      </c>
      <c r="J1543" s="33">
        <f t="shared" si="236"/>
        <v>10515.27125</v>
      </c>
      <c r="K1543" s="33">
        <v>10515.27125</v>
      </c>
      <c r="L1543" s="59">
        <f t="shared" si="238"/>
        <v>1.221925682611383E-2</v>
      </c>
      <c r="M1543" s="60" t="str">
        <f t="shared" si="239"/>
        <v/>
      </c>
    </row>
    <row r="1544" spans="4:17" x14ac:dyDescent="0.55000000000000004">
      <c r="D1544" s="44">
        <f t="shared" si="233"/>
        <v>44529</v>
      </c>
      <c r="E1544" s="38">
        <v>12.6823</v>
      </c>
      <c r="F1544" s="97">
        <f t="shared" si="241"/>
        <v>863.5</v>
      </c>
      <c r="G1544" s="33">
        <f t="shared" si="242"/>
        <v>10448.695400000001</v>
      </c>
      <c r="H1544" s="33">
        <f t="shared" si="234"/>
        <v>10578.738500000001</v>
      </c>
      <c r="I1544" s="33">
        <f t="shared" si="235"/>
        <v>10383.03486</v>
      </c>
      <c r="J1544" s="33">
        <f t="shared" si="236"/>
        <v>10515.27125</v>
      </c>
      <c r="K1544" s="33">
        <f t="shared" si="237"/>
        <v>10515.27125</v>
      </c>
      <c r="L1544" s="59">
        <f t="shared" si="238"/>
        <v>6.035721617737775E-3</v>
      </c>
      <c r="M1544" s="60" t="str">
        <f t="shared" si="239"/>
        <v/>
      </c>
    </row>
    <row r="1545" spans="4:17" x14ac:dyDescent="0.55000000000000004">
      <c r="D1545" s="44">
        <f t="shared" si="233"/>
        <v>44530</v>
      </c>
      <c r="E1545" s="38">
        <v>12.962</v>
      </c>
      <c r="F1545" s="97">
        <f t="shared" si="241"/>
        <v>863.5</v>
      </c>
      <c r="G1545" s="33">
        <f t="shared" si="242"/>
        <v>10951.16605</v>
      </c>
      <c r="H1545" s="33">
        <f t="shared" si="234"/>
        <v>10671.845387500001</v>
      </c>
      <c r="I1545" s="33">
        <f t="shared" si="235"/>
        <v>10640.530559999999</v>
      </c>
      <c r="J1545" s="33">
        <f t="shared" si="236"/>
        <v>10515.27125</v>
      </c>
      <c r="K1545" s="33">
        <f t="shared" si="237"/>
        <v>10515.27125</v>
      </c>
      <c r="L1545" s="59">
        <f t="shared" si="238"/>
        <v>1.489016629028962E-2</v>
      </c>
      <c r="M1545" s="60" t="str">
        <f t="shared" si="239"/>
        <v/>
      </c>
    </row>
    <row r="1546" spans="4:17" x14ac:dyDescent="0.55000000000000004">
      <c r="D1546" s="44">
        <f t="shared" si="233"/>
        <v>44531</v>
      </c>
      <c r="E1546" s="38">
        <v>13.360300000000001</v>
      </c>
      <c r="F1546" s="97">
        <f>719.5+40</f>
        <v>759.5</v>
      </c>
      <c r="G1546" s="33">
        <f t="shared" si="242"/>
        <v>9844.6389999999992</v>
      </c>
      <c r="H1546" s="33">
        <f t="shared" si="234"/>
        <v>10506.404109999999</v>
      </c>
      <c r="I1546" s="33">
        <f t="shared" si="235"/>
        <v>9478.1498699999993</v>
      </c>
      <c r="J1546" s="33">
        <f t="shared" si="236"/>
        <v>10515.27125</v>
      </c>
      <c r="K1546" s="33">
        <f t="shared" si="237"/>
        <v>10515.27125</v>
      </c>
      <c r="L1546" s="59">
        <f t="shared" si="238"/>
        <v>-8.4326307797340846E-4</v>
      </c>
      <c r="M1546" s="60" t="str">
        <f t="shared" si="239"/>
        <v/>
      </c>
      <c r="O1546" s="91">
        <f>J1546-G1546</f>
        <v>670.63225000000057</v>
      </c>
    </row>
    <row r="1547" spans="4:17" x14ac:dyDescent="0.55000000000000004">
      <c r="D1547" s="44">
        <f t="shared" si="233"/>
        <v>44532</v>
      </c>
      <c r="E1547" s="38">
        <v>13.430899999999999</v>
      </c>
      <c r="F1547" s="97">
        <f t="shared" ref="F1547:F1581" si="243">F1546</f>
        <v>759.5</v>
      </c>
      <c r="G1547" s="33">
        <f t="shared" si="242"/>
        <v>10147.147850000001</v>
      </c>
      <c r="H1547" s="33">
        <f t="shared" si="234"/>
        <v>10354.47725</v>
      </c>
      <c r="I1547" s="33">
        <f t="shared" si="235"/>
        <v>9588.9457300000013</v>
      </c>
      <c r="J1547" s="33">
        <f t="shared" si="236"/>
        <v>10515.27125</v>
      </c>
      <c r="K1547" s="33">
        <f t="shared" si="237"/>
        <v>10515.27125</v>
      </c>
      <c r="L1547" s="59">
        <f t="shared" si="238"/>
        <v>-1.5291474292686446E-2</v>
      </c>
      <c r="M1547" s="60" t="str">
        <f t="shared" si="239"/>
        <v/>
      </c>
    </row>
    <row r="1548" spans="4:17" x14ac:dyDescent="0.55000000000000004">
      <c r="D1548" s="44">
        <f t="shared" si="233"/>
        <v>44533</v>
      </c>
      <c r="E1548" s="38">
        <v>13.704800000000001</v>
      </c>
      <c r="F1548" s="97">
        <f t="shared" si="243"/>
        <v>759.5</v>
      </c>
      <c r="G1548" s="33">
        <f t="shared" si="242"/>
        <v>10200.768549999999</v>
      </c>
      <c r="H1548" s="33">
        <f t="shared" si="234"/>
        <v>10318.48337</v>
      </c>
      <c r="I1548" s="33">
        <f t="shared" si="235"/>
        <v>9803.0032100000008</v>
      </c>
      <c r="J1548" s="33">
        <f t="shared" si="236"/>
        <v>10515.27125</v>
      </c>
      <c r="K1548" s="33">
        <f t="shared" si="237"/>
        <v>10515.27125</v>
      </c>
      <c r="L1548" s="59">
        <f t="shared" si="238"/>
        <v>-1.8714484421883063E-2</v>
      </c>
      <c r="M1548" s="60" t="str">
        <f t="shared" si="239"/>
        <v/>
      </c>
      <c r="P1548">
        <v>12.1775</v>
      </c>
      <c r="Q1548">
        <f>P1548*1.03</f>
        <v>12.542825000000001</v>
      </c>
    </row>
    <row r="1549" spans="4:17" x14ac:dyDescent="0.55000000000000004">
      <c r="D1549" s="44">
        <f t="shared" si="233"/>
        <v>44536</v>
      </c>
      <c r="E1549" s="38">
        <v>13.7988</v>
      </c>
      <c r="F1549" s="97">
        <f t="shared" si="243"/>
        <v>759.5</v>
      </c>
      <c r="G1549" s="33">
        <f t="shared" si="242"/>
        <v>10408.795600000001</v>
      </c>
      <c r="H1549" s="33">
        <f t="shared" si="234"/>
        <v>10310.503409999999</v>
      </c>
      <c r="I1549" s="33">
        <f t="shared" si="235"/>
        <v>10046.711570000001</v>
      </c>
      <c r="J1549" s="33">
        <f t="shared" si="236"/>
        <v>10515.27125</v>
      </c>
      <c r="K1549" s="33">
        <f t="shared" si="237"/>
        <v>10515.27125</v>
      </c>
      <c r="L1549" s="59">
        <f t="shared" si="238"/>
        <v>-1.9473376875560909E-2</v>
      </c>
      <c r="M1549" s="60" t="str">
        <f t="shared" si="239"/>
        <v/>
      </c>
    </row>
    <row r="1550" spans="4:17" x14ac:dyDescent="0.55000000000000004">
      <c r="D1550" s="44">
        <f t="shared" si="233"/>
        <v>44537</v>
      </c>
      <c r="E1550" s="38">
        <v>13.6913</v>
      </c>
      <c r="F1550" s="97">
        <f t="shared" si="243"/>
        <v>759.5</v>
      </c>
      <c r="G1550" s="33">
        <f t="shared" si="242"/>
        <v>10480.188599999999</v>
      </c>
      <c r="H1550" s="33">
        <f t="shared" si="234"/>
        <v>10216.307919999999</v>
      </c>
      <c r="I1550" s="33">
        <f t="shared" si="235"/>
        <v>10216.307919999999</v>
      </c>
      <c r="J1550" s="33">
        <f t="shared" si="236"/>
        <v>10515.27125</v>
      </c>
      <c r="K1550" s="33">
        <f t="shared" si="237"/>
        <v>10515.27125</v>
      </c>
      <c r="L1550" s="59">
        <f t="shared" si="238"/>
        <v>-2.8431347408180319E-2</v>
      </c>
      <c r="M1550" s="60" t="str">
        <f t="shared" si="239"/>
        <v/>
      </c>
      <c r="P1550" s="91">
        <f>G1548-G1541</f>
        <v>-314.50270000000091</v>
      </c>
    </row>
    <row r="1551" spans="4:17" x14ac:dyDescent="0.55000000000000004">
      <c r="D1551" s="44">
        <f t="shared" si="233"/>
        <v>44538</v>
      </c>
      <c r="E1551" s="38">
        <v>13.6486</v>
      </c>
      <c r="F1551" s="97">
        <f t="shared" si="243"/>
        <v>759.5</v>
      </c>
      <c r="G1551" s="33">
        <f t="shared" si="242"/>
        <v>10398.54235</v>
      </c>
      <c r="H1551" s="33">
        <f t="shared" si="234"/>
        <v>10327.088589999999</v>
      </c>
      <c r="I1551" s="33">
        <f t="shared" si="235"/>
        <v>10327.088590000001</v>
      </c>
      <c r="J1551" s="33">
        <f t="shared" si="236"/>
        <v>10515.27125</v>
      </c>
      <c r="K1551" s="33">
        <f t="shared" si="237"/>
        <v>10515.27125</v>
      </c>
      <c r="L1551" s="59">
        <f t="shared" si="238"/>
        <v>-1.7896129878722852E-2</v>
      </c>
      <c r="M1551" s="60" t="str">
        <f t="shared" si="239"/>
        <v/>
      </c>
    </row>
    <row r="1552" spans="4:17" x14ac:dyDescent="0.55000000000000004">
      <c r="D1552" s="44">
        <f t="shared" si="233"/>
        <v>44539</v>
      </c>
      <c r="E1552" s="38">
        <v>13.767899999999999</v>
      </c>
      <c r="F1552" s="97">
        <f t="shared" si="243"/>
        <v>759.5</v>
      </c>
      <c r="G1552" s="33">
        <f t="shared" si="242"/>
        <v>10366.111699999999</v>
      </c>
      <c r="H1552" s="33">
        <f t="shared" si="234"/>
        <v>10370.881360000001</v>
      </c>
      <c r="I1552" s="33">
        <f t="shared" si="235"/>
        <v>10370.881359999999</v>
      </c>
      <c r="J1552" s="33">
        <f t="shared" si="236"/>
        <v>10515.27125</v>
      </c>
      <c r="K1552" s="33">
        <f t="shared" si="237"/>
        <v>10515.27125</v>
      </c>
      <c r="L1552" s="59">
        <f t="shared" si="238"/>
        <v>-1.3731447013313951E-2</v>
      </c>
      <c r="M1552" s="60" t="str">
        <f t="shared" si="239"/>
        <v/>
      </c>
    </row>
    <row r="1553" spans="4:16" x14ac:dyDescent="0.55000000000000004">
      <c r="D1553" s="44">
        <f t="shared" si="233"/>
        <v>44540</v>
      </c>
      <c r="E1553" s="38">
        <v>13.8596</v>
      </c>
      <c r="F1553" s="97">
        <f t="shared" si="243"/>
        <v>759.5</v>
      </c>
      <c r="G1553" s="33">
        <f t="shared" si="242"/>
        <v>10456.72005</v>
      </c>
      <c r="H1553" s="33">
        <f t="shared" si="234"/>
        <v>10422.071659999998</v>
      </c>
      <c r="I1553" s="33">
        <f t="shared" si="235"/>
        <v>10422.071660000001</v>
      </c>
      <c r="J1553" s="33">
        <f t="shared" si="236"/>
        <v>10515.27125</v>
      </c>
      <c r="K1553" s="33">
        <f t="shared" si="237"/>
        <v>10515.27125</v>
      </c>
      <c r="L1553" s="59">
        <f t="shared" si="238"/>
        <v>-8.8632606600616212E-3</v>
      </c>
      <c r="M1553" s="60" t="str">
        <f t="shared" si="239"/>
        <v/>
      </c>
    </row>
    <row r="1554" spans="4:16" x14ac:dyDescent="0.55000000000000004">
      <c r="D1554" s="44">
        <f t="shared" si="233"/>
        <v>44543</v>
      </c>
      <c r="E1554" s="38">
        <v>14.2721</v>
      </c>
      <c r="F1554" s="97">
        <f t="shared" si="243"/>
        <v>759.5</v>
      </c>
      <c r="G1554" s="33">
        <f t="shared" si="242"/>
        <v>10526.3662</v>
      </c>
      <c r="H1554" s="33">
        <f t="shared" si="234"/>
        <v>10445.585779999999</v>
      </c>
      <c r="I1554" s="33">
        <f t="shared" si="235"/>
        <v>10445.585779999999</v>
      </c>
      <c r="J1554" s="33">
        <f t="shared" si="236"/>
        <v>10515.27125</v>
      </c>
      <c r="K1554" s="33">
        <f t="shared" si="237"/>
        <v>10515.27125</v>
      </c>
      <c r="L1554" s="59">
        <f t="shared" si="238"/>
        <v>-6.6270729820688511E-3</v>
      </c>
      <c r="M1554" s="60" t="str">
        <f t="shared" si="239"/>
        <v/>
      </c>
    </row>
    <row r="1555" spans="4:16" x14ac:dyDescent="0.55000000000000004">
      <c r="D1555" s="44">
        <f t="shared" si="233"/>
        <v>44544</v>
      </c>
      <c r="E1555" s="38">
        <v>14.2</v>
      </c>
      <c r="F1555" s="97">
        <f t="shared" si="243"/>
        <v>759.5</v>
      </c>
      <c r="G1555" s="33">
        <f t="shared" si="242"/>
        <v>10839.659949999999</v>
      </c>
      <c r="H1555" s="33">
        <f t="shared" si="234"/>
        <v>10517.48005</v>
      </c>
      <c r="I1555" s="33">
        <f t="shared" si="235"/>
        <v>10517.48005</v>
      </c>
      <c r="J1555" s="33">
        <f t="shared" si="236"/>
        <v>10515.27125</v>
      </c>
      <c r="K1555" s="33">
        <f t="shared" si="237"/>
        <v>10515.27125</v>
      </c>
      <c r="L1555" s="59">
        <f t="shared" si="238"/>
        <v>2.1005639773679995E-4</v>
      </c>
      <c r="M1555" s="60" t="str">
        <f t="shared" si="239"/>
        <v/>
      </c>
    </row>
    <row r="1556" spans="4:16" x14ac:dyDescent="0.55000000000000004">
      <c r="D1556" s="44">
        <f t="shared" si="233"/>
        <v>44545</v>
      </c>
      <c r="E1556" s="38">
        <v>14.661300000000001</v>
      </c>
      <c r="F1556" s="97">
        <f t="shared" si="243"/>
        <v>759.5</v>
      </c>
      <c r="G1556" s="33">
        <f t="shared" si="242"/>
        <v>10784.9</v>
      </c>
      <c r="H1556" s="33">
        <f t="shared" si="234"/>
        <v>10594.75158</v>
      </c>
      <c r="I1556" s="33">
        <f t="shared" si="235"/>
        <v>10594.751579999998</v>
      </c>
      <c r="J1556" s="33">
        <f t="shared" si="236"/>
        <v>10515.27125</v>
      </c>
      <c r="K1556" s="33">
        <f t="shared" si="237"/>
        <v>10515.27125</v>
      </c>
      <c r="L1556" s="59">
        <f t="shared" si="238"/>
        <v>7.5585620294864311E-3</v>
      </c>
      <c r="M1556" s="60" t="str">
        <f t="shared" si="239"/>
        <v/>
      </c>
    </row>
    <row r="1557" spans="4:16" x14ac:dyDescent="0.55000000000000004">
      <c r="D1557" s="44">
        <f t="shared" si="233"/>
        <v>44546</v>
      </c>
      <c r="E1557" s="38">
        <v>15.2392</v>
      </c>
      <c r="F1557" s="97">
        <f t="shared" si="243"/>
        <v>759.5</v>
      </c>
      <c r="G1557" s="33">
        <f t="shared" si="242"/>
        <v>11135.25735</v>
      </c>
      <c r="H1557" s="33">
        <f t="shared" si="234"/>
        <v>10748.58071</v>
      </c>
      <c r="I1557" s="33">
        <f t="shared" si="235"/>
        <v>10748.580709999998</v>
      </c>
      <c r="J1557" s="33">
        <f t="shared" si="236"/>
        <v>10515.27125</v>
      </c>
      <c r="K1557" s="33">
        <f t="shared" si="237"/>
        <v>10515.27125</v>
      </c>
      <c r="L1557" s="59">
        <f t="shared" si="238"/>
        <v>2.218767870586319E-2</v>
      </c>
      <c r="M1557" s="60" t="str">
        <f t="shared" si="239"/>
        <v/>
      </c>
      <c r="O1557">
        <f>E1557*0.97</f>
        <v>14.782024</v>
      </c>
    </row>
    <row r="1558" spans="4:16" x14ac:dyDescent="0.55000000000000004">
      <c r="D1558" s="44">
        <f t="shared" si="233"/>
        <v>44547</v>
      </c>
      <c r="E1558" s="38">
        <v>16.365200000000002</v>
      </c>
      <c r="F1558" s="97">
        <f t="shared" si="243"/>
        <v>759.5</v>
      </c>
      <c r="G1558" s="33">
        <f t="shared" si="242"/>
        <v>11574.172399999999</v>
      </c>
      <c r="H1558" s="33">
        <f t="shared" si="234"/>
        <v>10972.071179999999</v>
      </c>
      <c r="I1558" s="33">
        <f t="shared" si="235"/>
        <v>10972.071179999999</v>
      </c>
      <c r="J1558" s="33">
        <f t="shared" si="236"/>
        <v>11574.172399999999</v>
      </c>
      <c r="K1558" s="33">
        <f t="shared" si="237"/>
        <v>10515.27125</v>
      </c>
      <c r="L1558" s="59">
        <f t="shared" si="238"/>
        <v>4.3441573606577126E-2</v>
      </c>
      <c r="M1558" s="60">
        <f t="shared" si="239"/>
        <v>1058.9011499999997</v>
      </c>
      <c r="P1558" s="102">
        <f>E1558*1.03</f>
        <v>16.856156000000002</v>
      </c>
    </row>
    <row r="1559" spans="4:16" x14ac:dyDescent="0.55000000000000004">
      <c r="D1559" s="44">
        <f t="shared" si="233"/>
        <v>44550</v>
      </c>
      <c r="E1559" s="38">
        <f>17.5046</f>
        <v>17.5046</v>
      </c>
      <c r="F1559" s="97">
        <f t="shared" si="243"/>
        <v>759.5</v>
      </c>
      <c r="G1559" s="33">
        <f t="shared" si="242"/>
        <v>12429.369400000001</v>
      </c>
      <c r="H1559" s="33">
        <f t="shared" si="234"/>
        <v>12429.369400000001</v>
      </c>
      <c r="I1559" s="33">
        <f t="shared" si="235"/>
        <v>11352.67182</v>
      </c>
      <c r="J1559" s="33">
        <v>11574.172399999999</v>
      </c>
      <c r="K1559" s="33">
        <f t="shared" si="237"/>
        <v>11574.172399999999</v>
      </c>
      <c r="L1559" s="59">
        <f t="shared" si="238"/>
        <v>7.388839309150104E-2</v>
      </c>
      <c r="M1559" s="60"/>
      <c r="O1559">
        <f>E1557*0.97</f>
        <v>14.782024</v>
      </c>
    </row>
    <row r="1560" spans="4:16" x14ac:dyDescent="0.55000000000000004">
      <c r="D1560" s="44">
        <f t="shared" si="233"/>
        <v>44551</v>
      </c>
      <c r="E1560" s="38">
        <v>13.046099999999999</v>
      </c>
      <c r="F1560" s="97">
        <f t="shared" si="243"/>
        <v>759.5</v>
      </c>
      <c r="G1560" s="33">
        <f t="shared" si="242"/>
        <v>13294.743699999999</v>
      </c>
      <c r="H1560" s="33">
        <f t="shared" si="234"/>
        <v>12862.056550000001</v>
      </c>
      <c r="I1560" s="33">
        <f t="shared" si="235"/>
        <v>11843.688569999998</v>
      </c>
      <c r="J1560" s="33">
        <v>11574.172399999999</v>
      </c>
      <c r="K1560" s="33">
        <v>11574.172399999999</v>
      </c>
      <c r="L1560" s="59">
        <f t="shared" si="238"/>
        <v>0.11127224526221864</v>
      </c>
      <c r="M1560" s="60"/>
      <c r="O1560">
        <f>M1560/E1560</f>
        <v>0</v>
      </c>
    </row>
    <row r="1561" spans="4:16" x14ac:dyDescent="0.55000000000000004">
      <c r="D1561" s="44">
        <f t="shared" si="233"/>
        <v>44552</v>
      </c>
      <c r="E1561" s="38">
        <v>12.476000000000001</v>
      </c>
      <c r="F1561" s="97">
        <f t="shared" si="243"/>
        <v>759.5</v>
      </c>
      <c r="G1561" s="33">
        <f t="shared" si="242"/>
        <v>9908.5129499999985</v>
      </c>
      <c r="H1561" s="33">
        <f t="shared" si="234"/>
        <v>11877.542016666666</v>
      </c>
      <c r="I1561" s="33">
        <f t="shared" si="235"/>
        <v>11668.41116</v>
      </c>
      <c r="J1561" s="33">
        <v>11574.172399999999</v>
      </c>
      <c r="K1561" s="33">
        <v>11574.172399999999</v>
      </c>
      <c r="L1561" s="59">
        <f t="shared" si="238"/>
        <v>2.6210912208864873E-2</v>
      </c>
      <c r="M1561" s="60"/>
    </row>
    <row r="1562" spans="4:16" x14ac:dyDescent="0.55000000000000004">
      <c r="D1562" s="44">
        <f t="shared" si="233"/>
        <v>44553</v>
      </c>
      <c r="E1562" s="38">
        <v>11.471399999999999</v>
      </c>
      <c r="F1562" s="97">
        <f t="shared" si="243"/>
        <v>759.5</v>
      </c>
      <c r="G1562" s="33">
        <f t="shared" si="242"/>
        <v>9475.5220000000008</v>
      </c>
      <c r="H1562" s="33">
        <f t="shared" si="234"/>
        <v>11277.037012500001</v>
      </c>
      <c r="I1562" s="33">
        <f t="shared" si="235"/>
        <v>11336.464090000001</v>
      </c>
      <c r="J1562" s="33">
        <f>IF(L1562&gt;3%,G1571,IF(L1562&lt;-3%,G1571,J1561))</f>
        <v>11574.172399999999</v>
      </c>
      <c r="K1562" s="33">
        <v>11574.172399999999</v>
      </c>
      <c r="L1562" s="59">
        <f t="shared" si="238"/>
        <v>-2.5672279384744489E-2</v>
      </c>
      <c r="M1562" s="60"/>
      <c r="O1562">
        <f>E1562*1.03</f>
        <v>11.815541999999999</v>
      </c>
    </row>
    <row r="1563" spans="4:16" x14ac:dyDescent="0.55000000000000004">
      <c r="D1563" s="44">
        <f t="shared" si="233"/>
        <v>44554</v>
      </c>
      <c r="E1563" s="38">
        <v>11.748900000000001</v>
      </c>
      <c r="F1563" s="97">
        <f t="shared" si="243"/>
        <v>759.5</v>
      </c>
      <c r="G1563" s="33">
        <f t="shared" si="242"/>
        <v>8712.5282999999999</v>
      </c>
      <c r="H1563" s="33">
        <f t="shared" si="234"/>
        <v>10764.135270000001</v>
      </c>
      <c r="I1563" s="33">
        <f t="shared" si="235"/>
        <v>10764.135269999999</v>
      </c>
      <c r="J1563" s="33">
        <f t="shared" si="236"/>
        <v>8712.5282999999999</v>
      </c>
      <c r="K1563" s="33">
        <f t="shared" si="237"/>
        <v>11574.172399999999</v>
      </c>
      <c r="L1563" s="59">
        <f t="shared" si="238"/>
        <v>-6.998661347052329E-2</v>
      </c>
      <c r="M1563" s="60">
        <f t="shared" si="239"/>
        <v>-2861.6440999999995</v>
      </c>
    </row>
    <row r="1564" spans="4:16" x14ac:dyDescent="0.55000000000000004">
      <c r="D1564" s="44">
        <f t="shared" si="233"/>
        <v>44557</v>
      </c>
      <c r="E1564" s="38">
        <v>11.410500000000001</v>
      </c>
      <c r="F1564" s="97">
        <f t="shared" si="243"/>
        <v>759.5</v>
      </c>
      <c r="G1564" s="33">
        <f t="shared" si="242"/>
        <v>8923.2895500000013</v>
      </c>
      <c r="H1564" s="33">
        <f t="shared" si="234"/>
        <v>8923.2895500000013</v>
      </c>
      <c r="I1564" s="33">
        <f t="shared" si="235"/>
        <v>10062.9193</v>
      </c>
      <c r="J1564" s="33">
        <f t="shared" si="236"/>
        <v>8712.5282999999999</v>
      </c>
      <c r="K1564" s="33">
        <f t="shared" si="237"/>
        <v>8712.5282999999999</v>
      </c>
      <c r="L1564" s="59">
        <f t="shared" si="238"/>
        <v>2.4190595742455308E-2</v>
      </c>
      <c r="M1564" s="60" t="str">
        <f t="shared" si="239"/>
        <v/>
      </c>
    </row>
    <row r="1565" spans="4:16" x14ac:dyDescent="0.55000000000000004">
      <c r="D1565" s="44">
        <f t="shared" si="233"/>
        <v>44558</v>
      </c>
      <c r="E1565" s="38">
        <v>11.8515</v>
      </c>
      <c r="F1565" s="97">
        <f t="shared" si="243"/>
        <v>759.5</v>
      </c>
      <c r="G1565" s="33">
        <f t="shared" si="242"/>
        <v>8666.2747500000005</v>
      </c>
      <c r="H1565" s="33">
        <f t="shared" si="234"/>
        <v>8794.7821500000009</v>
      </c>
      <c r="I1565" s="33">
        <f t="shared" si="235"/>
        <v>9137.2255099999984</v>
      </c>
      <c r="J1565" s="33">
        <f t="shared" si="236"/>
        <v>8712.5282999999999</v>
      </c>
      <c r="K1565" s="33">
        <f t="shared" si="237"/>
        <v>8712.5282999999999</v>
      </c>
      <c r="L1565" s="59">
        <f t="shared" si="238"/>
        <v>9.4408703384069315E-3</v>
      </c>
      <c r="M1565" s="60" t="str">
        <f t="shared" si="239"/>
        <v/>
      </c>
    </row>
    <row r="1566" spans="4:16" x14ac:dyDescent="0.55000000000000004">
      <c r="D1566" s="44">
        <f t="shared" si="233"/>
        <v>44559</v>
      </c>
      <c r="E1566" s="38">
        <v>12.2439</v>
      </c>
      <c r="F1566" s="97">
        <f t="shared" si="243"/>
        <v>759.5</v>
      </c>
      <c r="G1566" s="33">
        <f t="shared" si="242"/>
        <v>9001.2142499999991</v>
      </c>
      <c r="H1566" s="33">
        <f t="shared" si="234"/>
        <v>8863.5928500000009</v>
      </c>
      <c r="I1566" s="33">
        <f t="shared" si="235"/>
        <v>8955.76577</v>
      </c>
      <c r="J1566" s="33">
        <f t="shared" si="236"/>
        <v>8712.5282999999999</v>
      </c>
      <c r="K1566" s="33">
        <f t="shared" si="237"/>
        <v>8712.5282999999999</v>
      </c>
      <c r="L1566" s="59">
        <f t="shared" si="238"/>
        <v>1.7338772948376071E-2</v>
      </c>
      <c r="M1566" s="60" t="str">
        <f t="shared" si="239"/>
        <v/>
      </c>
    </row>
    <row r="1567" spans="4:16" x14ac:dyDescent="0.55000000000000004">
      <c r="D1567" s="44">
        <f t="shared" si="233"/>
        <v>44560</v>
      </c>
      <c r="E1567" s="38">
        <v>13.0009</v>
      </c>
      <c r="F1567" s="97">
        <f t="shared" si="243"/>
        <v>759.5</v>
      </c>
      <c r="G1567" s="33">
        <f t="shared" si="242"/>
        <v>9299.2420500000007</v>
      </c>
      <c r="H1567" s="33">
        <f t="shared" si="234"/>
        <v>8972.5051500000009</v>
      </c>
      <c r="I1567" s="33">
        <f t="shared" si="235"/>
        <v>8920.5097800000003</v>
      </c>
      <c r="J1567" s="33">
        <f t="shared" si="236"/>
        <v>8712.5282999999999</v>
      </c>
      <c r="K1567" s="33">
        <f t="shared" si="237"/>
        <v>8712.5282999999999</v>
      </c>
      <c r="L1567" s="59">
        <f t="shared" si="238"/>
        <v>2.9839426748260997E-2</v>
      </c>
      <c r="M1567" s="60" t="str">
        <f t="shared" si="239"/>
        <v/>
      </c>
    </row>
    <row r="1568" spans="4:16" x14ac:dyDescent="0.55000000000000004">
      <c r="D1568" s="44">
        <f t="shared" si="233"/>
        <v>44561</v>
      </c>
      <c r="E1568" s="38">
        <v>13.19</v>
      </c>
      <c r="F1568" s="104">
        <f>F1567+1</f>
        <v>760.5</v>
      </c>
      <c r="G1568" s="33">
        <f t="shared" si="242"/>
        <v>9887.1844500000007</v>
      </c>
      <c r="H1568" s="33">
        <f t="shared" si="234"/>
        <v>9155.4410100000005</v>
      </c>
      <c r="I1568" s="33">
        <f t="shared" si="235"/>
        <v>9164.8919700000006</v>
      </c>
      <c r="J1568" s="33">
        <f t="shared" si="236"/>
        <v>9887.1844500000007</v>
      </c>
      <c r="K1568" s="33">
        <f t="shared" si="237"/>
        <v>8712.5282999999999</v>
      </c>
      <c r="L1568" s="59">
        <f t="shared" si="238"/>
        <v>5.0836300870322627E-2</v>
      </c>
      <c r="M1568" s="60">
        <f t="shared" si="239"/>
        <v>1174.6561500000007</v>
      </c>
    </row>
    <row r="1569" spans="4:13" x14ac:dyDescent="0.55000000000000004">
      <c r="D1569" s="44">
        <f t="shared" si="233"/>
        <v>44564</v>
      </c>
      <c r="E1569" s="38">
        <v>13.446300000000001</v>
      </c>
      <c r="F1569" s="97">
        <f>F1568-9</f>
        <v>751.5</v>
      </c>
      <c r="G1569" s="33">
        <f t="shared" si="242"/>
        <v>9912.2849999999999</v>
      </c>
      <c r="H1569" s="33">
        <f t="shared" si="234"/>
        <v>9912.2849999999999</v>
      </c>
      <c r="I1569" s="33">
        <f t="shared" si="235"/>
        <v>9273.0290399999994</v>
      </c>
      <c r="J1569" s="33">
        <f t="shared" si="236"/>
        <v>9887.1844500000007</v>
      </c>
      <c r="K1569" s="33">
        <f t="shared" si="237"/>
        <v>9887.1844500000007</v>
      </c>
      <c r="L1569" s="59">
        <f t="shared" si="238"/>
        <v>2.5386954321459229E-3</v>
      </c>
      <c r="M1569" s="60" t="str">
        <f t="shared" si="239"/>
        <v/>
      </c>
    </row>
    <row r="1570" spans="4:13" x14ac:dyDescent="0.55000000000000004">
      <c r="D1570" s="44">
        <f t="shared" si="233"/>
        <v>44565</v>
      </c>
      <c r="E1570" s="38">
        <v>13.211</v>
      </c>
      <c r="F1570" s="97">
        <f t="shared" si="243"/>
        <v>751.5</v>
      </c>
      <c r="G1570" s="33">
        <f t="shared" si="242"/>
        <v>10104.89445</v>
      </c>
      <c r="H1570" s="33">
        <f t="shared" si="234"/>
        <v>10008.589725</v>
      </c>
      <c r="I1570" s="33">
        <f t="shared" si="235"/>
        <v>9579.0097800000003</v>
      </c>
      <c r="J1570" s="33">
        <f t="shared" si="236"/>
        <v>9887.1844500000007</v>
      </c>
      <c r="K1570" s="33">
        <f t="shared" si="237"/>
        <v>9887.1844500000007</v>
      </c>
      <c r="L1570" s="59">
        <f t="shared" si="238"/>
        <v>1.2279054326734965E-2</v>
      </c>
      <c r="M1570" s="60" t="str">
        <f t="shared" si="239"/>
        <v/>
      </c>
    </row>
    <row r="1571" spans="4:13" x14ac:dyDescent="0.55000000000000004">
      <c r="D1571" s="44">
        <f t="shared" si="233"/>
        <v>44566</v>
      </c>
      <c r="E1571" s="38">
        <v>13.392799999999999</v>
      </c>
      <c r="F1571" s="97">
        <f t="shared" si="243"/>
        <v>751.5</v>
      </c>
      <c r="G1571" s="33">
        <f t="shared" si="242"/>
        <v>9928.0665000000008</v>
      </c>
      <c r="H1571" s="33">
        <f t="shared" si="234"/>
        <v>9981.7486499999995</v>
      </c>
      <c r="I1571" s="33">
        <f t="shared" si="235"/>
        <v>9783.342630000001</v>
      </c>
      <c r="J1571" s="33">
        <f t="shared" si="236"/>
        <v>9887.1844500000007</v>
      </c>
      <c r="K1571" s="33">
        <f t="shared" si="237"/>
        <v>9887.1844500000007</v>
      </c>
      <c r="L1571" s="59">
        <f t="shared" si="238"/>
        <v>9.5643204067057622E-3</v>
      </c>
      <c r="M1571" s="60" t="str">
        <f t="shared" si="239"/>
        <v/>
      </c>
    </row>
    <row r="1572" spans="4:13" x14ac:dyDescent="0.55000000000000004">
      <c r="D1572" s="44">
        <f t="shared" si="233"/>
        <v>44567</v>
      </c>
      <c r="E1572" s="38">
        <v>13.659800000000001</v>
      </c>
      <c r="F1572" s="97">
        <f t="shared" si="243"/>
        <v>751.5</v>
      </c>
      <c r="G1572" s="33">
        <f t="shared" si="242"/>
        <v>10064.689199999999</v>
      </c>
      <c r="H1572" s="33">
        <f t="shared" si="234"/>
        <v>10002.483787499999</v>
      </c>
      <c r="I1572" s="33">
        <f t="shared" si="235"/>
        <v>9956.0223000000005</v>
      </c>
      <c r="J1572" s="33">
        <f t="shared" si="236"/>
        <v>9887.1844500000007</v>
      </c>
      <c r="K1572" s="33">
        <f t="shared" si="237"/>
        <v>9887.1844500000007</v>
      </c>
      <c r="L1572" s="59">
        <f t="shared" si="238"/>
        <v>1.1661493530648022E-2</v>
      </c>
      <c r="M1572" s="60" t="str">
        <f t="shared" si="239"/>
        <v/>
      </c>
    </row>
    <row r="1573" spans="4:13" x14ac:dyDescent="0.55000000000000004">
      <c r="D1573" s="44">
        <f t="shared" si="233"/>
        <v>44568</v>
      </c>
      <c r="E1573" s="38">
        <v>13.7774</v>
      </c>
      <c r="F1573" s="97">
        <f t="shared" si="243"/>
        <v>751.5</v>
      </c>
      <c r="G1573" s="33">
        <f t="shared" si="242"/>
        <v>10265.3397</v>
      </c>
      <c r="H1573" s="33">
        <f t="shared" si="234"/>
        <v>10055.054970000001</v>
      </c>
      <c r="I1573" s="33">
        <f t="shared" si="235"/>
        <v>10055.054969999999</v>
      </c>
      <c r="J1573" s="33">
        <f t="shared" si="236"/>
        <v>9887.1844500000007</v>
      </c>
      <c r="K1573" s="33">
        <f t="shared" si="237"/>
        <v>9887.1844500000007</v>
      </c>
      <c r="L1573" s="59">
        <f t="shared" si="238"/>
        <v>1.6978596975603139E-2</v>
      </c>
      <c r="M1573" s="60" t="str">
        <f t="shared" si="239"/>
        <v/>
      </c>
    </row>
    <row r="1574" spans="4:13" x14ac:dyDescent="0.55000000000000004">
      <c r="D1574" s="44">
        <f t="shared" si="233"/>
        <v>44571</v>
      </c>
      <c r="E1574" s="38">
        <v>13.76</v>
      </c>
      <c r="F1574" s="97">
        <f t="shared" si="243"/>
        <v>751.5</v>
      </c>
      <c r="G1574" s="33">
        <f t="shared" si="242"/>
        <v>10353.7161</v>
      </c>
      <c r="H1574" s="33">
        <f t="shared" si="234"/>
        <v>10143.341189999999</v>
      </c>
      <c r="I1574" s="33">
        <f t="shared" si="235"/>
        <v>10143.341190000001</v>
      </c>
      <c r="J1574" s="33">
        <f t="shared" si="236"/>
        <v>9887.1844500000007</v>
      </c>
      <c r="K1574" s="33">
        <f t="shared" si="237"/>
        <v>9887.1844500000007</v>
      </c>
      <c r="L1574" s="59">
        <f t="shared" si="238"/>
        <v>2.5907956030900032E-2</v>
      </c>
      <c r="M1574" s="60" t="str">
        <f t="shared" si="239"/>
        <v/>
      </c>
    </row>
    <row r="1575" spans="4:13" x14ac:dyDescent="0.55000000000000004">
      <c r="D1575" s="44">
        <f t="shared" si="233"/>
        <v>44572</v>
      </c>
      <c r="E1575" s="38">
        <f t="shared" ref="E1575:F1586" si="244">E1574</f>
        <v>13.76</v>
      </c>
      <c r="F1575" s="97">
        <f t="shared" si="243"/>
        <v>751.5</v>
      </c>
      <c r="G1575" s="33">
        <f t="shared" si="242"/>
        <v>10340.64</v>
      </c>
      <c r="H1575" s="33">
        <f t="shared" si="234"/>
        <v>10190.490300000001</v>
      </c>
      <c r="I1575" s="33">
        <f t="shared" si="235"/>
        <v>10190.490299999999</v>
      </c>
      <c r="J1575" s="33">
        <f t="shared" si="236"/>
        <v>10340.64</v>
      </c>
      <c r="K1575" s="33">
        <f t="shared" si="237"/>
        <v>9887.1844500000007</v>
      </c>
      <c r="L1575" s="59">
        <f t="shared" si="238"/>
        <v>3.0676665488930027E-2</v>
      </c>
      <c r="M1575" s="60">
        <f t="shared" si="239"/>
        <v>453.45554999999877</v>
      </c>
    </row>
    <row r="1576" spans="4:13" x14ac:dyDescent="0.55000000000000004">
      <c r="D1576" s="44">
        <f t="shared" si="233"/>
        <v>44573</v>
      </c>
      <c r="E1576" s="38">
        <f t="shared" si="244"/>
        <v>13.76</v>
      </c>
      <c r="F1576" s="97">
        <f t="shared" si="243"/>
        <v>751.5</v>
      </c>
      <c r="G1576" s="33">
        <f t="shared" si="242"/>
        <v>10340.64</v>
      </c>
      <c r="H1576" s="33">
        <f t="shared" si="234"/>
        <v>10340.64</v>
      </c>
      <c r="I1576" s="33">
        <f t="shared" si="235"/>
        <v>10273.004999999999</v>
      </c>
      <c r="J1576" s="33">
        <f t="shared" si="236"/>
        <v>10340.64</v>
      </c>
      <c r="K1576" s="33">
        <f t="shared" si="237"/>
        <v>10340.64</v>
      </c>
      <c r="L1576" s="59">
        <f t="shared" si="238"/>
        <v>0</v>
      </c>
      <c r="M1576" s="60" t="str">
        <f t="shared" si="239"/>
        <v/>
      </c>
    </row>
    <row r="1577" spans="4:13" x14ac:dyDescent="0.55000000000000004">
      <c r="D1577" s="44">
        <f t="shared" si="233"/>
        <v>44574</v>
      </c>
      <c r="E1577" s="38">
        <f t="shared" si="244"/>
        <v>13.76</v>
      </c>
      <c r="F1577" s="97">
        <f t="shared" si="243"/>
        <v>751.5</v>
      </c>
      <c r="G1577" s="33">
        <f t="shared" si="242"/>
        <v>10340.64</v>
      </c>
      <c r="H1577" s="33">
        <f t="shared" si="234"/>
        <v>10340.64</v>
      </c>
      <c r="I1577" s="33">
        <f t="shared" si="235"/>
        <v>10328.195160000001</v>
      </c>
      <c r="J1577" s="33">
        <f t="shared" si="236"/>
        <v>10340.64</v>
      </c>
      <c r="K1577" s="33">
        <f t="shared" si="237"/>
        <v>10340.64</v>
      </c>
      <c r="L1577" s="59">
        <f t="shared" si="238"/>
        <v>0</v>
      </c>
      <c r="M1577" s="60" t="str">
        <f t="shared" si="239"/>
        <v/>
      </c>
    </row>
    <row r="1578" spans="4:13" x14ac:dyDescent="0.55000000000000004">
      <c r="D1578" s="44">
        <f t="shared" si="233"/>
        <v>44575</v>
      </c>
      <c r="E1578" s="38">
        <f t="shared" si="244"/>
        <v>13.76</v>
      </c>
      <c r="F1578" s="97">
        <f t="shared" si="243"/>
        <v>751.5</v>
      </c>
      <c r="G1578" s="33">
        <f t="shared" si="242"/>
        <v>10340.64</v>
      </c>
      <c r="H1578" s="33">
        <f t="shared" si="234"/>
        <v>10340.64</v>
      </c>
      <c r="I1578" s="33">
        <f t="shared" si="235"/>
        <v>10343.255219999999</v>
      </c>
      <c r="J1578" s="33">
        <f t="shared" si="236"/>
        <v>10340.64</v>
      </c>
      <c r="K1578" s="33">
        <f t="shared" si="237"/>
        <v>10340.64</v>
      </c>
      <c r="L1578" s="59">
        <f t="shared" si="238"/>
        <v>0</v>
      </c>
      <c r="M1578" s="60" t="str">
        <f t="shared" si="239"/>
        <v/>
      </c>
    </row>
    <row r="1579" spans="4:13" x14ac:dyDescent="0.55000000000000004">
      <c r="D1579" s="44">
        <f t="shared" si="233"/>
        <v>44578</v>
      </c>
      <c r="E1579" s="38">
        <f t="shared" si="244"/>
        <v>13.76</v>
      </c>
      <c r="F1579" s="97">
        <f t="shared" si="243"/>
        <v>751.5</v>
      </c>
      <c r="G1579" s="33">
        <f t="shared" si="242"/>
        <v>10340.64</v>
      </c>
      <c r="H1579" s="33">
        <f t="shared" si="234"/>
        <v>10340.64</v>
      </c>
      <c r="I1579" s="33">
        <f t="shared" si="235"/>
        <v>10340.64</v>
      </c>
      <c r="J1579" s="33">
        <f t="shared" si="236"/>
        <v>10340.64</v>
      </c>
      <c r="K1579" s="33">
        <f t="shared" si="237"/>
        <v>10340.64</v>
      </c>
      <c r="L1579" s="59">
        <f t="shared" si="238"/>
        <v>0</v>
      </c>
      <c r="M1579" s="60" t="str">
        <f t="shared" si="239"/>
        <v/>
      </c>
    </row>
    <row r="1580" spans="4:13" x14ac:dyDescent="0.55000000000000004">
      <c r="D1580" s="44">
        <f t="shared" si="233"/>
        <v>44579</v>
      </c>
      <c r="E1580" s="38">
        <f t="shared" si="244"/>
        <v>13.76</v>
      </c>
      <c r="F1580" s="97">
        <f t="shared" si="243"/>
        <v>751.5</v>
      </c>
      <c r="G1580" s="33">
        <f t="shared" si="242"/>
        <v>10340.64</v>
      </c>
      <c r="H1580" s="33">
        <f t="shared" si="234"/>
        <v>10340.64</v>
      </c>
      <c r="I1580" s="33">
        <f t="shared" si="235"/>
        <v>10340.64</v>
      </c>
      <c r="J1580" s="33">
        <f t="shared" si="236"/>
        <v>10340.64</v>
      </c>
      <c r="K1580" s="33">
        <f t="shared" si="237"/>
        <v>10340.64</v>
      </c>
      <c r="L1580" s="59">
        <f t="shared" si="238"/>
        <v>0</v>
      </c>
      <c r="M1580" s="60" t="str">
        <f t="shared" si="239"/>
        <v/>
      </c>
    </row>
    <row r="1581" spans="4:13" x14ac:dyDescent="0.55000000000000004">
      <c r="D1581" s="44">
        <f t="shared" si="233"/>
        <v>44580</v>
      </c>
      <c r="E1581" s="38">
        <f t="shared" si="244"/>
        <v>13.76</v>
      </c>
      <c r="F1581" s="97">
        <f t="shared" si="243"/>
        <v>751.5</v>
      </c>
      <c r="G1581" s="33">
        <f t="shared" si="242"/>
        <v>10340.64</v>
      </c>
      <c r="H1581" s="33">
        <f t="shared" si="234"/>
        <v>10340.64</v>
      </c>
      <c r="I1581" s="33">
        <f t="shared" si="235"/>
        <v>10340.64</v>
      </c>
      <c r="J1581" s="33">
        <f t="shared" si="236"/>
        <v>10340.64</v>
      </c>
      <c r="K1581" s="33">
        <f t="shared" si="237"/>
        <v>10340.64</v>
      </c>
      <c r="L1581" s="59">
        <f t="shared" si="238"/>
        <v>0</v>
      </c>
      <c r="M1581" s="60" t="str">
        <f t="shared" si="239"/>
        <v/>
      </c>
    </row>
    <row r="1582" spans="4:13" x14ac:dyDescent="0.55000000000000004">
      <c r="D1582" s="44">
        <f>WORKDAY(D1581,1)</f>
        <v>44581</v>
      </c>
      <c r="E1582" s="38">
        <f t="shared" si="244"/>
        <v>13.76</v>
      </c>
      <c r="F1582" s="97">
        <f t="shared" si="244"/>
        <v>751.5</v>
      </c>
      <c r="G1582" s="33">
        <f>E1581*F1582</f>
        <v>10340.64</v>
      </c>
      <c r="H1582" s="33">
        <f>IF(M1581&lt;&gt;"",AVERAGE(G1582),IF(M1580&lt;&gt;"",AVERAGE(G1581:G1582),IF(M1579&lt;&gt;"",AVERAGE(G1580:G1582),IF(M1578&lt;&gt;"",AVERAGE(G1579:G1582),AVERAGE(G1578:G1582)))))</f>
        <v>10340.64</v>
      </c>
      <c r="I1582" s="33">
        <f>F1582*AVERAGE(E1577:E1581)</f>
        <v>10340.64</v>
      </c>
      <c r="J1582" s="33">
        <f>IF(L1582&gt;3%,G1582,IF(L1582&lt;-3%,G1582,J1581))</f>
        <v>10340.64</v>
      </c>
      <c r="K1582" s="33">
        <f>IF(L1581&gt;3%,G1581,IF(L1581&lt;-3%,G1581,K1581))</f>
        <v>10340.64</v>
      </c>
      <c r="L1582" s="59">
        <f>(H1582-K1582)/K1582</f>
        <v>0</v>
      </c>
      <c r="M1582" s="60" t="str">
        <f>IF(OR(L1582&lt;-3%,L1582&gt;3%),K1583-K1582,"")</f>
        <v/>
      </c>
    </row>
    <row r="1583" spans="4:13" x14ac:dyDescent="0.55000000000000004">
      <c r="D1583" s="44">
        <f>WORKDAY(D1582,1)</f>
        <v>44582</v>
      </c>
      <c r="E1583" s="38">
        <f t="shared" si="244"/>
        <v>13.76</v>
      </c>
      <c r="F1583" s="97">
        <f t="shared" si="244"/>
        <v>751.5</v>
      </c>
      <c r="G1583" s="33">
        <f>E1582*F1583</f>
        <v>10340.64</v>
      </c>
      <c r="H1583" s="33">
        <f>IF(M1582&lt;&gt;"",AVERAGE(G1583),IF(M1581&lt;&gt;"",AVERAGE(G1582:G1583),IF(M1580&lt;&gt;"",AVERAGE(G1581:G1583),IF(M1579&lt;&gt;"",AVERAGE(G1580:G1583),AVERAGE(G1579:G1583)))))</f>
        <v>10340.64</v>
      </c>
      <c r="I1583" s="33">
        <f>F1583*AVERAGE(E1578:E1582)</f>
        <v>10340.64</v>
      </c>
      <c r="J1583" s="33">
        <f>IF(L1583&gt;3%,G1583,IF(L1583&lt;-3%,G1583,J1582))</f>
        <v>10340.64</v>
      </c>
      <c r="K1583" s="33">
        <f>IF(L1582&gt;3%,G1582,IF(L1582&lt;-3%,G1582,K1582))</f>
        <v>10340.64</v>
      </c>
      <c r="L1583" s="59">
        <f>(H1583-K1583)/K1583</f>
        <v>0</v>
      </c>
      <c r="M1583" s="60" t="str">
        <f>IF(OR(L1583&lt;-3%,L1583&gt;3%),K1584-K1583,"")</f>
        <v/>
      </c>
    </row>
    <row r="1584" spans="4:13" x14ac:dyDescent="0.55000000000000004">
      <c r="D1584" s="44">
        <f>WORKDAY(D1583,1)</f>
        <v>44585</v>
      </c>
      <c r="E1584" s="38">
        <f t="shared" si="244"/>
        <v>13.76</v>
      </c>
      <c r="F1584" s="97">
        <f t="shared" si="244"/>
        <v>751.5</v>
      </c>
      <c r="G1584" s="33">
        <f>E1583*F1584</f>
        <v>10340.64</v>
      </c>
      <c r="H1584" s="33">
        <f>IF(M1583&lt;&gt;"",AVERAGE(G1584),IF(M1582&lt;&gt;"",AVERAGE(G1583:G1584),IF(M1581&lt;&gt;"",AVERAGE(G1582:G1584),IF(M1580&lt;&gt;"",AVERAGE(G1581:G1584),AVERAGE(G1580:G1584)))))</f>
        <v>10340.64</v>
      </c>
      <c r="I1584" s="33">
        <f>F1584*AVERAGE(E1579:E1583)</f>
        <v>10340.64</v>
      </c>
      <c r="J1584" s="33">
        <f>IF(L1584&gt;3%,G1584,IF(L1584&lt;-3%,G1584,J1583))</f>
        <v>10340.64</v>
      </c>
      <c r="K1584" s="33">
        <f>IF(L1583&gt;3%,G1583,IF(L1583&lt;-3%,G1583,K1583))</f>
        <v>10340.64</v>
      </c>
      <c r="L1584" s="59">
        <f>(H1584-K1584)/K1584</f>
        <v>0</v>
      </c>
      <c r="M1584" s="60" t="str">
        <f>IF(OR(L1584&lt;-3%,L1584&gt;3%),K1585-K1584,"")</f>
        <v/>
      </c>
    </row>
    <row r="1585" spans="4:13" x14ac:dyDescent="0.55000000000000004">
      <c r="D1585" s="44">
        <f>WORKDAY(D1584,1)</f>
        <v>44586</v>
      </c>
      <c r="E1585" s="38">
        <f t="shared" si="244"/>
        <v>13.76</v>
      </c>
      <c r="F1585" s="97">
        <f t="shared" si="244"/>
        <v>751.5</v>
      </c>
      <c r="G1585" s="33">
        <f>E1584*F1585</f>
        <v>10340.64</v>
      </c>
      <c r="H1585" s="33">
        <f>IF(M1584&lt;&gt;"",AVERAGE(G1585),IF(M1583&lt;&gt;"",AVERAGE(G1584:G1585),IF(M1582&lt;&gt;"",AVERAGE(G1583:G1585),IF(M1581&lt;&gt;"",AVERAGE(G1582:G1585),AVERAGE(G1581:G1585)))))</f>
        <v>10340.64</v>
      </c>
      <c r="I1585" s="33">
        <f>F1585*AVERAGE(E1580:E1584)</f>
        <v>10340.64</v>
      </c>
      <c r="J1585" s="33">
        <f>IF(L1585&gt;3%,G1585,IF(L1585&lt;-3%,G1585,J1584))</f>
        <v>10340.64</v>
      </c>
      <c r="K1585" s="33">
        <f>IF(L1584&gt;3%,G1584,IF(L1584&lt;-3%,G1584,K1584))</f>
        <v>10340.64</v>
      </c>
      <c r="L1585" s="59">
        <f>(H1585-K1585)/K1585</f>
        <v>0</v>
      </c>
      <c r="M1585" s="60" t="str">
        <f>IF(OR(L1585&lt;-3%,L1585&gt;3%),K1586-K1585,"")</f>
        <v/>
      </c>
    </row>
    <row r="1586" spans="4:13" x14ac:dyDescent="0.55000000000000004">
      <c r="D1586" s="44">
        <f>WORKDAY(D1585,1)</f>
        <v>44587</v>
      </c>
      <c r="E1586" s="38">
        <f t="shared" si="244"/>
        <v>13.76</v>
      </c>
      <c r="F1586" s="97">
        <f t="shared" si="244"/>
        <v>751.5</v>
      </c>
      <c r="G1586" s="33">
        <f>E1585*F1586</f>
        <v>10340.64</v>
      </c>
      <c r="H1586" s="33">
        <f>IF(M1585&lt;&gt;"",AVERAGE(G1586),IF(M1584&lt;&gt;"",AVERAGE(G1585:G1586),IF(M1583&lt;&gt;"",AVERAGE(G1584:G1586),IF(M1582&lt;&gt;"",AVERAGE(G1583:G1586),AVERAGE(G1582:G1586)))))</f>
        <v>10340.64</v>
      </c>
      <c r="I1586" s="33">
        <f>F1586*AVERAGE(E1581:E1585)</f>
        <v>10340.64</v>
      </c>
      <c r="J1586" s="33">
        <f>IF(L1586&gt;3%,G1586,IF(L1586&lt;-3%,G1586,J1585))</f>
        <v>10340.64</v>
      </c>
      <c r="K1586" s="33">
        <f>IF(L1585&gt;3%,G1585,IF(L1585&lt;-3%,G1585,K1585))</f>
        <v>10340.64</v>
      </c>
      <c r="L1586" s="59">
        <f>(H1586-K1586)/K1586</f>
        <v>0</v>
      </c>
      <c r="M1586" s="60" t="str">
        <f>IF(OR(L1586&lt;-3%,L1586&gt;3%),K1587-K1586,"")</f>
        <v/>
      </c>
    </row>
  </sheetData>
  <mergeCells count="53">
    <mergeCell ref="A47:A69"/>
    <mergeCell ref="A2:A5"/>
    <mergeCell ref="I2:I6"/>
    <mergeCell ref="L2:L6"/>
    <mergeCell ref="A6:A25"/>
    <mergeCell ref="A26:A46"/>
    <mergeCell ref="A308:A330"/>
    <mergeCell ref="A70:A90"/>
    <mergeCell ref="A91:A112"/>
    <mergeCell ref="A113:A134"/>
    <mergeCell ref="A135:A155"/>
    <mergeCell ref="A156:A178"/>
    <mergeCell ref="A179:A200"/>
    <mergeCell ref="A201:A221"/>
    <mergeCell ref="A222:A243"/>
    <mergeCell ref="A244:A265"/>
    <mergeCell ref="A266:A287"/>
    <mergeCell ref="A288:A307"/>
    <mergeCell ref="A568:A589"/>
    <mergeCell ref="A331:A350"/>
    <mergeCell ref="A351:A373"/>
    <mergeCell ref="A374:A395"/>
    <mergeCell ref="A396:A416"/>
    <mergeCell ref="A417:A439"/>
    <mergeCell ref="A440:A460"/>
    <mergeCell ref="A461:A482"/>
    <mergeCell ref="A483:A504"/>
    <mergeCell ref="A505:A525"/>
    <mergeCell ref="A526:A547"/>
    <mergeCell ref="A548:A567"/>
    <mergeCell ref="O1077:O1078"/>
    <mergeCell ref="T1077:T1078"/>
    <mergeCell ref="A590:A610"/>
    <mergeCell ref="A611:A633"/>
    <mergeCell ref="A634:A654"/>
    <mergeCell ref="A655:A676"/>
    <mergeCell ref="A677:A699"/>
    <mergeCell ref="A700:A719"/>
    <mergeCell ref="A720:A742"/>
    <mergeCell ref="A743:A764"/>
    <mergeCell ref="A765:A785"/>
    <mergeCell ref="O1076:R1076"/>
    <mergeCell ref="T1076:W1076"/>
    <mergeCell ref="O1132:R1132"/>
    <mergeCell ref="O1133:O1134"/>
    <mergeCell ref="O1176:R1176"/>
    <mergeCell ref="O1177:O1178"/>
    <mergeCell ref="O1084:R1084"/>
    <mergeCell ref="O1085:O1086"/>
    <mergeCell ref="O1107:R1107"/>
    <mergeCell ref="O1108:O1109"/>
    <mergeCell ref="O1121:R1121"/>
    <mergeCell ref="O1122:O1123"/>
  </mergeCells>
  <conditionalFormatting sqref="D2:D785 D789:D1586">
    <cfRule type="cellIs" dxfId="6" priority="36" operator="equal">
      <formula>TODAY()</formula>
    </cfRule>
  </conditionalFormatting>
  <conditionalFormatting sqref="L7:L1586">
    <cfRule type="cellIs" dxfId="5" priority="35" operator="greaterThan">
      <formula>0.03</formula>
    </cfRule>
  </conditionalFormatting>
  <conditionalFormatting sqref="L7:L1586">
    <cfRule type="cellIs" dxfId="4" priority="34" operator="lessThan">
      <formula>-0.03</formula>
    </cfRule>
  </conditionalFormatting>
  <conditionalFormatting sqref="I7:J7">
    <cfRule type="cellIs" dxfId="3" priority="37" operator="greaterThan">
      <formula>#REF!</formula>
    </cfRule>
  </conditionalFormatting>
  <conditionalFormatting sqref="D787:D788">
    <cfRule type="cellIs" dxfId="2" priority="33" operator="equal">
      <formula>TODAY()</formula>
    </cfRule>
  </conditionalFormatting>
  <conditionalFormatting sqref="D786">
    <cfRule type="cellIs" dxfId="1" priority="32" operator="equal">
      <formula>TODAY()</formula>
    </cfRule>
  </conditionalFormatting>
  <conditionalFormatting sqref="E1496">
    <cfRule type="expression" dxfId="0" priority="1">
      <formula>$M1497&lt;&gt;""</formula>
    </cfRule>
  </conditionalFormatting>
  <conditionalFormatting sqref="M7:M1586">
    <cfRule type="iconSet" priority="38">
      <iconSet iconSet="3Arrows">
        <cfvo type="percent" val="0"/>
        <cfvo type="num" val="-1E-4"/>
        <cfvo type="num" val="1E-4"/>
      </iconSe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07D9149D-90BE-4831-A6CA-A1CB6EDB5BF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U1081</xm:sqref>
        </x14:conditionalFormatting>
        <x14:conditionalFormatting xmlns:xm="http://schemas.microsoft.com/office/excel/2006/main">
          <x14:cfRule type="iconSet" priority="30" id="{2E0EEF90-321B-4BF7-A879-A18E016F9CF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U1081</xm:sqref>
        </x14:conditionalFormatting>
        <x14:conditionalFormatting xmlns:xm="http://schemas.microsoft.com/office/excel/2006/main">
          <x14:cfRule type="iconSet" priority="29" id="{DEAAD1FD-4842-46D3-B664-ED940D10945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V1081</xm:sqref>
        </x14:conditionalFormatting>
        <x14:conditionalFormatting xmlns:xm="http://schemas.microsoft.com/office/excel/2006/main">
          <x14:cfRule type="iconSet" priority="28" id="{9B2F79F8-C3AD-480D-8914-1954FEB9648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V1081</xm:sqref>
        </x14:conditionalFormatting>
        <x14:conditionalFormatting xmlns:xm="http://schemas.microsoft.com/office/excel/2006/main">
          <x14:cfRule type="iconSet" priority="27" id="{92A8DAE4-FBE7-4F1B-B54D-2D344778BB45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W1081</xm:sqref>
        </x14:conditionalFormatting>
        <x14:conditionalFormatting xmlns:xm="http://schemas.microsoft.com/office/excel/2006/main">
          <x14:cfRule type="iconSet" priority="26" id="{ACAD51EB-FBC5-4C8D-B114-8E66F2C6BCC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W1081</xm:sqref>
        </x14:conditionalFormatting>
        <x14:conditionalFormatting xmlns:xm="http://schemas.microsoft.com/office/excel/2006/main">
          <x14:cfRule type="iconSet" priority="25" id="{F56ECDC9-E2B8-41A3-9028-933B39B2116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P1112</xm:sqref>
        </x14:conditionalFormatting>
        <x14:conditionalFormatting xmlns:xm="http://schemas.microsoft.com/office/excel/2006/main">
          <x14:cfRule type="iconSet" priority="24" id="{6B05C0A7-1139-44BC-8BC7-FABBAC0D86B4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P1112</xm:sqref>
        </x14:conditionalFormatting>
        <x14:conditionalFormatting xmlns:xm="http://schemas.microsoft.com/office/excel/2006/main">
          <x14:cfRule type="iconSet" priority="23" id="{0513E16B-97D6-489B-9A92-C841BA21720B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Q1112</xm:sqref>
        </x14:conditionalFormatting>
        <x14:conditionalFormatting xmlns:xm="http://schemas.microsoft.com/office/excel/2006/main">
          <x14:cfRule type="iconSet" priority="22" id="{3E99877E-CC3F-4D5F-A49D-94A1F4121EBA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Q1112</xm:sqref>
        </x14:conditionalFormatting>
        <x14:conditionalFormatting xmlns:xm="http://schemas.microsoft.com/office/excel/2006/main">
          <x14:cfRule type="iconSet" priority="21" id="{3C3EAF40-01BE-4C94-B3AE-504223EEC1A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R1112</xm:sqref>
        </x14:conditionalFormatting>
        <x14:conditionalFormatting xmlns:xm="http://schemas.microsoft.com/office/excel/2006/main">
          <x14:cfRule type="iconSet" priority="20" id="{FB2E721E-2B40-4C44-9E3F-DF101691605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R1112</xm:sqref>
        </x14:conditionalFormatting>
        <x14:conditionalFormatting xmlns:xm="http://schemas.microsoft.com/office/excel/2006/main">
          <x14:cfRule type="iconSet" priority="19" id="{92833C41-C4DF-4221-A958-6F2FA957B59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P1126</xm:sqref>
        </x14:conditionalFormatting>
        <x14:conditionalFormatting xmlns:xm="http://schemas.microsoft.com/office/excel/2006/main">
          <x14:cfRule type="iconSet" priority="18" id="{5BC3AC25-3CF7-45AD-B5B9-277721578041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P1126</xm:sqref>
        </x14:conditionalFormatting>
        <x14:conditionalFormatting xmlns:xm="http://schemas.microsoft.com/office/excel/2006/main">
          <x14:cfRule type="iconSet" priority="17" id="{0D33CDA0-70C4-4290-84C6-4A5D7AA7E5A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Q1126</xm:sqref>
        </x14:conditionalFormatting>
        <x14:conditionalFormatting xmlns:xm="http://schemas.microsoft.com/office/excel/2006/main">
          <x14:cfRule type="iconSet" priority="16" id="{28FAFF1E-5187-4FD8-9C2D-E6C3A761D115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Q1126</xm:sqref>
        </x14:conditionalFormatting>
        <x14:conditionalFormatting xmlns:xm="http://schemas.microsoft.com/office/excel/2006/main">
          <x14:cfRule type="iconSet" priority="15" id="{7AEEB96D-26E2-445D-9447-DEEC5D4C21C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R1126</xm:sqref>
        </x14:conditionalFormatting>
        <x14:conditionalFormatting xmlns:xm="http://schemas.microsoft.com/office/excel/2006/main">
          <x14:cfRule type="iconSet" priority="14" id="{4B7E88C9-0206-49EB-99E7-0A7FBAB0B6C1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R1126</xm:sqref>
        </x14:conditionalFormatting>
        <x14:conditionalFormatting xmlns:xm="http://schemas.microsoft.com/office/excel/2006/main">
          <x14:cfRule type="iconSet" priority="13" id="{8951CEBA-2FA6-4A8A-BDF7-23B15C9B03C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P1137</xm:sqref>
        </x14:conditionalFormatting>
        <x14:conditionalFormatting xmlns:xm="http://schemas.microsoft.com/office/excel/2006/main">
          <x14:cfRule type="iconSet" priority="12" id="{57D49D75-C0F7-4FA1-A50B-2E1E0655BC3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P1137</xm:sqref>
        </x14:conditionalFormatting>
        <x14:conditionalFormatting xmlns:xm="http://schemas.microsoft.com/office/excel/2006/main">
          <x14:cfRule type="iconSet" priority="11" id="{DAEF53E3-AB34-40AD-B95E-14566C4A2B70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Q1137</xm:sqref>
        </x14:conditionalFormatting>
        <x14:conditionalFormatting xmlns:xm="http://schemas.microsoft.com/office/excel/2006/main">
          <x14:cfRule type="iconSet" priority="10" id="{194C8098-56F0-45F5-AB55-108541BCFD3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Q1137</xm:sqref>
        </x14:conditionalFormatting>
        <x14:conditionalFormatting xmlns:xm="http://schemas.microsoft.com/office/excel/2006/main">
          <x14:cfRule type="iconSet" priority="9" id="{C8C9D680-5B72-4ADA-8FEC-11190F10E15F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R1137</xm:sqref>
        </x14:conditionalFormatting>
        <x14:conditionalFormatting xmlns:xm="http://schemas.microsoft.com/office/excel/2006/main">
          <x14:cfRule type="iconSet" priority="8" id="{E7CA6999-BE7E-44AC-83FF-A253483289B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R1137</xm:sqref>
        </x14:conditionalFormatting>
        <x14:conditionalFormatting xmlns:xm="http://schemas.microsoft.com/office/excel/2006/main">
          <x14:cfRule type="iconSet" priority="7" id="{1D650570-A25E-4D7C-9330-D0BC9ED1E18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P1181</xm:sqref>
        </x14:conditionalFormatting>
        <x14:conditionalFormatting xmlns:xm="http://schemas.microsoft.com/office/excel/2006/main">
          <x14:cfRule type="iconSet" priority="6" id="{7C4DEE89-BAAA-44DD-9E1C-4C6C3D26E78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P1181</xm:sqref>
        </x14:conditionalFormatting>
        <x14:conditionalFormatting xmlns:xm="http://schemas.microsoft.com/office/excel/2006/main">
          <x14:cfRule type="iconSet" priority="5" id="{5DF3FC30-73F1-4AC1-8645-8F388FF1E360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Q1181</xm:sqref>
        </x14:conditionalFormatting>
        <x14:conditionalFormatting xmlns:xm="http://schemas.microsoft.com/office/excel/2006/main">
          <x14:cfRule type="iconSet" priority="4" id="{054DAD1A-B908-42C3-BF57-E94F83BD960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Q1181</xm:sqref>
        </x14:conditionalFormatting>
        <x14:conditionalFormatting xmlns:xm="http://schemas.microsoft.com/office/excel/2006/main">
          <x14:cfRule type="iconSet" priority="3" id="{790D5978-CA4E-4916-A3B0-07443C3C7E92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R1181</xm:sqref>
        </x14:conditionalFormatting>
        <x14:conditionalFormatting xmlns:xm="http://schemas.microsoft.com/office/excel/2006/main">
          <x14:cfRule type="iconSet" priority="2" id="{B84D6CD3-E0BC-4F5F-B141-5B42168E2783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R1181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</vt:lpstr>
      <vt:lpstr>Covid</vt:lpstr>
      <vt:lpstr>Satış Verisi</vt:lpstr>
      <vt:lpstr>Special Day Types</vt:lpstr>
      <vt:lpstr>tatiller</vt:lpstr>
      <vt:lpstr>Rafineri Fiyatları</vt:lpstr>
      <vt:lpstr>LPG Fup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Rıdvan Memiş</dc:creator>
  <cp:lastModifiedBy>Rıdvan Memiş</cp:lastModifiedBy>
  <dcterms:created xsi:type="dcterms:W3CDTF">2015-06-05T18:17:20Z</dcterms:created>
  <dcterms:modified xsi:type="dcterms:W3CDTF">2022-01-18T07:47:11Z</dcterms:modified>
</cp:coreProperties>
</file>